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8.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5.xml" ContentType="application/vnd.openxmlformats-officedocument.spreadsheetml.revisionLog+xml"/>
  <Override PartName="/xl/revisions/revisionLog6.xml" ContentType="application/vnd.openxmlformats-officedocument.spreadsheetml.revisionLog+xml"/>
  <Override PartName="/xl/revisions/revisionLog7.xml" ContentType="application/vnd.openxmlformats-officedocument.spreadsheetml.revisionLog+xml"/>
  <Override PartName="/xl/revisions/revisionLog3.xml" ContentType="application/vnd.openxmlformats-officedocument.spreadsheetml.revisionLog+xml"/>
  <Override PartName="/xl/revisions/revisionLog4.xml" ContentType="application/vnd.openxmlformats-officedocument.spreadsheetml.revisionLog+xml"/>
  <Override PartName="/xl/revisions/revisionLog284.xml" ContentType="application/vnd.openxmlformats-officedocument.spreadsheetml.revisionLog+xml"/>
  <Override PartName="/xl/revisions/revisionLog1.xml" ContentType="application/vnd.openxmlformats-officedocument.spreadsheetml.revisionLog+xml"/>
  <Override PartName="/xl/revisions/revisionLog2.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SolovevEV\Desktop\"/>
    </mc:Choice>
  </mc:AlternateContent>
  <bookViews>
    <workbookView xWindow="0" yWindow="0" windowWidth="24000" windowHeight="9732" tabRatio="882" activeTab="12"/>
  </bookViews>
  <sheets>
    <sheet name="П ГОСПРОГРАММЫ" sheetId="1" r:id="rId1"/>
    <sheet name="ПЛАНИРУЕМЫ ПОКАЗ" sheetId="2" r:id="rId2"/>
    <sheet name="ПП 1" sheetId="3" r:id="rId3"/>
    <sheet name="ПМ П1" sheetId="4" r:id="rId4"/>
    <sheet name="А П 1 " sheetId="5" r:id="rId5"/>
    <sheet name="ПП 2" sheetId="6" r:id="rId6"/>
    <sheet name="ПМ П2" sheetId="7" r:id="rId7"/>
    <sheet name="А П 2" sheetId="8" r:id="rId8"/>
    <sheet name="ПП 3" sheetId="9" r:id="rId9"/>
    <sheet name="ПМ П 3" sheetId="10" r:id="rId10"/>
    <sheet name="Лист1" sheetId="25" state="hidden" r:id="rId11"/>
    <sheet name="Лист4" sheetId="28" r:id="rId12"/>
    <sheet name="А П 3" sheetId="11" r:id="rId13"/>
    <sheet name="РМВГ" sheetId="12" r:id="rId14"/>
    <sheet name="ПП 4" sheetId="13" r:id="rId15"/>
    <sheet name="МП 4" sheetId="14" r:id="rId16"/>
    <sheet name="ПП 5" sheetId="15" r:id="rId17"/>
    <sheet name="МП 5" sheetId="16" r:id="rId18"/>
    <sheet name=" АП П 5" sheetId="17" r:id="rId19"/>
    <sheet name="ПП 6" sheetId="18" r:id="rId20"/>
    <sheet name="МП 6" sheetId="19" r:id="rId21"/>
    <sheet name="АП П 6" sheetId="20" r:id="rId22"/>
    <sheet name="ПП 7" sheetId="21" r:id="rId23"/>
    <sheet name="МП 7" sheetId="22" r:id="rId24"/>
    <sheet name="ПП 8" sheetId="23" r:id="rId25"/>
    <sheet name="Лист3" sheetId="27" r:id="rId26"/>
    <sheet name="Лист2" sheetId="26" state="hidden" r:id="rId27"/>
    <sheet name="ПМ П8" sheetId="24" r:id="rId28"/>
  </sheets>
  <externalReferences>
    <externalReference r:id="rId29"/>
    <externalReference r:id="rId30"/>
    <externalReference r:id="rId31"/>
  </externalReferences>
  <definedNames>
    <definedName name="_xlnm._FilterDatabase" localSheetId="9" hidden="1">'ПМ П 3'!$A$4:$AL$64</definedName>
    <definedName name="Z_001F394D_7E32_49E0_9108_A9790B233A9D_.wvu.Cols" localSheetId="13" hidden="1">РМВГ!$C:$E</definedName>
    <definedName name="Z_001F394D_7E32_49E0_9108_A9790B233A9D_.wvu.FilterData" localSheetId="9" hidden="1">'ПМ П 3'!$A$4:$AL$64</definedName>
    <definedName name="Z_001F394D_7E32_49E0_9108_A9790B233A9D_.wvu.PrintArea" localSheetId="18" hidden="1">' АП П 5'!$A$1:$O$12</definedName>
    <definedName name="Z_001F394D_7E32_49E0_9108_A9790B233A9D_.wvu.PrintArea" localSheetId="4" hidden="1">'А П 1 '!$A$1:$O$407</definedName>
    <definedName name="Z_001F394D_7E32_49E0_9108_A9790B233A9D_.wvu.PrintArea" localSheetId="7" hidden="1">'А П 2'!$A$1:$O$366</definedName>
    <definedName name="Z_001F394D_7E32_49E0_9108_A9790B233A9D_.wvu.PrintArea" localSheetId="12" hidden="1">'А П 3'!$A$1:$O$1036</definedName>
    <definedName name="Z_001F394D_7E32_49E0_9108_A9790B233A9D_.wvu.PrintArea" localSheetId="21" hidden="1">'АП П 6'!$A$1:$O$8</definedName>
    <definedName name="Z_001F394D_7E32_49E0_9108_A9790B233A9D_.wvu.PrintArea" localSheetId="15" hidden="1">'МП 4'!$A$1:$M$42</definedName>
    <definedName name="Z_001F394D_7E32_49E0_9108_A9790B233A9D_.wvu.PrintArea" localSheetId="17" hidden="1">'МП 5'!$A$1:$M$10</definedName>
    <definedName name="Z_001F394D_7E32_49E0_9108_A9790B233A9D_.wvu.PrintArea" localSheetId="20" hidden="1">'МП 6'!$A$1:$M$17</definedName>
    <definedName name="Z_001F394D_7E32_49E0_9108_A9790B233A9D_.wvu.PrintArea" localSheetId="0" hidden="1">'П ГОСПРОГРАММЫ'!$A$1:$M$19</definedName>
    <definedName name="Z_001F394D_7E32_49E0_9108_A9790B233A9D_.wvu.PrintArea" localSheetId="1" hidden="1">'ПЛАНИРУЕМЫ ПОКАЗ'!$A$1:$K$38</definedName>
    <definedName name="Z_001F394D_7E32_49E0_9108_A9790B233A9D_.wvu.PrintArea" localSheetId="9" hidden="1">'ПМ П 3'!$A$1:$M$66</definedName>
    <definedName name="Z_001F394D_7E32_49E0_9108_A9790B233A9D_.wvu.PrintArea" localSheetId="3" hidden="1">'ПМ П1'!$A$1:$M$28</definedName>
    <definedName name="Z_001F394D_7E32_49E0_9108_A9790B233A9D_.wvu.PrintArea" localSheetId="6" hidden="1">'ПМ П2'!$A$1:$M$46</definedName>
    <definedName name="Z_001F394D_7E32_49E0_9108_A9790B233A9D_.wvu.PrintArea" localSheetId="27" hidden="1">'ПМ П8'!$A$1:$M$34</definedName>
    <definedName name="Z_001F394D_7E32_49E0_9108_A9790B233A9D_.wvu.PrintArea" localSheetId="2" hidden="1">'ПП 1'!$A$1:$K$9</definedName>
    <definedName name="Z_001F394D_7E32_49E0_9108_A9790B233A9D_.wvu.PrintArea" localSheetId="5" hidden="1">'ПП 2'!$A$1:$K$11</definedName>
    <definedName name="Z_001F394D_7E32_49E0_9108_A9790B233A9D_.wvu.PrintArea" localSheetId="8" hidden="1">'ПП 3'!$A$1:$K$17</definedName>
    <definedName name="Z_001F394D_7E32_49E0_9108_A9790B233A9D_.wvu.PrintArea" localSheetId="24" hidden="1">'ПП 8'!$A$1:$K$10</definedName>
    <definedName name="Z_001F394D_7E32_49E0_9108_A9790B233A9D_.wvu.PrintArea" localSheetId="13" hidden="1">РМВГ!$A$1:$L$526</definedName>
    <definedName name="Z_001F394D_7E32_49E0_9108_A9790B233A9D_.wvu.PrintTitles" localSheetId="15" hidden="1">'МП 4'!$1:$4</definedName>
    <definedName name="Z_001F394D_7E32_49E0_9108_A9790B233A9D_.wvu.Rows" localSheetId="4" hidden="1">'А П 1 '!$76:$77</definedName>
    <definedName name="Z_001F394D_7E32_49E0_9108_A9790B233A9D_.wvu.Rows" localSheetId="7" hidden="1">'А П 2'!$55:$56</definedName>
    <definedName name="Z_001F394D_7E32_49E0_9108_A9790B233A9D_.wvu.Rows" localSheetId="12" hidden="1">'А П 3'!$166:$166</definedName>
    <definedName name="Z_001F394D_7E32_49E0_9108_A9790B233A9D_.wvu.Rows" localSheetId="9" hidden="1">'ПМ П 3'!$97:$104</definedName>
    <definedName name="Z_001F394D_7E32_49E0_9108_A9790B233A9D_.wvu.Rows" localSheetId="3" hidden="1">'ПМ П1'!$79:$86</definedName>
    <definedName name="Z_001F394D_7E32_49E0_9108_A9790B233A9D_.wvu.Rows" localSheetId="6" hidden="1">'ПМ П2'!$75:$82</definedName>
    <definedName name="Z_001F394D_7E32_49E0_9108_A9790B233A9D_.wvu.Rows" localSheetId="13" hidden="1">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definedName>
    <definedName name="Z_59B616A4_9A3A_4128_9547_E9E1EB6ED962_.wvu.FilterData" localSheetId="9" hidden="1">'ПМ П 3'!$A$4:$AL$64</definedName>
    <definedName name="Z_5E5DA2CE_671C_46D3_9C6C_7FD22D418F34_.wvu.FilterData" localSheetId="9" hidden="1">'ПМ П 3'!$A$4:$AL$64</definedName>
    <definedName name="Z_6592EBC0_D945_4F6F_93D1_49FCB588A4A0_.wvu.Cols" localSheetId="13" hidden="1">РМВГ!$C:$E</definedName>
    <definedName name="Z_6592EBC0_D945_4F6F_93D1_49FCB588A4A0_.wvu.FilterData" localSheetId="9" hidden="1">'ПМ П 3'!$A$4:$AL$64</definedName>
    <definedName name="Z_6592EBC0_D945_4F6F_93D1_49FCB588A4A0_.wvu.PrintArea" localSheetId="18" hidden="1">' АП П 5'!$A$1:$O$12</definedName>
    <definedName name="Z_6592EBC0_D945_4F6F_93D1_49FCB588A4A0_.wvu.PrintArea" localSheetId="4" hidden="1">'А П 1 '!$A$1:$O$407</definedName>
    <definedName name="Z_6592EBC0_D945_4F6F_93D1_49FCB588A4A0_.wvu.PrintArea" localSheetId="12" hidden="1">'А П 3'!$A$1:$O$1014</definedName>
    <definedName name="Z_6592EBC0_D945_4F6F_93D1_49FCB588A4A0_.wvu.PrintArea" localSheetId="21" hidden="1">'АП П 6'!$A$1:$O$8</definedName>
    <definedName name="Z_6592EBC0_D945_4F6F_93D1_49FCB588A4A0_.wvu.PrintArea" localSheetId="15" hidden="1">'МП 4'!$A$1:$M$42</definedName>
    <definedName name="Z_6592EBC0_D945_4F6F_93D1_49FCB588A4A0_.wvu.PrintArea" localSheetId="17" hidden="1">'МП 5'!$A$1:$M$10</definedName>
    <definedName name="Z_6592EBC0_D945_4F6F_93D1_49FCB588A4A0_.wvu.PrintArea" localSheetId="20" hidden="1">'МП 6'!$A$1:$M$17</definedName>
    <definedName name="Z_6592EBC0_D945_4F6F_93D1_49FCB588A4A0_.wvu.PrintArea" localSheetId="0" hidden="1">'П ГОСПРОГРАММЫ'!$A$1:$M$19</definedName>
    <definedName name="Z_6592EBC0_D945_4F6F_93D1_49FCB588A4A0_.wvu.PrintArea" localSheetId="1" hidden="1">'ПЛАНИРУЕМЫ ПОКАЗ'!$A$1:$K$38</definedName>
    <definedName name="Z_6592EBC0_D945_4F6F_93D1_49FCB588A4A0_.wvu.PrintArea" localSheetId="9" hidden="1">'ПМ П 3'!$A$1:$M$66</definedName>
    <definedName name="Z_6592EBC0_D945_4F6F_93D1_49FCB588A4A0_.wvu.PrintArea" localSheetId="3" hidden="1">'ПМ П1'!$A$1:$M$28</definedName>
    <definedName name="Z_6592EBC0_D945_4F6F_93D1_49FCB588A4A0_.wvu.PrintArea" localSheetId="6" hidden="1">'ПМ П2'!$A$1:$M$46</definedName>
    <definedName name="Z_6592EBC0_D945_4F6F_93D1_49FCB588A4A0_.wvu.PrintArea" localSheetId="27" hidden="1">'ПМ П8'!$A$1:$M$34</definedName>
    <definedName name="Z_6592EBC0_D945_4F6F_93D1_49FCB588A4A0_.wvu.PrintArea" localSheetId="2" hidden="1">'ПП 1'!$A$1:$K$9</definedName>
    <definedName name="Z_6592EBC0_D945_4F6F_93D1_49FCB588A4A0_.wvu.PrintArea" localSheetId="5" hidden="1">'ПП 2'!$A$1:$K$11</definedName>
    <definedName name="Z_6592EBC0_D945_4F6F_93D1_49FCB588A4A0_.wvu.PrintArea" localSheetId="8" hidden="1">'ПП 3'!$A$1:$K$17</definedName>
    <definedName name="Z_6592EBC0_D945_4F6F_93D1_49FCB588A4A0_.wvu.PrintArea" localSheetId="24" hidden="1">'ПП 8'!$A$1:$K$10</definedName>
    <definedName name="Z_6592EBC0_D945_4F6F_93D1_49FCB588A4A0_.wvu.PrintArea" localSheetId="13" hidden="1">РМВГ!$A$1:$L$526</definedName>
    <definedName name="Z_6592EBC0_D945_4F6F_93D1_49FCB588A4A0_.wvu.PrintTitles" localSheetId="15" hidden="1">'МП 4'!$1:$4</definedName>
    <definedName name="Z_6592EBC0_D945_4F6F_93D1_49FCB588A4A0_.wvu.Rows" localSheetId="4" hidden="1">'А П 1 '!$76:$77</definedName>
    <definedName name="Z_6592EBC0_D945_4F6F_93D1_49FCB588A4A0_.wvu.Rows" localSheetId="7" hidden="1">'А П 2'!$55:$56</definedName>
    <definedName name="Z_6592EBC0_D945_4F6F_93D1_49FCB588A4A0_.wvu.Rows" localSheetId="12" hidden="1">'А П 3'!$166:$166</definedName>
    <definedName name="Z_6592EBC0_D945_4F6F_93D1_49FCB588A4A0_.wvu.Rows" localSheetId="9" hidden="1">'ПМ П 3'!$97:$104</definedName>
    <definedName name="Z_6592EBC0_D945_4F6F_93D1_49FCB588A4A0_.wvu.Rows" localSheetId="3" hidden="1">'ПМ П1'!$79:$86</definedName>
    <definedName name="Z_6592EBC0_D945_4F6F_93D1_49FCB588A4A0_.wvu.Rows" localSheetId="6" hidden="1">'ПМ П2'!$75:$82</definedName>
    <definedName name="Z_6592EBC0_D945_4F6F_93D1_49FCB588A4A0_.wvu.Rows" localSheetId="13" hidden="1">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definedName>
    <definedName name="Z_65BA6DC0_F6D7_4C57_884A_627C00256368_.wvu.FilterData" localSheetId="9" hidden="1">'ПМ П 3'!$A$4:$AL$64</definedName>
    <definedName name="Z_7DDEA387_EEC9_4633_99BE_C0D9299FB093_.wvu.Cols" localSheetId="13" hidden="1">РМВГ!$C:$E</definedName>
    <definedName name="Z_7DDEA387_EEC9_4633_99BE_C0D9299FB093_.wvu.FilterData" localSheetId="9" hidden="1">'ПМ П 3'!$A$4:$AL$64</definedName>
    <definedName name="Z_7DDEA387_EEC9_4633_99BE_C0D9299FB093_.wvu.PrintArea" localSheetId="18" hidden="1">' АП П 5'!$A$1:$O$12</definedName>
    <definedName name="Z_7DDEA387_EEC9_4633_99BE_C0D9299FB093_.wvu.PrintArea" localSheetId="4" hidden="1">'А П 1 '!$A$1:$O$407</definedName>
    <definedName name="Z_7DDEA387_EEC9_4633_99BE_C0D9299FB093_.wvu.PrintArea" localSheetId="7" hidden="1">'А П 2'!$A$1:$O$366</definedName>
    <definedName name="Z_7DDEA387_EEC9_4633_99BE_C0D9299FB093_.wvu.PrintArea" localSheetId="12" hidden="1">'А П 3'!$A$1:$O$1014</definedName>
    <definedName name="Z_7DDEA387_EEC9_4633_99BE_C0D9299FB093_.wvu.PrintArea" localSheetId="21" hidden="1">'АП П 6'!$A$1:$O$8</definedName>
    <definedName name="Z_7DDEA387_EEC9_4633_99BE_C0D9299FB093_.wvu.PrintArea" localSheetId="15" hidden="1">'МП 4'!$A$1:$M$42</definedName>
    <definedName name="Z_7DDEA387_EEC9_4633_99BE_C0D9299FB093_.wvu.PrintArea" localSheetId="17" hidden="1">'МП 5'!$A$1:$M$10</definedName>
    <definedName name="Z_7DDEA387_EEC9_4633_99BE_C0D9299FB093_.wvu.PrintArea" localSheetId="20" hidden="1">'МП 6'!$A$1:$M$17</definedName>
    <definedName name="Z_7DDEA387_EEC9_4633_99BE_C0D9299FB093_.wvu.PrintArea" localSheetId="0" hidden="1">'П ГОСПРОГРАММЫ'!$A$1:$M$19</definedName>
    <definedName name="Z_7DDEA387_EEC9_4633_99BE_C0D9299FB093_.wvu.PrintArea" localSheetId="1" hidden="1">'ПЛАНИРУЕМЫ ПОКАЗ'!$A$1:$K$38</definedName>
    <definedName name="Z_7DDEA387_EEC9_4633_99BE_C0D9299FB093_.wvu.PrintArea" localSheetId="9" hidden="1">'ПМ П 3'!$A$1:$M$66</definedName>
    <definedName name="Z_7DDEA387_EEC9_4633_99BE_C0D9299FB093_.wvu.PrintArea" localSheetId="3" hidden="1">'ПМ П1'!$A$1:$M$28</definedName>
    <definedName name="Z_7DDEA387_EEC9_4633_99BE_C0D9299FB093_.wvu.PrintArea" localSheetId="6" hidden="1">'ПМ П2'!$A$1:$M$46</definedName>
    <definedName name="Z_7DDEA387_EEC9_4633_99BE_C0D9299FB093_.wvu.PrintArea" localSheetId="27" hidden="1">'ПМ П8'!$A$1:$M$34</definedName>
    <definedName name="Z_7DDEA387_EEC9_4633_99BE_C0D9299FB093_.wvu.PrintArea" localSheetId="2" hidden="1">'ПП 1'!$A$1:$K$9</definedName>
    <definedName name="Z_7DDEA387_EEC9_4633_99BE_C0D9299FB093_.wvu.PrintArea" localSheetId="5" hidden="1">'ПП 2'!$A$1:$K$11</definedName>
    <definedName name="Z_7DDEA387_EEC9_4633_99BE_C0D9299FB093_.wvu.PrintArea" localSheetId="8" hidden="1">'ПП 3'!$A$1:$K$17</definedName>
    <definedName name="Z_7DDEA387_EEC9_4633_99BE_C0D9299FB093_.wvu.PrintArea" localSheetId="24" hidden="1">'ПП 8'!$A$1:$K$10</definedName>
    <definedName name="Z_7DDEA387_EEC9_4633_99BE_C0D9299FB093_.wvu.PrintArea" localSheetId="13" hidden="1">РМВГ!$A$1:$L$526</definedName>
    <definedName name="Z_7DDEA387_EEC9_4633_99BE_C0D9299FB093_.wvu.PrintTitles" localSheetId="15" hidden="1">'МП 4'!$1:$4</definedName>
    <definedName name="Z_7DDEA387_EEC9_4633_99BE_C0D9299FB093_.wvu.Rows" localSheetId="4" hidden="1">'А П 1 '!$76:$77</definedName>
    <definedName name="Z_7DDEA387_EEC9_4633_99BE_C0D9299FB093_.wvu.Rows" localSheetId="7" hidden="1">'А П 2'!$55:$56</definedName>
    <definedName name="Z_7DDEA387_EEC9_4633_99BE_C0D9299FB093_.wvu.Rows" localSheetId="12" hidden="1">'А П 3'!$166:$166</definedName>
    <definedName name="Z_7DDEA387_EEC9_4633_99BE_C0D9299FB093_.wvu.Rows" localSheetId="9" hidden="1">'ПМ П 3'!$97:$104</definedName>
    <definedName name="Z_7DDEA387_EEC9_4633_99BE_C0D9299FB093_.wvu.Rows" localSheetId="3" hidden="1">'ПМ П1'!$79:$86</definedName>
    <definedName name="Z_7DDEA387_EEC9_4633_99BE_C0D9299FB093_.wvu.Rows" localSheetId="6" hidden="1">'ПМ П2'!$75:$82</definedName>
    <definedName name="Z_7DDEA387_EEC9_4633_99BE_C0D9299FB093_.wvu.Rows" localSheetId="13" hidden="1">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definedName>
    <definedName name="Z_85F3345E_2BF6_4388_B692_A0C23E1CE4EB_.wvu.FilterData" localSheetId="9" hidden="1">'ПМ П 3'!$A$4:$AL$64</definedName>
    <definedName name="Z_BCFBA1D7_5B51_4ECB_BB28_D26FDB13456E_.wvu.FilterData" localSheetId="9" hidden="1">'ПМ П 3'!$A$4:$AL$64</definedName>
    <definedName name="Z_BF55BA5F_91CD_4EDE_829E_6748430229AE_.wvu.FilterData" localSheetId="9" hidden="1">'ПМ П 3'!$A$4:$AL$64</definedName>
    <definedName name="Z_C2345D60_E5B6_48BF_B429_D03CBE44391C_.wvu.FilterData" localSheetId="9" hidden="1">'ПМ П 3'!$A$4:$AL$64</definedName>
    <definedName name="Z_D32E4BC6_6FD7_4441_855E_C6B8F80A132E_.wvu.Cols" localSheetId="13" hidden="1">РМВГ!$C:$E</definedName>
    <definedName name="Z_D32E4BC6_6FD7_4441_855E_C6B8F80A132E_.wvu.FilterData" localSheetId="9" hidden="1">'ПМ П 3'!$A$4:$AL$64</definedName>
    <definedName name="Z_D32E4BC6_6FD7_4441_855E_C6B8F80A132E_.wvu.PrintArea" localSheetId="18" hidden="1">' АП П 5'!$A$1:$O$12</definedName>
    <definedName name="Z_D32E4BC6_6FD7_4441_855E_C6B8F80A132E_.wvu.PrintArea" localSheetId="4" hidden="1">'А П 1 '!$A$1:$O$407</definedName>
    <definedName name="Z_D32E4BC6_6FD7_4441_855E_C6B8F80A132E_.wvu.PrintArea" localSheetId="7" hidden="1">'А П 2'!$A$1:$O$366</definedName>
    <definedName name="Z_D32E4BC6_6FD7_4441_855E_C6B8F80A132E_.wvu.PrintArea" localSheetId="12" hidden="1">'А П 3'!$A$1:$O$1039</definedName>
    <definedName name="Z_D32E4BC6_6FD7_4441_855E_C6B8F80A132E_.wvu.PrintArea" localSheetId="21" hidden="1">'АП П 6'!$A$1:$O$8</definedName>
    <definedName name="Z_D32E4BC6_6FD7_4441_855E_C6B8F80A132E_.wvu.PrintArea" localSheetId="15" hidden="1">'МП 4'!$A$1:$M$42</definedName>
    <definedName name="Z_D32E4BC6_6FD7_4441_855E_C6B8F80A132E_.wvu.PrintArea" localSheetId="17" hidden="1">'МП 5'!$A$1:$M$10</definedName>
    <definedName name="Z_D32E4BC6_6FD7_4441_855E_C6B8F80A132E_.wvu.PrintArea" localSheetId="20" hidden="1">'МП 6'!$A$1:$M$17</definedName>
    <definedName name="Z_D32E4BC6_6FD7_4441_855E_C6B8F80A132E_.wvu.PrintArea" localSheetId="0" hidden="1">'П ГОСПРОГРАММЫ'!$A$1:$M$19</definedName>
    <definedName name="Z_D32E4BC6_6FD7_4441_855E_C6B8F80A132E_.wvu.PrintArea" localSheetId="1" hidden="1">'ПЛАНИРУЕМЫ ПОКАЗ'!$A$1:$K$38</definedName>
    <definedName name="Z_D32E4BC6_6FD7_4441_855E_C6B8F80A132E_.wvu.PrintArea" localSheetId="9" hidden="1">'ПМ П 3'!$A$1:$M$66</definedName>
    <definedName name="Z_D32E4BC6_6FD7_4441_855E_C6B8F80A132E_.wvu.PrintArea" localSheetId="3" hidden="1">'ПМ П1'!$A$1:$M$28</definedName>
    <definedName name="Z_D32E4BC6_6FD7_4441_855E_C6B8F80A132E_.wvu.PrintArea" localSheetId="6" hidden="1">'ПМ П2'!$A$1:$M$46</definedName>
    <definedName name="Z_D32E4BC6_6FD7_4441_855E_C6B8F80A132E_.wvu.PrintArea" localSheetId="27" hidden="1">'ПМ П8'!$A$1:$M$34</definedName>
    <definedName name="Z_D32E4BC6_6FD7_4441_855E_C6B8F80A132E_.wvu.PrintArea" localSheetId="2" hidden="1">'ПП 1'!$A$1:$K$9</definedName>
    <definedName name="Z_D32E4BC6_6FD7_4441_855E_C6B8F80A132E_.wvu.PrintArea" localSheetId="5" hidden="1">'ПП 2'!$A$1:$K$11</definedName>
    <definedName name="Z_D32E4BC6_6FD7_4441_855E_C6B8F80A132E_.wvu.PrintArea" localSheetId="8" hidden="1">'ПП 3'!$A$1:$K$17</definedName>
    <definedName name="Z_D32E4BC6_6FD7_4441_855E_C6B8F80A132E_.wvu.PrintArea" localSheetId="24" hidden="1">'ПП 8'!$A$1:$K$10</definedName>
    <definedName name="Z_D32E4BC6_6FD7_4441_855E_C6B8F80A132E_.wvu.PrintArea" localSheetId="13" hidden="1">РМВГ!$A$1:$L$526</definedName>
    <definedName name="Z_D32E4BC6_6FD7_4441_855E_C6B8F80A132E_.wvu.PrintTitles" localSheetId="15" hidden="1">'МП 4'!$1:$4</definedName>
    <definedName name="Z_D32E4BC6_6FD7_4441_855E_C6B8F80A132E_.wvu.Rows" localSheetId="4" hidden="1">'А П 1 '!$76:$77</definedName>
    <definedName name="Z_D32E4BC6_6FD7_4441_855E_C6B8F80A132E_.wvu.Rows" localSheetId="7" hidden="1">'А П 2'!$55:$56</definedName>
    <definedName name="Z_D32E4BC6_6FD7_4441_855E_C6B8F80A132E_.wvu.Rows" localSheetId="12" hidden="1">'А П 3'!$166:$166</definedName>
    <definedName name="Z_D32E4BC6_6FD7_4441_855E_C6B8F80A132E_.wvu.Rows" localSheetId="9" hidden="1">'ПМ П 3'!$97:$104</definedName>
    <definedName name="Z_D32E4BC6_6FD7_4441_855E_C6B8F80A132E_.wvu.Rows" localSheetId="3" hidden="1">'ПМ П1'!$79:$86</definedName>
    <definedName name="Z_D32E4BC6_6FD7_4441_855E_C6B8F80A132E_.wvu.Rows" localSheetId="6" hidden="1">'ПМ П2'!$75:$82</definedName>
    <definedName name="Z_D32E4BC6_6FD7_4441_855E_C6B8F80A132E_.wvu.Rows" localSheetId="13" hidden="1">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definedName>
    <definedName name="Z_DCD9C191_F494_43B4_A1E8_52B432273813_.wvu.FilterData" localSheetId="9" hidden="1">'ПМ П 3'!$A$4:$AL$64</definedName>
    <definedName name="Z_F08E63B0_D6C4_4E18_B2B6_E1E751FE7DF2_.wvu.Cols" localSheetId="13" hidden="1">РМВГ!$C:$E</definedName>
    <definedName name="Z_F08E63B0_D6C4_4E18_B2B6_E1E751FE7DF2_.wvu.FilterData" localSheetId="9" hidden="1">'ПМ П 3'!$A$4:$AL$64</definedName>
    <definedName name="Z_F08E63B0_D6C4_4E18_B2B6_E1E751FE7DF2_.wvu.PrintArea" localSheetId="18" hidden="1">' АП П 5'!$A$1:$O$12</definedName>
    <definedName name="Z_F08E63B0_D6C4_4E18_B2B6_E1E751FE7DF2_.wvu.PrintArea" localSheetId="4" hidden="1">'А П 1 '!$A$1:$O$407</definedName>
    <definedName name="Z_F08E63B0_D6C4_4E18_B2B6_E1E751FE7DF2_.wvu.PrintArea" localSheetId="7" hidden="1">'А П 2'!$A$1:$O$366</definedName>
    <definedName name="Z_F08E63B0_D6C4_4E18_B2B6_E1E751FE7DF2_.wvu.PrintArea" localSheetId="12" hidden="1">'А П 3'!$A$1:$O$1036</definedName>
    <definedName name="Z_F08E63B0_D6C4_4E18_B2B6_E1E751FE7DF2_.wvu.PrintArea" localSheetId="21" hidden="1">'АП П 6'!$A$1:$O$8</definedName>
    <definedName name="Z_F08E63B0_D6C4_4E18_B2B6_E1E751FE7DF2_.wvu.PrintArea" localSheetId="15" hidden="1">'МП 4'!$A$1:$M$42</definedName>
    <definedName name="Z_F08E63B0_D6C4_4E18_B2B6_E1E751FE7DF2_.wvu.PrintArea" localSheetId="17" hidden="1">'МП 5'!$A$1:$M$10</definedName>
    <definedName name="Z_F08E63B0_D6C4_4E18_B2B6_E1E751FE7DF2_.wvu.PrintArea" localSheetId="20" hidden="1">'МП 6'!$A$1:$M$17</definedName>
    <definedName name="Z_F08E63B0_D6C4_4E18_B2B6_E1E751FE7DF2_.wvu.PrintArea" localSheetId="0" hidden="1">'П ГОСПРОГРАММЫ'!$A$1:$M$19</definedName>
    <definedName name="Z_F08E63B0_D6C4_4E18_B2B6_E1E751FE7DF2_.wvu.PrintArea" localSheetId="1" hidden="1">'ПЛАНИРУЕМЫ ПОКАЗ'!$A$1:$K$38</definedName>
    <definedName name="Z_F08E63B0_D6C4_4E18_B2B6_E1E751FE7DF2_.wvu.PrintArea" localSheetId="9" hidden="1">'ПМ П 3'!$A$1:$M$66</definedName>
    <definedName name="Z_F08E63B0_D6C4_4E18_B2B6_E1E751FE7DF2_.wvu.PrintArea" localSheetId="3" hidden="1">'ПМ П1'!$A$1:$M$28</definedName>
    <definedName name="Z_F08E63B0_D6C4_4E18_B2B6_E1E751FE7DF2_.wvu.PrintArea" localSheetId="6" hidden="1">'ПМ П2'!$A$1:$M$46</definedName>
    <definedName name="Z_F08E63B0_D6C4_4E18_B2B6_E1E751FE7DF2_.wvu.PrintArea" localSheetId="27" hidden="1">'ПМ П8'!$A$1:$M$34</definedName>
    <definedName name="Z_F08E63B0_D6C4_4E18_B2B6_E1E751FE7DF2_.wvu.PrintArea" localSheetId="2" hidden="1">'ПП 1'!$A$1:$K$9</definedName>
    <definedName name="Z_F08E63B0_D6C4_4E18_B2B6_E1E751FE7DF2_.wvu.PrintArea" localSheetId="5" hidden="1">'ПП 2'!$A$1:$K$11</definedName>
    <definedName name="Z_F08E63B0_D6C4_4E18_B2B6_E1E751FE7DF2_.wvu.PrintArea" localSheetId="8" hidden="1">'ПП 3'!$A$1:$K$17</definedName>
    <definedName name="Z_F08E63B0_D6C4_4E18_B2B6_E1E751FE7DF2_.wvu.PrintArea" localSheetId="24" hidden="1">'ПП 8'!$A$1:$K$10</definedName>
    <definedName name="Z_F08E63B0_D6C4_4E18_B2B6_E1E751FE7DF2_.wvu.PrintArea" localSheetId="13" hidden="1">РМВГ!$A$1:$L$526</definedName>
    <definedName name="Z_F08E63B0_D6C4_4E18_B2B6_E1E751FE7DF2_.wvu.PrintTitles" localSheetId="15" hidden="1">'МП 4'!$1:$4</definedName>
    <definedName name="Z_F08E63B0_D6C4_4E18_B2B6_E1E751FE7DF2_.wvu.Rows" localSheetId="4" hidden="1">'А П 1 '!$76:$77</definedName>
    <definedName name="Z_F08E63B0_D6C4_4E18_B2B6_E1E751FE7DF2_.wvu.Rows" localSheetId="7" hidden="1">'А П 2'!$55:$56</definedName>
    <definedName name="Z_F08E63B0_D6C4_4E18_B2B6_E1E751FE7DF2_.wvu.Rows" localSheetId="12" hidden="1">'А П 3'!$166:$166</definedName>
    <definedName name="Z_F08E63B0_D6C4_4E18_B2B6_E1E751FE7DF2_.wvu.Rows" localSheetId="9" hidden="1">'ПМ П 3'!$97:$104</definedName>
    <definedName name="Z_F08E63B0_D6C4_4E18_B2B6_E1E751FE7DF2_.wvu.Rows" localSheetId="3" hidden="1">'ПМ П1'!$79:$86</definedName>
    <definedName name="Z_F08E63B0_D6C4_4E18_B2B6_E1E751FE7DF2_.wvu.Rows" localSheetId="6" hidden="1">'ПМ П2'!$75:$82</definedName>
    <definedName name="Z_F08E63B0_D6C4_4E18_B2B6_E1E751FE7DF2_.wvu.Rows" localSheetId="13" hidden="1">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definedName>
    <definedName name="_xlnm.Print_Titles" localSheetId="15">'МП 4'!$1:$4</definedName>
    <definedName name="_xlnm.Print_Area" localSheetId="18">' АП П 5'!$A$1:$O$12</definedName>
    <definedName name="_xlnm.Print_Area" localSheetId="4">'А П 1 '!$A$1:$O$407</definedName>
    <definedName name="_xlnm.Print_Area" localSheetId="7">'А П 2'!$A$1:$O$366</definedName>
    <definedName name="_xlnm.Print_Area" localSheetId="12">'А П 3'!$A$1:$O$1014</definedName>
    <definedName name="_xlnm.Print_Area" localSheetId="21">'АП П 6'!$A$1:$O$8</definedName>
    <definedName name="_xlnm.Print_Area" localSheetId="15">'МП 4'!$A$1:$M$42</definedName>
    <definedName name="_xlnm.Print_Area" localSheetId="17">'МП 5'!$A$1:$M$10</definedName>
    <definedName name="_xlnm.Print_Area" localSheetId="20">'МП 6'!$A$1:$M$17</definedName>
    <definedName name="_xlnm.Print_Area" localSheetId="0">'П ГОСПРОГРАММЫ'!$A$1:$M$19</definedName>
    <definedName name="_xlnm.Print_Area" localSheetId="1">'ПЛАНИРУЕМЫ ПОКАЗ'!$A$1:$K$38</definedName>
    <definedName name="_xlnm.Print_Area" localSheetId="9">'ПМ П 3'!$A$1:$M$66</definedName>
    <definedName name="_xlnm.Print_Area" localSheetId="3">'ПМ П1'!$A$1:$M$28</definedName>
    <definedName name="_xlnm.Print_Area" localSheetId="6">'ПМ П2'!$A$1:$M$46</definedName>
    <definedName name="_xlnm.Print_Area" localSheetId="27">'ПМ П8'!$A$1:$M$34</definedName>
    <definedName name="_xlnm.Print_Area" localSheetId="2">'ПП 1'!$A$1:$K$9</definedName>
    <definedName name="_xlnm.Print_Area" localSheetId="5">'ПП 2'!$A$1:$K$11</definedName>
    <definedName name="_xlnm.Print_Area" localSheetId="8">'ПП 3'!$A$1:$K$17</definedName>
    <definedName name="_xlnm.Print_Area" localSheetId="24">'ПП 8'!$A$1:$K$10</definedName>
    <definedName name="_xlnm.Print_Area" localSheetId="13">РМВГ!$A$1:$L$526</definedName>
  </definedNames>
  <calcPr calcId="152511" fullPrecision="0"/>
  <customWorkbookViews>
    <customWorkbookView name="Соловьев Евгений Владиславович - Личное представление" guid="{7DDEA387-EEC9-4633-99BE-C0D9299FB093}" mergeInterval="0" personalView="1" maximized="1" xWindow="-9" yWindow="-9" windowWidth="1938" windowHeight="1050" tabRatio="882" activeSheetId="11"/>
    <customWorkbookView name="Шаврова Лилия Сергеевна - Личное представление" guid="{6592EBC0-D945-4F6F-93D1-49FCB588A4A0}" mergeInterval="0" personalView="1" maximized="1" xWindow="-8" yWindow="-8" windowWidth="1616" windowHeight="876" tabRatio="898" activeSheetId="11"/>
    <customWorkbookView name="Приемная ЖКХ - Личное представление" guid="{001F394D-7E32-49E0-9108-A9790B233A9D}" mergeInterval="0" personalView="1" maximized="1" xWindow="-8" yWindow="-8" windowWidth="1936" windowHeight="1056" tabRatio="882" activeSheetId="1"/>
    <customWorkbookView name="Конивцов Владимир Сергеевич - Личное представление" guid="{F08E63B0-D6C4-4E18-B2B6-E1E751FE7DF2}" mergeInterval="0" personalView="1" maximized="1" xWindow="-8" yWindow="-8" windowWidth="1936" windowHeight="1056" tabRatio="882" activeSheetId="11" showComments="commIndAndComment"/>
    <customWorkbookView name="Пахомова Ирина Владимировна - Личное представление" guid="{D32E4BC6-6FD7-4441-855E-C6B8F80A132E}" mergeInterval="0" personalView="1" maximized="1" xWindow="-8" yWindow="-8" windowWidth="1936" windowHeight="1056" tabRatio="882" activeSheetId="10"/>
  </customWorkbookViews>
</workbook>
</file>

<file path=xl/calcChain.xml><?xml version="1.0" encoding="utf-8"?>
<calcChain xmlns="http://schemas.openxmlformats.org/spreadsheetml/2006/main">
  <c r="I237" i="11" l="1"/>
  <c r="I236" i="11"/>
  <c r="P250" i="11"/>
  <c r="I250" i="11"/>
  <c r="I252" i="11"/>
  <c r="I251" i="11"/>
  <c r="Q250" i="11"/>
  <c r="H251" i="11"/>
  <c r="I235" i="11" l="1"/>
  <c r="H246" i="11"/>
  <c r="J248" i="11"/>
  <c r="K248" i="11"/>
  <c r="L248" i="11"/>
  <c r="M248" i="11"/>
  <c r="J249" i="11"/>
  <c r="K249" i="11"/>
  <c r="K247" i="11" s="1"/>
  <c r="L249" i="11"/>
  <c r="M249" i="11"/>
  <c r="M247" i="11" s="1"/>
  <c r="L247" i="11"/>
  <c r="J247" i="11" l="1"/>
  <c r="I50" i="11"/>
  <c r="P8" i="23" l="1"/>
  <c r="P9" i="23"/>
  <c r="P10" i="23"/>
  <c r="P7" i="23"/>
  <c r="P19" i="1"/>
  <c r="N19" i="1" l="1"/>
  <c r="O6" i="23"/>
  <c r="M8" i="13"/>
  <c r="M7" i="13"/>
  <c r="M6" i="9"/>
  <c r="N5" i="6"/>
  <c r="M5" i="3"/>
  <c r="M6" i="3"/>
  <c r="P6" i="23" l="1"/>
  <c r="O5" i="23" l="1"/>
  <c r="P5" i="23"/>
  <c r="F5" i="23"/>
  <c r="L6" i="13"/>
  <c r="D6" i="13"/>
  <c r="M6" i="13"/>
  <c r="M5" i="9"/>
  <c r="M23" i="9" s="1"/>
  <c r="I158" i="11" l="1"/>
  <c r="I157" i="11"/>
  <c r="I152" i="11"/>
  <c r="I151" i="11"/>
  <c r="H152" i="11" l="1"/>
  <c r="H158" i="11"/>
  <c r="H155" i="11" s="1"/>
  <c r="H157" i="11"/>
  <c r="H154" i="11" s="1"/>
  <c r="I156" i="11"/>
  <c r="F156" i="11"/>
  <c r="I155" i="11"/>
  <c r="I154" i="11"/>
  <c r="I153" i="11" l="1"/>
  <c r="H153" i="11"/>
  <c r="H156" i="11"/>
  <c r="I150" i="11"/>
  <c r="I148" i="11"/>
  <c r="H937" i="11" l="1"/>
  <c r="H936" i="11"/>
  <c r="H952" i="11"/>
  <c r="G952" i="11" s="1"/>
  <c r="H951" i="11"/>
  <c r="G951" i="11" s="1"/>
  <c r="L950" i="11"/>
  <c r="K950" i="11"/>
  <c r="J950" i="11"/>
  <c r="I950" i="11"/>
  <c r="G955" i="11"/>
  <c r="G954" i="11"/>
  <c r="L953" i="11"/>
  <c r="K953" i="11"/>
  <c r="J953" i="11"/>
  <c r="I953" i="11"/>
  <c r="H953" i="11"/>
  <c r="G967" i="11"/>
  <c r="G966" i="11"/>
  <c r="G961" i="11"/>
  <c r="G960" i="11"/>
  <c r="G910" i="11"/>
  <c r="G909" i="11"/>
  <c r="G913" i="11"/>
  <c r="G912" i="11"/>
  <c r="G916" i="11"/>
  <c r="G915" i="11"/>
  <c r="G919" i="11"/>
  <c r="G918" i="11"/>
  <c r="G928" i="11"/>
  <c r="G927" i="11"/>
  <c r="G925" i="11"/>
  <c r="G924" i="11"/>
  <c r="G934" i="11"/>
  <c r="G933" i="11"/>
  <c r="H943" i="11"/>
  <c r="G943" i="11" s="1"/>
  <c r="G949" i="11"/>
  <c r="G948" i="11"/>
  <c r="H942" i="11"/>
  <c r="G942" i="11" s="1"/>
  <c r="L947" i="11"/>
  <c r="K947" i="11"/>
  <c r="J947" i="11"/>
  <c r="I947" i="11"/>
  <c r="H947" i="11"/>
  <c r="L941" i="11"/>
  <c r="K941" i="11"/>
  <c r="J941" i="11"/>
  <c r="I941" i="11"/>
  <c r="G946" i="11"/>
  <c r="G945" i="11"/>
  <c r="H944" i="11"/>
  <c r="H743" i="11"/>
  <c r="H663" i="11"/>
  <c r="J107" i="8"/>
  <c r="H941" i="11" l="1"/>
  <c r="G944" i="11"/>
  <c r="G947" i="11"/>
  <c r="G941" i="11"/>
  <c r="G950" i="11"/>
  <c r="G953" i="11"/>
  <c r="H950" i="11"/>
  <c r="H149" i="11"/>
  <c r="H151" i="11"/>
  <c r="F150" i="11"/>
  <c r="I149" i="11"/>
  <c r="I147" i="11" s="1"/>
  <c r="N7" i="19"/>
  <c r="I5" i="20"/>
  <c r="O11" i="19"/>
  <c r="P11" i="19"/>
  <c r="Q11" i="19"/>
  <c r="R11" i="19"/>
  <c r="N11" i="19"/>
  <c r="O9" i="19"/>
  <c r="P9" i="19"/>
  <c r="Q9" i="19"/>
  <c r="R9" i="19"/>
  <c r="N9" i="19"/>
  <c r="O7" i="19"/>
  <c r="P7" i="19"/>
  <c r="Q7" i="19"/>
  <c r="R7" i="19"/>
  <c r="S7" i="19"/>
  <c r="G7" i="18"/>
  <c r="G17" i="24"/>
  <c r="H150" i="11" l="1"/>
  <c r="H148" i="11"/>
  <c r="H147" i="11" s="1"/>
  <c r="H657" i="11"/>
  <c r="I415" i="11"/>
  <c r="I869" i="11"/>
  <c r="I870" i="11" l="1"/>
  <c r="J870" i="11"/>
  <c r="K870" i="11"/>
  <c r="L870" i="11"/>
  <c r="J869" i="11"/>
  <c r="K869" i="11"/>
  <c r="L869" i="11"/>
  <c r="H870" i="11"/>
  <c r="H869" i="11"/>
  <c r="H874" i="11"/>
  <c r="I874" i="11"/>
  <c r="J874" i="11"/>
  <c r="K874" i="11"/>
  <c r="L874" i="11"/>
  <c r="G876" i="11"/>
  <c r="G875" i="11"/>
  <c r="G874" i="11" l="1"/>
  <c r="H6" i="24"/>
  <c r="I6" i="24"/>
  <c r="J6" i="24"/>
  <c r="K6" i="24"/>
  <c r="I171" i="5" l="1"/>
  <c r="G13" i="9"/>
  <c r="H13" i="9"/>
  <c r="I13" i="9"/>
  <c r="J13" i="9"/>
  <c r="X48" i="10" l="1"/>
  <c r="X47" i="10"/>
  <c r="H646" i="11" l="1"/>
  <c r="H738" i="11" l="1"/>
  <c r="H642" i="11"/>
  <c r="I371" i="5" l="1"/>
  <c r="I290" i="11"/>
  <c r="I291" i="11"/>
  <c r="H291" i="11" s="1"/>
  <c r="H293" i="11"/>
  <c r="I292" i="11" l="1"/>
  <c r="H294" i="11"/>
  <c r="H292" i="11" s="1"/>
  <c r="I289" i="11" l="1"/>
  <c r="J8" i="6" l="1"/>
  <c r="N198" i="8"/>
  <c r="J115" i="8" l="1"/>
  <c r="I238" i="8"/>
  <c r="H246" i="8"/>
  <c r="G45" i="7"/>
  <c r="F45" i="7" s="1"/>
  <c r="F44" i="7" s="1"/>
  <c r="J116" i="8"/>
  <c r="I179" i="8"/>
  <c r="I158" i="8"/>
  <c r="K45" i="7"/>
  <c r="J45" i="7"/>
  <c r="I45" i="7"/>
  <c r="H45" i="7"/>
  <c r="K44" i="7"/>
  <c r="J44" i="7"/>
  <c r="I44" i="7"/>
  <c r="H44" i="7"/>
  <c r="G44" i="7" l="1"/>
  <c r="M1033" i="11" l="1"/>
  <c r="M1032" i="11" s="1"/>
  <c r="M1031" i="11" s="1"/>
  <c r="L1033" i="11"/>
  <c r="L1032" i="11" s="1"/>
  <c r="L1031" i="11" s="1"/>
  <c r="K1033" i="11"/>
  <c r="K1032" i="11" s="1"/>
  <c r="K1031" i="11" s="1"/>
  <c r="J1033" i="11"/>
  <c r="J1032" i="11" s="1"/>
  <c r="J1031" i="11" s="1"/>
  <c r="M1029" i="11"/>
  <c r="M1028" i="11" s="1"/>
  <c r="M1027" i="11" s="1"/>
  <c r="L1029" i="11"/>
  <c r="L1028" i="11" s="1"/>
  <c r="L1027" i="11" s="1"/>
  <c r="K1029" i="11"/>
  <c r="K1028" i="11" s="1"/>
  <c r="K1027" i="11" s="1"/>
  <c r="J1029" i="11"/>
  <c r="J1028" i="11" s="1"/>
  <c r="J1027" i="11" s="1"/>
  <c r="M1025" i="11"/>
  <c r="L1025" i="11"/>
  <c r="K1025" i="11"/>
  <c r="K1024" i="11" s="1"/>
  <c r="K1023" i="11" s="1"/>
  <c r="J1025" i="11"/>
  <c r="J1024" i="11" s="1"/>
  <c r="J1023" i="11" s="1"/>
  <c r="M1024" i="11"/>
  <c r="M1023" i="11" s="1"/>
  <c r="L1024" i="11"/>
  <c r="L1023" i="11" s="1"/>
  <c r="I1024" i="11"/>
  <c r="I1023" i="11" s="1"/>
  <c r="I1025" i="11"/>
  <c r="H1026" i="11"/>
  <c r="I1027" i="11"/>
  <c r="H1028" i="11"/>
  <c r="H1027" i="11" s="1"/>
  <c r="I1029" i="11"/>
  <c r="H1030" i="11"/>
  <c r="H1029" i="11" s="1"/>
  <c r="I1031" i="11"/>
  <c r="H1032" i="11"/>
  <c r="H1031" i="11" s="1"/>
  <c r="I1033" i="11"/>
  <c r="H1034" i="11"/>
  <c r="H1033" i="11" s="1"/>
  <c r="W420" i="5"/>
  <c r="O454" i="11"/>
  <c r="I449" i="11"/>
  <c r="I386" i="11"/>
  <c r="H1024" i="11" l="1"/>
  <c r="H1023" i="11" s="1"/>
  <c r="H1025" i="11"/>
  <c r="I1036" i="11"/>
  <c r="I1035" i="11" s="1"/>
  <c r="H976" i="11" l="1"/>
  <c r="G976" i="11" s="1"/>
  <c r="H975" i="11"/>
  <c r="G975" i="11" s="1"/>
  <c r="G49" i="10" s="1"/>
  <c r="G982" i="11"/>
  <c r="G981" i="11"/>
  <c r="H980" i="11"/>
  <c r="G979" i="11"/>
  <c r="G978" i="11"/>
  <c r="H977" i="11"/>
  <c r="M975" i="11"/>
  <c r="L974" i="11"/>
  <c r="K974" i="11"/>
  <c r="J974" i="11"/>
  <c r="I974" i="11"/>
  <c r="F49" i="10" l="1"/>
  <c r="F13" i="9"/>
  <c r="X49" i="10"/>
  <c r="H974" i="11"/>
  <c r="G977" i="11"/>
  <c r="G980" i="11"/>
  <c r="G974" i="11"/>
  <c r="I168" i="5"/>
  <c r="H168" i="5" s="1"/>
  <c r="I195" i="5"/>
  <c r="K13" i="9" l="1"/>
  <c r="N13" i="9" s="1"/>
  <c r="F161" i="11"/>
  <c r="I96" i="11"/>
  <c r="I95" i="11"/>
  <c r="I93" i="11" s="1"/>
  <c r="F122" i="11"/>
  <c r="Y988" i="11" l="1"/>
  <c r="X988" i="11"/>
  <c r="W988" i="11"/>
  <c r="Y901" i="11"/>
  <c r="X901" i="11"/>
  <c r="W901" i="11"/>
  <c r="AA834" i="11"/>
  <c r="Z834" i="11"/>
  <c r="Y834" i="11"/>
  <c r="X834" i="11"/>
  <c r="W834" i="11"/>
  <c r="Z745" i="11"/>
  <c r="Y745" i="11"/>
  <c r="X745" i="11"/>
  <c r="W745" i="11"/>
  <c r="Z451" i="11"/>
  <c r="Y451" i="11"/>
  <c r="X451" i="11"/>
  <c r="W451" i="11"/>
  <c r="X296" i="11"/>
  <c r="H739" i="11"/>
  <c r="H643" i="11"/>
  <c r="I242" i="8"/>
  <c r="I105" i="8"/>
  <c r="I106" i="8"/>
  <c r="I129" i="8"/>
  <c r="I131" i="8"/>
  <c r="I182" i="5"/>
  <c r="I183" i="5"/>
  <c r="I181" i="5" s="1"/>
  <c r="H180" i="5"/>
  <c r="I179" i="5"/>
  <c r="I177" i="5" s="1"/>
  <c r="I175" i="5"/>
  <c r="I176" i="5"/>
  <c r="I169" i="5"/>
  <c r="H172" i="5"/>
  <c r="G7" i="24"/>
  <c r="AB321" i="11"/>
  <c r="AA321" i="11"/>
  <c r="Z321" i="11"/>
  <c r="Y321" i="11"/>
  <c r="X321" i="11"/>
  <c r="W321" i="11"/>
  <c r="AA296" i="11"/>
  <c r="Z296" i="11"/>
  <c r="Y296" i="11"/>
  <c r="W296" i="11"/>
  <c r="AA210" i="11"/>
  <c r="Z210" i="11"/>
  <c r="Y210" i="11"/>
  <c r="X210" i="11"/>
  <c r="W210" i="11"/>
  <c r="AA160" i="11"/>
  <c r="Z160" i="11"/>
  <c r="Y160" i="11"/>
  <c r="W160" i="11"/>
  <c r="X160" i="11"/>
  <c r="F392" i="5"/>
  <c r="F390" i="5" s="1"/>
  <c r="H509" i="11" l="1"/>
  <c r="F93" i="5" l="1"/>
  <c r="F90" i="5"/>
  <c r="F87" i="5"/>
  <c r="F400" i="11"/>
  <c r="E381" i="11"/>
  <c r="F381" i="11"/>
  <c r="X191" i="8"/>
  <c r="W314" i="8"/>
  <c r="X314" i="8"/>
  <c r="Y314" i="8"/>
  <c r="Z314" i="8"/>
  <c r="Y295" i="8"/>
  <c r="Z295" i="8"/>
  <c r="AA295" i="8"/>
  <c r="X295" i="8"/>
  <c r="W295" i="8"/>
  <c r="X276" i="8"/>
  <c r="Y276" i="8"/>
  <c r="Z276" i="8"/>
  <c r="W276" i="8"/>
  <c r="J350" i="11"/>
  <c r="Y191" i="8"/>
  <c r="Z191" i="8"/>
  <c r="W191" i="8"/>
  <c r="Y109" i="8"/>
  <c r="Z109" i="8"/>
  <c r="W109" i="8"/>
  <c r="X109" i="8"/>
  <c r="X391" i="5"/>
  <c r="Y391" i="5"/>
  <c r="W391" i="5"/>
  <c r="F380" i="11"/>
  <c r="F377" i="11" s="1"/>
  <c r="H33" i="10"/>
  <c r="R7" i="5"/>
  <c r="X71" i="5"/>
  <c r="Y71" i="5"/>
  <c r="Z71" i="5"/>
  <c r="AA71" i="5"/>
  <c r="W71" i="5"/>
  <c r="I206" i="5" l="1"/>
  <c r="I207" i="5"/>
  <c r="I384" i="5"/>
  <c r="I383" i="5"/>
  <c r="M387" i="5"/>
  <c r="M386" i="5" s="1"/>
  <c r="M385" i="5" s="1"/>
  <c r="L387" i="5"/>
  <c r="L386" i="5" s="1"/>
  <c r="L385" i="5" s="1"/>
  <c r="K387" i="5"/>
  <c r="J385" i="5"/>
  <c r="I385" i="5"/>
  <c r="J382" i="5"/>
  <c r="G6" i="14"/>
  <c r="I382" i="5" l="1"/>
  <c r="H387" i="5"/>
  <c r="H384" i="5" s="1"/>
  <c r="K386" i="5"/>
  <c r="H987" i="11"/>
  <c r="H986" i="11"/>
  <c r="I190" i="8"/>
  <c r="H107" i="8"/>
  <c r="I103" i="8"/>
  <c r="H106" i="8"/>
  <c r="F162" i="11"/>
  <c r="F160" i="11" s="1"/>
  <c r="I136" i="11"/>
  <c r="I137" i="11"/>
  <c r="I138" i="11"/>
  <c r="K138" i="11"/>
  <c r="F144" i="11"/>
  <c r="I135" i="11" l="1"/>
  <c r="H386" i="5"/>
  <c r="K385" i="5"/>
  <c r="I102" i="8"/>
  <c r="I229" i="11"/>
  <c r="G6" i="24"/>
  <c r="H651" i="11"/>
  <c r="J335" i="8"/>
  <c r="H102" i="8" l="1"/>
  <c r="I111" i="8"/>
  <c r="H385" i="5"/>
  <c r="H383" i="5"/>
  <c r="H382" i="5" s="1"/>
  <c r="O455" i="11"/>
  <c r="O450" i="11" s="1"/>
  <c r="J211" i="11"/>
  <c r="J198" i="8"/>
  <c r="G15" i="7" l="1"/>
  <c r="F15" i="7" s="1"/>
  <c r="H111" i="8"/>
  <c r="N195" i="8"/>
  <c r="M113" i="8"/>
  <c r="I381" i="5" l="1"/>
  <c r="I380" i="5"/>
  <c r="J682" i="11"/>
  <c r="J681" i="11"/>
  <c r="J680" i="11" s="1"/>
  <c r="J678" i="11"/>
  <c r="I157" i="8" l="1"/>
  <c r="I198" i="8" s="1"/>
  <c r="K312" i="8" l="1"/>
  <c r="K311" i="8" s="1"/>
  <c r="J312" i="8"/>
  <c r="M311" i="8"/>
  <c r="L311" i="8"/>
  <c r="F311" i="8"/>
  <c r="H312" i="8" l="1"/>
  <c r="H311" i="8" s="1"/>
  <c r="J311" i="8"/>
  <c r="H970" i="11" l="1"/>
  <c r="G970" i="11" s="1"/>
  <c r="H969" i="11"/>
  <c r="G969" i="11" s="1"/>
  <c r="G973" i="11"/>
  <c r="G972" i="11"/>
  <c r="H971" i="11"/>
  <c r="G940" i="11"/>
  <c r="G939" i="11"/>
  <c r="I194" i="5"/>
  <c r="I205" i="5"/>
  <c r="G971" i="11" l="1"/>
  <c r="G968" i="11"/>
  <c r="H968" i="11"/>
  <c r="H299" i="5"/>
  <c r="L198" i="8" l="1"/>
  <c r="F194" i="8"/>
  <c r="F192" i="8"/>
  <c r="H190" i="8"/>
  <c r="K189" i="8"/>
  <c r="K186" i="8" s="1"/>
  <c r="J189" i="8"/>
  <c r="J186" i="8" s="1"/>
  <c r="I189" i="8"/>
  <c r="K188" i="8"/>
  <c r="K185" i="8" s="1"/>
  <c r="J188" i="8"/>
  <c r="J185" i="8" s="1"/>
  <c r="I188" i="8"/>
  <c r="M187" i="8"/>
  <c r="L187" i="8"/>
  <c r="F187" i="8"/>
  <c r="M186" i="8"/>
  <c r="L186" i="8"/>
  <c r="M185" i="8"/>
  <c r="L185" i="8"/>
  <c r="I185" i="8"/>
  <c r="H183" i="8"/>
  <c r="H182" i="8"/>
  <c r="M181" i="8"/>
  <c r="L181" i="8"/>
  <c r="K181" i="8"/>
  <c r="J181" i="8"/>
  <c r="I181" i="8"/>
  <c r="F181" i="8"/>
  <c r="M180" i="8"/>
  <c r="L180" i="8"/>
  <c r="K180" i="8"/>
  <c r="J180" i="8"/>
  <c r="I180" i="8"/>
  <c r="M179" i="8"/>
  <c r="L179" i="8"/>
  <c r="K179" i="8"/>
  <c r="J179" i="8"/>
  <c r="H177" i="8"/>
  <c r="H176" i="8"/>
  <c r="M175" i="8"/>
  <c r="L175" i="8"/>
  <c r="K175" i="8"/>
  <c r="J175" i="8"/>
  <c r="I175" i="8"/>
  <c r="F175" i="8"/>
  <c r="M174" i="8"/>
  <c r="L174" i="8"/>
  <c r="K174" i="8"/>
  <c r="J174" i="8"/>
  <c r="I174" i="8"/>
  <c r="M173" i="8"/>
  <c r="L173" i="8"/>
  <c r="K173" i="8"/>
  <c r="J173" i="8"/>
  <c r="I173" i="8"/>
  <c r="J171" i="8"/>
  <c r="I171" i="8"/>
  <c r="I199" i="8" s="1"/>
  <c r="J170" i="8"/>
  <c r="J169" i="8" s="1"/>
  <c r="I170" i="8"/>
  <c r="M169" i="8"/>
  <c r="L169" i="8"/>
  <c r="K169" i="8"/>
  <c r="F169" i="8"/>
  <c r="H168" i="8"/>
  <c r="H167" i="8"/>
  <c r="F167" i="8"/>
  <c r="H166" i="8"/>
  <c r="M165" i="8"/>
  <c r="L165" i="8"/>
  <c r="K165" i="8"/>
  <c r="J165" i="8"/>
  <c r="I165" i="8"/>
  <c r="F165" i="8"/>
  <c r="H164" i="8"/>
  <c r="H163" i="8"/>
  <c r="M162" i="8"/>
  <c r="L162" i="8"/>
  <c r="K162" i="8"/>
  <c r="J162" i="8"/>
  <c r="I162" i="8"/>
  <c r="F162" i="8"/>
  <c r="H161" i="8"/>
  <c r="F161" i="8"/>
  <c r="H160" i="8"/>
  <c r="M159" i="8"/>
  <c r="L159" i="8"/>
  <c r="K159" i="8"/>
  <c r="J159" i="8"/>
  <c r="I159" i="8"/>
  <c r="F159" i="8"/>
  <c r="M158" i="8"/>
  <c r="L158" i="8"/>
  <c r="L199" i="8" s="1"/>
  <c r="K158" i="8"/>
  <c r="K199" i="8" s="1"/>
  <c r="J158" i="8"/>
  <c r="M157" i="8"/>
  <c r="M156" i="8" s="1"/>
  <c r="M105" i="8" s="1"/>
  <c r="L157" i="8"/>
  <c r="K157" i="8"/>
  <c r="J157" i="8"/>
  <c r="H155" i="8"/>
  <c r="H154" i="8"/>
  <c r="M153" i="8"/>
  <c r="L153" i="8"/>
  <c r="K153" i="8"/>
  <c r="J153" i="8"/>
  <c r="I153" i="8"/>
  <c r="F153" i="8"/>
  <c r="M152" i="8"/>
  <c r="L152" i="8"/>
  <c r="K152" i="8"/>
  <c r="J152" i="8"/>
  <c r="I152" i="8"/>
  <c r="M151" i="8"/>
  <c r="L151" i="8"/>
  <c r="K151" i="8"/>
  <c r="J151" i="8"/>
  <c r="I151" i="8"/>
  <c r="H149" i="8"/>
  <c r="H148" i="8"/>
  <c r="M147" i="8"/>
  <c r="L147" i="8"/>
  <c r="K147" i="8"/>
  <c r="J147" i="8"/>
  <c r="I147" i="8"/>
  <c r="F147" i="8"/>
  <c r="M146" i="8"/>
  <c r="L146" i="8"/>
  <c r="K146" i="8"/>
  <c r="J146" i="8"/>
  <c r="I146" i="8"/>
  <c r="M145" i="8"/>
  <c r="L145" i="8"/>
  <c r="K145" i="8"/>
  <c r="J145" i="8"/>
  <c r="I145" i="8"/>
  <c r="H143" i="8"/>
  <c r="I142" i="8"/>
  <c r="I141" i="8"/>
  <c r="M140" i="8"/>
  <c r="M91" i="8" s="1"/>
  <c r="L140" i="8"/>
  <c r="K140" i="8"/>
  <c r="J140" i="8"/>
  <c r="F140" i="8"/>
  <c r="I139" i="8"/>
  <c r="M138" i="8"/>
  <c r="L138" i="8"/>
  <c r="K138" i="8"/>
  <c r="J138" i="8"/>
  <c r="M137" i="8"/>
  <c r="L137" i="8"/>
  <c r="L136" i="8" s="1"/>
  <c r="K137" i="8"/>
  <c r="K136" i="8" s="1"/>
  <c r="J137" i="8"/>
  <c r="J136" i="8" s="1"/>
  <c r="M136" i="8"/>
  <c r="H135" i="8"/>
  <c r="H134" i="8"/>
  <c r="M133" i="8"/>
  <c r="L133" i="8"/>
  <c r="K133" i="8"/>
  <c r="J133" i="8"/>
  <c r="I133" i="8"/>
  <c r="F133" i="8"/>
  <c r="H132" i="8"/>
  <c r="H131" i="8"/>
  <c r="I130" i="8"/>
  <c r="M129" i="8"/>
  <c r="L129" i="8"/>
  <c r="K129" i="8"/>
  <c r="J129" i="8"/>
  <c r="F129" i="8"/>
  <c r="M128" i="8"/>
  <c r="L128" i="8"/>
  <c r="L194" i="8" s="1"/>
  <c r="K128" i="8"/>
  <c r="J128" i="8"/>
  <c r="J194" i="8" s="1"/>
  <c r="I128" i="8"/>
  <c r="M127" i="8"/>
  <c r="L127" i="8"/>
  <c r="K127" i="8"/>
  <c r="J127" i="8"/>
  <c r="M126" i="8"/>
  <c r="L126" i="8"/>
  <c r="K126" i="8"/>
  <c r="J126" i="8"/>
  <c r="I115" i="8"/>
  <c r="M112" i="8"/>
  <c r="M104" i="8"/>
  <c r="L104" i="8"/>
  <c r="K103" i="8"/>
  <c r="J103" i="8"/>
  <c r="F103" i="8"/>
  <c r="M101" i="8"/>
  <c r="K101" i="8"/>
  <c r="J101" i="8"/>
  <c r="I101" i="8"/>
  <c r="K100" i="8"/>
  <c r="J100" i="8"/>
  <c r="I100" i="8"/>
  <c r="H98" i="8"/>
  <c r="M97" i="8"/>
  <c r="L96" i="8"/>
  <c r="K96" i="8"/>
  <c r="J96" i="8"/>
  <c r="I96" i="8"/>
  <c r="F96" i="8"/>
  <c r="M95" i="8"/>
  <c r="L95" i="8"/>
  <c r="K95" i="8"/>
  <c r="J95" i="8"/>
  <c r="I95" i="8"/>
  <c r="L94" i="8"/>
  <c r="L93" i="8" s="1"/>
  <c r="K94" i="8"/>
  <c r="K93" i="8" s="1"/>
  <c r="J94" i="8"/>
  <c r="J93" i="8" s="1"/>
  <c r="I94" i="8"/>
  <c r="H92" i="8"/>
  <c r="L90" i="8"/>
  <c r="K90" i="8"/>
  <c r="J90" i="8"/>
  <c r="I90" i="8"/>
  <c r="F90" i="8"/>
  <c r="M89" i="8"/>
  <c r="L89" i="8"/>
  <c r="K89" i="8"/>
  <c r="J89" i="8"/>
  <c r="I89" i="8"/>
  <c r="L88" i="8"/>
  <c r="L87" i="8" s="1"/>
  <c r="K88" i="8"/>
  <c r="K87" i="8" s="1"/>
  <c r="J88" i="8"/>
  <c r="J87" i="8" s="1"/>
  <c r="I88" i="8"/>
  <c r="I87" i="8" s="1"/>
  <c r="H86" i="8"/>
  <c r="M85" i="8"/>
  <c r="L84" i="8"/>
  <c r="K84" i="8"/>
  <c r="J84" i="8"/>
  <c r="I84" i="8"/>
  <c r="F84" i="8"/>
  <c r="M83" i="8"/>
  <c r="L83" i="8"/>
  <c r="K83" i="8"/>
  <c r="J83" i="8"/>
  <c r="I83" i="8"/>
  <c r="L82" i="8"/>
  <c r="L81" i="8" s="1"/>
  <c r="K82" i="8"/>
  <c r="J82" i="8"/>
  <c r="J81" i="8" s="1"/>
  <c r="I82" i="8"/>
  <c r="H80" i="8"/>
  <c r="L78" i="8"/>
  <c r="K78" i="8"/>
  <c r="J78" i="8"/>
  <c r="I78" i="8"/>
  <c r="F78" i="8"/>
  <c r="M77" i="8"/>
  <c r="L77" i="8"/>
  <c r="K77" i="8"/>
  <c r="J77" i="8"/>
  <c r="I77" i="8"/>
  <c r="L76" i="8"/>
  <c r="L75" i="8" s="1"/>
  <c r="K76" i="8"/>
  <c r="K75" i="8" s="1"/>
  <c r="J76" i="8"/>
  <c r="J75" i="8" s="1"/>
  <c r="I76" i="8"/>
  <c r="H74" i="8"/>
  <c r="M73" i="8"/>
  <c r="L72" i="8"/>
  <c r="K72" i="8"/>
  <c r="J72" i="8"/>
  <c r="I72" i="8"/>
  <c r="F72" i="8"/>
  <c r="M71" i="8"/>
  <c r="L71" i="8"/>
  <c r="K71" i="8"/>
  <c r="J71" i="8"/>
  <c r="I71" i="8"/>
  <c r="L70" i="8"/>
  <c r="L69" i="8" s="1"/>
  <c r="K70" i="8"/>
  <c r="J70" i="8"/>
  <c r="I70" i="8"/>
  <c r="H68" i="8"/>
  <c r="H67" i="8"/>
  <c r="L66" i="8"/>
  <c r="K66" i="8"/>
  <c r="J66" i="8"/>
  <c r="I66" i="8"/>
  <c r="F66" i="8"/>
  <c r="M65" i="8"/>
  <c r="L65" i="8"/>
  <c r="K65" i="8"/>
  <c r="J65" i="8"/>
  <c r="I65" i="8"/>
  <c r="M64" i="8"/>
  <c r="L64" i="8"/>
  <c r="K64" i="8"/>
  <c r="J64" i="8"/>
  <c r="I64" i="8"/>
  <c r="H62" i="8"/>
  <c r="I61" i="8"/>
  <c r="M60" i="8"/>
  <c r="L60" i="8"/>
  <c r="K60" i="8"/>
  <c r="J60" i="8"/>
  <c r="F60" i="8"/>
  <c r="M59" i="8"/>
  <c r="L59" i="8"/>
  <c r="K59" i="8"/>
  <c r="J59" i="8"/>
  <c r="I59" i="8"/>
  <c r="M58" i="8"/>
  <c r="L58" i="8"/>
  <c r="K58" i="8"/>
  <c r="J58" i="8"/>
  <c r="H54" i="8"/>
  <c r="H53" i="8" s="1"/>
  <c r="M53" i="8"/>
  <c r="M51" i="8" s="1"/>
  <c r="L53" i="8"/>
  <c r="L51" i="8" s="1"/>
  <c r="L48" i="8" s="1"/>
  <c r="K53" i="8"/>
  <c r="K51" i="8" s="1"/>
  <c r="J53" i="8"/>
  <c r="I53" i="8"/>
  <c r="F53" i="8"/>
  <c r="M52" i="8"/>
  <c r="M49" i="8" s="1"/>
  <c r="M46" i="8" s="1"/>
  <c r="M43" i="8" s="1"/>
  <c r="L52" i="8"/>
  <c r="K52" i="8"/>
  <c r="K116" i="8" s="1"/>
  <c r="H52" i="8"/>
  <c r="J50" i="8"/>
  <c r="I50" i="8"/>
  <c r="F50" i="8"/>
  <c r="J49" i="8"/>
  <c r="I49" i="8"/>
  <c r="J48" i="8"/>
  <c r="I48" i="8"/>
  <c r="I45" i="8"/>
  <c r="I44" i="8" s="1"/>
  <c r="E44" i="8" s="1"/>
  <c r="K44" i="8"/>
  <c r="J44" i="8"/>
  <c r="F44" i="8"/>
  <c r="K43" i="8"/>
  <c r="J43" i="8"/>
  <c r="I43" i="8"/>
  <c r="K42" i="8"/>
  <c r="J42" i="8"/>
  <c r="H40" i="8"/>
  <c r="H39" i="8"/>
  <c r="M38" i="8"/>
  <c r="L38" i="8"/>
  <c r="K38" i="8"/>
  <c r="J38" i="8"/>
  <c r="I38" i="8"/>
  <c r="F38" i="8"/>
  <c r="M37" i="8"/>
  <c r="L37" i="8"/>
  <c r="K37" i="8"/>
  <c r="J37" i="8"/>
  <c r="I37" i="8"/>
  <c r="M36" i="8"/>
  <c r="L36" i="8"/>
  <c r="K36" i="8"/>
  <c r="J36" i="8"/>
  <c r="I36" i="8"/>
  <c r="H34" i="8"/>
  <c r="H33" i="8"/>
  <c r="M32" i="8"/>
  <c r="L32" i="8"/>
  <c r="K32" i="8"/>
  <c r="J32" i="8"/>
  <c r="I32" i="8"/>
  <c r="F32" i="8"/>
  <c r="M31" i="8"/>
  <c r="L31" i="8"/>
  <c r="K31" i="8"/>
  <c r="J31" i="8"/>
  <c r="I31" i="8"/>
  <c r="M30" i="8"/>
  <c r="L30" i="8"/>
  <c r="K30" i="8"/>
  <c r="J30" i="8"/>
  <c r="I30" i="8"/>
  <c r="H28" i="8"/>
  <c r="H27" i="8"/>
  <c r="M26" i="8"/>
  <c r="L26" i="8"/>
  <c r="K26" i="8"/>
  <c r="J26" i="8"/>
  <c r="I26" i="8"/>
  <c r="F26" i="8"/>
  <c r="I25" i="8"/>
  <c r="I24" i="8"/>
  <c r="M23" i="8"/>
  <c r="L23" i="8"/>
  <c r="K23" i="8"/>
  <c r="J23" i="8"/>
  <c r="F23" i="8"/>
  <c r="M22" i="8"/>
  <c r="L22" i="8"/>
  <c r="K22" i="8"/>
  <c r="J22" i="8"/>
  <c r="M21" i="8"/>
  <c r="M20" i="8" s="1"/>
  <c r="L21" i="8"/>
  <c r="L20" i="8" s="1"/>
  <c r="K21" i="8"/>
  <c r="K20" i="8" s="1"/>
  <c r="J21" i="8"/>
  <c r="J20" i="8" s="1"/>
  <c r="I19" i="8"/>
  <c r="I18" i="8"/>
  <c r="H18" i="8" s="1"/>
  <c r="M17" i="8"/>
  <c r="L17" i="8"/>
  <c r="K17" i="8"/>
  <c r="J17" i="8"/>
  <c r="F17" i="8"/>
  <c r="M16" i="8"/>
  <c r="L16" i="8"/>
  <c r="K16" i="8"/>
  <c r="J16" i="8"/>
  <c r="M15" i="8"/>
  <c r="M14" i="8" s="1"/>
  <c r="L15" i="8"/>
  <c r="K15" i="8"/>
  <c r="J15" i="8"/>
  <c r="J14" i="8" s="1"/>
  <c r="I13" i="8"/>
  <c r="F13" i="8"/>
  <c r="F110" i="8" s="1"/>
  <c r="I12" i="8"/>
  <c r="H12" i="8" s="1"/>
  <c r="F12" i="8"/>
  <c r="F109" i="8" s="1"/>
  <c r="M11" i="8"/>
  <c r="L11" i="8"/>
  <c r="K11" i="8"/>
  <c r="J11" i="8"/>
  <c r="M10" i="8"/>
  <c r="L10" i="8"/>
  <c r="K10" i="8"/>
  <c r="J10" i="8"/>
  <c r="M9" i="8"/>
  <c r="M8" i="8" s="1"/>
  <c r="L9" i="8"/>
  <c r="K9" i="8"/>
  <c r="K8" i="8" s="1"/>
  <c r="J9" i="8"/>
  <c r="I9" i="8"/>
  <c r="J114" i="8" l="1"/>
  <c r="J113" i="8"/>
  <c r="Q113" i="8" s="1"/>
  <c r="J109" i="8"/>
  <c r="J110" i="8"/>
  <c r="L156" i="8"/>
  <c r="L105" i="8" s="1"/>
  <c r="L106" i="8"/>
  <c r="K156" i="8"/>
  <c r="K106" i="8"/>
  <c r="J47" i="8"/>
  <c r="H165" i="8"/>
  <c r="E165" i="8" s="1"/>
  <c r="H159" i="8"/>
  <c r="K194" i="8"/>
  <c r="M110" i="8"/>
  <c r="L49" i="8"/>
  <c r="L46" i="8" s="1"/>
  <c r="L43" i="8" s="1"/>
  <c r="L116" i="8"/>
  <c r="J199" i="8"/>
  <c r="H139" i="8"/>
  <c r="Q194" i="8"/>
  <c r="I29" i="8"/>
  <c r="H71" i="8"/>
  <c r="J69" i="8"/>
  <c r="J156" i="8"/>
  <c r="I47" i="8"/>
  <c r="M184" i="8"/>
  <c r="I99" i="8"/>
  <c r="H130" i="8"/>
  <c r="H129" i="8" s="1"/>
  <c r="I126" i="8"/>
  <c r="H126" i="8" s="1"/>
  <c r="I194" i="8"/>
  <c r="G35" i="7" s="1"/>
  <c r="F35" i="7" s="1"/>
  <c r="M48" i="8"/>
  <c r="M47" i="8" s="1"/>
  <c r="M50" i="8"/>
  <c r="H38" i="8"/>
  <c r="H133" i="8"/>
  <c r="I144" i="8"/>
  <c r="M150" i="8"/>
  <c r="I63" i="8"/>
  <c r="K63" i="8"/>
  <c r="J196" i="8"/>
  <c r="J195" i="8" s="1"/>
  <c r="I172" i="8"/>
  <c r="K172" i="8"/>
  <c r="M172" i="8"/>
  <c r="I178" i="8"/>
  <c r="K178" i="8"/>
  <c r="M178" i="8"/>
  <c r="H162" i="8"/>
  <c r="E162" i="8" s="1"/>
  <c r="M63" i="8"/>
  <c r="K29" i="8"/>
  <c r="L35" i="8"/>
  <c r="H147" i="8"/>
  <c r="H153" i="8"/>
  <c r="H77" i="8"/>
  <c r="H30" i="8"/>
  <c r="M29" i="8"/>
  <c r="J29" i="8"/>
  <c r="L29" i="8"/>
  <c r="J35" i="8"/>
  <c r="H37" i="8"/>
  <c r="H89" i="8"/>
  <c r="K99" i="8"/>
  <c r="L125" i="8"/>
  <c r="J125" i="8"/>
  <c r="J172" i="8"/>
  <c r="L172" i="8"/>
  <c r="H174" i="8"/>
  <c r="H9" i="8"/>
  <c r="L57" i="8"/>
  <c r="J63" i="8"/>
  <c r="L63" i="8"/>
  <c r="H65" i="8"/>
  <c r="H66" i="8"/>
  <c r="E66" i="8" s="1"/>
  <c r="M144" i="8"/>
  <c r="J150" i="8"/>
  <c r="L150" i="8"/>
  <c r="H152" i="8"/>
  <c r="K150" i="8"/>
  <c r="H173" i="8"/>
  <c r="J187" i="8"/>
  <c r="H91" i="8"/>
  <c r="H90" i="8" s="1"/>
  <c r="E90" i="8" s="1"/>
  <c r="M88" i="8"/>
  <c r="M87" i="8" s="1"/>
  <c r="M90" i="8"/>
  <c r="K57" i="8"/>
  <c r="M57" i="8"/>
  <c r="J57" i="8"/>
  <c r="H64" i="8"/>
  <c r="J144" i="8"/>
  <c r="L144" i="8"/>
  <c r="H146" i="8"/>
  <c r="K144" i="8"/>
  <c r="I150" i="8"/>
  <c r="F193" i="8"/>
  <c r="F191" i="8" s="1"/>
  <c r="H170" i="8"/>
  <c r="H171" i="8"/>
  <c r="J178" i="8"/>
  <c r="L178" i="8"/>
  <c r="H180" i="8"/>
  <c r="H181" i="8"/>
  <c r="E181" i="8" s="1"/>
  <c r="L184" i="8"/>
  <c r="H188" i="8"/>
  <c r="K187" i="8"/>
  <c r="K198" i="8" s="1"/>
  <c r="J184" i="8"/>
  <c r="L14" i="8"/>
  <c r="F11" i="8"/>
  <c r="H26" i="8"/>
  <c r="H31" i="8"/>
  <c r="H32" i="8"/>
  <c r="I42" i="8"/>
  <c r="I41" i="8" s="1"/>
  <c r="K41" i="8"/>
  <c r="K69" i="8"/>
  <c r="I75" i="8"/>
  <c r="K81" i="8"/>
  <c r="K196" i="8"/>
  <c r="K195" i="8" s="1"/>
  <c r="M192" i="8"/>
  <c r="H175" i="8"/>
  <c r="H179" i="8"/>
  <c r="I187" i="8"/>
  <c r="L45" i="8"/>
  <c r="L42" i="8" s="1"/>
  <c r="K49" i="8"/>
  <c r="K110" i="8" s="1"/>
  <c r="K50" i="8"/>
  <c r="H61" i="8"/>
  <c r="H60" i="8" s="1"/>
  <c r="E60" i="8" s="1"/>
  <c r="I60" i="8"/>
  <c r="H83" i="8"/>
  <c r="I81" i="8"/>
  <c r="H85" i="8"/>
  <c r="H84" i="8" s="1"/>
  <c r="E84" i="8" s="1"/>
  <c r="M82" i="8"/>
  <c r="M81" i="8" s="1"/>
  <c r="H97" i="8"/>
  <c r="H96" i="8" s="1"/>
  <c r="E96" i="8" s="1"/>
  <c r="M96" i="8"/>
  <c r="H128" i="8"/>
  <c r="M194" i="8"/>
  <c r="M79" i="8"/>
  <c r="H141" i="8"/>
  <c r="I140" i="8"/>
  <c r="I137" i="8"/>
  <c r="H189" i="8"/>
  <c r="I186" i="8"/>
  <c r="H186" i="8" s="1"/>
  <c r="F108" i="8"/>
  <c r="I15" i="8"/>
  <c r="H15" i="8" s="1"/>
  <c r="K113" i="8"/>
  <c r="I17" i="8"/>
  <c r="H19" i="8"/>
  <c r="H17" i="8" s="1"/>
  <c r="I16" i="8"/>
  <c r="H16" i="8" s="1"/>
  <c r="H43" i="8"/>
  <c r="I58" i="8"/>
  <c r="I69" i="8"/>
  <c r="H73" i="8"/>
  <c r="H72" i="8" s="1"/>
  <c r="E72" i="8" s="1"/>
  <c r="M70" i="8"/>
  <c r="M69" i="8" s="1"/>
  <c r="I93" i="8"/>
  <c r="M94" i="8"/>
  <c r="M93" i="8" s="1"/>
  <c r="H104" i="8"/>
  <c r="L100" i="8"/>
  <c r="K125" i="8"/>
  <c r="M125" i="8"/>
  <c r="I127" i="8"/>
  <c r="K197" i="8"/>
  <c r="M193" i="8"/>
  <c r="H142" i="8"/>
  <c r="I138" i="8"/>
  <c r="H138" i="8" s="1"/>
  <c r="I169" i="8"/>
  <c r="H185" i="8"/>
  <c r="K184" i="8"/>
  <c r="H36" i="8"/>
  <c r="K35" i="8"/>
  <c r="M35" i="8"/>
  <c r="J41" i="8"/>
  <c r="H59" i="8"/>
  <c r="H95" i="8"/>
  <c r="J99" i="8"/>
  <c r="L196" i="8"/>
  <c r="J193" i="8"/>
  <c r="L193" i="8"/>
  <c r="H145" i="8"/>
  <c r="H151" i="8"/>
  <c r="H157" i="8"/>
  <c r="M72" i="8"/>
  <c r="M84" i="8"/>
  <c r="J192" i="8"/>
  <c r="L192" i="8"/>
  <c r="K193" i="8"/>
  <c r="J197" i="8"/>
  <c r="K192" i="8"/>
  <c r="H13" i="8"/>
  <c r="H11" i="8" s="1"/>
  <c r="I10" i="8"/>
  <c r="H24" i="8"/>
  <c r="I21" i="8"/>
  <c r="K115" i="8"/>
  <c r="H51" i="8"/>
  <c r="H50" i="8" s="1"/>
  <c r="K48" i="8"/>
  <c r="M103" i="8"/>
  <c r="M100" i="8"/>
  <c r="J8" i="8"/>
  <c r="L8" i="8"/>
  <c r="I11" i="8"/>
  <c r="K14" i="8"/>
  <c r="I23" i="8"/>
  <c r="H25" i="8"/>
  <c r="I22" i="8"/>
  <c r="H22" i="8" s="1"/>
  <c r="I35" i="8"/>
  <c r="L50" i="8"/>
  <c r="L115" i="8"/>
  <c r="I113" i="8" l="1"/>
  <c r="I109" i="8"/>
  <c r="I192" i="8"/>
  <c r="H192" i="8" s="1"/>
  <c r="H46" i="8"/>
  <c r="L47" i="8"/>
  <c r="O113" i="8"/>
  <c r="O114" i="8" s="1"/>
  <c r="K114" i="8" s="1"/>
  <c r="L101" i="8"/>
  <c r="H105" i="8"/>
  <c r="H103" i="8" s="1"/>
  <c r="L103" i="8"/>
  <c r="H63" i="8"/>
  <c r="P113" i="8"/>
  <c r="I196" i="8"/>
  <c r="Q193" i="8"/>
  <c r="I125" i="8"/>
  <c r="Q192" i="8"/>
  <c r="H70" i="8"/>
  <c r="H194" i="8"/>
  <c r="H88" i="8"/>
  <c r="H87" i="8" s="1"/>
  <c r="M45" i="8"/>
  <c r="H45" i="8" s="1"/>
  <c r="H44" i="8" s="1"/>
  <c r="H82" i="8"/>
  <c r="H81" i="8" s="1"/>
  <c r="H29" i="8"/>
  <c r="H172" i="8"/>
  <c r="L44" i="8"/>
  <c r="H150" i="8"/>
  <c r="H35" i="8"/>
  <c r="H184" i="8"/>
  <c r="I195" i="8"/>
  <c r="I14" i="8"/>
  <c r="H187" i="8"/>
  <c r="H169" i="8"/>
  <c r="E169" i="8" s="1"/>
  <c r="L191" i="8"/>
  <c r="H69" i="8"/>
  <c r="H14" i="8"/>
  <c r="H178" i="8"/>
  <c r="J191" i="8"/>
  <c r="H144" i="8"/>
  <c r="M191" i="8"/>
  <c r="I193" i="8"/>
  <c r="H193" i="8" s="1"/>
  <c r="L113" i="8"/>
  <c r="L109" i="8"/>
  <c r="H49" i="8"/>
  <c r="I197" i="8"/>
  <c r="H127" i="8"/>
  <c r="H125" i="8" s="1"/>
  <c r="H94" i="8"/>
  <c r="H93" i="8" s="1"/>
  <c r="M78" i="8"/>
  <c r="M76" i="8"/>
  <c r="H76" i="8" s="1"/>
  <c r="H79" i="8"/>
  <c r="J108" i="8"/>
  <c r="H23" i="8"/>
  <c r="I184" i="8"/>
  <c r="H158" i="8"/>
  <c r="H156" i="8" s="1"/>
  <c r="I156" i="8"/>
  <c r="H58" i="8"/>
  <c r="H57" i="8" s="1"/>
  <c r="I57" i="8"/>
  <c r="I136" i="8"/>
  <c r="H137" i="8"/>
  <c r="H136" i="8" s="1"/>
  <c r="H140" i="8"/>
  <c r="K191" i="8"/>
  <c r="M99" i="8"/>
  <c r="H100" i="8"/>
  <c r="K47" i="8"/>
  <c r="H48" i="8"/>
  <c r="K109" i="8"/>
  <c r="K108" i="8" s="1"/>
  <c r="L41" i="8"/>
  <c r="I20" i="8"/>
  <c r="H21" i="8"/>
  <c r="H20" i="8" s="1"/>
  <c r="I114" i="8"/>
  <c r="I8" i="8"/>
  <c r="I110" i="8"/>
  <c r="H10" i="8"/>
  <c r="H8" i="8" s="1"/>
  <c r="H78" i="8" l="1"/>
  <c r="E78" i="8" s="1"/>
  <c r="O75" i="8"/>
  <c r="H75" i="8"/>
  <c r="L110" i="8"/>
  <c r="H110" i="8" s="1"/>
  <c r="H101" i="8"/>
  <c r="L114" i="8"/>
  <c r="H99" i="8"/>
  <c r="L99" i="8"/>
  <c r="Q191" i="8"/>
  <c r="M42" i="8"/>
  <c r="M109" i="8" s="1"/>
  <c r="M108" i="8" s="1"/>
  <c r="I108" i="8"/>
  <c r="M44" i="8"/>
  <c r="I191" i="8"/>
  <c r="H47" i="8"/>
  <c r="H191" i="8"/>
  <c r="M75" i="8"/>
  <c r="L108" i="8" l="1"/>
  <c r="M41" i="8"/>
  <c r="H109" i="8"/>
  <c r="H108" i="8" s="1"/>
  <c r="H42" i="8"/>
  <c r="H41" i="8" s="1"/>
  <c r="J449" i="11" l="1"/>
  <c r="H740" i="11"/>
  <c r="G742" i="11"/>
  <c r="I444" i="11"/>
  <c r="I233" i="11"/>
  <c r="J210" i="11"/>
  <c r="I209" i="11"/>
  <c r="I211" i="11"/>
  <c r="I121" i="11"/>
  <c r="I7" i="11"/>
  <c r="G740" i="11" l="1"/>
  <c r="G738" i="11"/>
  <c r="G741" i="11"/>
  <c r="A7" i="12" l="1"/>
  <c r="A8" i="12"/>
  <c r="C8" i="12"/>
  <c r="D8" i="12"/>
  <c r="E8" i="12"/>
  <c r="H8" i="12"/>
  <c r="I8" i="12"/>
  <c r="J8" i="12"/>
  <c r="K8" i="12"/>
  <c r="L8" i="12"/>
  <c r="M8" i="12"/>
  <c r="N8" i="12"/>
  <c r="O8" i="12"/>
  <c r="P8" i="12"/>
  <c r="Q8" i="12"/>
  <c r="R8" i="12"/>
  <c r="S8" i="12"/>
  <c r="A9" i="12"/>
  <c r="B9" i="12"/>
  <c r="C9" i="12"/>
  <c r="D9" i="12"/>
  <c r="E9" i="12"/>
  <c r="F9" i="12"/>
  <c r="M9" i="12"/>
  <c r="N9" i="12"/>
  <c r="O9" i="12"/>
  <c r="P9" i="12"/>
  <c r="Q9" i="12"/>
  <c r="R9" i="12"/>
  <c r="S9" i="12"/>
  <c r="A10" i="12"/>
  <c r="B10" i="12"/>
  <c r="C10" i="12"/>
  <c r="D10" i="12"/>
  <c r="E10" i="12"/>
  <c r="F10" i="12"/>
  <c r="M10" i="12"/>
  <c r="N10" i="12"/>
  <c r="O10" i="12"/>
  <c r="P10" i="12"/>
  <c r="Q10" i="12"/>
  <c r="R10" i="12"/>
  <c r="S10" i="12"/>
  <c r="A11" i="12"/>
  <c r="B11" i="12"/>
  <c r="C11" i="12"/>
  <c r="D11" i="12"/>
  <c r="E11" i="12"/>
  <c r="F11" i="12"/>
  <c r="M11" i="12"/>
  <c r="N11" i="12"/>
  <c r="O11" i="12"/>
  <c r="P11" i="12"/>
  <c r="Q11" i="12"/>
  <c r="R11" i="12"/>
  <c r="S11" i="12"/>
  <c r="A12" i="12"/>
  <c r="A13" i="12"/>
  <c r="A14" i="12"/>
  <c r="B14" i="12"/>
  <c r="C14" i="12"/>
  <c r="D14" i="12"/>
  <c r="E14" i="12"/>
  <c r="F14" i="12"/>
  <c r="G14" i="12"/>
  <c r="C15" i="12"/>
  <c r="D15" i="12"/>
  <c r="E15" i="12"/>
  <c r="G15" i="12"/>
  <c r="H15" i="12"/>
  <c r="I15" i="12"/>
  <c r="J15" i="12"/>
  <c r="K15" i="12"/>
  <c r="L15" i="12"/>
  <c r="A16" i="12"/>
  <c r="B16" i="12"/>
  <c r="C16" i="12"/>
  <c r="D16" i="12"/>
  <c r="E16" i="12"/>
  <c r="F16" i="12"/>
  <c r="K16" i="12"/>
  <c r="L16" i="12"/>
  <c r="A17" i="12"/>
  <c r="C17" i="12"/>
  <c r="D17" i="12"/>
  <c r="E17" i="12"/>
  <c r="F17" i="12"/>
  <c r="A18" i="12"/>
  <c r="C18" i="12"/>
  <c r="D18" i="12"/>
  <c r="E18" i="12"/>
  <c r="F18" i="12"/>
  <c r="A19" i="12"/>
  <c r="B19" i="12"/>
  <c r="C19" i="12"/>
  <c r="D19" i="12"/>
  <c r="E19" i="12"/>
  <c r="F19" i="12"/>
  <c r="J19" i="12"/>
  <c r="K19" i="12"/>
  <c r="L19" i="12"/>
  <c r="C20" i="12"/>
  <c r="D20" i="12"/>
  <c r="E20" i="12"/>
  <c r="F20" i="12"/>
  <c r="C21" i="12"/>
  <c r="D21" i="12"/>
  <c r="E21" i="12"/>
  <c r="F21" i="12"/>
  <c r="A22" i="12"/>
  <c r="B22" i="12"/>
  <c r="C22" i="12"/>
  <c r="D22" i="12"/>
  <c r="E22" i="12"/>
  <c r="F22" i="12"/>
  <c r="H22" i="12"/>
  <c r="J22" i="12"/>
  <c r="K22" i="12"/>
  <c r="L22" i="12"/>
  <c r="A23" i="12"/>
  <c r="B23" i="12"/>
  <c r="C23" i="12"/>
  <c r="D23" i="12"/>
  <c r="E23" i="12"/>
  <c r="F23" i="12"/>
  <c r="I23" i="12"/>
  <c r="J23" i="12"/>
  <c r="K23" i="12"/>
  <c r="L23" i="12"/>
  <c r="A24" i="12"/>
  <c r="B24" i="12"/>
  <c r="C24" i="12"/>
  <c r="D24" i="12"/>
  <c r="E24" i="12"/>
  <c r="F24" i="12"/>
  <c r="I24" i="12"/>
  <c r="J24" i="12"/>
  <c r="K24" i="12"/>
  <c r="L24" i="12"/>
  <c r="A25" i="12"/>
  <c r="B25" i="12"/>
  <c r="C25" i="12"/>
  <c r="D25" i="12"/>
  <c r="E25" i="12"/>
  <c r="F25" i="12"/>
  <c r="I25" i="12"/>
  <c r="J25" i="12"/>
  <c r="K25" i="12"/>
  <c r="L25" i="12"/>
  <c r="A26" i="12"/>
  <c r="B26" i="12"/>
  <c r="C26" i="12"/>
  <c r="D26" i="12"/>
  <c r="E26" i="12"/>
  <c r="F26" i="12"/>
  <c r="H26" i="12"/>
  <c r="I26" i="12"/>
  <c r="J26" i="12"/>
  <c r="K26" i="12"/>
  <c r="L26" i="12"/>
  <c r="A27" i="12"/>
  <c r="B27" i="12"/>
  <c r="C27" i="12"/>
  <c r="D27" i="12"/>
  <c r="E27" i="12"/>
  <c r="F27" i="12"/>
  <c r="H27" i="12"/>
  <c r="I27" i="12"/>
  <c r="J27" i="12"/>
  <c r="K27" i="12"/>
  <c r="L27" i="12"/>
  <c r="A28" i="12"/>
  <c r="B28" i="12"/>
  <c r="C28" i="12"/>
  <c r="D28" i="12"/>
  <c r="E28" i="12"/>
  <c r="F28" i="12"/>
  <c r="I28" i="12"/>
  <c r="J28" i="12"/>
  <c r="K28" i="12"/>
  <c r="L28" i="12"/>
  <c r="A29" i="12"/>
  <c r="B29" i="12"/>
  <c r="C29" i="12"/>
  <c r="D29" i="12"/>
  <c r="E29" i="12"/>
  <c r="F29" i="12"/>
  <c r="H29" i="12"/>
  <c r="I29" i="12"/>
  <c r="J29" i="12"/>
  <c r="K29" i="12"/>
  <c r="L29" i="12"/>
  <c r="A30" i="12"/>
  <c r="B30" i="12"/>
  <c r="C30" i="12"/>
  <c r="D30" i="12"/>
  <c r="E30" i="12"/>
  <c r="F30" i="12"/>
  <c r="H30" i="12"/>
  <c r="I30" i="12"/>
  <c r="J30" i="12"/>
  <c r="K30" i="12"/>
  <c r="L30" i="12"/>
  <c r="A31" i="12"/>
  <c r="B31" i="12"/>
  <c r="C31" i="12"/>
  <c r="D31" i="12"/>
  <c r="E31" i="12"/>
  <c r="F31" i="12"/>
  <c r="J31" i="12"/>
  <c r="K31" i="12"/>
  <c r="L31" i="12"/>
  <c r="A32" i="12"/>
  <c r="B32" i="12"/>
  <c r="C32" i="12"/>
  <c r="D32" i="12"/>
  <c r="E32" i="12"/>
  <c r="F32" i="12"/>
  <c r="H32" i="12"/>
  <c r="J32" i="12"/>
  <c r="K32" i="12"/>
  <c r="L32" i="12"/>
  <c r="A33" i="12"/>
  <c r="B33" i="12"/>
  <c r="C33" i="12"/>
  <c r="D33" i="12"/>
  <c r="E33" i="12"/>
  <c r="F33" i="12"/>
  <c r="J33" i="12"/>
  <c r="K33" i="12"/>
  <c r="L33" i="12"/>
  <c r="A34" i="12"/>
  <c r="B34" i="12"/>
  <c r="C34" i="12"/>
  <c r="D34" i="12"/>
  <c r="E34" i="12"/>
  <c r="F34" i="12"/>
  <c r="J34" i="12"/>
  <c r="K34" i="12"/>
  <c r="L34" i="12"/>
  <c r="A35" i="12"/>
  <c r="B35" i="12"/>
  <c r="C35" i="12"/>
  <c r="D35" i="12"/>
  <c r="E35" i="12"/>
  <c r="F35" i="12"/>
  <c r="H35" i="12"/>
  <c r="J35" i="12"/>
  <c r="K35" i="12"/>
  <c r="L35" i="12"/>
  <c r="A36" i="12"/>
  <c r="B36" i="12"/>
  <c r="C36" i="12"/>
  <c r="D36" i="12"/>
  <c r="E36" i="12"/>
  <c r="F36" i="12"/>
  <c r="J36" i="12"/>
  <c r="K36" i="12"/>
  <c r="L36" i="12"/>
  <c r="A37" i="12"/>
  <c r="B37" i="12"/>
  <c r="C37" i="12"/>
  <c r="D37" i="12"/>
  <c r="E37" i="12"/>
  <c r="F37" i="12"/>
  <c r="J37" i="12"/>
  <c r="K37" i="12"/>
  <c r="L37" i="12"/>
  <c r="C38" i="12"/>
  <c r="D38" i="12"/>
  <c r="E38" i="12"/>
  <c r="F38" i="12"/>
  <c r="C39" i="12"/>
  <c r="D39" i="12"/>
  <c r="E39" i="12"/>
  <c r="F39" i="12"/>
  <c r="A40" i="12"/>
  <c r="B40" i="12"/>
  <c r="C40" i="12"/>
  <c r="D40" i="12"/>
  <c r="E40" i="12"/>
  <c r="F40" i="12"/>
  <c r="I40" i="12"/>
  <c r="J40" i="12"/>
  <c r="K40" i="12"/>
  <c r="L40" i="12"/>
  <c r="A41" i="12"/>
  <c r="B41" i="12"/>
  <c r="C41" i="12"/>
  <c r="D41" i="12"/>
  <c r="E41" i="12"/>
  <c r="F41" i="12"/>
  <c r="H41" i="12"/>
  <c r="I41" i="12"/>
  <c r="J41" i="12"/>
  <c r="K41" i="12"/>
  <c r="L41" i="12"/>
  <c r="A42" i="12"/>
  <c r="B42" i="12"/>
  <c r="C42" i="12"/>
  <c r="D42" i="12"/>
  <c r="E42" i="12"/>
  <c r="F42" i="12"/>
  <c r="H42" i="12"/>
  <c r="I42" i="12"/>
  <c r="J42" i="12"/>
  <c r="K42" i="12"/>
  <c r="L42" i="12"/>
  <c r="A43" i="12"/>
  <c r="B43" i="12"/>
  <c r="C43" i="12"/>
  <c r="D43" i="12"/>
  <c r="E43" i="12"/>
  <c r="F43" i="12"/>
  <c r="I43" i="12"/>
  <c r="J43" i="12"/>
  <c r="K43" i="12"/>
  <c r="L43" i="12"/>
  <c r="A44" i="12"/>
  <c r="B44" i="12"/>
  <c r="C44" i="12"/>
  <c r="D44" i="12"/>
  <c r="E44" i="12"/>
  <c r="F44" i="12"/>
  <c r="H44" i="12"/>
  <c r="I44" i="12"/>
  <c r="J44" i="12"/>
  <c r="K44" i="12"/>
  <c r="L44" i="12"/>
  <c r="A45" i="12"/>
  <c r="B45" i="12"/>
  <c r="C45" i="12"/>
  <c r="D45" i="12"/>
  <c r="E45" i="12"/>
  <c r="F45" i="12"/>
  <c r="H45" i="12"/>
  <c r="I45" i="12"/>
  <c r="J45" i="12"/>
  <c r="K45" i="12"/>
  <c r="L45" i="12"/>
  <c r="A46" i="12"/>
  <c r="B46" i="12"/>
  <c r="C46" i="12"/>
  <c r="D46" i="12"/>
  <c r="E46" i="12"/>
  <c r="F46" i="12"/>
  <c r="I46" i="12"/>
  <c r="J46" i="12"/>
  <c r="K46" i="12"/>
  <c r="L46" i="12"/>
  <c r="A47" i="12"/>
  <c r="B47" i="12"/>
  <c r="C47" i="12"/>
  <c r="D47" i="12"/>
  <c r="E47" i="12"/>
  <c r="F47" i="12"/>
  <c r="H47" i="12"/>
  <c r="I47" i="12"/>
  <c r="J47" i="12"/>
  <c r="K47" i="12"/>
  <c r="L47" i="12"/>
  <c r="A48" i="12"/>
  <c r="B48" i="12"/>
  <c r="C48" i="12"/>
  <c r="D48" i="12"/>
  <c r="E48" i="12"/>
  <c r="F48" i="12"/>
  <c r="H48" i="12"/>
  <c r="I48" i="12"/>
  <c r="J48" i="12"/>
  <c r="K48" i="12"/>
  <c r="L48" i="12"/>
  <c r="A49" i="12"/>
  <c r="B49" i="12"/>
  <c r="C49" i="12"/>
  <c r="D49" i="12"/>
  <c r="E49" i="12"/>
  <c r="F49" i="12"/>
  <c r="I49" i="12"/>
  <c r="J49" i="12"/>
  <c r="K49" i="12"/>
  <c r="L49" i="12"/>
  <c r="A50" i="12"/>
  <c r="B50" i="12"/>
  <c r="C50" i="12"/>
  <c r="D50" i="12"/>
  <c r="E50" i="12"/>
  <c r="F50" i="12"/>
  <c r="H50" i="12"/>
  <c r="I50" i="12"/>
  <c r="J50" i="12"/>
  <c r="K50" i="12"/>
  <c r="L50" i="12"/>
  <c r="A51" i="12"/>
  <c r="B51" i="12"/>
  <c r="C51" i="12"/>
  <c r="D51" i="12"/>
  <c r="E51" i="12"/>
  <c r="F51" i="12"/>
  <c r="H51" i="12"/>
  <c r="I51" i="12"/>
  <c r="J51" i="12"/>
  <c r="K51" i="12"/>
  <c r="L51" i="12"/>
  <c r="A52" i="12"/>
  <c r="B52" i="12"/>
  <c r="C52" i="12"/>
  <c r="D52" i="12"/>
  <c r="E52" i="12"/>
  <c r="F52" i="12"/>
  <c r="I52" i="12"/>
  <c r="J52" i="12"/>
  <c r="K52" i="12"/>
  <c r="L52" i="12"/>
  <c r="A53" i="12"/>
  <c r="B53" i="12"/>
  <c r="C53" i="12"/>
  <c r="D53" i="12"/>
  <c r="E53" i="12"/>
  <c r="F53" i="12"/>
  <c r="I53" i="12"/>
  <c r="J53" i="12"/>
  <c r="K53" i="12"/>
  <c r="L53" i="12"/>
  <c r="A54" i="12"/>
  <c r="B54" i="12"/>
  <c r="C54" i="12"/>
  <c r="D54" i="12"/>
  <c r="E54" i="12"/>
  <c r="F54" i="12"/>
  <c r="I54" i="12"/>
  <c r="J54" i="12"/>
  <c r="K54" i="12"/>
  <c r="L54" i="12"/>
  <c r="A55" i="12"/>
  <c r="B55" i="12"/>
  <c r="C55" i="12"/>
  <c r="D55" i="12"/>
  <c r="E55" i="12"/>
  <c r="F55" i="12"/>
  <c r="I55" i="12"/>
  <c r="J55" i="12"/>
  <c r="K55" i="12"/>
  <c r="L55" i="12"/>
  <c r="A56" i="12"/>
  <c r="B56" i="12"/>
  <c r="C56" i="12"/>
  <c r="D56" i="12"/>
  <c r="E56" i="12"/>
  <c r="F56" i="12"/>
  <c r="H56" i="12"/>
  <c r="I56" i="12"/>
  <c r="J56" i="12"/>
  <c r="K56" i="12"/>
  <c r="L56" i="12"/>
  <c r="A57" i="12"/>
  <c r="B57" i="12"/>
  <c r="C57" i="12"/>
  <c r="D57" i="12"/>
  <c r="E57" i="12"/>
  <c r="F57" i="12"/>
  <c r="H57" i="12"/>
  <c r="I57" i="12"/>
  <c r="J57" i="12"/>
  <c r="K57" i="12"/>
  <c r="L57" i="12"/>
  <c r="A58" i="12"/>
  <c r="B58" i="12"/>
  <c r="C58" i="12"/>
  <c r="D58" i="12"/>
  <c r="E58" i="12"/>
  <c r="F58" i="12"/>
  <c r="H58" i="12"/>
  <c r="I58" i="12"/>
  <c r="J58" i="12"/>
  <c r="K58" i="12"/>
  <c r="L58" i="12"/>
  <c r="A59" i="12"/>
  <c r="B59" i="12"/>
  <c r="C59" i="12"/>
  <c r="D59" i="12"/>
  <c r="E59" i="12"/>
  <c r="F59" i="12"/>
  <c r="H59" i="12"/>
  <c r="I59" i="12"/>
  <c r="J59" i="12"/>
  <c r="K59" i="12"/>
  <c r="L59" i="12"/>
  <c r="A60" i="12"/>
  <c r="B60" i="12"/>
  <c r="C60" i="12"/>
  <c r="D60" i="12"/>
  <c r="E60" i="12"/>
  <c r="F60" i="12"/>
  <c r="H60" i="12"/>
  <c r="I60" i="12"/>
  <c r="J60" i="12"/>
  <c r="K60" i="12"/>
  <c r="L60" i="12"/>
  <c r="A61" i="12"/>
  <c r="B61" i="12"/>
  <c r="C61" i="12"/>
  <c r="D61" i="12"/>
  <c r="E61" i="12"/>
  <c r="F61" i="12"/>
  <c r="I61" i="12"/>
  <c r="J61" i="12"/>
  <c r="K61" i="12"/>
  <c r="L61" i="12"/>
  <c r="A62" i="12"/>
  <c r="B62" i="12"/>
  <c r="C62" i="12"/>
  <c r="D62" i="12"/>
  <c r="E62" i="12"/>
  <c r="F62" i="12"/>
  <c r="I62" i="12"/>
  <c r="J62" i="12"/>
  <c r="K62" i="12"/>
  <c r="L62" i="12"/>
  <c r="A63" i="12"/>
  <c r="B63" i="12"/>
  <c r="C63" i="12"/>
  <c r="D63" i="12"/>
  <c r="E63" i="12"/>
  <c r="F63" i="12"/>
  <c r="H63" i="12"/>
  <c r="I63" i="12"/>
  <c r="J63" i="12"/>
  <c r="K63" i="12"/>
  <c r="L63" i="12"/>
  <c r="A64" i="12"/>
  <c r="B64" i="12"/>
  <c r="C64" i="12"/>
  <c r="D64" i="12"/>
  <c r="E64" i="12"/>
  <c r="F64" i="12"/>
  <c r="I64" i="12"/>
  <c r="J64" i="12"/>
  <c r="K64" i="12"/>
  <c r="L64" i="12"/>
  <c r="A65" i="12"/>
  <c r="B65" i="12"/>
  <c r="C65" i="12"/>
  <c r="D65" i="12"/>
  <c r="E65" i="12"/>
  <c r="F65" i="12"/>
  <c r="H65" i="12"/>
  <c r="I65" i="12"/>
  <c r="J65" i="12"/>
  <c r="K65" i="12"/>
  <c r="L65" i="12"/>
  <c r="A66" i="12"/>
  <c r="B66" i="12"/>
  <c r="C66" i="12"/>
  <c r="D66" i="12"/>
  <c r="E66" i="12"/>
  <c r="F66" i="12"/>
  <c r="H66" i="12"/>
  <c r="I66" i="12"/>
  <c r="J66" i="12"/>
  <c r="K66" i="12"/>
  <c r="L66" i="12"/>
  <c r="A67" i="12"/>
  <c r="B67" i="12"/>
  <c r="C67" i="12"/>
  <c r="D67" i="12"/>
  <c r="E67" i="12"/>
  <c r="F67" i="12"/>
  <c r="I67" i="12"/>
  <c r="J67" i="12"/>
  <c r="K67" i="12"/>
  <c r="L67" i="12"/>
  <c r="A68" i="12"/>
  <c r="B68" i="12"/>
  <c r="C68" i="12"/>
  <c r="D68" i="12"/>
  <c r="E68" i="12"/>
  <c r="F68" i="12"/>
  <c r="H68" i="12"/>
  <c r="I68" i="12"/>
  <c r="J68" i="12"/>
  <c r="K68" i="12"/>
  <c r="L68" i="12"/>
  <c r="A69" i="12"/>
  <c r="B69" i="12"/>
  <c r="C69" i="12"/>
  <c r="D69" i="12"/>
  <c r="E69" i="12"/>
  <c r="F69" i="12"/>
  <c r="H69" i="12"/>
  <c r="I69" i="12"/>
  <c r="J69" i="12"/>
  <c r="K69" i="12"/>
  <c r="L69" i="12"/>
  <c r="A70" i="12"/>
  <c r="B70" i="12"/>
  <c r="C70" i="12"/>
  <c r="D70" i="12"/>
  <c r="E70" i="12"/>
  <c r="F70" i="12"/>
  <c r="I70" i="12"/>
  <c r="J70" i="12"/>
  <c r="K70" i="12"/>
  <c r="L70" i="12"/>
  <c r="A71" i="12"/>
  <c r="B71" i="12"/>
  <c r="C71" i="12"/>
  <c r="D71" i="12"/>
  <c r="E71" i="12"/>
  <c r="F71" i="12"/>
  <c r="H71" i="12"/>
  <c r="I71" i="12"/>
  <c r="J71" i="12"/>
  <c r="K71" i="12"/>
  <c r="L71" i="12"/>
  <c r="A72" i="12"/>
  <c r="B72" i="12"/>
  <c r="C72" i="12"/>
  <c r="D72" i="12"/>
  <c r="E72" i="12"/>
  <c r="F72" i="12"/>
  <c r="I72" i="12"/>
  <c r="J72" i="12"/>
  <c r="K72" i="12"/>
  <c r="L72" i="12"/>
  <c r="A73" i="12"/>
  <c r="B73" i="12"/>
  <c r="C73" i="12"/>
  <c r="D73" i="12"/>
  <c r="E73" i="12"/>
  <c r="F73" i="12"/>
  <c r="I73" i="12"/>
  <c r="J73" i="12"/>
  <c r="K73" i="12"/>
  <c r="L73" i="12"/>
  <c r="A74" i="12"/>
  <c r="B74" i="12"/>
  <c r="C74" i="12"/>
  <c r="D74" i="12"/>
  <c r="E74" i="12"/>
  <c r="F74" i="12"/>
  <c r="H74" i="12"/>
  <c r="I74" i="12"/>
  <c r="J74" i="12"/>
  <c r="K74" i="12"/>
  <c r="L74" i="12"/>
  <c r="A75" i="12"/>
  <c r="B75" i="12"/>
  <c r="C75" i="12"/>
  <c r="D75" i="12"/>
  <c r="E75" i="12"/>
  <c r="F75" i="12"/>
  <c r="I75" i="12"/>
  <c r="J75" i="12"/>
  <c r="K75" i="12"/>
  <c r="L75" i="12"/>
  <c r="A76" i="12"/>
  <c r="B76" i="12"/>
  <c r="C76" i="12"/>
  <c r="D76" i="12"/>
  <c r="E76" i="12"/>
  <c r="F76" i="12"/>
  <c r="C77" i="12"/>
  <c r="D77" i="12"/>
  <c r="E77" i="12"/>
  <c r="F77" i="12"/>
  <c r="C78" i="12"/>
  <c r="D78" i="12"/>
  <c r="E78" i="12"/>
  <c r="F78" i="12"/>
  <c r="A79" i="12"/>
  <c r="B79" i="12"/>
  <c r="C79" i="12"/>
  <c r="D79" i="12"/>
  <c r="E79" i="12"/>
  <c r="F79" i="12"/>
  <c r="H79" i="12"/>
  <c r="I79" i="12"/>
  <c r="J79" i="12"/>
  <c r="K79" i="12"/>
  <c r="L79" i="12"/>
  <c r="A80" i="12"/>
  <c r="B80" i="12"/>
  <c r="C80" i="12"/>
  <c r="D80" i="12"/>
  <c r="E80" i="12"/>
  <c r="F80" i="12"/>
  <c r="I80" i="12"/>
  <c r="J80" i="12"/>
  <c r="K80" i="12"/>
  <c r="L80" i="12"/>
  <c r="A81" i="12"/>
  <c r="B81" i="12"/>
  <c r="C81" i="12"/>
  <c r="D81" i="12"/>
  <c r="E81" i="12"/>
  <c r="F81" i="12"/>
  <c r="I81" i="12"/>
  <c r="J81" i="12"/>
  <c r="K81" i="12"/>
  <c r="L81" i="12"/>
  <c r="A82" i="12"/>
  <c r="B82" i="12"/>
  <c r="C82" i="12"/>
  <c r="D82" i="12"/>
  <c r="E82" i="12"/>
  <c r="F82" i="12"/>
  <c r="I82" i="12"/>
  <c r="J82" i="12"/>
  <c r="K82" i="12"/>
  <c r="L82" i="12"/>
  <c r="A83" i="12"/>
  <c r="B83" i="12"/>
  <c r="C83" i="12"/>
  <c r="D83" i="12"/>
  <c r="E83" i="12"/>
  <c r="F83" i="12"/>
  <c r="I83" i="12"/>
  <c r="J83" i="12"/>
  <c r="K83" i="12"/>
  <c r="L83" i="12"/>
  <c r="A84" i="12"/>
  <c r="B84" i="12"/>
  <c r="C84" i="12"/>
  <c r="D84" i="12"/>
  <c r="E84" i="12"/>
  <c r="F84" i="12"/>
  <c r="H84" i="12"/>
  <c r="I84" i="12"/>
  <c r="J84" i="12"/>
  <c r="K84" i="12"/>
  <c r="L84" i="12"/>
  <c r="A85" i="12"/>
  <c r="B85" i="12"/>
  <c r="C85" i="12"/>
  <c r="D85" i="12"/>
  <c r="E85" i="12"/>
  <c r="F85" i="12"/>
  <c r="I85" i="12"/>
  <c r="J85" i="12"/>
  <c r="K85" i="12"/>
  <c r="L85" i="12"/>
  <c r="A86" i="12"/>
  <c r="B86" i="12"/>
  <c r="C86" i="12"/>
  <c r="D86" i="12"/>
  <c r="E86" i="12"/>
  <c r="F86" i="12"/>
  <c r="H86" i="12"/>
  <c r="I86" i="12"/>
  <c r="J86" i="12"/>
  <c r="K86" i="12"/>
  <c r="L86" i="12"/>
  <c r="A87" i="12"/>
  <c r="B87" i="12"/>
  <c r="C87" i="12"/>
  <c r="D87" i="12"/>
  <c r="E87" i="12"/>
  <c r="F87" i="12"/>
  <c r="H87" i="12"/>
  <c r="I87" i="12"/>
  <c r="J87" i="12"/>
  <c r="K87" i="12"/>
  <c r="L87" i="12"/>
  <c r="A88" i="12"/>
  <c r="B88" i="12"/>
  <c r="C88" i="12"/>
  <c r="D88" i="12"/>
  <c r="E88" i="12"/>
  <c r="F88" i="12"/>
  <c r="C89" i="12"/>
  <c r="D89" i="12"/>
  <c r="E89" i="12"/>
  <c r="F89" i="12"/>
  <c r="C90" i="12"/>
  <c r="D90" i="12"/>
  <c r="E90" i="12"/>
  <c r="F90" i="12"/>
  <c r="A91" i="12"/>
  <c r="B91" i="12"/>
  <c r="C91" i="12"/>
  <c r="D91" i="12"/>
  <c r="E91" i="12"/>
  <c r="F91" i="12"/>
  <c r="I91" i="12"/>
  <c r="J91" i="12"/>
  <c r="K91" i="12"/>
  <c r="L91" i="12"/>
  <c r="A92" i="12"/>
  <c r="B92" i="12"/>
  <c r="C92" i="12"/>
  <c r="D92" i="12"/>
  <c r="E92" i="12"/>
  <c r="F92" i="12"/>
  <c r="I92" i="12"/>
  <c r="J92" i="12"/>
  <c r="K92" i="12"/>
  <c r="L92" i="12"/>
  <c r="A93" i="12"/>
  <c r="B93" i="12"/>
  <c r="C93" i="12"/>
  <c r="D93" i="12"/>
  <c r="E93" i="12"/>
  <c r="F93" i="12"/>
  <c r="I93" i="12"/>
  <c r="J93" i="12"/>
  <c r="K93" i="12"/>
  <c r="L93" i="12"/>
  <c r="A94" i="12"/>
  <c r="B94" i="12"/>
  <c r="C94" i="12"/>
  <c r="D94" i="12"/>
  <c r="E94" i="12"/>
  <c r="F94" i="12"/>
  <c r="I94" i="12"/>
  <c r="J94" i="12"/>
  <c r="K94" i="12"/>
  <c r="L94" i="12"/>
  <c r="A95" i="12"/>
  <c r="B95" i="12"/>
  <c r="C95" i="12"/>
  <c r="D95" i="12"/>
  <c r="E95" i="12"/>
  <c r="F95" i="12"/>
  <c r="I95" i="12"/>
  <c r="J95" i="12"/>
  <c r="K95" i="12"/>
  <c r="L95" i="12"/>
  <c r="A96" i="12"/>
  <c r="B96" i="12"/>
  <c r="C96" i="12"/>
  <c r="D96" i="12"/>
  <c r="E96" i="12"/>
  <c r="F96" i="12"/>
  <c r="I96" i="12"/>
  <c r="J96" i="12"/>
  <c r="K96" i="12"/>
  <c r="L96" i="12"/>
  <c r="A97" i="12"/>
  <c r="B97" i="12"/>
  <c r="C97" i="12"/>
  <c r="D97" i="12"/>
  <c r="E97" i="12"/>
  <c r="F97" i="12"/>
  <c r="I97" i="12"/>
  <c r="J97" i="12"/>
  <c r="K97" i="12"/>
  <c r="L97" i="12"/>
  <c r="A98" i="12"/>
  <c r="B98" i="12"/>
  <c r="C98" i="12"/>
  <c r="D98" i="12"/>
  <c r="E98" i="12"/>
  <c r="F98" i="12"/>
  <c r="I98" i="12"/>
  <c r="J98" i="12"/>
  <c r="K98" i="12"/>
  <c r="L98" i="12"/>
  <c r="A99" i="12"/>
  <c r="B99" i="12"/>
  <c r="C99" i="12"/>
  <c r="D99" i="12"/>
  <c r="E99" i="12"/>
  <c r="F99" i="12"/>
  <c r="H99" i="12"/>
  <c r="I99" i="12"/>
  <c r="J99" i="12"/>
  <c r="K99" i="12"/>
  <c r="L99" i="12"/>
  <c r="A100" i="12"/>
  <c r="B100" i="12"/>
  <c r="C100" i="12"/>
  <c r="D100" i="12"/>
  <c r="E100" i="12"/>
  <c r="F100" i="12"/>
  <c r="I100" i="12"/>
  <c r="J100" i="12"/>
  <c r="K100" i="12"/>
  <c r="L100" i="12"/>
  <c r="A101" i="12"/>
  <c r="B101" i="12"/>
  <c r="C101" i="12"/>
  <c r="D101" i="12"/>
  <c r="E101" i="12"/>
  <c r="F101" i="12"/>
  <c r="I101" i="12"/>
  <c r="J101" i="12"/>
  <c r="K101" i="12"/>
  <c r="L101" i="12"/>
  <c r="A102" i="12"/>
  <c r="B102" i="12"/>
  <c r="C102" i="12"/>
  <c r="D102" i="12"/>
  <c r="E102" i="12"/>
  <c r="F102" i="12"/>
  <c r="I102" i="12"/>
  <c r="J102" i="12"/>
  <c r="K102" i="12"/>
  <c r="L102" i="12"/>
  <c r="A103" i="12"/>
  <c r="B103" i="12"/>
  <c r="C103" i="12"/>
  <c r="D103" i="12"/>
  <c r="E103" i="12"/>
  <c r="F103" i="12"/>
  <c r="I103" i="12"/>
  <c r="J103" i="12"/>
  <c r="K103" i="12"/>
  <c r="L103" i="12"/>
  <c r="A104" i="12"/>
  <c r="B104" i="12"/>
  <c r="C104" i="12"/>
  <c r="D104" i="12"/>
  <c r="E104" i="12"/>
  <c r="F104" i="12"/>
  <c r="H104" i="12"/>
  <c r="I104" i="12"/>
  <c r="J104" i="12"/>
  <c r="K104" i="12"/>
  <c r="L104" i="12"/>
  <c r="A105" i="12"/>
  <c r="B105" i="12"/>
  <c r="C105" i="12"/>
  <c r="D105" i="12"/>
  <c r="E105" i="12"/>
  <c r="F105" i="12"/>
  <c r="H105" i="12"/>
  <c r="I105" i="12"/>
  <c r="J105" i="12"/>
  <c r="K105" i="12"/>
  <c r="L105" i="12"/>
  <c r="A106" i="12"/>
  <c r="B106" i="12"/>
  <c r="C106" i="12"/>
  <c r="D106" i="12"/>
  <c r="E106" i="12"/>
  <c r="F106" i="12"/>
  <c r="I106" i="12"/>
  <c r="J106" i="12"/>
  <c r="K106" i="12"/>
  <c r="L106" i="12"/>
  <c r="A107" i="12"/>
  <c r="B107" i="12"/>
  <c r="C107" i="12"/>
  <c r="D107" i="12"/>
  <c r="E107" i="12"/>
  <c r="F107" i="12"/>
  <c r="H107" i="12"/>
  <c r="I107" i="12"/>
  <c r="J107" i="12"/>
  <c r="K107" i="12"/>
  <c r="L107" i="12"/>
  <c r="A108" i="12"/>
  <c r="B108" i="12"/>
  <c r="C108" i="12"/>
  <c r="D108" i="12"/>
  <c r="E108" i="12"/>
  <c r="F108" i="12"/>
  <c r="H108" i="12"/>
  <c r="I108" i="12"/>
  <c r="J108" i="12"/>
  <c r="K108" i="12"/>
  <c r="L108" i="12"/>
  <c r="A109" i="12"/>
  <c r="B109" i="12"/>
  <c r="C109" i="12"/>
  <c r="D109" i="12"/>
  <c r="E109" i="12"/>
  <c r="F109" i="12"/>
  <c r="I109" i="12"/>
  <c r="J109" i="12"/>
  <c r="K109" i="12"/>
  <c r="L109" i="12"/>
  <c r="A110" i="12"/>
  <c r="B110" i="12"/>
  <c r="C110" i="12"/>
  <c r="D110" i="12"/>
  <c r="E110" i="12"/>
  <c r="F110" i="12"/>
  <c r="H110" i="12"/>
  <c r="I110" i="12"/>
  <c r="J110" i="12"/>
  <c r="K110" i="12"/>
  <c r="L110" i="12"/>
  <c r="A111" i="12"/>
  <c r="B111" i="12"/>
  <c r="C111" i="12"/>
  <c r="D111" i="12"/>
  <c r="E111" i="12"/>
  <c r="F111" i="12"/>
  <c r="H111" i="12"/>
  <c r="I111" i="12"/>
  <c r="J111" i="12"/>
  <c r="K111" i="12"/>
  <c r="L111" i="12"/>
  <c r="A112" i="12"/>
  <c r="B112" i="12"/>
  <c r="C112" i="12"/>
  <c r="D112" i="12"/>
  <c r="E112" i="12"/>
  <c r="F112" i="12"/>
  <c r="I112" i="12"/>
  <c r="J112" i="12"/>
  <c r="K112" i="12"/>
  <c r="L112" i="12"/>
  <c r="A113" i="12"/>
  <c r="B113" i="12"/>
  <c r="C113" i="12"/>
  <c r="D113" i="12"/>
  <c r="E113" i="12"/>
  <c r="F113" i="12"/>
  <c r="H113" i="12"/>
  <c r="I113" i="12"/>
  <c r="J113" i="12"/>
  <c r="K113" i="12"/>
  <c r="L113" i="12"/>
  <c r="A114" i="12"/>
  <c r="B114" i="12"/>
  <c r="C114" i="12"/>
  <c r="D114" i="12"/>
  <c r="E114" i="12"/>
  <c r="F114" i="12"/>
  <c r="H114" i="12"/>
  <c r="I114" i="12"/>
  <c r="J114" i="12"/>
  <c r="K114" i="12"/>
  <c r="L114" i="12"/>
  <c r="A115" i="12"/>
  <c r="B115" i="12"/>
  <c r="C115" i="12"/>
  <c r="D115" i="12"/>
  <c r="E115" i="12"/>
  <c r="F115" i="12"/>
  <c r="I115" i="12"/>
  <c r="J115" i="12"/>
  <c r="K115" i="12"/>
  <c r="L115" i="12"/>
  <c r="A116" i="12"/>
  <c r="B116" i="12"/>
  <c r="C116" i="12"/>
  <c r="D116" i="12"/>
  <c r="E116" i="12"/>
  <c r="F116" i="12"/>
  <c r="H116" i="12"/>
  <c r="I116" i="12"/>
  <c r="J116" i="12"/>
  <c r="K116" i="12"/>
  <c r="L116" i="12"/>
  <c r="A117" i="12"/>
  <c r="B117" i="12"/>
  <c r="C117" i="12"/>
  <c r="D117" i="12"/>
  <c r="E117" i="12"/>
  <c r="F117" i="12"/>
  <c r="H117" i="12"/>
  <c r="I117" i="12"/>
  <c r="J117" i="12"/>
  <c r="K117" i="12"/>
  <c r="L117" i="12"/>
  <c r="A118" i="12"/>
  <c r="B118" i="12"/>
  <c r="C118" i="12"/>
  <c r="D118" i="12"/>
  <c r="E118" i="12"/>
  <c r="F118" i="12"/>
  <c r="I118" i="12"/>
  <c r="J118" i="12"/>
  <c r="K118" i="12"/>
  <c r="L118" i="12"/>
  <c r="A119" i="12"/>
  <c r="B119" i="12"/>
  <c r="C119" i="12"/>
  <c r="D119" i="12"/>
  <c r="E119" i="12"/>
  <c r="F119" i="12"/>
  <c r="H119" i="12"/>
  <c r="I119" i="12"/>
  <c r="J119" i="12"/>
  <c r="K119" i="12"/>
  <c r="L119" i="12"/>
  <c r="A120" i="12"/>
  <c r="B120" i="12"/>
  <c r="C120" i="12"/>
  <c r="D120" i="12"/>
  <c r="E120" i="12"/>
  <c r="F120" i="12"/>
  <c r="H120" i="12"/>
  <c r="I120" i="12"/>
  <c r="J120" i="12"/>
  <c r="K120" i="12"/>
  <c r="L120" i="12"/>
  <c r="A121" i="12"/>
  <c r="B121" i="12"/>
  <c r="C121" i="12"/>
  <c r="D121" i="12"/>
  <c r="E121" i="12"/>
  <c r="F121" i="12"/>
  <c r="I121" i="12"/>
  <c r="J121" i="12"/>
  <c r="K121" i="12"/>
  <c r="L121" i="12"/>
  <c r="A122" i="12"/>
  <c r="B122" i="12"/>
  <c r="C122" i="12"/>
  <c r="D122" i="12"/>
  <c r="E122" i="12"/>
  <c r="F122" i="12"/>
  <c r="H122" i="12"/>
  <c r="I122" i="12"/>
  <c r="J122" i="12"/>
  <c r="K122" i="12"/>
  <c r="L122" i="12"/>
  <c r="A123" i="12"/>
  <c r="B123" i="12"/>
  <c r="C123" i="12"/>
  <c r="D123" i="12"/>
  <c r="E123" i="12"/>
  <c r="F123" i="12"/>
  <c r="H123" i="12"/>
  <c r="I123" i="12"/>
  <c r="J123" i="12"/>
  <c r="K123" i="12"/>
  <c r="L123" i="12"/>
  <c r="A124" i="12"/>
  <c r="B124" i="12"/>
  <c r="C124" i="12"/>
  <c r="D124" i="12"/>
  <c r="E124" i="12"/>
  <c r="F124" i="12"/>
  <c r="I124" i="12"/>
  <c r="J124" i="12"/>
  <c r="K124" i="12"/>
  <c r="L124" i="12"/>
  <c r="A125" i="12"/>
  <c r="B125" i="12"/>
  <c r="C125" i="12"/>
  <c r="D125" i="12"/>
  <c r="E125" i="12"/>
  <c r="F125" i="12"/>
  <c r="I125" i="12"/>
  <c r="J125" i="12"/>
  <c r="K125" i="12"/>
  <c r="L125" i="12"/>
  <c r="A126" i="12"/>
  <c r="B126" i="12"/>
  <c r="C126" i="12"/>
  <c r="D126" i="12"/>
  <c r="E126" i="12"/>
  <c r="F126" i="12"/>
  <c r="H126" i="12"/>
  <c r="I126" i="12"/>
  <c r="J126" i="12"/>
  <c r="K126" i="12"/>
  <c r="L126" i="12"/>
  <c r="A127" i="12"/>
  <c r="B127" i="12"/>
  <c r="C127" i="12"/>
  <c r="D127" i="12"/>
  <c r="E127" i="12"/>
  <c r="F127" i="12"/>
  <c r="I127" i="12"/>
  <c r="J127" i="12"/>
  <c r="K127" i="12"/>
  <c r="L127" i="12"/>
  <c r="A128" i="12"/>
  <c r="B128" i="12"/>
  <c r="C128" i="12"/>
  <c r="D128" i="12"/>
  <c r="E128" i="12"/>
  <c r="F128" i="12"/>
  <c r="H128" i="12"/>
  <c r="I128" i="12"/>
  <c r="J128" i="12"/>
  <c r="K128" i="12"/>
  <c r="L128" i="12"/>
  <c r="A129" i="12"/>
  <c r="B129" i="12"/>
  <c r="C129" i="12"/>
  <c r="D129" i="12"/>
  <c r="E129" i="12"/>
  <c r="F129" i="12"/>
  <c r="H129" i="12"/>
  <c r="I129" i="12"/>
  <c r="J129" i="12"/>
  <c r="K129" i="12"/>
  <c r="L129" i="12"/>
  <c r="A130" i="12"/>
  <c r="B130" i="12"/>
  <c r="C130" i="12"/>
  <c r="D130" i="12"/>
  <c r="E130" i="12"/>
  <c r="F130" i="12"/>
  <c r="I130" i="12"/>
  <c r="J130" i="12"/>
  <c r="K130" i="12"/>
  <c r="L130" i="12"/>
  <c r="A131" i="12"/>
  <c r="B131" i="12"/>
  <c r="C131" i="12"/>
  <c r="D131" i="12"/>
  <c r="E131" i="12"/>
  <c r="F131" i="12"/>
  <c r="I131" i="12"/>
  <c r="J131" i="12"/>
  <c r="K131" i="12"/>
  <c r="L131" i="12"/>
  <c r="A132" i="12"/>
  <c r="B132" i="12"/>
  <c r="C132" i="12"/>
  <c r="D132" i="12"/>
  <c r="E132" i="12"/>
  <c r="F132" i="12"/>
  <c r="H132" i="12"/>
  <c r="I132" i="12"/>
  <c r="J132" i="12"/>
  <c r="K132" i="12"/>
  <c r="L132" i="12"/>
  <c r="A133" i="12"/>
  <c r="B133" i="12"/>
  <c r="C133" i="12"/>
  <c r="D133" i="12"/>
  <c r="E133" i="12"/>
  <c r="F133" i="12"/>
  <c r="I133" i="12"/>
  <c r="J133" i="12"/>
  <c r="K133" i="12"/>
  <c r="L133" i="12"/>
  <c r="A134" i="12"/>
  <c r="B134" i="12"/>
  <c r="C134" i="12"/>
  <c r="D134" i="12"/>
  <c r="E134" i="12"/>
  <c r="F134" i="12"/>
  <c r="H134" i="12"/>
  <c r="I134" i="12"/>
  <c r="J134" i="12"/>
  <c r="K134" i="12"/>
  <c r="L134" i="12"/>
  <c r="A135" i="12"/>
  <c r="B135" i="12"/>
  <c r="C135" i="12"/>
  <c r="D135" i="12"/>
  <c r="E135" i="12"/>
  <c r="F135" i="12"/>
  <c r="I135" i="12"/>
  <c r="J135" i="12"/>
  <c r="K135" i="12"/>
  <c r="L135" i="12"/>
  <c r="A136" i="12"/>
  <c r="B136" i="12"/>
  <c r="C136" i="12"/>
  <c r="D136" i="12"/>
  <c r="E136" i="12"/>
  <c r="F136" i="12"/>
  <c r="I136" i="12"/>
  <c r="J136" i="12"/>
  <c r="K136" i="12"/>
  <c r="L136" i="12"/>
  <c r="A137" i="12"/>
  <c r="B137" i="12"/>
  <c r="C137" i="12"/>
  <c r="D137" i="12"/>
  <c r="E137" i="12"/>
  <c r="F137" i="12"/>
  <c r="H137" i="12"/>
  <c r="I137" i="12"/>
  <c r="J137" i="12"/>
  <c r="K137" i="12"/>
  <c r="L137" i="12"/>
  <c r="A138" i="12"/>
  <c r="B138" i="12"/>
  <c r="C138" i="12"/>
  <c r="D138" i="12"/>
  <c r="E138" i="12"/>
  <c r="F138" i="12"/>
  <c r="I138" i="12"/>
  <c r="J138" i="12"/>
  <c r="K138" i="12"/>
  <c r="L138" i="12"/>
  <c r="A139" i="12"/>
  <c r="B139" i="12"/>
  <c r="C139" i="12"/>
  <c r="D139" i="12"/>
  <c r="E139" i="12"/>
  <c r="F139" i="12"/>
  <c r="I139" i="12"/>
  <c r="J139" i="12"/>
  <c r="K139" i="12"/>
  <c r="L139" i="12"/>
  <c r="A140" i="12"/>
  <c r="B140" i="12"/>
  <c r="C140" i="12"/>
  <c r="D140" i="12"/>
  <c r="E140" i="12"/>
  <c r="F140" i="12"/>
  <c r="H140" i="12"/>
  <c r="I140" i="12"/>
  <c r="J140" i="12"/>
  <c r="K140" i="12"/>
  <c r="L140" i="12"/>
  <c r="A141" i="12"/>
  <c r="B141" i="12"/>
  <c r="C141" i="12"/>
  <c r="D141" i="12"/>
  <c r="E141" i="12"/>
  <c r="F141" i="12"/>
  <c r="I141" i="12"/>
  <c r="J141" i="12"/>
  <c r="K141" i="12"/>
  <c r="L141" i="12"/>
  <c r="A142" i="12"/>
  <c r="B142" i="12"/>
  <c r="C142" i="12"/>
  <c r="D142" i="12"/>
  <c r="E142" i="12"/>
  <c r="F142" i="12"/>
  <c r="I142" i="12"/>
  <c r="J142" i="12"/>
  <c r="K142" i="12"/>
  <c r="L142" i="12"/>
  <c r="A143" i="12"/>
  <c r="B143" i="12"/>
  <c r="C143" i="12"/>
  <c r="D143" i="12"/>
  <c r="E143" i="12"/>
  <c r="F143" i="12"/>
  <c r="H143" i="12"/>
  <c r="I143" i="12"/>
  <c r="J143" i="12"/>
  <c r="K143" i="12"/>
  <c r="L143" i="12"/>
  <c r="A144" i="12"/>
  <c r="B144" i="12"/>
  <c r="C144" i="12"/>
  <c r="D144" i="12"/>
  <c r="E144" i="12"/>
  <c r="F144" i="12"/>
  <c r="I144" i="12"/>
  <c r="J144" i="12"/>
  <c r="K144" i="12"/>
  <c r="L144" i="12"/>
  <c r="A145" i="12"/>
  <c r="B145" i="12"/>
  <c r="C145" i="12"/>
  <c r="D145" i="12"/>
  <c r="E145" i="12"/>
  <c r="F145" i="12"/>
  <c r="I145" i="12"/>
  <c r="J145" i="12"/>
  <c r="K145" i="12"/>
  <c r="L145" i="12"/>
  <c r="A146" i="12"/>
  <c r="B146" i="12"/>
  <c r="C146" i="12"/>
  <c r="D146" i="12"/>
  <c r="E146" i="12"/>
  <c r="F146" i="12"/>
  <c r="H146" i="12"/>
  <c r="I146" i="12"/>
  <c r="J146" i="12"/>
  <c r="K146" i="12"/>
  <c r="L146" i="12"/>
  <c r="A147" i="12"/>
  <c r="B147" i="12"/>
  <c r="C147" i="12"/>
  <c r="D147" i="12"/>
  <c r="E147" i="12"/>
  <c r="F147" i="12"/>
  <c r="I147" i="12"/>
  <c r="J147" i="12"/>
  <c r="K147" i="12"/>
  <c r="L147" i="12"/>
  <c r="A148" i="12"/>
  <c r="B148" i="12"/>
  <c r="C148" i="12"/>
  <c r="D148" i="12"/>
  <c r="E148" i="12"/>
  <c r="F148" i="12"/>
  <c r="I148" i="12"/>
  <c r="J148" i="12"/>
  <c r="K148" i="12"/>
  <c r="L148" i="12"/>
  <c r="A149" i="12"/>
  <c r="B149" i="12"/>
  <c r="C149" i="12"/>
  <c r="D149" i="12"/>
  <c r="E149" i="12"/>
  <c r="F149" i="12"/>
  <c r="H149" i="12"/>
  <c r="I149" i="12"/>
  <c r="J149" i="12"/>
  <c r="K149" i="12"/>
  <c r="L149" i="12"/>
  <c r="A150" i="12"/>
  <c r="B150" i="12"/>
  <c r="C150" i="12"/>
  <c r="D150" i="12"/>
  <c r="E150" i="12"/>
  <c r="F150" i="12"/>
  <c r="I150" i="12"/>
  <c r="J150" i="12"/>
  <c r="K150" i="12"/>
  <c r="L150" i="12"/>
  <c r="A151" i="12"/>
  <c r="B151" i="12"/>
  <c r="C151" i="12"/>
  <c r="D151" i="12"/>
  <c r="E151" i="12"/>
  <c r="F151" i="12"/>
  <c r="I151" i="12"/>
  <c r="J151" i="12"/>
  <c r="K151" i="12"/>
  <c r="L151" i="12"/>
  <c r="A152" i="12"/>
  <c r="B152" i="12"/>
  <c r="C152" i="12"/>
  <c r="D152" i="12"/>
  <c r="E152" i="12"/>
  <c r="F152" i="12"/>
  <c r="H152" i="12"/>
  <c r="I152" i="12"/>
  <c r="J152" i="12"/>
  <c r="K152" i="12"/>
  <c r="L152" i="12"/>
  <c r="A153" i="12"/>
  <c r="B153" i="12"/>
  <c r="C153" i="12"/>
  <c r="D153" i="12"/>
  <c r="E153" i="12"/>
  <c r="F153" i="12"/>
  <c r="I153" i="12"/>
  <c r="J153" i="12"/>
  <c r="K153" i="12"/>
  <c r="L153" i="12"/>
  <c r="A154" i="12"/>
  <c r="B154" i="12"/>
  <c r="C154" i="12"/>
  <c r="D154" i="12"/>
  <c r="E154" i="12"/>
  <c r="F154" i="12"/>
  <c r="I154" i="12"/>
  <c r="J154" i="12"/>
  <c r="K154" i="12"/>
  <c r="L154" i="12"/>
  <c r="A155" i="12"/>
  <c r="B155" i="12"/>
  <c r="C155" i="12"/>
  <c r="D155" i="12"/>
  <c r="E155" i="12"/>
  <c r="F155" i="12"/>
  <c r="H155" i="12"/>
  <c r="I155" i="12"/>
  <c r="J155" i="12"/>
  <c r="K155" i="12"/>
  <c r="L155" i="12"/>
  <c r="A156" i="12"/>
  <c r="B156" i="12"/>
  <c r="C156" i="12"/>
  <c r="D156" i="12"/>
  <c r="E156" i="12"/>
  <c r="F156" i="12"/>
  <c r="I156" i="12"/>
  <c r="J156" i="12"/>
  <c r="K156" i="12"/>
  <c r="L156" i="12"/>
  <c r="A157" i="12"/>
  <c r="B157" i="12"/>
  <c r="C157" i="12"/>
  <c r="D157" i="12"/>
  <c r="E157" i="12"/>
  <c r="F157" i="12"/>
  <c r="I157" i="12"/>
  <c r="J157" i="12"/>
  <c r="K157" i="12"/>
  <c r="L157" i="12"/>
  <c r="A158" i="12"/>
  <c r="B158" i="12"/>
  <c r="C158" i="12"/>
  <c r="D158" i="12"/>
  <c r="E158" i="12"/>
  <c r="F158" i="12"/>
  <c r="H158" i="12"/>
  <c r="I158" i="12"/>
  <c r="J158" i="12"/>
  <c r="K158" i="12"/>
  <c r="L158" i="12"/>
  <c r="A159" i="12"/>
  <c r="B159" i="12"/>
  <c r="C159" i="12"/>
  <c r="D159" i="12"/>
  <c r="E159" i="12"/>
  <c r="F159" i="12"/>
  <c r="I159" i="12"/>
  <c r="J159" i="12"/>
  <c r="K159" i="12"/>
  <c r="L159" i="12"/>
  <c r="A160" i="12"/>
  <c r="B160" i="12"/>
  <c r="C160" i="12"/>
  <c r="D160" i="12"/>
  <c r="E160" i="12"/>
  <c r="F160" i="12"/>
  <c r="J160" i="12"/>
  <c r="K160" i="12"/>
  <c r="L160" i="12"/>
  <c r="C161" i="12"/>
  <c r="D161" i="12"/>
  <c r="E161" i="12"/>
  <c r="F161" i="12"/>
  <c r="J161" i="12"/>
  <c r="K161" i="12"/>
  <c r="L161" i="12"/>
  <c r="C162" i="12"/>
  <c r="D162" i="12"/>
  <c r="E162" i="12"/>
  <c r="F162" i="12"/>
  <c r="J162" i="12"/>
  <c r="K162" i="12"/>
  <c r="L162" i="12"/>
  <c r="A163" i="12"/>
  <c r="B163" i="12"/>
  <c r="C163" i="12"/>
  <c r="D163" i="12"/>
  <c r="E163" i="12"/>
  <c r="F163" i="12"/>
  <c r="I163" i="12"/>
  <c r="J163" i="12"/>
  <c r="K163" i="12"/>
  <c r="L163" i="12"/>
  <c r="C164" i="12"/>
  <c r="D164" i="12"/>
  <c r="E164" i="12"/>
  <c r="F164" i="12"/>
  <c r="H164" i="12"/>
  <c r="I164" i="12"/>
  <c r="J164" i="12"/>
  <c r="K164" i="12"/>
  <c r="L164" i="12"/>
  <c r="C165" i="12"/>
  <c r="D165" i="12"/>
  <c r="E165" i="12"/>
  <c r="F165" i="12"/>
  <c r="H165" i="12"/>
  <c r="I165" i="12"/>
  <c r="J165" i="12"/>
  <c r="K165" i="12"/>
  <c r="L165" i="12"/>
  <c r="A166" i="12"/>
  <c r="B166" i="12"/>
  <c r="C166" i="12"/>
  <c r="D166" i="12"/>
  <c r="E166" i="12"/>
  <c r="F166" i="12"/>
  <c r="J166" i="12"/>
  <c r="K166" i="12"/>
  <c r="L166" i="12"/>
  <c r="A167" i="12"/>
  <c r="B167" i="12"/>
  <c r="C167" i="12"/>
  <c r="D167" i="12"/>
  <c r="E167" i="12"/>
  <c r="F167" i="12"/>
  <c r="H167" i="12"/>
  <c r="I167" i="12"/>
  <c r="J167" i="12"/>
  <c r="K167" i="12"/>
  <c r="L167" i="12"/>
  <c r="A168" i="12"/>
  <c r="B168" i="12"/>
  <c r="C168" i="12"/>
  <c r="D168" i="12"/>
  <c r="E168" i="12"/>
  <c r="F168" i="12"/>
  <c r="J168" i="12"/>
  <c r="K168" i="12"/>
  <c r="L168" i="12"/>
  <c r="A169" i="12"/>
  <c r="B169" i="12"/>
  <c r="C169" i="12"/>
  <c r="D169" i="12"/>
  <c r="E169" i="12"/>
  <c r="F169" i="12"/>
  <c r="J169" i="12"/>
  <c r="K169" i="12"/>
  <c r="L169" i="12"/>
  <c r="A170" i="12"/>
  <c r="B170" i="12"/>
  <c r="C170" i="12"/>
  <c r="D170" i="12"/>
  <c r="E170" i="12"/>
  <c r="F170" i="12"/>
  <c r="H170" i="12"/>
  <c r="I170" i="12"/>
  <c r="J170" i="12"/>
  <c r="K170" i="12"/>
  <c r="L170" i="12"/>
  <c r="A171" i="12"/>
  <c r="B171" i="12"/>
  <c r="C171" i="12"/>
  <c r="D171" i="12"/>
  <c r="E171" i="12"/>
  <c r="F171" i="12"/>
  <c r="H171" i="12"/>
  <c r="J171" i="12"/>
  <c r="K171" i="12"/>
  <c r="L171" i="12"/>
  <c r="A172" i="12"/>
  <c r="B172" i="12"/>
  <c r="C172" i="12"/>
  <c r="D172" i="12"/>
  <c r="E172" i="12"/>
  <c r="F172" i="12"/>
  <c r="I172" i="12"/>
  <c r="J172" i="12"/>
  <c r="K172" i="12"/>
  <c r="L172" i="12"/>
  <c r="A173" i="12"/>
  <c r="C173" i="12"/>
  <c r="D173" i="12"/>
  <c r="E173" i="12"/>
  <c r="F173" i="12"/>
  <c r="I173" i="12"/>
  <c r="J173" i="12"/>
  <c r="K173" i="12"/>
  <c r="L173" i="12"/>
  <c r="A174" i="12"/>
  <c r="C174" i="12"/>
  <c r="D174" i="12"/>
  <c r="E174" i="12"/>
  <c r="F174" i="12"/>
  <c r="I174" i="12"/>
  <c r="J174" i="12"/>
  <c r="K174" i="12"/>
  <c r="L174" i="12"/>
  <c r="A175" i="12"/>
  <c r="B175" i="12"/>
  <c r="C175" i="12"/>
  <c r="D175" i="12"/>
  <c r="E175" i="12"/>
  <c r="F175" i="12"/>
  <c r="I175" i="12"/>
  <c r="J175" i="12"/>
  <c r="K175" i="12"/>
  <c r="L175" i="12"/>
  <c r="A176" i="12"/>
  <c r="B176" i="12"/>
  <c r="C176" i="12"/>
  <c r="D176" i="12"/>
  <c r="E176" i="12"/>
  <c r="F176" i="12"/>
  <c r="I176" i="12"/>
  <c r="J176" i="12"/>
  <c r="K176" i="12"/>
  <c r="L176" i="12"/>
  <c r="A177" i="12"/>
  <c r="B177" i="12"/>
  <c r="C177" i="12"/>
  <c r="D177" i="12"/>
  <c r="E177" i="12"/>
  <c r="F177" i="12"/>
  <c r="I177" i="12"/>
  <c r="J177" i="12"/>
  <c r="K177" i="12"/>
  <c r="L177" i="12"/>
  <c r="A178" i="12"/>
  <c r="B178" i="12"/>
  <c r="C178" i="12"/>
  <c r="D178" i="12"/>
  <c r="E178" i="12"/>
  <c r="F178" i="12"/>
  <c r="I178" i="12"/>
  <c r="J178" i="12"/>
  <c r="K178" i="12"/>
  <c r="L178" i="12"/>
  <c r="A179" i="12"/>
  <c r="B179" i="12"/>
  <c r="C179" i="12"/>
  <c r="D179" i="12"/>
  <c r="E179" i="12"/>
  <c r="F179" i="12"/>
  <c r="I179" i="12"/>
  <c r="J179" i="12"/>
  <c r="K179" i="12"/>
  <c r="L179" i="12"/>
  <c r="A180" i="12"/>
  <c r="B180" i="12"/>
  <c r="C180" i="12"/>
  <c r="D180" i="12"/>
  <c r="E180" i="12"/>
  <c r="F180" i="12"/>
  <c r="I180" i="12"/>
  <c r="J180" i="12"/>
  <c r="K180" i="12"/>
  <c r="L180" i="12"/>
  <c r="A181" i="12"/>
  <c r="B181" i="12"/>
  <c r="C181" i="12"/>
  <c r="D181" i="12"/>
  <c r="E181" i="12"/>
  <c r="F181" i="12"/>
  <c r="H181" i="12"/>
  <c r="I181" i="12"/>
  <c r="J181" i="12"/>
  <c r="K181" i="12"/>
  <c r="L181" i="12"/>
  <c r="A182" i="12"/>
  <c r="B182" i="12"/>
  <c r="C182" i="12"/>
  <c r="D182" i="12"/>
  <c r="E182" i="12"/>
  <c r="F182" i="12"/>
  <c r="H182" i="12"/>
  <c r="I182" i="12"/>
  <c r="J182" i="12"/>
  <c r="K182" i="12"/>
  <c r="L182" i="12"/>
  <c r="A183" i="12"/>
  <c r="B183" i="12"/>
  <c r="C183" i="12"/>
  <c r="D183" i="12"/>
  <c r="E183" i="12"/>
  <c r="F183" i="12"/>
  <c r="H183" i="12"/>
  <c r="I183" i="12"/>
  <c r="J183" i="12"/>
  <c r="K183" i="12"/>
  <c r="L183" i="12"/>
  <c r="A184" i="12"/>
  <c r="B184" i="12"/>
  <c r="C184" i="12"/>
  <c r="D184" i="12"/>
  <c r="E184" i="12"/>
  <c r="F184" i="12"/>
  <c r="I184" i="12"/>
  <c r="J184" i="12"/>
  <c r="K184" i="12"/>
  <c r="L184" i="12"/>
  <c r="A185" i="12"/>
  <c r="B185" i="12"/>
  <c r="C185" i="12"/>
  <c r="D185" i="12"/>
  <c r="E185" i="12"/>
  <c r="F185" i="12"/>
  <c r="I185" i="12"/>
  <c r="J185" i="12"/>
  <c r="K185" i="12"/>
  <c r="L185" i="12"/>
  <c r="A186" i="12"/>
  <c r="B186" i="12"/>
  <c r="C186" i="12"/>
  <c r="D186" i="12"/>
  <c r="E186" i="12"/>
  <c r="F186" i="12"/>
  <c r="I186" i="12"/>
  <c r="J186" i="12"/>
  <c r="K186" i="12"/>
  <c r="L186" i="12"/>
  <c r="A187" i="12"/>
  <c r="B187" i="12"/>
  <c r="C187" i="12"/>
  <c r="D187" i="12"/>
  <c r="E187" i="12"/>
  <c r="F187" i="12"/>
  <c r="I187" i="12"/>
  <c r="J187" i="12"/>
  <c r="K187" i="12"/>
  <c r="L187" i="12"/>
  <c r="A188" i="12"/>
  <c r="B188" i="12"/>
  <c r="C188" i="12"/>
  <c r="D188" i="12"/>
  <c r="E188" i="12"/>
  <c r="F188" i="12"/>
  <c r="I188" i="12"/>
  <c r="J188" i="12"/>
  <c r="K188" i="12"/>
  <c r="L188" i="12"/>
  <c r="A189" i="12"/>
  <c r="B189" i="12"/>
  <c r="C189" i="12"/>
  <c r="D189" i="12"/>
  <c r="E189" i="12"/>
  <c r="F189" i="12"/>
  <c r="H189" i="12"/>
  <c r="I189" i="12"/>
  <c r="J189" i="12"/>
  <c r="K189" i="12"/>
  <c r="L189" i="12"/>
  <c r="A190" i="12"/>
  <c r="B190" i="12"/>
  <c r="C190" i="12"/>
  <c r="D190" i="12"/>
  <c r="E190" i="12"/>
  <c r="F190" i="12"/>
  <c r="I190" i="12"/>
  <c r="J190" i="12"/>
  <c r="K190" i="12"/>
  <c r="L190" i="12"/>
  <c r="A191" i="12"/>
  <c r="C191" i="12"/>
  <c r="D191" i="12"/>
  <c r="E191" i="12"/>
  <c r="F191" i="12"/>
  <c r="I191" i="12"/>
  <c r="J191" i="12"/>
  <c r="K191" i="12"/>
  <c r="L191" i="12"/>
  <c r="A192" i="12"/>
  <c r="C192" i="12"/>
  <c r="D192" i="12"/>
  <c r="E192" i="12"/>
  <c r="F192" i="12"/>
  <c r="I192" i="12"/>
  <c r="J192" i="12"/>
  <c r="K192" i="12"/>
  <c r="L192" i="12"/>
  <c r="A193" i="12"/>
  <c r="B193" i="12"/>
  <c r="C193" i="12"/>
  <c r="D193" i="12"/>
  <c r="E193" i="12"/>
  <c r="F193" i="12"/>
  <c r="I193" i="12"/>
  <c r="J193" i="12"/>
  <c r="K193" i="12"/>
  <c r="L193" i="12"/>
  <c r="A194" i="12"/>
  <c r="B194" i="12"/>
  <c r="C194" i="12"/>
  <c r="D194" i="12"/>
  <c r="E194" i="12"/>
  <c r="F194" i="12"/>
  <c r="H194" i="12"/>
  <c r="I194" i="12"/>
  <c r="J194" i="12"/>
  <c r="K194" i="12"/>
  <c r="L194" i="12"/>
  <c r="A195" i="12"/>
  <c r="B195" i="12"/>
  <c r="C195" i="12"/>
  <c r="D195" i="12"/>
  <c r="E195" i="12"/>
  <c r="F195" i="12"/>
  <c r="I195" i="12"/>
  <c r="J195" i="12"/>
  <c r="K195" i="12"/>
  <c r="L195" i="12"/>
  <c r="A196" i="12"/>
  <c r="B196" i="12"/>
  <c r="C196" i="12"/>
  <c r="D196" i="12"/>
  <c r="E196" i="12"/>
  <c r="F196" i="12"/>
  <c r="J196" i="12"/>
  <c r="K196" i="12"/>
  <c r="L196" i="12"/>
  <c r="A197" i="12"/>
  <c r="C197" i="12"/>
  <c r="D197" i="12"/>
  <c r="E197" i="12"/>
  <c r="F197" i="12"/>
  <c r="J197" i="12"/>
  <c r="K197" i="12"/>
  <c r="L197" i="12"/>
  <c r="A198" i="12"/>
  <c r="C198" i="12"/>
  <c r="D198" i="12"/>
  <c r="E198" i="12"/>
  <c r="F198" i="12"/>
  <c r="J198" i="12"/>
  <c r="K198" i="12"/>
  <c r="L198" i="12"/>
  <c r="A199" i="12"/>
  <c r="B199" i="12"/>
  <c r="C199" i="12"/>
  <c r="D199" i="12"/>
  <c r="E199" i="12"/>
  <c r="F199" i="12"/>
  <c r="J199" i="12"/>
  <c r="K199" i="12"/>
  <c r="L199" i="12"/>
  <c r="A200" i="12"/>
  <c r="B200" i="12"/>
  <c r="C200" i="12"/>
  <c r="D200" i="12"/>
  <c r="E200" i="12"/>
  <c r="F200" i="12"/>
  <c r="H200" i="12"/>
  <c r="I200" i="12"/>
  <c r="J200" i="12"/>
  <c r="K200" i="12"/>
  <c r="L200" i="12"/>
  <c r="A201" i="12"/>
  <c r="B201" i="12"/>
  <c r="C201" i="12"/>
  <c r="D201" i="12"/>
  <c r="E201" i="12"/>
  <c r="F201" i="12"/>
  <c r="J201" i="12"/>
  <c r="K201" i="12"/>
  <c r="L201" i="12"/>
  <c r="A202" i="12"/>
  <c r="B202" i="12"/>
  <c r="C202" i="12"/>
  <c r="D202" i="12"/>
  <c r="E202" i="12"/>
  <c r="F202" i="12"/>
  <c r="K202" i="12"/>
  <c r="L202" i="12"/>
  <c r="A203" i="12"/>
  <c r="C203" i="12"/>
  <c r="D203" i="12"/>
  <c r="E203" i="12"/>
  <c r="F203" i="12"/>
  <c r="K203" i="12"/>
  <c r="L203" i="12"/>
  <c r="A204" i="12"/>
  <c r="C204" i="12"/>
  <c r="D204" i="12"/>
  <c r="E204" i="12"/>
  <c r="F204" i="12"/>
  <c r="K204" i="12"/>
  <c r="L204" i="12"/>
  <c r="A205" i="12"/>
  <c r="B205" i="12"/>
  <c r="C205" i="12"/>
  <c r="D205" i="12"/>
  <c r="E205" i="12"/>
  <c r="F205" i="12"/>
  <c r="I205" i="12"/>
  <c r="J205" i="12"/>
  <c r="K205" i="12"/>
  <c r="L205" i="12"/>
  <c r="A206" i="12"/>
  <c r="B206" i="12"/>
  <c r="C206" i="12"/>
  <c r="D206" i="12"/>
  <c r="E206" i="12"/>
  <c r="F206" i="12"/>
  <c r="I206" i="12"/>
  <c r="J206" i="12"/>
  <c r="K206" i="12"/>
  <c r="L206" i="12"/>
  <c r="A207" i="12"/>
  <c r="B207" i="12"/>
  <c r="C207" i="12"/>
  <c r="D207" i="12"/>
  <c r="E207" i="12"/>
  <c r="F207" i="12"/>
  <c r="I207" i="12"/>
  <c r="J207" i="12"/>
  <c r="K207" i="12"/>
  <c r="L207" i="12"/>
  <c r="A208" i="12"/>
  <c r="B208" i="12"/>
  <c r="C208" i="12"/>
  <c r="D208" i="12"/>
  <c r="E208" i="12"/>
  <c r="F208" i="12"/>
  <c r="I208" i="12"/>
  <c r="J208" i="12"/>
  <c r="K208" i="12"/>
  <c r="L208" i="12"/>
  <c r="A209" i="12"/>
  <c r="B209" i="12"/>
  <c r="C209" i="12"/>
  <c r="D209" i="12"/>
  <c r="E209" i="12"/>
  <c r="F209" i="12"/>
  <c r="I209" i="12"/>
  <c r="J209" i="12"/>
  <c r="K209" i="12"/>
  <c r="L209" i="12"/>
  <c r="A210" i="12"/>
  <c r="B210" i="12"/>
  <c r="C210" i="12"/>
  <c r="D210" i="12"/>
  <c r="E210" i="12"/>
  <c r="F210" i="12"/>
  <c r="I210" i="12"/>
  <c r="J210" i="12"/>
  <c r="K210" i="12"/>
  <c r="L210" i="12"/>
  <c r="A211" i="12"/>
  <c r="B211" i="12"/>
  <c r="C211" i="12"/>
  <c r="D211" i="12"/>
  <c r="E211" i="12"/>
  <c r="F211" i="12"/>
  <c r="I211" i="12"/>
  <c r="J211" i="12"/>
  <c r="K211" i="12"/>
  <c r="L211" i="12"/>
  <c r="A212" i="12"/>
  <c r="B212" i="12"/>
  <c r="C212" i="12"/>
  <c r="D212" i="12"/>
  <c r="E212" i="12"/>
  <c r="F212" i="12"/>
  <c r="H212" i="12"/>
  <c r="I212" i="12"/>
  <c r="J212" i="12"/>
  <c r="K212" i="12"/>
  <c r="L212" i="12"/>
  <c r="A213" i="12"/>
  <c r="B213" i="12"/>
  <c r="C213" i="12"/>
  <c r="D213" i="12"/>
  <c r="E213" i="12"/>
  <c r="F213" i="12"/>
  <c r="H213" i="12"/>
  <c r="I213" i="12"/>
  <c r="J213" i="12"/>
  <c r="K213" i="12"/>
  <c r="L213" i="12"/>
  <c r="A214" i="12"/>
  <c r="B214" i="12"/>
  <c r="C214" i="12"/>
  <c r="D214" i="12"/>
  <c r="E214" i="12"/>
  <c r="F214" i="12"/>
  <c r="I214" i="12"/>
  <c r="J214" i="12"/>
  <c r="K214" i="12"/>
  <c r="L214" i="12"/>
  <c r="A215" i="12"/>
  <c r="B215" i="12"/>
  <c r="C215" i="12"/>
  <c r="D215" i="12"/>
  <c r="E215" i="12"/>
  <c r="F215" i="12"/>
  <c r="H215" i="12"/>
  <c r="I215" i="12"/>
  <c r="J215" i="12"/>
  <c r="K215" i="12"/>
  <c r="L215" i="12"/>
  <c r="A216" i="12"/>
  <c r="B216" i="12"/>
  <c r="C216" i="12"/>
  <c r="D216" i="12"/>
  <c r="E216" i="12"/>
  <c r="F216" i="12"/>
  <c r="H216" i="12"/>
  <c r="I216" i="12"/>
  <c r="J216" i="12"/>
  <c r="K216" i="12"/>
  <c r="L216" i="12"/>
  <c r="A217" i="12"/>
  <c r="B217" i="12"/>
  <c r="C217" i="12"/>
  <c r="D217" i="12"/>
  <c r="E217" i="12"/>
  <c r="F217" i="12"/>
  <c r="I217" i="12"/>
  <c r="J217" i="12"/>
  <c r="K217" i="12"/>
  <c r="L217" i="12"/>
  <c r="A218" i="12"/>
  <c r="B218" i="12"/>
  <c r="C218" i="12"/>
  <c r="D218" i="12"/>
  <c r="E218" i="12"/>
  <c r="F218" i="12"/>
  <c r="H218" i="12"/>
  <c r="I218" i="12"/>
  <c r="J218" i="12"/>
  <c r="K218" i="12"/>
  <c r="L218" i="12"/>
  <c r="A219" i="12"/>
  <c r="B219" i="12"/>
  <c r="C219" i="12"/>
  <c r="D219" i="12"/>
  <c r="E219" i="12"/>
  <c r="F219" i="12"/>
  <c r="H219" i="12"/>
  <c r="I219" i="12"/>
  <c r="J219" i="12"/>
  <c r="K219" i="12"/>
  <c r="L219" i="12"/>
  <c r="A220" i="12"/>
  <c r="B220" i="12"/>
  <c r="C220" i="12"/>
  <c r="D220" i="12"/>
  <c r="E220" i="12"/>
  <c r="F220" i="12"/>
  <c r="I220" i="12"/>
  <c r="J220" i="12"/>
  <c r="K220" i="12"/>
  <c r="L220" i="12"/>
  <c r="A221" i="12"/>
  <c r="B221" i="12"/>
  <c r="C221" i="12"/>
  <c r="D221" i="12"/>
  <c r="E221" i="12"/>
  <c r="F221" i="12"/>
  <c r="H221" i="12"/>
  <c r="I221" i="12"/>
  <c r="J221" i="12"/>
  <c r="K221" i="12"/>
  <c r="L221" i="12"/>
  <c r="A222" i="12"/>
  <c r="B222" i="12"/>
  <c r="C222" i="12"/>
  <c r="D222" i="12"/>
  <c r="E222" i="12"/>
  <c r="F222" i="12"/>
  <c r="H222" i="12"/>
  <c r="I222" i="12"/>
  <c r="J222" i="12"/>
  <c r="K222" i="12"/>
  <c r="L222" i="12"/>
  <c r="A223" i="12"/>
  <c r="B223" i="12"/>
  <c r="C223" i="12"/>
  <c r="D223" i="12"/>
  <c r="E223" i="12"/>
  <c r="F223" i="12"/>
  <c r="I223" i="12"/>
  <c r="J223" i="12"/>
  <c r="K223" i="12"/>
  <c r="L223" i="12"/>
  <c r="A224" i="12"/>
  <c r="B224" i="12"/>
  <c r="C224" i="12"/>
  <c r="D224" i="12"/>
  <c r="E224" i="12"/>
  <c r="F224" i="12"/>
  <c r="H224" i="12"/>
  <c r="I224" i="12"/>
  <c r="J224" i="12"/>
  <c r="K224" i="12"/>
  <c r="L224" i="12"/>
  <c r="A225" i="12"/>
  <c r="B225" i="12"/>
  <c r="C225" i="12"/>
  <c r="D225" i="12"/>
  <c r="E225" i="12"/>
  <c r="F225" i="12"/>
  <c r="H225" i="12"/>
  <c r="I225" i="12"/>
  <c r="J225" i="12"/>
  <c r="K225" i="12"/>
  <c r="L225" i="12"/>
  <c r="A226" i="12"/>
  <c r="B226" i="12"/>
  <c r="C226" i="12"/>
  <c r="D226" i="12"/>
  <c r="E226" i="12"/>
  <c r="F226" i="12"/>
  <c r="H226" i="12"/>
  <c r="K226" i="12"/>
  <c r="L226" i="12"/>
  <c r="A227" i="12"/>
  <c r="B227" i="12"/>
  <c r="C227" i="12"/>
  <c r="D227" i="12"/>
  <c r="E227" i="12"/>
  <c r="F227" i="12"/>
  <c r="H227" i="12"/>
  <c r="I227" i="12"/>
  <c r="J227" i="12"/>
  <c r="K227" i="12"/>
  <c r="L227" i="12"/>
  <c r="A228" i="12"/>
  <c r="B228" i="12"/>
  <c r="C228" i="12"/>
  <c r="D228" i="12"/>
  <c r="E228" i="12"/>
  <c r="F228" i="12"/>
  <c r="H228" i="12"/>
  <c r="K228" i="12"/>
  <c r="L228" i="12"/>
  <c r="A229" i="12"/>
  <c r="B229" i="12"/>
  <c r="C229" i="12"/>
  <c r="D229" i="12"/>
  <c r="E229" i="12"/>
  <c r="F229" i="12"/>
  <c r="H229" i="12"/>
  <c r="K229" i="12"/>
  <c r="L229" i="12"/>
  <c r="A230" i="12"/>
  <c r="B230" i="12"/>
  <c r="C230" i="12"/>
  <c r="D230" i="12"/>
  <c r="E230" i="12"/>
  <c r="F230" i="12"/>
  <c r="H230" i="12"/>
  <c r="I230" i="12"/>
  <c r="J230" i="12"/>
  <c r="K230" i="12"/>
  <c r="L230" i="12"/>
  <c r="A231" i="12"/>
  <c r="B231" i="12"/>
  <c r="C231" i="12"/>
  <c r="D231" i="12"/>
  <c r="E231" i="12"/>
  <c r="F231" i="12"/>
  <c r="H231" i="12"/>
  <c r="K231" i="12"/>
  <c r="L231" i="12"/>
  <c r="A232" i="12"/>
  <c r="B232" i="12"/>
  <c r="C232" i="12"/>
  <c r="D232" i="12"/>
  <c r="E232" i="12"/>
  <c r="F232" i="12"/>
  <c r="I232" i="12"/>
  <c r="J232" i="12"/>
  <c r="K232" i="12"/>
  <c r="L232" i="12"/>
  <c r="A233" i="12"/>
  <c r="C233" i="12"/>
  <c r="D233" i="12"/>
  <c r="E233" i="12"/>
  <c r="F233" i="12"/>
  <c r="I233" i="12"/>
  <c r="J233" i="12"/>
  <c r="K233" i="12"/>
  <c r="L233" i="12"/>
  <c r="A234" i="12"/>
  <c r="C234" i="12"/>
  <c r="D234" i="12"/>
  <c r="E234" i="12"/>
  <c r="F234" i="12"/>
  <c r="I234" i="12"/>
  <c r="J234" i="12"/>
  <c r="K234" i="12"/>
  <c r="L234" i="12"/>
  <c r="A235" i="12"/>
  <c r="B235" i="12"/>
  <c r="C235" i="12"/>
  <c r="D235" i="12"/>
  <c r="E235" i="12"/>
  <c r="F235" i="12"/>
  <c r="I235" i="12"/>
  <c r="J235" i="12"/>
  <c r="K235" i="12"/>
  <c r="L235" i="12"/>
  <c r="A236" i="12"/>
  <c r="B236" i="12"/>
  <c r="C236" i="12"/>
  <c r="D236" i="12"/>
  <c r="E236" i="12"/>
  <c r="F236" i="12"/>
  <c r="H236" i="12"/>
  <c r="I236" i="12"/>
  <c r="J236" i="12"/>
  <c r="K236" i="12"/>
  <c r="L236" i="12"/>
  <c r="A237" i="12"/>
  <c r="B237" i="12"/>
  <c r="C237" i="12"/>
  <c r="D237" i="12"/>
  <c r="E237" i="12"/>
  <c r="F237" i="12"/>
  <c r="H237" i="12"/>
  <c r="I237" i="12"/>
  <c r="J237" i="12"/>
  <c r="K237" i="12"/>
  <c r="L237" i="12"/>
  <c r="A238" i="12"/>
  <c r="B238" i="12"/>
  <c r="C238" i="12"/>
  <c r="D238" i="12"/>
  <c r="E238" i="12"/>
  <c r="F238" i="12"/>
  <c r="I238" i="12"/>
  <c r="J238" i="12"/>
  <c r="K238" i="12"/>
  <c r="L238" i="12"/>
  <c r="A239" i="12"/>
  <c r="B239" i="12"/>
  <c r="C239" i="12"/>
  <c r="D239" i="12"/>
  <c r="E239" i="12"/>
  <c r="F239" i="12"/>
  <c r="H239" i="12"/>
  <c r="I239" i="12"/>
  <c r="J239" i="12"/>
  <c r="K239" i="12"/>
  <c r="L239" i="12"/>
  <c r="A240" i="12"/>
  <c r="B240" i="12"/>
  <c r="C240" i="12"/>
  <c r="D240" i="12"/>
  <c r="E240" i="12"/>
  <c r="F240" i="12"/>
  <c r="H240" i="12"/>
  <c r="I240" i="12"/>
  <c r="J240" i="12"/>
  <c r="K240" i="12"/>
  <c r="L240" i="12"/>
  <c r="A241" i="12"/>
  <c r="B241" i="12"/>
  <c r="C241" i="12"/>
  <c r="D241" i="12"/>
  <c r="E241" i="12"/>
  <c r="F241" i="12"/>
  <c r="I241" i="12"/>
  <c r="J241" i="12"/>
  <c r="K241" i="12"/>
  <c r="L241" i="12"/>
  <c r="A242" i="12"/>
  <c r="B242" i="12"/>
  <c r="C242" i="12"/>
  <c r="D242" i="12"/>
  <c r="E242" i="12"/>
  <c r="F242" i="12"/>
  <c r="H242" i="12"/>
  <c r="I242" i="12"/>
  <c r="J242" i="12"/>
  <c r="K242" i="12"/>
  <c r="L242" i="12"/>
  <c r="A243" i="12"/>
  <c r="B243" i="12"/>
  <c r="C243" i="12"/>
  <c r="D243" i="12"/>
  <c r="E243" i="12"/>
  <c r="F243" i="12"/>
  <c r="H243" i="12"/>
  <c r="I243" i="12"/>
  <c r="J243" i="12"/>
  <c r="K243" i="12"/>
  <c r="L243" i="12"/>
  <c r="A244" i="12"/>
  <c r="B244" i="12"/>
  <c r="C244" i="12"/>
  <c r="D244" i="12"/>
  <c r="E244" i="12"/>
  <c r="F244" i="12"/>
  <c r="I244" i="12"/>
  <c r="J244" i="12"/>
  <c r="K244" i="12"/>
  <c r="L244" i="12"/>
  <c r="A245" i="12"/>
  <c r="B245" i="12"/>
  <c r="C245" i="12"/>
  <c r="D245" i="12"/>
  <c r="E245" i="12"/>
  <c r="F245" i="12"/>
  <c r="H245" i="12"/>
  <c r="I245" i="12"/>
  <c r="J245" i="12"/>
  <c r="K245" i="12"/>
  <c r="L245" i="12"/>
  <c r="A246" i="12"/>
  <c r="B246" i="12"/>
  <c r="C246" i="12"/>
  <c r="D246" i="12"/>
  <c r="E246" i="12"/>
  <c r="F246" i="12"/>
  <c r="H246" i="12"/>
  <c r="I246" i="12"/>
  <c r="J246" i="12"/>
  <c r="K246" i="12"/>
  <c r="L246" i="12"/>
  <c r="A247" i="12"/>
  <c r="B247" i="12"/>
  <c r="C247" i="12"/>
  <c r="D247" i="12"/>
  <c r="E247" i="12"/>
  <c r="F247" i="12"/>
  <c r="I247" i="12"/>
  <c r="J247" i="12"/>
  <c r="K247" i="12"/>
  <c r="L247" i="12"/>
  <c r="A248" i="12"/>
  <c r="B248" i="12"/>
  <c r="C248" i="12"/>
  <c r="D248" i="12"/>
  <c r="E248" i="12"/>
  <c r="F248" i="12"/>
  <c r="H248" i="12"/>
  <c r="I248" i="12"/>
  <c r="J248" i="12"/>
  <c r="K248" i="12"/>
  <c r="L248" i="12"/>
  <c r="A249" i="12"/>
  <c r="B249" i="12"/>
  <c r="C249" i="12"/>
  <c r="D249" i="12"/>
  <c r="E249" i="12"/>
  <c r="F249" i="12"/>
  <c r="H249" i="12"/>
  <c r="I249" i="12"/>
  <c r="J249" i="12"/>
  <c r="K249" i="12"/>
  <c r="L249" i="12"/>
  <c r="A250" i="12"/>
  <c r="B250" i="12"/>
  <c r="C250" i="12"/>
  <c r="D250" i="12"/>
  <c r="E250" i="12"/>
  <c r="F250" i="12"/>
  <c r="I250" i="12"/>
  <c r="J250" i="12"/>
  <c r="K250" i="12"/>
  <c r="L250" i="12"/>
  <c r="A251" i="12"/>
  <c r="B251" i="12"/>
  <c r="C251" i="12"/>
  <c r="D251" i="12"/>
  <c r="E251" i="12"/>
  <c r="F251" i="12"/>
  <c r="H251" i="12"/>
  <c r="I251" i="12"/>
  <c r="J251" i="12"/>
  <c r="K251" i="12"/>
  <c r="L251" i="12"/>
  <c r="A252" i="12"/>
  <c r="B252" i="12"/>
  <c r="C252" i="12"/>
  <c r="D252" i="12"/>
  <c r="E252" i="12"/>
  <c r="F252" i="12"/>
  <c r="H252" i="12"/>
  <c r="I252" i="12"/>
  <c r="J252" i="12"/>
  <c r="K252" i="12"/>
  <c r="L252" i="12"/>
  <c r="A253" i="12"/>
  <c r="B253" i="12"/>
  <c r="C253" i="12"/>
  <c r="D253" i="12"/>
  <c r="E253" i="12"/>
  <c r="F253" i="12"/>
  <c r="I253" i="12"/>
  <c r="J253" i="12"/>
  <c r="K253" i="12"/>
  <c r="L253" i="12"/>
  <c r="A254" i="12"/>
  <c r="C254" i="12"/>
  <c r="D254" i="12"/>
  <c r="E254" i="12"/>
  <c r="F254" i="12"/>
  <c r="I254" i="12"/>
  <c r="J254" i="12"/>
  <c r="K254" i="12"/>
  <c r="L254" i="12"/>
  <c r="A255" i="12"/>
  <c r="C255" i="12"/>
  <c r="D255" i="12"/>
  <c r="E255" i="12"/>
  <c r="F255" i="12"/>
  <c r="I255" i="12"/>
  <c r="J255" i="12"/>
  <c r="K255" i="12"/>
  <c r="L255" i="12"/>
  <c r="A256" i="12"/>
  <c r="B256" i="12"/>
  <c r="C256" i="12"/>
  <c r="D256" i="12"/>
  <c r="E256" i="12"/>
  <c r="F256" i="12"/>
  <c r="I256" i="12"/>
  <c r="J256" i="12"/>
  <c r="K256" i="12"/>
  <c r="L256" i="12"/>
  <c r="A257" i="12"/>
  <c r="B257" i="12"/>
  <c r="C257" i="12"/>
  <c r="D257" i="12"/>
  <c r="E257" i="12"/>
  <c r="F257" i="12"/>
  <c r="H257" i="12"/>
  <c r="I257" i="12"/>
  <c r="J257" i="12"/>
  <c r="K257" i="12"/>
  <c r="L257" i="12"/>
  <c r="A258" i="12"/>
  <c r="B258" i="12"/>
  <c r="C258" i="12"/>
  <c r="D258" i="12"/>
  <c r="E258" i="12"/>
  <c r="F258" i="12"/>
  <c r="H258" i="12"/>
  <c r="I258" i="12"/>
  <c r="J258" i="12"/>
  <c r="K258" i="12"/>
  <c r="L258" i="12"/>
  <c r="A259" i="12"/>
  <c r="B259" i="12"/>
  <c r="C259" i="12"/>
  <c r="D259" i="12"/>
  <c r="E259" i="12"/>
  <c r="F259" i="12"/>
  <c r="I259" i="12"/>
  <c r="J259" i="12"/>
  <c r="K259" i="12"/>
  <c r="L259" i="12"/>
  <c r="A260" i="12"/>
  <c r="C260" i="12"/>
  <c r="D260" i="12"/>
  <c r="E260" i="12"/>
  <c r="F260" i="12"/>
  <c r="I260" i="12"/>
  <c r="J260" i="12"/>
  <c r="K260" i="12"/>
  <c r="L260" i="12"/>
  <c r="A261" i="12"/>
  <c r="C261" i="12"/>
  <c r="D261" i="12"/>
  <c r="E261" i="12"/>
  <c r="F261" i="12"/>
  <c r="I261" i="12"/>
  <c r="J261" i="12"/>
  <c r="K261" i="12"/>
  <c r="L261" i="12"/>
  <c r="A262" i="12"/>
  <c r="B262" i="12"/>
  <c r="C262" i="12"/>
  <c r="D262" i="12"/>
  <c r="E262" i="12"/>
  <c r="F262" i="12"/>
  <c r="I262" i="12"/>
  <c r="J262" i="12"/>
  <c r="K262" i="12"/>
  <c r="L262" i="12"/>
  <c r="A263" i="12"/>
  <c r="B263" i="12"/>
  <c r="C263" i="12"/>
  <c r="D263" i="12"/>
  <c r="E263" i="12"/>
  <c r="F263" i="12"/>
  <c r="H263" i="12"/>
  <c r="I263" i="12"/>
  <c r="J263" i="12"/>
  <c r="K263" i="12"/>
  <c r="L263" i="12"/>
  <c r="A264" i="12"/>
  <c r="B264" i="12"/>
  <c r="C264" i="12"/>
  <c r="D264" i="12"/>
  <c r="E264" i="12"/>
  <c r="F264" i="12"/>
  <c r="H264" i="12"/>
  <c r="I264" i="12"/>
  <c r="J264" i="12"/>
  <c r="K264" i="12"/>
  <c r="L264" i="12"/>
  <c r="A265" i="12"/>
  <c r="B265" i="12"/>
  <c r="C265" i="12"/>
  <c r="D265" i="12"/>
  <c r="E265" i="12"/>
  <c r="F265" i="12"/>
  <c r="I265" i="12"/>
  <c r="J265" i="12"/>
  <c r="K265" i="12"/>
  <c r="L265" i="12"/>
  <c r="A266" i="12"/>
  <c r="B266" i="12"/>
  <c r="C266" i="12"/>
  <c r="D266" i="12"/>
  <c r="E266" i="12"/>
  <c r="F266" i="12"/>
  <c r="I266" i="12"/>
  <c r="J266" i="12"/>
  <c r="K266" i="12"/>
  <c r="L266" i="12"/>
  <c r="A267" i="12"/>
  <c r="B267" i="12"/>
  <c r="C267" i="12"/>
  <c r="D267" i="12"/>
  <c r="E267" i="12"/>
  <c r="F267" i="12"/>
  <c r="I267" i="12"/>
  <c r="J267" i="12"/>
  <c r="K267" i="12"/>
  <c r="L267" i="12"/>
  <c r="A268" i="12"/>
  <c r="B268" i="12"/>
  <c r="C268" i="12"/>
  <c r="D268" i="12"/>
  <c r="E268" i="12"/>
  <c r="F268" i="12"/>
  <c r="I268" i="12"/>
  <c r="J268" i="12"/>
  <c r="K268" i="12"/>
  <c r="L268" i="12"/>
  <c r="A269" i="12"/>
  <c r="C269" i="12"/>
  <c r="D269" i="12"/>
  <c r="E269" i="12"/>
  <c r="F269" i="12"/>
  <c r="I269" i="12"/>
  <c r="J269" i="12"/>
  <c r="K269" i="12"/>
  <c r="L269" i="12"/>
  <c r="A270" i="12"/>
  <c r="C270" i="12"/>
  <c r="D270" i="12"/>
  <c r="E270" i="12"/>
  <c r="F270" i="12"/>
  <c r="I270" i="12"/>
  <c r="J270" i="12"/>
  <c r="K270" i="12"/>
  <c r="L270" i="12"/>
  <c r="A271" i="12"/>
  <c r="B271" i="12"/>
  <c r="C271" i="12"/>
  <c r="D271" i="12"/>
  <c r="E271" i="12"/>
  <c r="F271" i="12"/>
  <c r="H271" i="12"/>
  <c r="I271" i="12"/>
  <c r="J271" i="12"/>
  <c r="K271" i="12"/>
  <c r="L271" i="12"/>
  <c r="A272" i="12"/>
  <c r="B272" i="12"/>
  <c r="C272" i="12"/>
  <c r="D272" i="12"/>
  <c r="E272" i="12"/>
  <c r="F272" i="12"/>
  <c r="H272" i="12"/>
  <c r="I272" i="12"/>
  <c r="J272" i="12"/>
  <c r="K272" i="12"/>
  <c r="L272" i="12"/>
  <c r="A273" i="12"/>
  <c r="B273" i="12"/>
  <c r="C273" i="12"/>
  <c r="D273" i="12"/>
  <c r="E273" i="12"/>
  <c r="F273" i="12"/>
  <c r="H273" i="12"/>
  <c r="I273" i="12"/>
  <c r="J273" i="12"/>
  <c r="K273" i="12"/>
  <c r="L273" i="12"/>
  <c r="A274" i="12"/>
  <c r="B274" i="12"/>
  <c r="C274" i="12"/>
  <c r="D274" i="12"/>
  <c r="E274" i="12"/>
  <c r="F274" i="12"/>
  <c r="I274" i="12"/>
  <c r="J274" i="12"/>
  <c r="K274" i="12"/>
  <c r="L274" i="12"/>
  <c r="A275" i="12"/>
  <c r="C275" i="12"/>
  <c r="D275" i="12"/>
  <c r="E275" i="12"/>
  <c r="F275" i="12"/>
  <c r="I275" i="12"/>
  <c r="J275" i="12"/>
  <c r="K275" i="12"/>
  <c r="L275" i="12"/>
  <c r="A276" i="12"/>
  <c r="C276" i="12"/>
  <c r="D276" i="12"/>
  <c r="E276" i="12"/>
  <c r="F276" i="12"/>
  <c r="I276" i="12"/>
  <c r="J276" i="12"/>
  <c r="K276" i="12"/>
  <c r="L276" i="12"/>
  <c r="A277" i="12"/>
  <c r="B277" i="12"/>
  <c r="C277" i="12"/>
  <c r="D277" i="12"/>
  <c r="E277" i="12"/>
  <c r="F277" i="12"/>
  <c r="I277" i="12"/>
  <c r="J277" i="12"/>
  <c r="K277" i="12"/>
  <c r="L277" i="12"/>
  <c r="A278" i="12"/>
  <c r="B278" i="12"/>
  <c r="C278" i="12"/>
  <c r="D278" i="12"/>
  <c r="E278" i="12"/>
  <c r="F278" i="12"/>
  <c r="I278" i="12"/>
  <c r="J278" i="12"/>
  <c r="K278" i="12"/>
  <c r="L278" i="12"/>
  <c r="A279" i="12"/>
  <c r="B279" i="12"/>
  <c r="C279" i="12"/>
  <c r="D279" i="12"/>
  <c r="E279" i="12"/>
  <c r="F279" i="12"/>
  <c r="G279" i="12"/>
  <c r="H279" i="12"/>
  <c r="I279" i="12"/>
  <c r="J279" i="12"/>
  <c r="K279" i="12"/>
  <c r="L279" i="12"/>
  <c r="A280" i="12"/>
  <c r="B280" i="12"/>
  <c r="C280" i="12"/>
  <c r="D280" i="12"/>
  <c r="E280" i="12"/>
  <c r="F280" i="12"/>
  <c r="I280" i="12"/>
  <c r="J280" i="12"/>
  <c r="K280" i="12"/>
  <c r="L280" i="12"/>
  <c r="A281" i="12"/>
  <c r="C281" i="12"/>
  <c r="D281" i="12"/>
  <c r="E281" i="12"/>
  <c r="F281" i="12"/>
  <c r="I281" i="12"/>
  <c r="J281" i="12"/>
  <c r="K281" i="12"/>
  <c r="L281" i="12"/>
  <c r="A282" i="12"/>
  <c r="C282" i="12"/>
  <c r="D282" i="12"/>
  <c r="E282" i="12"/>
  <c r="F282" i="12"/>
  <c r="I282" i="12"/>
  <c r="J282" i="12"/>
  <c r="K282" i="12"/>
  <c r="L282" i="12"/>
  <c r="A283" i="12"/>
  <c r="B283" i="12"/>
  <c r="C283" i="12"/>
  <c r="D283" i="12"/>
  <c r="E283" i="12"/>
  <c r="F283" i="12"/>
  <c r="H283" i="12"/>
  <c r="I283" i="12"/>
  <c r="J283" i="12"/>
  <c r="K283" i="12"/>
  <c r="L283" i="12"/>
  <c r="A284" i="12"/>
  <c r="B284" i="12"/>
  <c r="C284" i="12"/>
  <c r="D284" i="12"/>
  <c r="E284" i="12"/>
  <c r="F284" i="12"/>
  <c r="I284" i="12"/>
  <c r="J284" i="12"/>
  <c r="K284" i="12"/>
  <c r="L284" i="12"/>
  <c r="A285" i="12"/>
  <c r="B285" i="12"/>
  <c r="C285" i="12"/>
  <c r="D285" i="12"/>
  <c r="E285" i="12"/>
  <c r="F285" i="12"/>
  <c r="I285" i="12"/>
  <c r="J285" i="12"/>
  <c r="K285" i="12"/>
  <c r="L285" i="12"/>
  <c r="A286" i="12"/>
  <c r="B286" i="12"/>
  <c r="C286" i="12"/>
  <c r="D286" i="12"/>
  <c r="E286" i="12"/>
  <c r="F286" i="12"/>
  <c r="H286" i="12"/>
  <c r="I286" i="12"/>
  <c r="J286" i="12"/>
  <c r="K286" i="12"/>
  <c r="L286" i="12"/>
  <c r="A287" i="12"/>
  <c r="B287" i="12"/>
  <c r="C287" i="12"/>
  <c r="D287" i="12"/>
  <c r="E287" i="12"/>
  <c r="F287" i="12"/>
  <c r="C288" i="12"/>
  <c r="D288" i="12"/>
  <c r="E288" i="12"/>
  <c r="F288" i="12"/>
  <c r="C289" i="12"/>
  <c r="D289" i="12"/>
  <c r="E289" i="12"/>
  <c r="F289" i="12"/>
  <c r="A290" i="12"/>
  <c r="B290" i="12"/>
  <c r="C290" i="12"/>
  <c r="D290" i="12"/>
  <c r="E290" i="12"/>
  <c r="F290" i="12"/>
  <c r="I290" i="12"/>
  <c r="J290" i="12"/>
  <c r="K290" i="12"/>
  <c r="L290" i="12"/>
  <c r="C291" i="12"/>
  <c r="D291" i="12"/>
  <c r="E291" i="12"/>
  <c r="F291" i="12"/>
  <c r="I291" i="12"/>
  <c r="J291" i="12"/>
  <c r="K291" i="12"/>
  <c r="L291" i="12"/>
  <c r="C292" i="12"/>
  <c r="D292" i="12"/>
  <c r="E292" i="12"/>
  <c r="F292" i="12"/>
  <c r="I292" i="12"/>
  <c r="J292" i="12"/>
  <c r="K292" i="12"/>
  <c r="L292" i="12"/>
  <c r="A293" i="12"/>
  <c r="B293" i="12"/>
  <c r="C293" i="12"/>
  <c r="D293" i="12"/>
  <c r="E293" i="12"/>
  <c r="F293" i="12"/>
  <c r="I293" i="12"/>
  <c r="J293" i="12"/>
  <c r="K293" i="12"/>
  <c r="L293" i="12"/>
  <c r="A294" i="12"/>
  <c r="B294" i="12"/>
  <c r="C294" i="12"/>
  <c r="D294" i="12"/>
  <c r="E294" i="12"/>
  <c r="F294" i="12"/>
  <c r="H294" i="12"/>
  <c r="I294" i="12"/>
  <c r="J294" i="12"/>
  <c r="K294" i="12"/>
  <c r="L294" i="12"/>
  <c r="A295" i="12"/>
  <c r="B295" i="12"/>
  <c r="C295" i="12"/>
  <c r="D295" i="12"/>
  <c r="E295" i="12"/>
  <c r="F295" i="12"/>
  <c r="H295" i="12"/>
  <c r="I295" i="12"/>
  <c r="J295" i="12"/>
  <c r="K295" i="12"/>
  <c r="L295" i="12"/>
  <c r="A296" i="12"/>
  <c r="B296" i="12"/>
  <c r="C296" i="12"/>
  <c r="D296" i="12"/>
  <c r="E296" i="12"/>
  <c r="F296" i="12"/>
  <c r="I296" i="12"/>
  <c r="J296" i="12"/>
  <c r="K296" i="12"/>
  <c r="L296" i="12"/>
  <c r="C297" i="12"/>
  <c r="D297" i="12"/>
  <c r="E297" i="12"/>
  <c r="F297" i="12"/>
  <c r="I297" i="12"/>
  <c r="J297" i="12"/>
  <c r="K297" i="12"/>
  <c r="L297" i="12"/>
  <c r="C298" i="12"/>
  <c r="D298" i="12"/>
  <c r="E298" i="12"/>
  <c r="F298" i="12"/>
  <c r="I298" i="12"/>
  <c r="J298" i="12"/>
  <c r="K298" i="12"/>
  <c r="L298" i="12"/>
  <c r="A299" i="12"/>
  <c r="B299" i="12"/>
  <c r="C299" i="12"/>
  <c r="D299" i="12"/>
  <c r="E299" i="12"/>
  <c r="F299" i="12"/>
  <c r="I299" i="12"/>
  <c r="J299" i="12"/>
  <c r="K299" i="12"/>
  <c r="L299" i="12"/>
  <c r="A300" i="12"/>
  <c r="B300" i="12"/>
  <c r="C300" i="12"/>
  <c r="D300" i="12"/>
  <c r="E300" i="12"/>
  <c r="F300" i="12"/>
  <c r="H300" i="12"/>
  <c r="I300" i="12"/>
  <c r="J300" i="12"/>
  <c r="K300" i="12"/>
  <c r="L300" i="12"/>
  <c r="A301" i="12"/>
  <c r="B301" i="12"/>
  <c r="C301" i="12"/>
  <c r="D301" i="12"/>
  <c r="E301" i="12"/>
  <c r="F301" i="12"/>
  <c r="H301" i="12"/>
  <c r="I301" i="12"/>
  <c r="J301" i="12"/>
  <c r="K301" i="12"/>
  <c r="L301" i="12"/>
  <c r="A302" i="12"/>
  <c r="B302" i="12"/>
  <c r="C302" i="12"/>
  <c r="D302" i="12"/>
  <c r="E302" i="12"/>
  <c r="F302" i="12"/>
  <c r="I302" i="12"/>
  <c r="J302" i="12"/>
  <c r="K302" i="12"/>
  <c r="L302" i="12"/>
  <c r="C303" i="12"/>
  <c r="D303" i="12"/>
  <c r="E303" i="12"/>
  <c r="F303" i="12"/>
  <c r="I303" i="12"/>
  <c r="J303" i="12"/>
  <c r="K303" i="12"/>
  <c r="L303" i="12"/>
  <c r="C304" i="12"/>
  <c r="D304" i="12"/>
  <c r="E304" i="12"/>
  <c r="F304" i="12"/>
  <c r="I304" i="12"/>
  <c r="J304" i="12"/>
  <c r="K304" i="12"/>
  <c r="L304" i="12"/>
  <c r="A305" i="12"/>
  <c r="B305" i="12"/>
  <c r="C305" i="12"/>
  <c r="D305" i="12"/>
  <c r="E305" i="12"/>
  <c r="F305" i="12"/>
  <c r="I305" i="12"/>
  <c r="J305" i="12"/>
  <c r="K305" i="12"/>
  <c r="L305" i="12"/>
  <c r="A306" i="12"/>
  <c r="B306" i="12"/>
  <c r="C306" i="12"/>
  <c r="D306" i="12"/>
  <c r="E306" i="12"/>
  <c r="F306" i="12"/>
  <c r="H306" i="12"/>
  <c r="I306" i="12"/>
  <c r="J306" i="12"/>
  <c r="K306" i="12"/>
  <c r="L306" i="12"/>
  <c r="A307" i="12"/>
  <c r="B307" i="12"/>
  <c r="C307" i="12"/>
  <c r="D307" i="12"/>
  <c r="E307" i="12"/>
  <c r="F307" i="12"/>
  <c r="H307" i="12"/>
  <c r="I307" i="12"/>
  <c r="J307" i="12"/>
  <c r="K307" i="12"/>
  <c r="L307" i="12"/>
  <c r="A308" i="12"/>
  <c r="B308" i="12"/>
  <c r="C308" i="12"/>
  <c r="D308" i="12"/>
  <c r="E308" i="12"/>
  <c r="F308" i="12"/>
  <c r="I308" i="12"/>
  <c r="J308" i="12"/>
  <c r="K308" i="12"/>
  <c r="L308" i="12"/>
  <c r="C309" i="12"/>
  <c r="D309" i="12"/>
  <c r="E309" i="12"/>
  <c r="F309" i="12"/>
  <c r="I309" i="12"/>
  <c r="J309" i="12"/>
  <c r="K309" i="12"/>
  <c r="L309" i="12"/>
  <c r="C310" i="12"/>
  <c r="D310" i="12"/>
  <c r="E310" i="12"/>
  <c r="F310" i="12"/>
  <c r="I310" i="12"/>
  <c r="J310" i="12"/>
  <c r="K310" i="12"/>
  <c r="L310" i="12"/>
  <c r="A311" i="12"/>
  <c r="B311" i="12"/>
  <c r="C311" i="12"/>
  <c r="D311" i="12"/>
  <c r="E311" i="12"/>
  <c r="F311" i="12"/>
  <c r="I311" i="12"/>
  <c r="A312" i="12"/>
  <c r="B312" i="12"/>
  <c r="C312" i="12"/>
  <c r="D312" i="12"/>
  <c r="E312" i="12"/>
  <c r="F312" i="12"/>
  <c r="H312" i="12"/>
  <c r="I312" i="12"/>
  <c r="J312" i="12"/>
  <c r="K312" i="12"/>
  <c r="L312" i="12"/>
  <c r="A313" i="12"/>
  <c r="B313" i="12"/>
  <c r="C313" i="12"/>
  <c r="D313" i="12"/>
  <c r="E313" i="12"/>
  <c r="F313" i="12"/>
  <c r="H313" i="12"/>
  <c r="I313" i="12"/>
  <c r="J313" i="12"/>
  <c r="K313" i="12"/>
  <c r="L313" i="12"/>
  <c r="A314" i="12"/>
  <c r="B314" i="12"/>
  <c r="C314" i="12"/>
  <c r="D314" i="12"/>
  <c r="E314" i="12"/>
  <c r="F314" i="12"/>
  <c r="I314" i="12"/>
  <c r="J314" i="12"/>
  <c r="K314" i="12"/>
  <c r="L314" i="12"/>
  <c r="C315" i="12"/>
  <c r="D315" i="12"/>
  <c r="E315" i="12"/>
  <c r="F315" i="12"/>
  <c r="I315" i="12"/>
  <c r="J315" i="12"/>
  <c r="K315" i="12"/>
  <c r="L315" i="12"/>
  <c r="C316" i="12"/>
  <c r="D316" i="12"/>
  <c r="E316" i="12"/>
  <c r="F316" i="12"/>
  <c r="I316" i="12"/>
  <c r="J316" i="12"/>
  <c r="K316" i="12"/>
  <c r="L316" i="12"/>
  <c r="A317" i="12"/>
  <c r="B317" i="12"/>
  <c r="C317" i="12"/>
  <c r="D317" i="12"/>
  <c r="E317" i="12"/>
  <c r="F317" i="12"/>
  <c r="I317" i="12"/>
  <c r="A318" i="12"/>
  <c r="B318" i="12"/>
  <c r="C318" i="12"/>
  <c r="D318" i="12"/>
  <c r="E318" i="12"/>
  <c r="F318" i="12"/>
  <c r="H318" i="12"/>
  <c r="I318" i="12"/>
  <c r="J318" i="12"/>
  <c r="K318" i="12"/>
  <c r="L318" i="12"/>
  <c r="A319" i="12"/>
  <c r="B319" i="12"/>
  <c r="C319" i="12"/>
  <c r="D319" i="12"/>
  <c r="E319" i="12"/>
  <c r="F319" i="12"/>
  <c r="H319" i="12"/>
  <c r="I319" i="12"/>
  <c r="J319" i="12"/>
  <c r="K319" i="12"/>
  <c r="L319" i="12"/>
  <c r="A320" i="12"/>
  <c r="B320" i="12"/>
  <c r="C320" i="12"/>
  <c r="D320" i="12"/>
  <c r="E320" i="12"/>
  <c r="F320" i="12"/>
  <c r="K320" i="12"/>
  <c r="L320" i="12"/>
  <c r="C321" i="12"/>
  <c r="D321" i="12"/>
  <c r="E321" i="12"/>
  <c r="F321" i="12"/>
  <c r="C322" i="12"/>
  <c r="D322" i="12"/>
  <c r="E322" i="12"/>
  <c r="F322" i="12"/>
  <c r="K322" i="12"/>
  <c r="L322" i="12"/>
  <c r="A323" i="12"/>
  <c r="B323" i="12"/>
  <c r="C323" i="12"/>
  <c r="D323" i="12"/>
  <c r="E323" i="12"/>
  <c r="F323" i="12"/>
  <c r="K323" i="12"/>
  <c r="L323" i="12"/>
  <c r="A324" i="12"/>
  <c r="B324" i="12"/>
  <c r="C324" i="12"/>
  <c r="D324" i="12"/>
  <c r="E324" i="12"/>
  <c r="F324" i="12"/>
  <c r="H324" i="12"/>
  <c r="I324" i="12"/>
  <c r="J324" i="12"/>
  <c r="K324" i="12"/>
  <c r="L324" i="12"/>
  <c r="A325" i="12"/>
  <c r="B325" i="12"/>
  <c r="C325" i="12"/>
  <c r="D325" i="12"/>
  <c r="E325" i="12"/>
  <c r="F325" i="12"/>
  <c r="H325" i="12"/>
  <c r="I325" i="12"/>
  <c r="J325" i="12"/>
  <c r="K325" i="12"/>
  <c r="L325" i="12"/>
  <c r="A326" i="12"/>
  <c r="B326" i="12"/>
  <c r="C326" i="12"/>
  <c r="D326" i="12"/>
  <c r="E326" i="12"/>
  <c r="F326" i="12"/>
  <c r="K326" i="12"/>
  <c r="L326" i="12"/>
  <c r="C327" i="12"/>
  <c r="D327" i="12"/>
  <c r="E327" i="12"/>
  <c r="F327" i="12"/>
  <c r="C328" i="12"/>
  <c r="D328" i="12"/>
  <c r="E328" i="12"/>
  <c r="F328" i="12"/>
  <c r="A329" i="12"/>
  <c r="B329" i="12"/>
  <c r="C329" i="12"/>
  <c r="D329" i="12"/>
  <c r="E329" i="12"/>
  <c r="F329" i="12"/>
  <c r="J329" i="12"/>
  <c r="K329" i="12"/>
  <c r="L329" i="12"/>
  <c r="A330" i="12"/>
  <c r="B330" i="12"/>
  <c r="C330" i="12"/>
  <c r="D330" i="12"/>
  <c r="E330" i="12"/>
  <c r="F330" i="12"/>
  <c r="H330" i="12"/>
  <c r="I330" i="12"/>
  <c r="J330" i="12"/>
  <c r="K330" i="12"/>
  <c r="L330" i="12"/>
  <c r="A331" i="12"/>
  <c r="B331" i="12"/>
  <c r="C331" i="12"/>
  <c r="D331" i="12"/>
  <c r="E331" i="12"/>
  <c r="F331" i="12"/>
  <c r="H331" i="12"/>
  <c r="I331" i="12"/>
  <c r="J331" i="12"/>
  <c r="K331" i="12"/>
  <c r="L331" i="12"/>
  <c r="A332" i="12"/>
  <c r="B332" i="12"/>
  <c r="C332" i="12"/>
  <c r="D332" i="12"/>
  <c r="E332" i="12"/>
  <c r="F332" i="12"/>
  <c r="J332" i="12"/>
  <c r="K332" i="12"/>
  <c r="L332" i="12"/>
  <c r="C333" i="12"/>
  <c r="D333" i="12"/>
  <c r="E333" i="12"/>
  <c r="F333" i="12"/>
  <c r="J333" i="12"/>
  <c r="K333" i="12"/>
  <c r="L333" i="12"/>
  <c r="C334" i="12"/>
  <c r="D334" i="12"/>
  <c r="E334" i="12"/>
  <c r="F334" i="12"/>
  <c r="J334" i="12"/>
  <c r="K334" i="12"/>
  <c r="L334" i="12"/>
  <c r="A335" i="12"/>
  <c r="B335" i="12"/>
  <c r="C335" i="12"/>
  <c r="D335" i="12"/>
  <c r="E335" i="12"/>
  <c r="F335" i="12"/>
  <c r="J335" i="12"/>
  <c r="K335" i="12"/>
  <c r="L335" i="12"/>
  <c r="A336" i="12"/>
  <c r="B336" i="12"/>
  <c r="C336" i="12"/>
  <c r="D336" i="12"/>
  <c r="E336" i="12"/>
  <c r="F336" i="12"/>
  <c r="H336" i="12"/>
  <c r="I336" i="12"/>
  <c r="J336" i="12"/>
  <c r="K336" i="12"/>
  <c r="L336" i="12"/>
  <c r="A337" i="12"/>
  <c r="B337" i="12"/>
  <c r="C337" i="12"/>
  <c r="D337" i="12"/>
  <c r="E337" i="12"/>
  <c r="F337" i="12"/>
  <c r="H337" i="12"/>
  <c r="I337" i="12"/>
  <c r="J337" i="12"/>
  <c r="K337" i="12"/>
  <c r="L337" i="12"/>
  <c r="A338" i="12"/>
  <c r="B338" i="12"/>
  <c r="C338" i="12"/>
  <c r="D338" i="12"/>
  <c r="E338" i="12"/>
  <c r="F338" i="12"/>
  <c r="K338" i="12"/>
  <c r="L338" i="12"/>
  <c r="C339" i="12"/>
  <c r="D339" i="12"/>
  <c r="E339" i="12"/>
  <c r="F339" i="12"/>
  <c r="K339" i="12"/>
  <c r="L339" i="12"/>
  <c r="C340" i="12"/>
  <c r="D340" i="12"/>
  <c r="E340" i="12"/>
  <c r="F340" i="12"/>
  <c r="K340" i="12"/>
  <c r="L340" i="12"/>
  <c r="A341" i="12"/>
  <c r="B341" i="12"/>
  <c r="C341" i="12"/>
  <c r="D341" i="12"/>
  <c r="E341" i="12"/>
  <c r="F341" i="12"/>
  <c r="K341" i="12"/>
  <c r="L341" i="12"/>
  <c r="A342" i="12"/>
  <c r="B342" i="12"/>
  <c r="C342" i="12"/>
  <c r="D342" i="12"/>
  <c r="E342" i="12"/>
  <c r="F342" i="12"/>
  <c r="H342" i="12"/>
  <c r="I342" i="12"/>
  <c r="J342" i="12"/>
  <c r="K342" i="12"/>
  <c r="L342" i="12"/>
  <c r="A343" i="12"/>
  <c r="B343" i="12"/>
  <c r="C343" i="12"/>
  <c r="D343" i="12"/>
  <c r="E343" i="12"/>
  <c r="F343" i="12"/>
  <c r="H343" i="12"/>
  <c r="I343" i="12"/>
  <c r="J343" i="12"/>
  <c r="K343" i="12"/>
  <c r="L343" i="12"/>
  <c r="A344" i="12"/>
  <c r="B344" i="12"/>
  <c r="C344" i="12"/>
  <c r="D344" i="12"/>
  <c r="E344" i="12"/>
  <c r="F344" i="12"/>
  <c r="J344" i="12"/>
  <c r="K344" i="12"/>
  <c r="L344" i="12"/>
  <c r="A345" i="12"/>
  <c r="B345" i="12"/>
  <c r="C345" i="12"/>
  <c r="D345" i="12"/>
  <c r="E345" i="12"/>
  <c r="F345" i="12"/>
  <c r="H345" i="12"/>
  <c r="I345" i="12"/>
  <c r="J345" i="12"/>
  <c r="K345" i="12"/>
  <c r="L345" i="12"/>
  <c r="A346" i="12"/>
  <c r="B346" i="12"/>
  <c r="C346" i="12"/>
  <c r="D346" i="12"/>
  <c r="E346" i="12"/>
  <c r="F346" i="12"/>
  <c r="H346" i="12"/>
  <c r="I346" i="12"/>
  <c r="J346" i="12"/>
  <c r="K346" i="12"/>
  <c r="L346" i="12"/>
  <c r="A347" i="12"/>
  <c r="B347" i="12"/>
  <c r="C347" i="12"/>
  <c r="D347" i="12"/>
  <c r="E347" i="12"/>
  <c r="F347" i="12"/>
  <c r="K347" i="12"/>
  <c r="L347" i="12"/>
  <c r="C348" i="12"/>
  <c r="D348" i="12"/>
  <c r="E348" i="12"/>
  <c r="F348" i="12"/>
  <c r="K348" i="12"/>
  <c r="L348" i="12"/>
  <c r="C349" i="12"/>
  <c r="D349" i="12"/>
  <c r="E349" i="12"/>
  <c r="F349" i="12"/>
  <c r="K349" i="12"/>
  <c r="L349" i="12"/>
  <c r="A350" i="12"/>
  <c r="B350" i="12"/>
  <c r="C350" i="12"/>
  <c r="D350" i="12"/>
  <c r="E350" i="12"/>
  <c r="F350" i="12"/>
  <c r="K350" i="12"/>
  <c r="L350" i="12"/>
  <c r="A351" i="12"/>
  <c r="B351" i="12"/>
  <c r="C351" i="12"/>
  <c r="D351" i="12"/>
  <c r="E351" i="12"/>
  <c r="F351" i="12"/>
  <c r="H351" i="12"/>
  <c r="I351" i="12"/>
  <c r="J351" i="12"/>
  <c r="K351" i="12"/>
  <c r="L351" i="12"/>
  <c r="A352" i="12"/>
  <c r="B352" i="12"/>
  <c r="C352" i="12"/>
  <c r="D352" i="12"/>
  <c r="E352" i="12"/>
  <c r="F352" i="12"/>
  <c r="H352" i="12"/>
  <c r="I352" i="12"/>
  <c r="J352" i="12"/>
  <c r="K352" i="12"/>
  <c r="L352" i="12"/>
  <c r="A353" i="12"/>
  <c r="B353" i="12"/>
  <c r="C353" i="12"/>
  <c r="D353" i="12"/>
  <c r="E353" i="12"/>
  <c r="F353" i="12"/>
  <c r="K353" i="12"/>
  <c r="L353" i="12"/>
  <c r="C354" i="12"/>
  <c r="D354" i="12"/>
  <c r="E354" i="12"/>
  <c r="F354" i="12"/>
  <c r="K354" i="12"/>
  <c r="L354" i="12"/>
  <c r="C355" i="12"/>
  <c r="D355" i="12"/>
  <c r="E355" i="12"/>
  <c r="F355" i="12"/>
  <c r="K355" i="12"/>
  <c r="L355" i="12"/>
  <c r="A356" i="12"/>
  <c r="B356" i="12"/>
  <c r="C356" i="12"/>
  <c r="D356" i="12"/>
  <c r="E356" i="12"/>
  <c r="F356" i="12"/>
  <c r="K356" i="12"/>
  <c r="L356" i="12"/>
  <c r="A357" i="12"/>
  <c r="B357" i="12"/>
  <c r="C357" i="12"/>
  <c r="D357" i="12"/>
  <c r="E357" i="12"/>
  <c r="F357" i="12"/>
  <c r="H357" i="12"/>
  <c r="I357" i="12"/>
  <c r="J357" i="12"/>
  <c r="K357" i="12"/>
  <c r="L357" i="12"/>
  <c r="A358" i="12"/>
  <c r="B358" i="12"/>
  <c r="C358" i="12"/>
  <c r="D358" i="12"/>
  <c r="E358" i="12"/>
  <c r="F358" i="12"/>
  <c r="H358" i="12"/>
  <c r="I358" i="12"/>
  <c r="J358" i="12"/>
  <c r="K358" i="12"/>
  <c r="L358" i="12"/>
  <c r="A359" i="12"/>
  <c r="B359" i="12"/>
  <c r="C359" i="12"/>
  <c r="D359" i="12"/>
  <c r="E359" i="12"/>
  <c r="F359" i="12"/>
  <c r="J359" i="12"/>
  <c r="K359" i="12"/>
  <c r="L359" i="12"/>
  <c r="C360" i="12"/>
  <c r="D360" i="12"/>
  <c r="E360" i="12"/>
  <c r="F360" i="12"/>
  <c r="J360" i="12"/>
  <c r="K360" i="12"/>
  <c r="L360" i="12"/>
  <c r="C361" i="12"/>
  <c r="D361" i="12"/>
  <c r="E361" i="12"/>
  <c r="F361" i="12"/>
  <c r="J361" i="12"/>
  <c r="K361" i="12"/>
  <c r="L361" i="12"/>
  <c r="A362" i="12"/>
  <c r="B362" i="12"/>
  <c r="C362" i="12"/>
  <c r="D362" i="12"/>
  <c r="E362" i="12"/>
  <c r="F362" i="12"/>
  <c r="J362" i="12"/>
  <c r="K362" i="12"/>
  <c r="L362" i="12"/>
  <c r="A363" i="12"/>
  <c r="B363" i="12"/>
  <c r="C363" i="12"/>
  <c r="D363" i="12"/>
  <c r="E363" i="12"/>
  <c r="F363" i="12"/>
  <c r="H363" i="12"/>
  <c r="I363" i="12"/>
  <c r="J363" i="12"/>
  <c r="K363" i="12"/>
  <c r="L363" i="12"/>
  <c r="A364" i="12"/>
  <c r="B364" i="12"/>
  <c r="C364" i="12"/>
  <c r="D364" i="12"/>
  <c r="E364" i="12"/>
  <c r="F364" i="12"/>
  <c r="H364" i="12"/>
  <c r="I364" i="12"/>
  <c r="J364" i="12"/>
  <c r="K364" i="12"/>
  <c r="L364" i="12"/>
  <c r="A365" i="12"/>
  <c r="B365" i="12"/>
  <c r="C365" i="12"/>
  <c r="D365" i="12"/>
  <c r="E365" i="12"/>
  <c r="F365" i="12"/>
  <c r="J365" i="12"/>
  <c r="K365" i="12"/>
  <c r="L365" i="12"/>
  <c r="C366" i="12"/>
  <c r="D366" i="12"/>
  <c r="E366" i="12"/>
  <c r="F366" i="12"/>
  <c r="J366" i="12"/>
  <c r="K366" i="12"/>
  <c r="L366" i="12"/>
  <c r="C367" i="12"/>
  <c r="D367" i="12"/>
  <c r="E367" i="12"/>
  <c r="F367" i="12"/>
  <c r="J367" i="12"/>
  <c r="K367" i="12"/>
  <c r="L367" i="12"/>
  <c r="A368" i="12"/>
  <c r="B368" i="12"/>
  <c r="C368" i="12"/>
  <c r="D368" i="12"/>
  <c r="E368" i="12"/>
  <c r="F368" i="12"/>
  <c r="J368" i="12"/>
  <c r="K368" i="12"/>
  <c r="L368" i="12"/>
  <c r="A369" i="12"/>
  <c r="B369" i="12"/>
  <c r="C369" i="12"/>
  <c r="D369" i="12"/>
  <c r="E369" i="12"/>
  <c r="F369" i="12"/>
  <c r="H369" i="12"/>
  <c r="I369" i="12"/>
  <c r="J369" i="12"/>
  <c r="K369" i="12"/>
  <c r="L369" i="12"/>
  <c r="A370" i="12"/>
  <c r="B370" i="12"/>
  <c r="C370" i="12"/>
  <c r="D370" i="12"/>
  <c r="E370" i="12"/>
  <c r="F370" i="12"/>
  <c r="H370" i="12"/>
  <c r="I370" i="12"/>
  <c r="J370" i="12"/>
  <c r="K370" i="12"/>
  <c r="L370" i="12"/>
  <c r="A371" i="12"/>
  <c r="B371" i="12"/>
  <c r="C371" i="12"/>
  <c r="D371" i="12"/>
  <c r="E371" i="12"/>
  <c r="F371" i="12"/>
  <c r="J371" i="12"/>
  <c r="K371" i="12"/>
  <c r="L371" i="12"/>
  <c r="C372" i="12"/>
  <c r="D372" i="12"/>
  <c r="E372" i="12"/>
  <c r="F372" i="12"/>
  <c r="J372" i="12"/>
  <c r="K372" i="12"/>
  <c r="L372" i="12"/>
  <c r="C373" i="12"/>
  <c r="D373" i="12"/>
  <c r="E373" i="12"/>
  <c r="F373" i="12"/>
  <c r="J373" i="12"/>
  <c r="K373" i="12"/>
  <c r="L373" i="12"/>
  <c r="A374" i="12"/>
  <c r="B374" i="12"/>
  <c r="C374" i="12"/>
  <c r="D374" i="12"/>
  <c r="E374" i="12"/>
  <c r="F374" i="12"/>
  <c r="J374" i="12"/>
  <c r="K374" i="12"/>
  <c r="L374" i="12"/>
  <c r="A375" i="12"/>
  <c r="B375" i="12"/>
  <c r="C375" i="12"/>
  <c r="D375" i="12"/>
  <c r="E375" i="12"/>
  <c r="F375" i="12"/>
  <c r="H375" i="12"/>
  <c r="I375" i="12"/>
  <c r="J375" i="12"/>
  <c r="K375" i="12"/>
  <c r="L375" i="12"/>
  <c r="A376" i="12"/>
  <c r="B376" i="12"/>
  <c r="C376" i="12"/>
  <c r="D376" i="12"/>
  <c r="E376" i="12"/>
  <c r="F376" i="12"/>
  <c r="H376" i="12"/>
  <c r="I376" i="12"/>
  <c r="J376" i="12"/>
  <c r="K376" i="12"/>
  <c r="L376" i="12"/>
  <c r="A377" i="12"/>
  <c r="B377" i="12"/>
  <c r="C377" i="12"/>
  <c r="D377" i="12"/>
  <c r="E377" i="12"/>
  <c r="F377" i="12"/>
  <c r="G377" i="12"/>
  <c r="H377" i="12"/>
  <c r="I377" i="12"/>
  <c r="J377" i="12"/>
  <c r="K377" i="12"/>
  <c r="L377" i="12"/>
  <c r="A378" i="12"/>
  <c r="B378" i="12"/>
  <c r="C378" i="12"/>
  <c r="D378" i="12"/>
  <c r="E378" i="12"/>
  <c r="F378" i="12"/>
  <c r="C379" i="12"/>
  <c r="D379" i="12"/>
  <c r="E379" i="12"/>
  <c r="F379" i="12"/>
  <c r="C380" i="12"/>
  <c r="D380" i="12"/>
  <c r="E380" i="12"/>
  <c r="F380" i="12"/>
  <c r="A381" i="12"/>
  <c r="B381" i="12"/>
  <c r="C381" i="12"/>
  <c r="D381" i="12"/>
  <c r="E381" i="12"/>
  <c r="F381" i="12"/>
  <c r="C382" i="12"/>
  <c r="D382" i="12"/>
  <c r="E382" i="12"/>
  <c r="F382" i="12"/>
  <c r="I382" i="12"/>
  <c r="J382" i="12"/>
  <c r="K382" i="12"/>
  <c r="L382" i="12"/>
  <c r="C383" i="12"/>
  <c r="D383" i="12"/>
  <c r="E383" i="12"/>
  <c r="F383" i="12"/>
  <c r="A384" i="12"/>
  <c r="B384" i="12"/>
  <c r="C384" i="12"/>
  <c r="D384" i="12"/>
  <c r="E384" i="12"/>
  <c r="F384" i="12"/>
  <c r="A385" i="12"/>
  <c r="B385" i="12"/>
  <c r="C385" i="12"/>
  <c r="D385" i="12"/>
  <c r="E385" i="12"/>
  <c r="F385" i="12"/>
  <c r="H385" i="12"/>
  <c r="I385" i="12"/>
  <c r="J385" i="12"/>
  <c r="K385" i="12"/>
  <c r="L385" i="12"/>
  <c r="A386" i="12"/>
  <c r="B386" i="12"/>
  <c r="C386" i="12"/>
  <c r="D386" i="12"/>
  <c r="E386" i="12"/>
  <c r="F386" i="12"/>
  <c r="H386" i="12"/>
  <c r="I386" i="12"/>
  <c r="J386" i="12"/>
  <c r="K386" i="12"/>
  <c r="L386" i="12"/>
  <c r="A387" i="12"/>
  <c r="B387" i="12"/>
  <c r="C387" i="12"/>
  <c r="D387" i="12"/>
  <c r="E387" i="12"/>
  <c r="F387" i="12"/>
  <c r="A388" i="12"/>
  <c r="B388" i="12"/>
  <c r="C388" i="12"/>
  <c r="D388" i="12"/>
  <c r="E388" i="12"/>
  <c r="F388" i="12"/>
  <c r="H388" i="12"/>
  <c r="I388" i="12"/>
  <c r="J388" i="12"/>
  <c r="K388" i="12"/>
  <c r="L388" i="12"/>
  <c r="A389" i="12"/>
  <c r="B389" i="12"/>
  <c r="C389" i="12"/>
  <c r="D389" i="12"/>
  <c r="E389" i="12"/>
  <c r="F389" i="12"/>
  <c r="H389" i="12"/>
  <c r="I389" i="12"/>
  <c r="J389" i="12"/>
  <c r="K389" i="12"/>
  <c r="L389" i="12"/>
  <c r="A390" i="12"/>
  <c r="B390" i="12"/>
  <c r="C390" i="12"/>
  <c r="D390" i="12"/>
  <c r="E390" i="12"/>
  <c r="F390" i="12"/>
  <c r="A391" i="12"/>
  <c r="B391" i="12"/>
  <c r="C391" i="12"/>
  <c r="D391" i="12"/>
  <c r="E391" i="12"/>
  <c r="F391" i="12"/>
  <c r="H391" i="12"/>
  <c r="I391" i="12"/>
  <c r="J391" i="12"/>
  <c r="K391" i="12"/>
  <c r="L391" i="12"/>
  <c r="A392" i="12"/>
  <c r="B392" i="12"/>
  <c r="C392" i="12"/>
  <c r="D392" i="12"/>
  <c r="E392" i="12"/>
  <c r="F392" i="12"/>
  <c r="H392" i="12"/>
  <c r="I392" i="12"/>
  <c r="J392" i="12"/>
  <c r="K392" i="12"/>
  <c r="L392" i="12"/>
  <c r="A393" i="12"/>
  <c r="B393" i="12"/>
  <c r="C393" i="12"/>
  <c r="D393" i="12"/>
  <c r="E393" i="12"/>
  <c r="F393" i="12"/>
  <c r="C394" i="12"/>
  <c r="D394" i="12"/>
  <c r="E394" i="12"/>
  <c r="F394" i="12"/>
  <c r="C395" i="12"/>
  <c r="D395" i="12"/>
  <c r="E395" i="12"/>
  <c r="F395" i="12"/>
  <c r="A396" i="12"/>
  <c r="B396" i="12"/>
  <c r="C396" i="12"/>
  <c r="D396" i="12"/>
  <c r="E396" i="12"/>
  <c r="F396" i="12"/>
  <c r="A397" i="12"/>
  <c r="B397" i="12"/>
  <c r="C397" i="12"/>
  <c r="D397" i="12"/>
  <c r="E397" i="12"/>
  <c r="F397" i="12"/>
  <c r="H397" i="12"/>
  <c r="I397" i="12"/>
  <c r="J397" i="12"/>
  <c r="K397" i="12"/>
  <c r="L397" i="12"/>
  <c r="A398" i="12"/>
  <c r="B398" i="12"/>
  <c r="C398" i="12"/>
  <c r="D398" i="12"/>
  <c r="E398" i="12"/>
  <c r="F398" i="12"/>
  <c r="H398" i="12"/>
  <c r="I398" i="12"/>
  <c r="J398" i="12"/>
  <c r="K398" i="12"/>
  <c r="L398" i="12"/>
  <c r="A399" i="12"/>
  <c r="B399" i="12"/>
  <c r="C399" i="12"/>
  <c r="D399" i="12"/>
  <c r="E399" i="12"/>
  <c r="F399" i="12"/>
  <c r="C400" i="12"/>
  <c r="D400" i="12"/>
  <c r="E400" i="12"/>
  <c r="F400" i="12"/>
  <c r="C401" i="12"/>
  <c r="D401" i="12"/>
  <c r="E401" i="12"/>
  <c r="F401" i="12"/>
  <c r="A402" i="12"/>
  <c r="B402" i="12"/>
  <c r="C402" i="12"/>
  <c r="D402" i="12"/>
  <c r="E402" i="12"/>
  <c r="F402" i="12"/>
  <c r="A403" i="12"/>
  <c r="B403" i="12"/>
  <c r="C403" i="12"/>
  <c r="D403" i="12"/>
  <c r="E403" i="12"/>
  <c r="F403" i="12"/>
  <c r="H403" i="12"/>
  <c r="I403" i="12"/>
  <c r="J403" i="12"/>
  <c r="K403" i="12"/>
  <c r="L403" i="12"/>
  <c r="A404" i="12"/>
  <c r="B404" i="12"/>
  <c r="C404" i="12"/>
  <c r="D404" i="12"/>
  <c r="E404" i="12"/>
  <c r="F404" i="12"/>
  <c r="H404" i="12"/>
  <c r="I404" i="12"/>
  <c r="J404" i="12"/>
  <c r="K404" i="12"/>
  <c r="L404" i="12"/>
  <c r="A405" i="12"/>
  <c r="B405" i="12"/>
  <c r="C405" i="12"/>
  <c r="D405" i="12"/>
  <c r="E405" i="12"/>
  <c r="F405" i="12"/>
  <c r="C406" i="12"/>
  <c r="D406" i="12"/>
  <c r="E406" i="12"/>
  <c r="F406" i="12"/>
  <c r="C407" i="12"/>
  <c r="D407" i="12"/>
  <c r="E407" i="12"/>
  <c r="F407" i="12"/>
  <c r="A408" i="12"/>
  <c r="B408" i="12"/>
  <c r="C408" i="12"/>
  <c r="D408" i="12"/>
  <c r="E408" i="12"/>
  <c r="F408" i="12"/>
  <c r="A409" i="12"/>
  <c r="B409" i="12"/>
  <c r="C409" i="12"/>
  <c r="D409" i="12"/>
  <c r="E409" i="12"/>
  <c r="F409" i="12"/>
  <c r="H409" i="12"/>
  <c r="I409" i="12"/>
  <c r="J409" i="12"/>
  <c r="K409" i="12"/>
  <c r="L409" i="12"/>
  <c r="A410" i="12"/>
  <c r="B410" i="12"/>
  <c r="C410" i="12"/>
  <c r="D410" i="12"/>
  <c r="E410" i="12"/>
  <c r="F410" i="12"/>
  <c r="H410" i="12"/>
  <c r="I410" i="12"/>
  <c r="J410" i="12"/>
  <c r="K410" i="12"/>
  <c r="L410" i="12"/>
  <c r="A411" i="12"/>
  <c r="B411" i="12"/>
  <c r="C411" i="12"/>
  <c r="D411" i="12"/>
  <c r="E411" i="12"/>
  <c r="F411" i="12"/>
  <c r="C412" i="12"/>
  <c r="D412" i="12"/>
  <c r="E412" i="12"/>
  <c r="F412" i="12"/>
  <c r="I412" i="12"/>
  <c r="J412" i="12"/>
  <c r="K412" i="12"/>
  <c r="L412" i="12"/>
  <c r="C413" i="12"/>
  <c r="D413" i="12"/>
  <c r="E413" i="12"/>
  <c r="F413" i="12"/>
  <c r="I413" i="12"/>
  <c r="J413" i="12"/>
  <c r="K413" i="12"/>
  <c r="L413" i="12"/>
  <c r="A414" i="12"/>
  <c r="B414" i="12"/>
  <c r="C414" i="12"/>
  <c r="D414" i="12"/>
  <c r="E414" i="12"/>
  <c r="F414" i="12"/>
  <c r="A415" i="12"/>
  <c r="B415" i="12"/>
  <c r="C415" i="12"/>
  <c r="D415" i="12"/>
  <c r="E415" i="12"/>
  <c r="F415" i="12"/>
  <c r="H415" i="12"/>
  <c r="I415" i="12"/>
  <c r="J415" i="12"/>
  <c r="K415" i="12"/>
  <c r="L415" i="12"/>
  <c r="A416" i="12"/>
  <c r="B416" i="12"/>
  <c r="C416" i="12"/>
  <c r="D416" i="12"/>
  <c r="E416" i="12"/>
  <c r="F416" i="12"/>
  <c r="H416" i="12"/>
  <c r="I416" i="12"/>
  <c r="J416" i="12"/>
  <c r="K416" i="12"/>
  <c r="L416" i="12"/>
  <c r="A417" i="12"/>
  <c r="B417" i="12"/>
  <c r="C417" i="12"/>
  <c r="D417" i="12"/>
  <c r="E417" i="12"/>
  <c r="F417" i="12"/>
  <c r="C418" i="12"/>
  <c r="D418" i="12"/>
  <c r="E418" i="12"/>
  <c r="F418" i="12"/>
  <c r="I418" i="12"/>
  <c r="J418" i="12"/>
  <c r="K418" i="12"/>
  <c r="L418" i="12"/>
  <c r="C419" i="12"/>
  <c r="D419" i="12"/>
  <c r="E419" i="12"/>
  <c r="F419" i="12"/>
  <c r="I419" i="12"/>
  <c r="J419" i="12"/>
  <c r="K419" i="12"/>
  <c r="L419" i="12"/>
  <c r="A420" i="12"/>
  <c r="B420" i="12"/>
  <c r="C420" i="12"/>
  <c r="D420" i="12"/>
  <c r="E420" i="12"/>
  <c r="F420" i="12"/>
  <c r="A421" i="12"/>
  <c r="B421" i="12"/>
  <c r="C421" i="12"/>
  <c r="D421" i="12"/>
  <c r="E421" i="12"/>
  <c r="F421" i="12"/>
  <c r="H421" i="12"/>
  <c r="I421" i="12"/>
  <c r="J421" i="12"/>
  <c r="K421" i="12"/>
  <c r="L421" i="12"/>
  <c r="A422" i="12"/>
  <c r="B422" i="12"/>
  <c r="C422" i="12"/>
  <c r="D422" i="12"/>
  <c r="E422" i="12"/>
  <c r="F422" i="12"/>
  <c r="H422" i="12"/>
  <c r="I422" i="12"/>
  <c r="J422" i="12"/>
  <c r="K422" i="12"/>
  <c r="L422" i="12"/>
  <c r="A423" i="12"/>
  <c r="B423" i="12"/>
  <c r="C423" i="12"/>
  <c r="D423" i="12"/>
  <c r="E423" i="12"/>
  <c r="F423" i="12"/>
  <c r="I423" i="12"/>
  <c r="J423" i="12"/>
  <c r="K423" i="12"/>
  <c r="L423" i="12"/>
  <c r="A424" i="12"/>
  <c r="B424" i="12"/>
  <c r="C424" i="12"/>
  <c r="D424" i="12"/>
  <c r="E424" i="12"/>
  <c r="F424" i="12"/>
  <c r="I424" i="12"/>
  <c r="J424" i="12"/>
  <c r="K424" i="12"/>
  <c r="L424" i="12"/>
  <c r="A425" i="12"/>
  <c r="B425" i="12"/>
  <c r="C425" i="12"/>
  <c r="D425" i="12"/>
  <c r="E425" i="12"/>
  <c r="F425" i="12"/>
  <c r="I425" i="12"/>
  <c r="J425" i="12"/>
  <c r="K425" i="12"/>
  <c r="L425" i="12"/>
  <c r="A426" i="12"/>
  <c r="B426" i="12"/>
  <c r="C426" i="12"/>
  <c r="D426" i="12"/>
  <c r="E426" i="12"/>
  <c r="F426" i="12"/>
  <c r="C427" i="12"/>
  <c r="D427" i="12"/>
  <c r="E427" i="12"/>
  <c r="F427" i="12"/>
  <c r="C428" i="12"/>
  <c r="D428" i="12"/>
  <c r="E428" i="12"/>
  <c r="F428" i="12"/>
  <c r="A429" i="12"/>
  <c r="B429" i="12"/>
  <c r="C429" i="12"/>
  <c r="D429" i="12"/>
  <c r="E429" i="12"/>
  <c r="F429" i="12"/>
  <c r="A430" i="12"/>
  <c r="B430" i="12"/>
  <c r="C430" i="12"/>
  <c r="D430" i="12"/>
  <c r="E430" i="12"/>
  <c r="F430" i="12"/>
  <c r="H430" i="12"/>
  <c r="I430" i="12"/>
  <c r="J430" i="12"/>
  <c r="K430" i="12"/>
  <c r="L430" i="12"/>
  <c r="A431" i="12"/>
  <c r="B431" i="12"/>
  <c r="C431" i="12"/>
  <c r="D431" i="12"/>
  <c r="E431" i="12"/>
  <c r="F431" i="12"/>
  <c r="H431" i="12"/>
  <c r="I431" i="12"/>
  <c r="J431" i="12"/>
  <c r="K431" i="12"/>
  <c r="L431" i="12"/>
  <c r="A432" i="12"/>
  <c r="B432" i="12"/>
  <c r="C432" i="12"/>
  <c r="D432" i="12"/>
  <c r="E432" i="12"/>
  <c r="F432" i="12"/>
  <c r="A433" i="12"/>
  <c r="B433" i="12"/>
  <c r="C433" i="12"/>
  <c r="D433" i="12"/>
  <c r="E433" i="12"/>
  <c r="F433" i="12"/>
  <c r="H433" i="12"/>
  <c r="I433" i="12"/>
  <c r="J433" i="12"/>
  <c r="K433" i="12"/>
  <c r="L433" i="12"/>
  <c r="A434" i="12"/>
  <c r="B434" i="12"/>
  <c r="C434" i="12"/>
  <c r="D434" i="12"/>
  <c r="E434" i="12"/>
  <c r="F434" i="12"/>
  <c r="H434" i="12"/>
  <c r="I434" i="12"/>
  <c r="J434" i="12"/>
  <c r="K434" i="12"/>
  <c r="L434" i="12"/>
  <c r="A435" i="12"/>
  <c r="B435" i="12"/>
  <c r="C435" i="12"/>
  <c r="D435" i="12"/>
  <c r="E435" i="12"/>
  <c r="F435" i="12"/>
  <c r="I435" i="12"/>
  <c r="J435" i="12"/>
  <c r="K435" i="12"/>
  <c r="L435" i="12"/>
  <c r="C436" i="12"/>
  <c r="D436" i="12"/>
  <c r="E436" i="12"/>
  <c r="F436" i="12"/>
  <c r="I436" i="12"/>
  <c r="J436" i="12"/>
  <c r="K436" i="12"/>
  <c r="L436" i="12"/>
  <c r="C437" i="12"/>
  <c r="D437" i="12"/>
  <c r="E437" i="12"/>
  <c r="F437" i="12"/>
  <c r="I437" i="12"/>
  <c r="J437" i="12"/>
  <c r="K437" i="12"/>
  <c r="L437" i="12"/>
  <c r="A438" i="12"/>
  <c r="B438" i="12"/>
  <c r="C438" i="12"/>
  <c r="D438" i="12"/>
  <c r="E438" i="12"/>
  <c r="F438" i="12"/>
  <c r="I438" i="12"/>
  <c r="J438" i="12"/>
  <c r="K438" i="12"/>
  <c r="L438" i="12"/>
  <c r="A439" i="12"/>
  <c r="B439" i="12"/>
  <c r="C439" i="12"/>
  <c r="D439" i="12"/>
  <c r="E439" i="12"/>
  <c r="F439" i="12"/>
  <c r="H439" i="12"/>
  <c r="I439" i="12"/>
  <c r="J439" i="12"/>
  <c r="K439" i="12"/>
  <c r="L439" i="12"/>
  <c r="A440" i="12"/>
  <c r="B440" i="12"/>
  <c r="C440" i="12"/>
  <c r="D440" i="12"/>
  <c r="E440" i="12"/>
  <c r="F440" i="12"/>
  <c r="H440" i="12"/>
  <c r="I440" i="12"/>
  <c r="J440" i="12"/>
  <c r="K440" i="12"/>
  <c r="L440" i="12"/>
  <c r="A441" i="12"/>
  <c r="B441" i="12"/>
  <c r="C441" i="12"/>
  <c r="D441" i="12"/>
  <c r="E441" i="12"/>
  <c r="F441" i="12"/>
  <c r="H441" i="12"/>
  <c r="I441" i="12"/>
  <c r="J441" i="12"/>
  <c r="K441" i="12"/>
  <c r="L441" i="12"/>
  <c r="A442" i="12"/>
  <c r="B442" i="12"/>
  <c r="C442" i="12"/>
  <c r="D442" i="12"/>
  <c r="E442" i="12"/>
  <c r="F442" i="12"/>
  <c r="C443" i="12"/>
  <c r="D443" i="12"/>
  <c r="E443" i="12"/>
  <c r="F443" i="12"/>
  <c r="I443" i="12"/>
  <c r="J443" i="12"/>
  <c r="K443" i="12"/>
  <c r="L443" i="12"/>
  <c r="C444" i="12"/>
  <c r="D444" i="12"/>
  <c r="E444" i="12"/>
  <c r="F444" i="12"/>
  <c r="I444" i="12"/>
  <c r="J444" i="12"/>
  <c r="K444" i="12"/>
  <c r="L444" i="12"/>
  <c r="A445" i="12"/>
  <c r="B445" i="12"/>
  <c r="C445" i="12"/>
  <c r="D445" i="12"/>
  <c r="E445" i="12"/>
  <c r="F445" i="12"/>
  <c r="C446" i="12"/>
  <c r="D446" i="12"/>
  <c r="E446" i="12"/>
  <c r="F446" i="12"/>
  <c r="I446" i="12"/>
  <c r="J446" i="12"/>
  <c r="K446" i="12"/>
  <c r="L446" i="12"/>
  <c r="C447" i="12"/>
  <c r="D447" i="12"/>
  <c r="E447" i="12"/>
  <c r="F447" i="12"/>
  <c r="I447" i="12"/>
  <c r="J447" i="12"/>
  <c r="K447" i="12"/>
  <c r="L447" i="12"/>
  <c r="A448" i="12"/>
  <c r="B448" i="12"/>
  <c r="C448" i="12"/>
  <c r="D448" i="12"/>
  <c r="E448" i="12"/>
  <c r="F448" i="12"/>
  <c r="A449" i="12"/>
  <c r="B449" i="12"/>
  <c r="C449" i="12"/>
  <c r="D449" i="12"/>
  <c r="E449" i="12"/>
  <c r="F449" i="12"/>
  <c r="H449" i="12"/>
  <c r="I449" i="12"/>
  <c r="J449" i="12"/>
  <c r="K449" i="12"/>
  <c r="L449" i="12"/>
  <c r="A450" i="12"/>
  <c r="B450" i="12"/>
  <c r="C450" i="12"/>
  <c r="D450" i="12"/>
  <c r="E450" i="12"/>
  <c r="F450" i="12"/>
  <c r="H450" i="12"/>
  <c r="I450" i="12"/>
  <c r="J450" i="12"/>
  <c r="K450" i="12"/>
  <c r="L450" i="12"/>
  <c r="A451" i="12"/>
  <c r="B451" i="12"/>
  <c r="C451" i="12"/>
  <c r="D451" i="12"/>
  <c r="E451" i="12"/>
  <c r="F451" i="12"/>
  <c r="A452" i="12"/>
  <c r="B452" i="12"/>
  <c r="C452" i="12"/>
  <c r="D452" i="12"/>
  <c r="E452" i="12"/>
  <c r="F452" i="12"/>
  <c r="H452" i="12"/>
  <c r="I452" i="12"/>
  <c r="J452" i="12"/>
  <c r="K452" i="12"/>
  <c r="L452" i="12"/>
  <c r="A453" i="12"/>
  <c r="B453" i="12"/>
  <c r="C453" i="12"/>
  <c r="D453" i="12"/>
  <c r="E453" i="12"/>
  <c r="F453" i="12"/>
  <c r="H453" i="12"/>
  <c r="I453" i="12"/>
  <c r="J453" i="12"/>
  <c r="K453" i="12"/>
  <c r="L453" i="12"/>
  <c r="A454" i="12"/>
  <c r="B454" i="12"/>
  <c r="C454" i="12"/>
  <c r="D454" i="12"/>
  <c r="E454" i="12"/>
  <c r="F454" i="12"/>
  <c r="A455" i="12"/>
  <c r="B455" i="12"/>
  <c r="C455" i="12"/>
  <c r="D455" i="12"/>
  <c r="E455" i="12"/>
  <c r="F455" i="12"/>
  <c r="H455" i="12"/>
  <c r="I455" i="12"/>
  <c r="J455" i="12"/>
  <c r="K455" i="12"/>
  <c r="L455" i="12"/>
  <c r="A456" i="12"/>
  <c r="B456" i="12"/>
  <c r="C456" i="12"/>
  <c r="D456" i="12"/>
  <c r="E456" i="12"/>
  <c r="F456" i="12"/>
  <c r="H456" i="12"/>
  <c r="I456" i="12"/>
  <c r="J456" i="12"/>
  <c r="K456" i="12"/>
  <c r="L456" i="12"/>
  <c r="A457" i="12"/>
  <c r="B457" i="12"/>
  <c r="C457" i="12"/>
  <c r="D457" i="12"/>
  <c r="E457" i="12"/>
  <c r="F457" i="12"/>
  <c r="A458" i="12"/>
  <c r="B458" i="12"/>
  <c r="C458" i="12"/>
  <c r="D458" i="12"/>
  <c r="E458" i="12"/>
  <c r="F458" i="12"/>
  <c r="H458" i="12"/>
  <c r="I458" i="12"/>
  <c r="J458" i="12"/>
  <c r="K458" i="12"/>
  <c r="L458" i="12"/>
  <c r="A459" i="12"/>
  <c r="B459" i="12"/>
  <c r="C459" i="12"/>
  <c r="D459" i="12"/>
  <c r="E459" i="12"/>
  <c r="F459" i="12"/>
  <c r="H459" i="12"/>
  <c r="I459" i="12"/>
  <c r="J459" i="12"/>
  <c r="K459" i="12"/>
  <c r="L459" i="12"/>
  <c r="A460" i="12"/>
  <c r="B460" i="12"/>
  <c r="C460" i="12"/>
  <c r="D460" i="12"/>
  <c r="E460" i="12"/>
  <c r="F460" i="12"/>
  <c r="C461" i="12"/>
  <c r="D461" i="12"/>
  <c r="E461" i="12"/>
  <c r="F461" i="12"/>
  <c r="I461" i="12"/>
  <c r="J461" i="12"/>
  <c r="K461" i="12"/>
  <c r="L461" i="12"/>
  <c r="C462" i="12"/>
  <c r="D462" i="12"/>
  <c r="E462" i="12"/>
  <c r="F462" i="12"/>
  <c r="I462" i="12"/>
  <c r="J462" i="12"/>
  <c r="K462" i="12"/>
  <c r="L462" i="12"/>
  <c r="A463" i="12"/>
  <c r="B463" i="12"/>
  <c r="C463" i="12"/>
  <c r="D463" i="12"/>
  <c r="E463" i="12"/>
  <c r="F463" i="12"/>
  <c r="A464" i="12"/>
  <c r="B464" i="12"/>
  <c r="C464" i="12"/>
  <c r="D464" i="12"/>
  <c r="E464" i="12"/>
  <c r="F464" i="12"/>
  <c r="H464" i="12"/>
  <c r="I464" i="12"/>
  <c r="J464" i="12"/>
  <c r="K464" i="12"/>
  <c r="L464" i="12"/>
  <c r="A465" i="12"/>
  <c r="B465" i="12"/>
  <c r="C465" i="12"/>
  <c r="D465" i="12"/>
  <c r="E465" i="12"/>
  <c r="F465" i="12"/>
  <c r="H465" i="12"/>
  <c r="I465" i="12"/>
  <c r="J465" i="12"/>
  <c r="K465" i="12"/>
  <c r="L465" i="12"/>
  <c r="A466" i="12"/>
  <c r="B466" i="12"/>
  <c r="C466" i="12"/>
  <c r="D466" i="12"/>
  <c r="E466" i="12"/>
  <c r="F466" i="12"/>
  <c r="A467" i="12"/>
  <c r="B467" i="12"/>
  <c r="C467" i="12"/>
  <c r="D467" i="12"/>
  <c r="E467" i="12"/>
  <c r="F467" i="12"/>
  <c r="H467" i="12"/>
  <c r="I467" i="12"/>
  <c r="J467" i="12"/>
  <c r="K467" i="12"/>
  <c r="L467" i="12"/>
  <c r="A468" i="12"/>
  <c r="B468" i="12"/>
  <c r="C468" i="12"/>
  <c r="D468" i="12"/>
  <c r="E468" i="12"/>
  <c r="F468" i="12"/>
  <c r="H468" i="12"/>
  <c r="I468" i="12"/>
  <c r="J468" i="12"/>
  <c r="K468" i="12"/>
  <c r="L468" i="12"/>
  <c r="A469" i="12"/>
  <c r="B469" i="12"/>
  <c r="C469" i="12"/>
  <c r="D469" i="12"/>
  <c r="E469" i="12"/>
  <c r="F469" i="12"/>
  <c r="C470" i="12"/>
  <c r="D470" i="12"/>
  <c r="E470" i="12"/>
  <c r="F470" i="12"/>
  <c r="I470" i="12"/>
  <c r="J470" i="12"/>
  <c r="K470" i="12"/>
  <c r="L470" i="12"/>
  <c r="C471" i="12"/>
  <c r="D471" i="12"/>
  <c r="E471" i="12"/>
  <c r="F471" i="12"/>
  <c r="I471" i="12"/>
  <c r="J471" i="12"/>
  <c r="K471" i="12"/>
  <c r="L471" i="12"/>
  <c r="A472" i="12"/>
  <c r="B472" i="12"/>
  <c r="C472" i="12"/>
  <c r="D472" i="12"/>
  <c r="E472" i="12"/>
  <c r="F472" i="12"/>
  <c r="A473" i="12"/>
  <c r="B473" i="12"/>
  <c r="C473" i="12"/>
  <c r="D473" i="12"/>
  <c r="E473" i="12"/>
  <c r="F473" i="12"/>
  <c r="H473" i="12"/>
  <c r="I473" i="12"/>
  <c r="J473" i="12"/>
  <c r="K473" i="12"/>
  <c r="L473" i="12"/>
  <c r="A474" i="12"/>
  <c r="B474" i="12"/>
  <c r="C474" i="12"/>
  <c r="D474" i="12"/>
  <c r="E474" i="12"/>
  <c r="F474" i="12"/>
  <c r="H474" i="12"/>
  <c r="I474" i="12"/>
  <c r="J474" i="12"/>
  <c r="K474" i="12"/>
  <c r="L474" i="12"/>
  <c r="A475" i="12"/>
  <c r="B475" i="12"/>
  <c r="C475" i="12"/>
  <c r="D475" i="12"/>
  <c r="E475" i="12"/>
  <c r="F475" i="12"/>
  <c r="C476" i="12"/>
  <c r="D476" i="12"/>
  <c r="E476" i="12"/>
  <c r="F476" i="12"/>
  <c r="I476" i="12"/>
  <c r="J476" i="12"/>
  <c r="K476" i="12"/>
  <c r="L476" i="12"/>
  <c r="C477" i="12"/>
  <c r="D477" i="12"/>
  <c r="E477" i="12"/>
  <c r="F477" i="12"/>
  <c r="I477" i="12"/>
  <c r="J477" i="12"/>
  <c r="K477" i="12"/>
  <c r="L477" i="12"/>
  <c r="A478" i="12"/>
  <c r="B478" i="12"/>
  <c r="C478" i="12"/>
  <c r="D478" i="12"/>
  <c r="E478" i="12"/>
  <c r="F478" i="12"/>
  <c r="I478" i="12"/>
  <c r="J478" i="12"/>
  <c r="K478" i="12"/>
  <c r="L478" i="12"/>
  <c r="A479" i="12"/>
  <c r="B479" i="12"/>
  <c r="C479" i="12"/>
  <c r="D479" i="12"/>
  <c r="E479" i="12"/>
  <c r="F479" i="12"/>
  <c r="H479" i="12"/>
  <c r="I479" i="12"/>
  <c r="J479" i="12"/>
  <c r="K479" i="12"/>
  <c r="L479" i="12"/>
  <c r="A480" i="12"/>
  <c r="B480" i="12"/>
  <c r="C480" i="12"/>
  <c r="D480" i="12"/>
  <c r="E480" i="12"/>
  <c r="F480" i="12"/>
  <c r="G480" i="12"/>
  <c r="H480" i="12"/>
  <c r="I480" i="12"/>
  <c r="J480" i="12"/>
  <c r="K480" i="12"/>
  <c r="L480" i="12"/>
  <c r="A481" i="12"/>
  <c r="B481" i="12"/>
  <c r="C481" i="12"/>
  <c r="D481" i="12"/>
  <c r="E481" i="12"/>
  <c r="F481" i="12"/>
  <c r="A482" i="12"/>
  <c r="B482" i="12"/>
  <c r="C482" i="12"/>
  <c r="D482" i="12"/>
  <c r="E482" i="12"/>
  <c r="F482" i="12"/>
  <c r="H482" i="12"/>
  <c r="I482" i="12"/>
  <c r="J482" i="12"/>
  <c r="K482" i="12"/>
  <c r="L482" i="12"/>
  <c r="A483" i="12"/>
  <c r="B483" i="12"/>
  <c r="C483" i="12"/>
  <c r="D483" i="12"/>
  <c r="E483" i="12"/>
  <c r="F483" i="12"/>
  <c r="H483" i="12"/>
  <c r="I483" i="12"/>
  <c r="J483" i="12"/>
  <c r="K483" i="12"/>
  <c r="L483" i="12"/>
  <c r="A484" i="12"/>
  <c r="B484" i="12"/>
  <c r="C484" i="12"/>
  <c r="D484" i="12"/>
  <c r="E484" i="12"/>
  <c r="F484" i="12"/>
  <c r="A485" i="12"/>
  <c r="B485" i="12"/>
  <c r="C485" i="12"/>
  <c r="D485" i="12"/>
  <c r="E485" i="12"/>
  <c r="F485" i="12"/>
  <c r="H485" i="12"/>
  <c r="I485" i="12"/>
  <c r="J485" i="12"/>
  <c r="K485" i="12"/>
  <c r="L485" i="12"/>
  <c r="A486" i="12"/>
  <c r="B486" i="12"/>
  <c r="C486" i="12"/>
  <c r="D486" i="12"/>
  <c r="E486" i="12"/>
  <c r="F486" i="12"/>
  <c r="H486" i="12"/>
  <c r="I486" i="12"/>
  <c r="J486" i="12"/>
  <c r="K486" i="12"/>
  <c r="L486" i="12"/>
  <c r="A487" i="12"/>
  <c r="B487" i="12"/>
  <c r="C487" i="12"/>
  <c r="D487" i="12"/>
  <c r="E487" i="12"/>
  <c r="F487" i="12"/>
  <c r="C488" i="12"/>
  <c r="D488" i="12"/>
  <c r="E488" i="12"/>
  <c r="F488" i="12"/>
  <c r="I488" i="12"/>
  <c r="J488" i="12"/>
  <c r="K488" i="12"/>
  <c r="L488" i="12"/>
  <c r="C489" i="12"/>
  <c r="D489" i="12"/>
  <c r="E489" i="12"/>
  <c r="F489" i="12"/>
  <c r="I489" i="12"/>
  <c r="J489" i="12"/>
  <c r="K489" i="12"/>
  <c r="L489" i="12"/>
  <c r="A490" i="12"/>
  <c r="B490" i="12"/>
  <c r="C490" i="12"/>
  <c r="D490" i="12"/>
  <c r="E490" i="12"/>
  <c r="F490" i="12"/>
  <c r="A491" i="12"/>
  <c r="B491" i="12"/>
  <c r="C491" i="12"/>
  <c r="D491" i="12"/>
  <c r="E491" i="12"/>
  <c r="F491" i="12"/>
  <c r="H491" i="12"/>
  <c r="I491" i="12"/>
  <c r="J491" i="12"/>
  <c r="K491" i="12"/>
  <c r="L491" i="12"/>
  <c r="A492" i="12"/>
  <c r="B492" i="12"/>
  <c r="C492" i="12"/>
  <c r="D492" i="12"/>
  <c r="E492" i="12"/>
  <c r="F492" i="12"/>
  <c r="H492" i="12"/>
  <c r="I492" i="12"/>
  <c r="J492" i="12"/>
  <c r="K492" i="12"/>
  <c r="L492" i="12"/>
  <c r="A493" i="12"/>
  <c r="B493" i="12"/>
  <c r="C493" i="12"/>
  <c r="D493" i="12"/>
  <c r="E493" i="12"/>
  <c r="F493" i="12"/>
  <c r="C494" i="12"/>
  <c r="D494" i="12"/>
  <c r="E494" i="12"/>
  <c r="F494" i="12"/>
  <c r="I494" i="12"/>
  <c r="J494" i="12"/>
  <c r="K494" i="12"/>
  <c r="L494" i="12"/>
  <c r="C495" i="12"/>
  <c r="D495" i="12"/>
  <c r="E495" i="12"/>
  <c r="F495" i="12"/>
  <c r="I495" i="12"/>
  <c r="J495" i="12"/>
  <c r="K495" i="12"/>
  <c r="L495" i="12"/>
  <c r="A496" i="12"/>
  <c r="B496" i="12"/>
  <c r="C496" i="12"/>
  <c r="D496" i="12"/>
  <c r="E496" i="12"/>
  <c r="F496" i="12"/>
  <c r="A497" i="12"/>
  <c r="B497" i="12"/>
  <c r="C497" i="12"/>
  <c r="D497" i="12"/>
  <c r="E497" i="12"/>
  <c r="F497" i="12"/>
  <c r="H497" i="12"/>
  <c r="I497" i="12"/>
  <c r="J497" i="12"/>
  <c r="K497" i="12"/>
  <c r="L497" i="12"/>
  <c r="A498" i="12"/>
  <c r="B498" i="12"/>
  <c r="C498" i="12"/>
  <c r="D498" i="12"/>
  <c r="E498" i="12"/>
  <c r="F498" i="12"/>
  <c r="H498" i="12"/>
  <c r="I498" i="12"/>
  <c r="J498" i="12"/>
  <c r="K498" i="12"/>
  <c r="L498" i="12"/>
  <c r="A501" i="12"/>
  <c r="C502" i="12"/>
  <c r="D502" i="12"/>
  <c r="E502" i="12"/>
  <c r="G502" i="12"/>
  <c r="H502" i="12"/>
  <c r="I502" i="12"/>
  <c r="J502" i="12"/>
  <c r="K502" i="12"/>
  <c r="L502" i="12"/>
  <c r="A503" i="12"/>
  <c r="B503" i="12"/>
  <c r="C503" i="12"/>
  <c r="D503" i="12"/>
  <c r="E503" i="12"/>
  <c r="F503" i="12"/>
  <c r="C504" i="12"/>
  <c r="D504" i="12"/>
  <c r="E504" i="12"/>
  <c r="F504" i="12"/>
  <c r="C505" i="12"/>
  <c r="D505" i="12"/>
  <c r="E505" i="12"/>
  <c r="F505" i="12"/>
  <c r="A506" i="12"/>
  <c r="B506" i="12"/>
  <c r="C506" i="12"/>
  <c r="D506" i="12"/>
  <c r="E506" i="12"/>
  <c r="F506" i="12"/>
  <c r="C507" i="12"/>
  <c r="D507" i="12"/>
  <c r="E507" i="12"/>
  <c r="F507" i="12"/>
  <c r="C508" i="12"/>
  <c r="D508" i="12"/>
  <c r="E508" i="12"/>
  <c r="F508" i="12"/>
  <c r="A509" i="12"/>
  <c r="B509" i="12"/>
  <c r="C509" i="12"/>
  <c r="D509" i="12"/>
  <c r="E509" i="12"/>
  <c r="F509" i="12"/>
  <c r="A510" i="12"/>
  <c r="B510" i="12"/>
  <c r="C510" i="12"/>
  <c r="D510" i="12"/>
  <c r="E510" i="12"/>
  <c r="F510" i="12"/>
  <c r="H510" i="12"/>
  <c r="I510" i="12"/>
  <c r="J510" i="12"/>
  <c r="K510" i="12"/>
  <c r="L510" i="12"/>
  <c r="A511" i="12"/>
  <c r="B511" i="12"/>
  <c r="C511" i="12"/>
  <c r="D511" i="12"/>
  <c r="E511" i="12"/>
  <c r="F511" i="12"/>
  <c r="H511" i="12"/>
  <c r="I511" i="12"/>
  <c r="J511" i="12"/>
  <c r="K511" i="12"/>
  <c r="L511" i="12"/>
  <c r="A512" i="12"/>
  <c r="B512" i="12"/>
  <c r="C512" i="12"/>
  <c r="D512" i="12"/>
  <c r="E512" i="12"/>
  <c r="F512" i="12"/>
  <c r="H512" i="12"/>
  <c r="C513" i="12"/>
  <c r="D513" i="12"/>
  <c r="E513" i="12"/>
  <c r="F513" i="12"/>
  <c r="C514" i="12"/>
  <c r="D514" i="12"/>
  <c r="E514" i="12"/>
  <c r="F514" i="12"/>
  <c r="A515" i="12"/>
  <c r="B515" i="12"/>
  <c r="C515" i="12"/>
  <c r="D515" i="12"/>
  <c r="E515" i="12"/>
  <c r="F515" i="12"/>
  <c r="A516" i="12"/>
  <c r="B516" i="12"/>
  <c r="C516" i="12"/>
  <c r="D516" i="12"/>
  <c r="E516" i="12"/>
  <c r="F516" i="12"/>
  <c r="H516" i="12"/>
  <c r="I516" i="12"/>
  <c r="J516" i="12"/>
  <c r="K516" i="12"/>
  <c r="L516" i="12"/>
  <c r="A517" i="12"/>
  <c r="B517" i="12"/>
  <c r="C517" i="12"/>
  <c r="D517" i="12"/>
  <c r="E517" i="12"/>
  <c r="F517" i="12"/>
  <c r="H517" i="12"/>
  <c r="I517" i="12"/>
  <c r="J517" i="12"/>
  <c r="K517" i="12"/>
  <c r="L517" i="12"/>
  <c r="A518" i="12"/>
  <c r="B518" i="12"/>
  <c r="C518" i="12"/>
  <c r="D518" i="12"/>
  <c r="E518" i="12"/>
  <c r="F518" i="12"/>
  <c r="H518" i="12"/>
  <c r="C519" i="12"/>
  <c r="D519" i="12"/>
  <c r="E519" i="12"/>
  <c r="F519" i="12"/>
  <c r="C520" i="12"/>
  <c r="D520" i="12"/>
  <c r="E520" i="12"/>
  <c r="F520" i="12"/>
  <c r="I520" i="12"/>
  <c r="J520" i="12"/>
  <c r="K520" i="12"/>
  <c r="L520" i="12"/>
  <c r="A521" i="12"/>
  <c r="B521" i="12"/>
  <c r="C521" i="12"/>
  <c r="D521" i="12"/>
  <c r="E521" i="12"/>
  <c r="F521" i="12"/>
  <c r="A522" i="12"/>
  <c r="B522" i="12"/>
  <c r="C522" i="12"/>
  <c r="D522" i="12"/>
  <c r="E522" i="12"/>
  <c r="F522" i="12"/>
  <c r="I522" i="12"/>
  <c r="J522" i="12"/>
  <c r="K522" i="12"/>
  <c r="L522" i="12"/>
  <c r="A523" i="12"/>
  <c r="B523" i="12"/>
  <c r="C523" i="12"/>
  <c r="D523" i="12"/>
  <c r="E523" i="12"/>
  <c r="F523" i="12"/>
  <c r="H523" i="12"/>
  <c r="I523" i="12"/>
  <c r="J523" i="12"/>
  <c r="K523" i="12"/>
  <c r="L523" i="12"/>
  <c r="A524" i="12"/>
  <c r="B524" i="12"/>
  <c r="C524" i="12"/>
  <c r="D524" i="12"/>
  <c r="E524" i="12"/>
  <c r="F524" i="12"/>
  <c r="C525" i="12"/>
  <c r="D525" i="12"/>
  <c r="E525" i="12"/>
  <c r="F525" i="12"/>
  <c r="C526" i="12"/>
  <c r="D526" i="12"/>
  <c r="E526" i="12"/>
  <c r="F526" i="12"/>
  <c r="I526" i="12"/>
  <c r="J526" i="12"/>
  <c r="K526" i="12"/>
  <c r="L526" i="12"/>
  <c r="A527" i="12"/>
  <c r="B527" i="12"/>
  <c r="C527" i="12"/>
  <c r="D527" i="12"/>
  <c r="E527" i="12"/>
  <c r="F527" i="12"/>
  <c r="A528" i="12"/>
  <c r="B528" i="12"/>
  <c r="C528" i="12"/>
  <c r="D528" i="12"/>
  <c r="E528" i="12"/>
  <c r="F528" i="12"/>
  <c r="H528" i="12"/>
  <c r="I528" i="12"/>
  <c r="J528" i="12"/>
  <c r="K528" i="12"/>
  <c r="L528" i="12"/>
  <c r="A529" i="12"/>
  <c r="B529" i="12"/>
  <c r="C529" i="12"/>
  <c r="D529" i="12"/>
  <c r="E529" i="12"/>
  <c r="F529" i="12"/>
  <c r="H529" i="12"/>
  <c r="I529" i="12"/>
  <c r="J529" i="12"/>
  <c r="K529" i="12"/>
  <c r="L529" i="12"/>
  <c r="A530" i="12"/>
  <c r="B530" i="12"/>
  <c r="C530" i="12"/>
  <c r="D530" i="12"/>
  <c r="E530" i="12"/>
  <c r="F530" i="12"/>
  <c r="G530" i="12"/>
  <c r="H530" i="12"/>
  <c r="I530" i="12"/>
  <c r="J530" i="12"/>
  <c r="K530" i="12"/>
  <c r="L530" i="12"/>
  <c r="A531" i="12"/>
  <c r="B531" i="12"/>
  <c r="C531" i="12"/>
  <c r="D531" i="12"/>
  <c r="E531" i="12"/>
  <c r="F531" i="12"/>
  <c r="G531" i="12"/>
  <c r="H531" i="12"/>
  <c r="I531" i="12"/>
  <c r="J531" i="12"/>
  <c r="K531" i="12"/>
  <c r="L531" i="12"/>
  <c r="A532" i="12"/>
  <c r="B532" i="12"/>
  <c r="C532" i="12"/>
  <c r="D532" i="12"/>
  <c r="E532" i="12"/>
  <c r="F532" i="12"/>
  <c r="G532" i="12"/>
  <c r="H532" i="12"/>
  <c r="I532" i="12"/>
  <c r="J532" i="12"/>
  <c r="K532" i="12"/>
  <c r="L532" i="12"/>
  <c r="A533" i="12"/>
  <c r="B533" i="12"/>
  <c r="C533" i="12"/>
  <c r="D533" i="12"/>
  <c r="E533" i="12"/>
  <c r="F533" i="12"/>
  <c r="G533" i="12"/>
  <c r="H533" i="12"/>
  <c r="I533" i="12"/>
  <c r="J533" i="12"/>
  <c r="K533" i="12"/>
  <c r="L533" i="12"/>
  <c r="A534" i="12"/>
  <c r="B534" i="12"/>
  <c r="C534" i="12"/>
  <c r="D534" i="12"/>
  <c r="E534" i="12"/>
  <c r="F534" i="12"/>
  <c r="G534" i="12"/>
  <c r="H534" i="12"/>
  <c r="I534" i="12"/>
  <c r="J534" i="12"/>
  <c r="K534" i="12"/>
  <c r="L534" i="12"/>
  <c r="A535" i="12"/>
  <c r="B535" i="12"/>
  <c r="C535" i="12"/>
  <c r="D535" i="12"/>
  <c r="E535" i="12"/>
  <c r="F535" i="12"/>
  <c r="G535" i="12"/>
  <c r="H535" i="12"/>
  <c r="I535" i="12"/>
  <c r="J535" i="12"/>
  <c r="K535" i="12"/>
  <c r="L535" i="12"/>
  <c r="A536" i="12"/>
  <c r="B536" i="12"/>
  <c r="C536" i="12"/>
  <c r="D536" i="12"/>
  <c r="E536" i="12"/>
  <c r="F536" i="12"/>
  <c r="G536" i="12"/>
  <c r="A537" i="12"/>
  <c r="B537" i="12"/>
  <c r="C537" i="12"/>
  <c r="D537" i="12"/>
  <c r="G537" i="12"/>
  <c r="A538" i="12"/>
  <c r="B538" i="12"/>
  <c r="C538" i="12"/>
  <c r="D538" i="12"/>
  <c r="E538" i="12"/>
  <c r="F538" i="12"/>
  <c r="G538" i="12"/>
  <c r="I538" i="12"/>
  <c r="J538" i="12"/>
  <c r="K538" i="12"/>
  <c r="L538" i="12"/>
  <c r="A539" i="12"/>
  <c r="B539" i="12"/>
  <c r="C539" i="12"/>
  <c r="D539" i="12"/>
  <c r="E539" i="12"/>
  <c r="F539" i="12"/>
  <c r="G539" i="12"/>
  <c r="A540" i="12"/>
  <c r="B540" i="12"/>
  <c r="C540" i="12"/>
  <c r="D540" i="12"/>
  <c r="E540" i="12"/>
  <c r="F540" i="12"/>
  <c r="G540" i="12"/>
  <c r="J540" i="12"/>
  <c r="A541" i="12"/>
  <c r="B541" i="12"/>
  <c r="C541" i="12"/>
  <c r="D541" i="12"/>
  <c r="E541" i="12"/>
  <c r="F541" i="12"/>
  <c r="G541" i="12"/>
  <c r="H541" i="12"/>
  <c r="I541" i="12"/>
  <c r="J541" i="12"/>
  <c r="K541" i="12"/>
  <c r="L541" i="12"/>
  <c r="A6" i="12"/>
  <c r="C6" i="12"/>
  <c r="D6" i="12"/>
  <c r="E6" i="12"/>
  <c r="H59" i="10" l="1"/>
  <c r="I59" i="10"/>
  <c r="J59" i="10"/>
  <c r="K59" i="10"/>
  <c r="H639" i="11"/>
  <c r="H188" i="12" s="1"/>
  <c r="K319" i="11"/>
  <c r="J319" i="11"/>
  <c r="I319" i="11"/>
  <c r="K313" i="11"/>
  <c r="J313" i="11"/>
  <c r="I313" i="11"/>
  <c r="I142" i="11"/>
  <c r="H145" i="11"/>
  <c r="H142" i="11" s="1"/>
  <c r="I146" i="11"/>
  <c r="I143" i="11" s="1"/>
  <c r="I141" i="11" l="1"/>
  <c r="H146" i="11"/>
  <c r="H143" i="11" s="1"/>
  <c r="H141" i="11" s="1"/>
  <c r="E12" i="7"/>
  <c r="K214" i="8"/>
  <c r="J214" i="8"/>
  <c r="I214" i="8"/>
  <c r="I416" i="5"/>
  <c r="I418" i="5"/>
  <c r="I417" i="5" s="1"/>
  <c r="H144" i="11" l="1"/>
  <c r="E144" i="11" s="1"/>
  <c r="I330" i="11"/>
  <c r="F332" i="11"/>
  <c r="I332" i="11"/>
  <c r="I334" i="11" s="1"/>
  <c r="I331" i="11" s="1"/>
  <c r="H331" i="11" s="1"/>
  <c r="H333" i="11"/>
  <c r="I343" i="11"/>
  <c r="J343" i="11"/>
  <c r="I344" i="11"/>
  <c r="J344" i="11"/>
  <c r="F345" i="11"/>
  <c r="I345" i="11"/>
  <c r="J345" i="11"/>
  <c r="F317" i="11"/>
  <c r="I317" i="11"/>
  <c r="J317" i="11"/>
  <c r="K317" i="11"/>
  <c r="L317" i="11"/>
  <c r="M317" i="11"/>
  <c r="H318" i="11"/>
  <c r="H319" i="11"/>
  <c r="F320" i="11"/>
  <c r="F38" i="10"/>
  <c r="G37" i="10"/>
  <c r="G39" i="10" s="1"/>
  <c r="H885" i="11"/>
  <c r="H884" i="11"/>
  <c r="H424" i="12" s="1"/>
  <c r="F39" i="10" l="1"/>
  <c r="F37" i="10" s="1"/>
  <c r="H879" i="11"/>
  <c r="H419" i="12" s="1"/>
  <c r="H425" i="12"/>
  <c r="J342" i="11"/>
  <c r="H317" i="11"/>
  <c r="E317" i="11" s="1"/>
  <c r="I329" i="11"/>
  <c r="H330" i="11"/>
  <c r="H329" i="11" s="1"/>
  <c r="I342" i="11"/>
  <c r="H334" i="11"/>
  <c r="H332" i="11" s="1"/>
  <c r="E332" i="11" s="1"/>
  <c r="H883" i="11"/>
  <c r="H878" i="11"/>
  <c r="H418" i="12" s="1"/>
  <c r="F71" i="5"/>
  <c r="F72" i="5"/>
  <c r="G900" i="11"/>
  <c r="G440" i="12" s="1"/>
  <c r="G899" i="11"/>
  <c r="G439" i="12" s="1"/>
  <c r="H898" i="11"/>
  <c r="H897" i="11"/>
  <c r="H896" i="11"/>
  <c r="G885" i="11"/>
  <c r="G425" i="12" s="1"/>
  <c r="G884" i="11"/>
  <c r="G424" i="12" s="1"/>
  <c r="J357" i="11"/>
  <c r="J330" i="8"/>
  <c r="F330" i="8"/>
  <c r="L351" i="11"/>
  <c r="K351" i="11"/>
  <c r="L288" i="11"/>
  <c r="J288" i="11" s="1"/>
  <c r="H288" i="11" s="1"/>
  <c r="L287" i="11"/>
  <c r="J287" i="11" s="1"/>
  <c r="H287" i="11" s="1"/>
  <c r="M286" i="11"/>
  <c r="L285" i="11"/>
  <c r="J285" i="11" s="1"/>
  <c r="L284" i="11"/>
  <c r="J284" i="11" s="1"/>
  <c r="H284" i="11" s="1"/>
  <c r="M283" i="11"/>
  <c r="L282" i="11"/>
  <c r="J282" i="11" s="1"/>
  <c r="L281" i="11"/>
  <c r="J281" i="11" s="1"/>
  <c r="H281" i="11" s="1"/>
  <c r="M280" i="11"/>
  <c r="L279" i="11"/>
  <c r="J279" i="11" s="1"/>
  <c r="H279" i="11" s="1"/>
  <c r="L278" i="11"/>
  <c r="J278" i="11" s="1"/>
  <c r="H278" i="11" s="1"/>
  <c r="M277" i="11"/>
  <c r="L276" i="11"/>
  <c r="J276" i="11" s="1"/>
  <c r="H276" i="11" s="1"/>
  <c r="L275" i="11"/>
  <c r="M274" i="11"/>
  <c r="M273" i="11"/>
  <c r="L273" i="11" s="1"/>
  <c r="M272" i="11"/>
  <c r="L272" i="11" s="1"/>
  <c r="K286" i="11"/>
  <c r="K283" i="11"/>
  <c r="K280" i="11"/>
  <c r="K277" i="11"/>
  <c r="K274" i="11"/>
  <c r="K273" i="11"/>
  <c r="K272" i="11"/>
  <c r="I286" i="11"/>
  <c r="I280" i="11"/>
  <c r="F286" i="11"/>
  <c r="I283" i="11"/>
  <c r="F283" i="11"/>
  <c r="F280" i="11"/>
  <c r="I277" i="11"/>
  <c r="F277" i="11"/>
  <c r="I274" i="11"/>
  <c r="F274" i="11"/>
  <c r="I273" i="11"/>
  <c r="F273" i="11"/>
  <c r="I272" i="11"/>
  <c r="F272" i="11"/>
  <c r="F297" i="11"/>
  <c r="G896" i="11" l="1"/>
  <c r="G436" i="12" s="1"/>
  <c r="H436" i="12"/>
  <c r="G898" i="11"/>
  <c r="G438" i="12" s="1"/>
  <c r="H438" i="12"/>
  <c r="G897" i="11"/>
  <c r="G437" i="12" s="1"/>
  <c r="H437" i="12"/>
  <c r="G883" i="11"/>
  <c r="G423" i="12" s="1"/>
  <c r="H423" i="12"/>
  <c r="K271" i="11"/>
  <c r="L274" i="11"/>
  <c r="L271" i="11"/>
  <c r="J275" i="11"/>
  <c r="H275" i="11" s="1"/>
  <c r="H274" i="11" s="1"/>
  <c r="E274" i="11" s="1"/>
  <c r="M271" i="11"/>
  <c r="F271" i="11"/>
  <c r="J273" i="11"/>
  <c r="H273" i="11" s="1"/>
  <c r="H895" i="11"/>
  <c r="J280" i="11"/>
  <c r="J286" i="11"/>
  <c r="L280" i="11"/>
  <c r="L286" i="11"/>
  <c r="J277" i="11"/>
  <c r="J283" i="11"/>
  <c r="L277" i="11"/>
  <c r="L283" i="11"/>
  <c r="H282" i="11"/>
  <c r="H280" i="11" s="1"/>
  <c r="E280" i="11" s="1"/>
  <c r="H285" i="11"/>
  <c r="H283" i="11" s="1"/>
  <c r="E283" i="11" s="1"/>
  <c r="H286" i="11"/>
  <c r="E286" i="11" s="1"/>
  <c r="H277" i="11"/>
  <c r="E277" i="11" s="1"/>
  <c r="J272" i="11"/>
  <c r="I271" i="11"/>
  <c r="G895" i="11" l="1"/>
  <c r="G435" i="12" s="1"/>
  <c r="H435" i="12"/>
  <c r="J271" i="11"/>
  <c r="H272" i="11"/>
  <c r="H271" i="11" s="1"/>
  <c r="J274" i="11"/>
  <c r="L420" i="5"/>
  <c r="L419" i="5" s="1"/>
  <c r="K420" i="5"/>
  <c r="J420" i="5"/>
  <c r="I21" i="24"/>
  <c r="G21" i="24"/>
  <c r="H21" i="24"/>
  <c r="J21" i="24"/>
  <c r="H245" i="8" l="1"/>
  <c r="H244" i="8"/>
  <c r="M243" i="8"/>
  <c r="L243" i="8"/>
  <c r="K243" i="8"/>
  <c r="J243" i="8"/>
  <c r="F243" i="8"/>
  <c r="H274" i="8"/>
  <c r="F276" i="8"/>
  <c r="F277" i="8"/>
  <c r="F278" i="8"/>
  <c r="G642" i="11" l="1"/>
  <c r="G191" i="12" s="1"/>
  <c r="H191" i="12"/>
  <c r="H243" i="8"/>
  <c r="F275" i="8"/>
  <c r="F212" i="11" l="1"/>
  <c r="F211" i="11"/>
  <c r="H36" i="24" l="1"/>
  <c r="I36" i="24"/>
  <c r="J36" i="24"/>
  <c r="K36" i="24"/>
  <c r="E6" i="24"/>
  <c r="J368" i="5"/>
  <c r="J369" i="5"/>
  <c r="I25" i="1" l="1"/>
  <c r="J25" i="1"/>
  <c r="K25" i="1"/>
  <c r="L25" i="1"/>
  <c r="M25" i="1"/>
  <c r="I27" i="1"/>
  <c r="J27" i="1"/>
  <c r="K27" i="1"/>
  <c r="L27" i="1"/>
  <c r="M27" i="1"/>
  <c r="I28" i="1"/>
  <c r="J28" i="1"/>
  <c r="K28" i="1"/>
  <c r="L28" i="1"/>
  <c r="M28" i="1"/>
  <c r="I29" i="1"/>
  <c r="J29" i="1"/>
  <c r="K29" i="1"/>
  <c r="L29" i="1"/>
  <c r="M29" i="1"/>
  <c r="I30" i="1"/>
  <c r="J30" i="1"/>
  <c r="K30" i="1"/>
  <c r="L30" i="1"/>
  <c r="M30" i="1"/>
  <c r="I33" i="1"/>
  <c r="J33" i="1"/>
  <c r="K33" i="1"/>
  <c r="L33" i="1"/>
  <c r="M33" i="1"/>
  <c r="E5" i="24"/>
  <c r="F7" i="24"/>
  <c r="F8" i="24"/>
  <c r="G8" i="24"/>
  <c r="F9" i="24"/>
  <c r="F10" i="24"/>
  <c r="F12" i="24"/>
  <c r="F13" i="24"/>
  <c r="F14" i="24"/>
  <c r="F15" i="24"/>
  <c r="F16" i="24"/>
  <c r="F17" i="24"/>
  <c r="F18" i="24"/>
  <c r="F19" i="24"/>
  <c r="F20" i="24"/>
  <c r="H39" i="24"/>
  <c r="G10" i="23" s="1"/>
  <c r="J32" i="1" s="1"/>
  <c r="I5" i="24"/>
  <c r="K5" i="24"/>
  <c r="F22" i="24"/>
  <c r="F23" i="24"/>
  <c r="F24" i="24"/>
  <c r="F25" i="24"/>
  <c r="G27" i="24"/>
  <c r="G26" i="24" s="1"/>
  <c r="H27" i="24"/>
  <c r="I27" i="24"/>
  <c r="I26" i="24" s="1"/>
  <c r="J27" i="24"/>
  <c r="J26" i="24" s="1"/>
  <c r="K27" i="24"/>
  <c r="K26" i="24" s="1"/>
  <c r="F28" i="24"/>
  <c r="F29" i="24"/>
  <c r="E31" i="24"/>
  <c r="E30" i="24" s="1"/>
  <c r="G31" i="24"/>
  <c r="G30" i="24" s="1"/>
  <c r="G36" i="24" s="1"/>
  <c r="H31" i="24"/>
  <c r="H30" i="24" s="1"/>
  <c r="I31" i="24"/>
  <c r="I30" i="24" s="1"/>
  <c r="J31" i="24"/>
  <c r="J30" i="24" s="1"/>
  <c r="K31" i="24"/>
  <c r="K30" i="24" s="1"/>
  <c r="F32" i="24"/>
  <c r="F33" i="24"/>
  <c r="F34" i="24"/>
  <c r="G37" i="24"/>
  <c r="H37" i="24"/>
  <c r="I37" i="24"/>
  <c r="J37" i="24"/>
  <c r="K37" i="24"/>
  <c r="G38" i="24"/>
  <c r="H38" i="24"/>
  <c r="I38" i="24"/>
  <c r="J38" i="24"/>
  <c r="K38" i="24"/>
  <c r="G39" i="24"/>
  <c r="I39" i="24"/>
  <c r="K39" i="24"/>
  <c r="G41" i="24"/>
  <c r="H41" i="24"/>
  <c r="I41" i="24"/>
  <c r="J41" i="24"/>
  <c r="K41" i="24"/>
  <c r="F8" i="23"/>
  <c r="I26" i="1" s="1"/>
  <c r="G8" i="23"/>
  <c r="J26" i="1" s="1"/>
  <c r="H8" i="23"/>
  <c r="K26" i="1" s="1"/>
  <c r="I8" i="23"/>
  <c r="L26" i="1" s="1"/>
  <c r="J8" i="23"/>
  <c r="M26" i="1" s="1"/>
  <c r="F9" i="23"/>
  <c r="I31" i="1" s="1"/>
  <c r="G9" i="23"/>
  <c r="J31" i="1" s="1"/>
  <c r="H9" i="23"/>
  <c r="K31" i="1" s="1"/>
  <c r="I9" i="23"/>
  <c r="L31" i="1" s="1"/>
  <c r="J9" i="23"/>
  <c r="M31" i="1" s="1"/>
  <c r="F10" i="23"/>
  <c r="I32" i="1" s="1"/>
  <c r="H10" i="23"/>
  <c r="K32" i="1" s="1"/>
  <c r="J10" i="23"/>
  <c r="M32" i="1" s="1"/>
  <c r="M366" i="8"/>
  <c r="L366" i="8"/>
  <c r="K366" i="8"/>
  <c r="J366" i="8"/>
  <c r="I366" i="8"/>
  <c r="F366" i="8"/>
  <c r="M364" i="8"/>
  <c r="L364" i="8"/>
  <c r="K364" i="8"/>
  <c r="J364" i="8"/>
  <c r="I361" i="8"/>
  <c r="I360" i="8" s="1"/>
  <c r="M360" i="8"/>
  <c r="L360" i="8"/>
  <c r="K360" i="8"/>
  <c r="J360" i="8"/>
  <c r="J349" i="8"/>
  <c r="I349" i="8"/>
  <c r="G23" i="7" s="1"/>
  <c r="F349" i="8"/>
  <c r="J348" i="8"/>
  <c r="H22" i="7" s="1"/>
  <c r="H8" i="7" s="1"/>
  <c r="I348" i="8"/>
  <c r="F348" i="8"/>
  <c r="E22" i="7" s="1"/>
  <c r="E8" i="7" s="1"/>
  <c r="J347" i="8"/>
  <c r="H21" i="7" s="1"/>
  <c r="F347" i="8"/>
  <c r="E21" i="7" s="1"/>
  <c r="E7" i="7" s="1"/>
  <c r="J346" i="8"/>
  <c r="H20" i="7" s="1"/>
  <c r="F346" i="8"/>
  <c r="E20" i="7" s="1"/>
  <c r="F340" i="8"/>
  <c r="I339" i="8"/>
  <c r="I330" i="8"/>
  <c r="J329" i="8"/>
  <c r="I329" i="8"/>
  <c r="J328" i="8"/>
  <c r="I328" i="8"/>
  <c r="J327" i="8"/>
  <c r="I327" i="8"/>
  <c r="J326" i="8"/>
  <c r="I326" i="8"/>
  <c r="M315" i="8"/>
  <c r="M314" i="8" s="1"/>
  <c r="L315" i="8"/>
  <c r="J43" i="7" s="1"/>
  <c r="J42" i="7" s="1"/>
  <c r="K315" i="8"/>
  <c r="K314" i="8" s="1"/>
  <c r="J315" i="8"/>
  <c r="J314" i="8" s="1"/>
  <c r="I315" i="8"/>
  <c r="G43" i="7" s="1"/>
  <c r="L314" i="8"/>
  <c r="H313" i="8"/>
  <c r="H310" i="8"/>
  <c r="H309" i="8" s="1"/>
  <c r="E309" i="8" s="1"/>
  <c r="M309" i="8"/>
  <c r="L309" i="8"/>
  <c r="K309" i="8"/>
  <c r="J309" i="8"/>
  <c r="I309" i="8"/>
  <c r="F309" i="8"/>
  <c r="F307" i="8" s="1"/>
  <c r="F305" i="8" s="1"/>
  <c r="F303" i="8" s="1"/>
  <c r="H308" i="8"/>
  <c r="H307" i="8" s="1"/>
  <c r="E307" i="8" s="1"/>
  <c r="M307" i="8"/>
  <c r="L307" i="8"/>
  <c r="K307" i="8"/>
  <c r="J307" i="8"/>
  <c r="I307" i="8"/>
  <c r="H306" i="8"/>
  <c r="H305" i="8" s="1"/>
  <c r="E305" i="8" s="1"/>
  <c r="M305" i="8"/>
  <c r="L305" i="8"/>
  <c r="K305" i="8"/>
  <c r="J305" i="8"/>
  <c r="I305" i="8"/>
  <c r="H304" i="8"/>
  <c r="H303" i="8" s="1"/>
  <c r="E303" i="8" s="1"/>
  <c r="M303" i="8"/>
  <c r="L303" i="8"/>
  <c r="K303" i="8"/>
  <c r="J303" i="8"/>
  <c r="I303" i="8"/>
  <c r="M295" i="8"/>
  <c r="M294" i="8" s="1"/>
  <c r="L295" i="8"/>
  <c r="J41" i="7" s="1"/>
  <c r="J40" i="7" s="1"/>
  <c r="K295" i="8"/>
  <c r="K294" i="8" s="1"/>
  <c r="J295" i="8"/>
  <c r="J294" i="8" s="1"/>
  <c r="I295" i="8"/>
  <c r="G41" i="7" s="1"/>
  <c r="L294" i="8"/>
  <c r="H293" i="8"/>
  <c r="H292" i="8"/>
  <c r="H291" i="8" s="1"/>
  <c r="E291" i="8" s="1"/>
  <c r="M291" i="8"/>
  <c r="L291" i="8"/>
  <c r="K291" i="8"/>
  <c r="J291" i="8"/>
  <c r="I291" i="8"/>
  <c r="F291" i="8"/>
  <c r="F289" i="8" s="1"/>
  <c r="H290" i="8"/>
  <c r="H289" i="8" s="1"/>
  <c r="E289" i="8" s="1"/>
  <c r="M289" i="8"/>
  <c r="L289" i="8"/>
  <c r="K289" i="8"/>
  <c r="J289" i="8"/>
  <c r="I289" i="8"/>
  <c r="I272" i="8"/>
  <c r="I269" i="8" s="1"/>
  <c r="M271" i="8"/>
  <c r="L271" i="8"/>
  <c r="K271" i="8"/>
  <c r="J271" i="8"/>
  <c r="F271" i="8"/>
  <c r="M270" i="8"/>
  <c r="L270" i="8"/>
  <c r="K270" i="8"/>
  <c r="J270" i="8"/>
  <c r="M269" i="8"/>
  <c r="M268" i="8" s="1"/>
  <c r="L269" i="8"/>
  <c r="L268" i="8" s="1"/>
  <c r="K269" i="8"/>
  <c r="K268" i="8" s="1"/>
  <c r="J269" i="8"/>
  <c r="J268" i="8" s="1"/>
  <c r="H267" i="8"/>
  <c r="H266" i="8"/>
  <c r="M265" i="8"/>
  <c r="L265" i="8"/>
  <c r="K265" i="8"/>
  <c r="J265" i="8"/>
  <c r="I265" i="8"/>
  <c r="F265" i="8"/>
  <c r="H264" i="8"/>
  <c r="H263" i="8"/>
  <c r="M262" i="8"/>
  <c r="L262" i="8"/>
  <c r="K262" i="8"/>
  <c r="J262" i="8"/>
  <c r="I262" i="8"/>
  <c r="F262" i="8"/>
  <c r="M261" i="8"/>
  <c r="L261" i="8"/>
  <c r="K261" i="8"/>
  <c r="J261" i="8"/>
  <c r="I261" i="8"/>
  <c r="M260" i="8"/>
  <c r="L260" i="8"/>
  <c r="K260" i="8"/>
  <c r="J260" i="8"/>
  <c r="I260" i="8"/>
  <c r="H258" i="8"/>
  <c r="H257" i="8"/>
  <c r="M256" i="8"/>
  <c r="L256" i="8"/>
  <c r="K256" i="8"/>
  <c r="J256" i="8"/>
  <c r="I256" i="8"/>
  <c r="F256" i="8"/>
  <c r="M255" i="8"/>
  <c r="L255" i="8"/>
  <c r="K255" i="8"/>
  <c r="J255" i="8"/>
  <c r="I255" i="8"/>
  <c r="M254" i="8"/>
  <c r="L254" i="8"/>
  <c r="K254" i="8"/>
  <c r="J254" i="8"/>
  <c r="I254" i="8"/>
  <c r="H252" i="8"/>
  <c r="H251" i="8"/>
  <c r="M250" i="8"/>
  <c r="L250" i="8"/>
  <c r="K250" i="8"/>
  <c r="J250" i="8"/>
  <c r="I250" i="8"/>
  <c r="F250" i="8"/>
  <c r="M249" i="8"/>
  <c r="L249" i="8"/>
  <c r="K249" i="8"/>
  <c r="J249" i="8"/>
  <c r="I249" i="8"/>
  <c r="M248" i="8"/>
  <c r="L248" i="8"/>
  <c r="K248" i="8"/>
  <c r="J248" i="8"/>
  <c r="I248" i="8"/>
  <c r="H242" i="8"/>
  <c r="H241" i="8"/>
  <c r="H240" i="8"/>
  <c r="M239" i="8"/>
  <c r="L239" i="8"/>
  <c r="K239" i="8"/>
  <c r="J239" i="8"/>
  <c r="I239" i="8"/>
  <c r="F239" i="8"/>
  <c r="M238" i="8"/>
  <c r="L238" i="8"/>
  <c r="K238" i="8"/>
  <c r="J238" i="8"/>
  <c r="M237" i="8"/>
  <c r="L237" i="8"/>
  <c r="K237" i="8"/>
  <c r="J237" i="8"/>
  <c r="I237" i="8"/>
  <c r="M236" i="8"/>
  <c r="L236" i="8"/>
  <c r="K236" i="8"/>
  <c r="J236" i="8"/>
  <c r="I236" i="8"/>
  <c r="H234" i="8"/>
  <c r="H233" i="8"/>
  <c r="H232" i="8"/>
  <c r="M231" i="8"/>
  <c r="L231" i="8"/>
  <c r="K231" i="8"/>
  <c r="J231" i="8"/>
  <c r="I231" i="8"/>
  <c r="F231" i="8"/>
  <c r="M230" i="8"/>
  <c r="L230" i="8"/>
  <c r="K230" i="8"/>
  <c r="J230" i="8"/>
  <c r="I230" i="8"/>
  <c r="M229" i="8"/>
  <c r="L229" i="8"/>
  <c r="K229" i="8"/>
  <c r="J229" i="8"/>
  <c r="I229" i="8"/>
  <c r="M228" i="8"/>
  <c r="L228" i="8"/>
  <c r="K228" i="8"/>
  <c r="J228" i="8"/>
  <c r="I228" i="8"/>
  <c r="H214" i="8"/>
  <c r="H213" i="8"/>
  <c r="M212" i="8"/>
  <c r="L212" i="8"/>
  <c r="K212" i="8"/>
  <c r="J212" i="8"/>
  <c r="I212" i="8"/>
  <c r="F212" i="8"/>
  <c r="M211" i="8"/>
  <c r="M217" i="8" s="1"/>
  <c r="L211" i="8"/>
  <c r="L217" i="8" s="1"/>
  <c r="K211" i="8"/>
  <c r="K217" i="8" s="1"/>
  <c r="J211" i="8"/>
  <c r="J217" i="8" s="1"/>
  <c r="I211" i="8"/>
  <c r="M210" i="8"/>
  <c r="M216" i="8" s="1"/>
  <c r="K17" i="7" s="1"/>
  <c r="L210" i="8"/>
  <c r="L216" i="8" s="1"/>
  <c r="J17" i="7" s="1"/>
  <c r="K210" i="8"/>
  <c r="K216" i="8" s="1"/>
  <c r="I17" i="7" s="1"/>
  <c r="I16" i="7" s="1"/>
  <c r="J210" i="8"/>
  <c r="J216" i="8" s="1"/>
  <c r="H17" i="7" s="1"/>
  <c r="H16" i="7" s="1"/>
  <c r="I210" i="8"/>
  <c r="I216" i="8" s="1"/>
  <c r="G17" i="7" s="1"/>
  <c r="G16" i="7" s="1"/>
  <c r="I33" i="7"/>
  <c r="G33" i="7"/>
  <c r="Q186" i="8"/>
  <c r="T184" i="8"/>
  <c r="S184" i="8"/>
  <c r="R184" i="8"/>
  <c r="Q183" i="8"/>
  <c r="T181" i="8"/>
  <c r="S181" i="8"/>
  <c r="R181" i="8"/>
  <c r="Q180" i="8"/>
  <c r="T178" i="8"/>
  <c r="S178" i="8"/>
  <c r="R178" i="8"/>
  <c r="Q171" i="8"/>
  <c r="T169" i="8"/>
  <c r="S169" i="8"/>
  <c r="R169" i="8"/>
  <c r="J33" i="7"/>
  <c r="H13" i="7"/>
  <c r="Q105" i="8"/>
  <c r="T103" i="8"/>
  <c r="S103" i="8"/>
  <c r="R103" i="8"/>
  <c r="Q98" i="8"/>
  <c r="T96" i="8"/>
  <c r="S96" i="8"/>
  <c r="R96" i="8"/>
  <c r="Q92" i="8"/>
  <c r="T90" i="8"/>
  <c r="S90" i="8"/>
  <c r="R90" i="8"/>
  <c r="Q86" i="8"/>
  <c r="T84" i="8"/>
  <c r="S84" i="8"/>
  <c r="R84" i="8"/>
  <c r="Q80" i="8"/>
  <c r="U78" i="8"/>
  <c r="T78" i="8"/>
  <c r="S78" i="8"/>
  <c r="R78" i="8"/>
  <c r="R80" i="8" s="1"/>
  <c r="Q74" i="8"/>
  <c r="T72" i="8"/>
  <c r="S72" i="8"/>
  <c r="R72" i="8"/>
  <c r="U66" i="8"/>
  <c r="U68" i="8" s="1"/>
  <c r="T66" i="8"/>
  <c r="T68" i="8" s="1"/>
  <c r="S66" i="8"/>
  <c r="S68" i="8" s="1"/>
  <c r="R66" i="8"/>
  <c r="R68" i="8" s="1"/>
  <c r="U60" i="8"/>
  <c r="U62" i="8" s="1"/>
  <c r="T60" i="8"/>
  <c r="T62" i="8" s="1"/>
  <c r="S60" i="8"/>
  <c r="S62" i="8" s="1"/>
  <c r="Q46" i="8"/>
  <c r="R44" i="8"/>
  <c r="T44" i="8"/>
  <c r="S44" i="8"/>
  <c r="H33" i="7"/>
  <c r="K31" i="7"/>
  <c r="P25" i="7"/>
  <c r="O25" i="7"/>
  <c r="N25" i="7"/>
  <c r="K25" i="7"/>
  <c r="K24" i="7" s="1"/>
  <c r="J25" i="7"/>
  <c r="J24" i="7" s="1"/>
  <c r="I25" i="7"/>
  <c r="I24" i="7" s="1"/>
  <c r="H25" i="7"/>
  <c r="H24" i="7" s="1"/>
  <c r="E24" i="7"/>
  <c r="H23" i="7"/>
  <c r="H9" i="7" s="1"/>
  <c r="K19" i="7"/>
  <c r="J19" i="7"/>
  <c r="I19" i="7"/>
  <c r="O11" i="7"/>
  <c r="N11" i="7"/>
  <c r="N6" i="7" s="1"/>
  <c r="K11" i="7"/>
  <c r="O6" i="7"/>
  <c r="G8" i="6" l="1"/>
  <c r="S171" i="8"/>
  <c r="S180" i="8"/>
  <c r="S183" i="8"/>
  <c r="I43" i="7"/>
  <c r="I42" i="7" s="1"/>
  <c r="K41" i="7"/>
  <c r="K40" i="7" s="1"/>
  <c r="T80" i="8"/>
  <c r="S98" i="8"/>
  <c r="K43" i="7"/>
  <c r="K42" i="7" s="1"/>
  <c r="I276" i="8"/>
  <c r="I235" i="8"/>
  <c r="S186" i="8"/>
  <c r="G22" i="7"/>
  <c r="G8" i="7" s="1"/>
  <c r="E23" i="7"/>
  <c r="E9" i="7" s="1"/>
  <c r="H43" i="7"/>
  <c r="H42" i="7" s="1"/>
  <c r="I247" i="8"/>
  <c r="S46" i="8"/>
  <c r="R46" i="8"/>
  <c r="R92" i="8"/>
  <c r="T92" i="8"/>
  <c r="R105" i="8"/>
  <c r="T105" i="8"/>
  <c r="I227" i="8"/>
  <c r="M227" i="8"/>
  <c r="H256" i="8"/>
  <c r="E256" i="8" s="1"/>
  <c r="H28" i="1"/>
  <c r="H29" i="1"/>
  <c r="H33" i="1"/>
  <c r="H27" i="1"/>
  <c r="H30" i="1"/>
  <c r="H25" i="1"/>
  <c r="J363" i="8"/>
  <c r="I217" i="8"/>
  <c r="I215" i="8" s="1"/>
  <c r="H211" i="8"/>
  <c r="H34" i="7"/>
  <c r="I34" i="7"/>
  <c r="J34" i="7"/>
  <c r="J13" i="7"/>
  <c r="I8" i="6" s="1"/>
  <c r="I13" i="7"/>
  <c r="H8" i="6" s="1"/>
  <c r="I41" i="7"/>
  <c r="I40" i="7" s="1"/>
  <c r="G25" i="7"/>
  <c r="G24" i="7" s="1"/>
  <c r="K14" i="7"/>
  <c r="H366" i="8"/>
  <c r="I12" i="7"/>
  <c r="H12" i="7"/>
  <c r="H14" i="7"/>
  <c r="H7" i="7" s="1"/>
  <c r="E11" i="7"/>
  <c r="E6" i="7" s="1"/>
  <c r="E14" i="7"/>
  <c r="L235" i="8"/>
  <c r="H41" i="7"/>
  <c r="H40" i="7" s="1"/>
  <c r="R74" i="8"/>
  <c r="T74" i="8"/>
  <c r="J227" i="8"/>
  <c r="L227" i="8"/>
  <c r="K277" i="8"/>
  <c r="I38" i="7" s="1"/>
  <c r="M277" i="8"/>
  <c r="H19" i="7"/>
  <c r="R86" i="8"/>
  <c r="T86" i="8"/>
  <c r="H212" i="8"/>
  <c r="E212" i="8" s="1"/>
  <c r="K227" i="8"/>
  <c r="I278" i="8"/>
  <c r="G39" i="7" s="1"/>
  <c r="G29" i="7" s="1"/>
  <c r="K278" i="8"/>
  <c r="I39" i="7" s="1"/>
  <c r="I29" i="7" s="1"/>
  <c r="M278" i="8"/>
  <c r="K39" i="7" s="1"/>
  <c r="K29" i="7" s="1"/>
  <c r="J235" i="8"/>
  <c r="M253" i="8"/>
  <c r="H315" i="8"/>
  <c r="H314" i="8" s="1"/>
  <c r="F345" i="8"/>
  <c r="H53" i="7"/>
  <c r="K276" i="8"/>
  <c r="M276" i="8"/>
  <c r="H248" i="8"/>
  <c r="K247" i="8"/>
  <c r="M247" i="8"/>
  <c r="J247" i="8"/>
  <c r="L247" i="8"/>
  <c r="J253" i="8"/>
  <c r="L253" i="8"/>
  <c r="U80" i="8"/>
  <c r="I209" i="8"/>
  <c r="H237" i="8"/>
  <c r="L259" i="8"/>
  <c r="I314" i="8"/>
  <c r="S105" i="8"/>
  <c r="K209" i="8"/>
  <c r="K16" i="7"/>
  <c r="H51" i="7"/>
  <c r="G11" i="6"/>
  <c r="J18" i="1" s="1"/>
  <c r="M209" i="8"/>
  <c r="J215" i="8"/>
  <c r="H228" i="8"/>
  <c r="J276" i="8"/>
  <c r="H37" i="7" s="1"/>
  <c r="L276" i="8"/>
  <c r="J37" i="7" s="1"/>
  <c r="H229" i="8"/>
  <c r="J277" i="8"/>
  <c r="H38" i="7" s="1"/>
  <c r="L277" i="8"/>
  <c r="J38" i="7" s="1"/>
  <c r="H230" i="8"/>
  <c r="J278" i="8"/>
  <c r="H39" i="7" s="1"/>
  <c r="H29" i="7" s="1"/>
  <c r="G10" i="6" s="1"/>
  <c r="L278" i="8"/>
  <c r="J39" i="7" s="1"/>
  <c r="J29" i="7" s="1"/>
  <c r="F33" i="7"/>
  <c r="K235" i="8"/>
  <c r="M235" i="8"/>
  <c r="H249" i="8"/>
  <c r="J209" i="8"/>
  <c r="L209" i="8"/>
  <c r="K215" i="8"/>
  <c r="M215" i="8"/>
  <c r="H255" i="8"/>
  <c r="J39" i="24"/>
  <c r="I10" i="23" s="1"/>
  <c r="L32" i="1" s="1"/>
  <c r="H31" i="1"/>
  <c r="H32" i="1"/>
  <c r="H26" i="1"/>
  <c r="K40" i="24"/>
  <c r="J7" i="23"/>
  <c r="M24" i="1" s="1"/>
  <c r="M23" i="1" s="1"/>
  <c r="F31" i="24"/>
  <c r="F30" i="24" s="1"/>
  <c r="F27" i="24"/>
  <c r="F26" i="24" s="1"/>
  <c r="H26" i="24"/>
  <c r="H5" i="24"/>
  <c r="J345" i="8"/>
  <c r="L363" i="8"/>
  <c r="T46" i="8"/>
  <c r="S74" i="8"/>
  <c r="S86" i="8"/>
  <c r="R186" i="8"/>
  <c r="T186" i="8"/>
  <c r="H210" i="8"/>
  <c r="H236" i="8"/>
  <c r="H238" i="8"/>
  <c r="H239" i="8"/>
  <c r="I253" i="8"/>
  <c r="J259" i="8"/>
  <c r="H261" i="8"/>
  <c r="H262" i="8"/>
  <c r="E262" i="8" s="1"/>
  <c r="H265" i="8"/>
  <c r="E265" i="8" s="1"/>
  <c r="L215" i="8"/>
  <c r="F17" i="7"/>
  <c r="H269" i="8"/>
  <c r="H272" i="8"/>
  <c r="I273" i="8"/>
  <c r="G9" i="7"/>
  <c r="S92" i="8"/>
  <c r="R98" i="8"/>
  <c r="T98" i="8"/>
  <c r="T180" i="8"/>
  <c r="K253" i="8"/>
  <c r="H295" i="8"/>
  <c r="H294" i="8" s="1"/>
  <c r="I294" i="8"/>
  <c r="K363" i="8"/>
  <c r="M363" i="8"/>
  <c r="K34" i="7"/>
  <c r="K30" i="7" s="1"/>
  <c r="R171" i="8"/>
  <c r="T171" i="8"/>
  <c r="R180" i="8"/>
  <c r="H231" i="8"/>
  <c r="H250" i="8"/>
  <c r="H254" i="8"/>
  <c r="K259" i="8"/>
  <c r="M259" i="8"/>
  <c r="J325" i="8"/>
  <c r="F36" i="24"/>
  <c r="G40" i="24"/>
  <c r="F7" i="23"/>
  <c r="I24" i="1" s="1"/>
  <c r="K9" i="23"/>
  <c r="H40" i="24"/>
  <c r="G7" i="23"/>
  <c r="G5" i="24"/>
  <c r="F38" i="24"/>
  <c r="I40" i="24"/>
  <c r="H7" i="23"/>
  <c r="I7" i="23"/>
  <c r="K8" i="23"/>
  <c r="F39" i="24"/>
  <c r="F37" i="24"/>
  <c r="F21" i="24"/>
  <c r="J5" i="24"/>
  <c r="N7" i="24"/>
  <c r="R60" i="8"/>
  <c r="R62" i="8" s="1"/>
  <c r="G40" i="7"/>
  <c r="G42" i="7"/>
  <c r="I14" i="7"/>
  <c r="S80" i="8"/>
  <c r="J32" i="7"/>
  <c r="J31" i="7" s="1"/>
  <c r="R183" i="8"/>
  <c r="T183" i="8"/>
  <c r="H217" i="8"/>
  <c r="H216" i="8"/>
  <c r="I325" i="8"/>
  <c r="H260" i="8"/>
  <c r="I259" i="8"/>
  <c r="I364" i="8"/>
  <c r="H361" i="8"/>
  <c r="H360" i="8" s="1"/>
  <c r="E360" i="8" s="1"/>
  <c r="H11" i="7" l="1"/>
  <c r="H6" i="7" s="1"/>
  <c r="H5" i="7" s="1"/>
  <c r="F10" i="6"/>
  <c r="F16" i="6"/>
  <c r="E19" i="7"/>
  <c r="G50" i="7"/>
  <c r="F50" i="7" s="1"/>
  <c r="E5" i="7"/>
  <c r="F16" i="7"/>
  <c r="F43" i="7"/>
  <c r="F42" i="7" s="1"/>
  <c r="K275" i="8"/>
  <c r="I53" i="7"/>
  <c r="I11" i="7"/>
  <c r="E10" i="7"/>
  <c r="G13" i="7"/>
  <c r="F25" i="7"/>
  <c r="F24" i="7" s="1"/>
  <c r="H259" i="8"/>
  <c r="F41" i="7"/>
  <c r="F40" i="7" s="1"/>
  <c r="H28" i="7"/>
  <c r="H49" i="7" s="1"/>
  <c r="G14" i="7"/>
  <c r="J14" i="7"/>
  <c r="H215" i="8"/>
  <c r="H247" i="8"/>
  <c r="M275" i="8"/>
  <c r="K38" i="7"/>
  <c r="K28" i="7" s="1"/>
  <c r="J28" i="7"/>
  <c r="H253" i="8"/>
  <c r="H227" i="8"/>
  <c r="K10" i="23"/>
  <c r="J40" i="24"/>
  <c r="H235" i="8"/>
  <c r="F29" i="7"/>
  <c r="H36" i="7"/>
  <c r="J275" i="8"/>
  <c r="H276" i="8"/>
  <c r="J36" i="7"/>
  <c r="H278" i="8"/>
  <c r="L275" i="8"/>
  <c r="H209" i="8"/>
  <c r="J6" i="23"/>
  <c r="J5" i="23" s="1"/>
  <c r="I6" i="23"/>
  <c r="I5" i="23" s="1"/>
  <c r="L24" i="1"/>
  <c r="L23" i="1" s="1"/>
  <c r="H6" i="23"/>
  <c r="H5" i="23" s="1"/>
  <c r="K24" i="1"/>
  <c r="K23" i="1" s="1"/>
  <c r="G6" i="23"/>
  <c r="G5" i="23" s="1"/>
  <c r="J24" i="1"/>
  <c r="I23" i="1"/>
  <c r="I35" i="1"/>
  <c r="I28" i="7"/>
  <c r="G51" i="7"/>
  <c r="F11" i="6"/>
  <c r="H273" i="8"/>
  <c r="H271" i="8" s="1"/>
  <c r="E271" i="8" s="1"/>
  <c r="I270" i="8"/>
  <c r="I277" i="8" s="1"/>
  <c r="I275" i="8" s="1"/>
  <c r="I32" i="7"/>
  <c r="I31" i="7" s="1"/>
  <c r="I30" i="7" s="1"/>
  <c r="J16" i="7"/>
  <c r="F39" i="7"/>
  <c r="I271" i="8"/>
  <c r="K7" i="23"/>
  <c r="F6" i="23"/>
  <c r="F40" i="24"/>
  <c r="F6" i="24"/>
  <c r="F5" i="24" s="1"/>
  <c r="J30" i="7"/>
  <c r="J27" i="7"/>
  <c r="G12" i="7"/>
  <c r="I37" i="7"/>
  <c r="I363" i="8"/>
  <c r="H364" i="8"/>
  <c r="H363" i="8" s="1"/>
  <c r="K37" i="7"/>
  <c r="G37" i="7"/>
  <c r="J53" i="7"/>
  <c r="H32" i="7"/>
  <c r="H31" i="7" s="1"/>
  <c r="K10" i="7"/>
  <c r="I18" i="1" l="1"/>
  <c r="Q18" i="1" s="1"/>
  <c r="H10" i="7"/>
  <c r="F13" i="7"/>
  <c r="F14" i="6"/>
  <c r="G7" i="6"/>
  <c r="G6" i="6" s="1"/>
  <c r="G9" i="6"/>
  <c r="F14" i="7"/>
  <c r="I10" i="7"/>
  <c r="F8" i="6"/>
  <c r="G53" i="7"/>
  <c r="H277" i="8"/>
  <c r="H275" i="8" s="1"/>
  <c r="J23" i="1"/>
  <c r="H24" i="1"/>
  <c r="H23" i="1" s="1"/>
  <c r="H270" i="8"/>
  <c r="H268" i="8" s="1"/>
  <c r="I268" i="8"/>
  <c r="K6" i="23"/>
  <c r="K5" i="23" s="1"/>
  <c r="H54" i="7"/>
  <c r="G34" i="7"/>
  <c r="F37" i="7"/>
  <c r="I36" i="7"/>
  <c r="I27" i="7"/>
  <c r="J26" i="7"/>
  <c r="G32" i="7"/>
  <c r="G31" i="7" s="1"/>
  <c r="K36" i="7"/>
  <c r="K27" i="7"/>
  <c r="G11" i="7"/>
  <c r="G10" i="7" s="1"/>
  <c r="G30" i="7" l="1"/>
  <c r="K8" i="6"/>
  <c r="O8" i="6" s="1"/>
  <c r="G5" i="6"/>
  <c r="G38" i="7"/>
  <c r="K26" i="7"/>
  <c r="F32" i="7"/>
  <c r="F31" i="7" s="1"/>
  <c r="J12" i="7"/>
  <c r="F34" i="7"/>
  <c r="H30" i="7"/>
  <c r="H27" i="7"/>
  <c r="I26" i="7"/>
  <c r="F30" i="7" l="1"/>
  <c r="F38" i="7"/>
  <c r="F36" i="7" s="1"/>
  <c r="G36" i="7"/>
  <c r="G28" i="7"/>
  <c r="H48" i="7"/>
  <c r="H47" i="7" s="1"/>
  <c r="H26" i="7"/>
  <c r="J11" i="7"/>
  <c r="F12" i="7"/>
  <c r="F11" i="7" s="1"/>
  <c r="F10" i="7" s="1"/>
  <c r="G27" i="7"/>
  <c r="F28" i="7" l="1"/>
  <c r="F27" i="7"/>
  <c r="G26" i="7"/>
  <c r="J10" i="7"/>
  <c r="F26" i="7" l="1"/>
  <c r="M420" i="5" l="1"/>
  <c r="K419" i="5"/>
  <c r="J419" i="5"/>
  <c r="H418" i="5"/>
  <c r="H417" i="5" s="1"/>
  <c r="E417" i="5" s="1"/>
  <c r="H416" i="5"/>
  <c r="H415" i="5" s="1"/>
  <c r="E415" i="5" s="1"/>
  <c r="I415" i="5"/>
  <c r="I420" i="5" s="1"/>
  <c r="M406" i="5"/>
  <c r="M405" i="5" s="1"/>
  <c r="L406" i="5"/>
  <c r="L405" i="5" s="1"/>
  <c r="K406" i="5"/>
  <c r="I26" i="4" s="1"/>
  <c r="I25" i="4" s="1"/>
  <c r="J406" i="5"/>
  <c r="J405" i="5" s="1"/>
  <c r="I406" i="5"/>
  <c r="H404" i="5"/>
  <c r="H403" i="5"/>
  <c r="H402" i="5" s="1"/>
  <c r="M402" i="5"/>
  <c r="L402" i="5"/>
  <c r="K402" i="5"/>
  <c r="J402" i="5"/>
  <c r="I402" i="5"/>
  <c r="H401" i="5"/>
  <c r="H400" i="5" s="1"/>
  <c r="M400" i="5"/>
  <c r="L400" i="5"/>
  <c r="K400" i="5"/>
  <c r="J400" i="5"/>
  <c r="I400" i="5"/>
  <c r="S389" i="5"/>
  <c r="H389" i="5"/>
  <c r="H380" i="5"/>
  <c r="M379" i="5"/>
  <c r="L379" i="5"/>
  <c r="K379" i="5"/>
  <c r="J379" i="5"/>
  <c r="F379" i="5"/>
  <c r="S377" i="5"/>
  <c r="H377" i="5"/>
  <c r="T376" i="5"/>
  <c r="M376" i="5"/>
  <c r="L376" i="5"/>
  <c r="K376" i="5"/>
  <c r="J376" i="5"/>
  <c r="J378" i="5" s="1"/>
  <c r="J375" i="5" s="1"/>
  <c r="I376" i="5"/>
  <c r="I378" i="5" s="1"/>
  <c r="I375" i="5" s="1"/>
  <c r="F376" i="5"/>
  <c r="S374" i="5"/>
  <c r="J374" i="5"/>
  <c r="I374" i="5"/>
  <c r="U373" i="5"/>
  <c r="T373" i="5"/>
  <c r="M373" i="5"/>
  <c r="L373" i="5"/>
  <c r="K373" i="5"/>
  <c r="M370" i="5"/>
  <c r="L370" i="5"/>
  <c r="K370" i="5"/>
  <c r="J370" i="5"/>
  <c r="F370" i="5"/>
  <c r="M367" i="5"/>
  <c r="L367" i="5"/>
  <c r="K367" i="5"/>
  <c r="S365" i="5"/>
  <c r="I365" i="5"/>
  <c r="H365" i="5" s="1"/>
  <c r="M364" i="5"/>
  <c r="L364" i="5"/>
  <c r="K364" i="5"/>
  <c r="J364" i="5"/>
  <c r="F364" i="5"/>
  <c r="M363" i="5"/>
  <c r="L363" i="5"/>
  <c r="K363" i="5"/>
  <c r="J363" i="5"/>
  <c r="M362" i="5"/>
  <c r="M361" i="5" s="1"/>
  <c r="L362" i="5"/>
  <c r="L361" i="5" s="1"/>
  <c r="K362" i="5"/>
  <c r="K361" i="5" s="1"/>
  <c r="J362" i="5"/>
  <c r="J361" i="5" s="1"/>
  <c r="H360" i="5"/>
  <c r="H359" i="5"/>
  <c r="M358" i="5"/>
  <c r="L358" i="5"/>
  <c r="K358" i="5"/>
  <c r="J358" i="5"/>
  <c r="I358" i="5"/>
  <c r="F358" i="5"/>
  <c r="H357" i="5"/>
  <c r="H356" i="5"/>
  <c r="M355" i="5"/>
  <c r="L355" i="5"/>
  <c r="K355" i="5"/>
  <c r="J355" i="5"/>
  <c r="I355" i="5"/>
  <c r="F355" i="5"/>
  <c r="H354" i="5"/>
  <c r="H353" i="5"/>
  <c r="M352" i="5"/>
  <c r="L352" i="5"/>
  <c r="K352" i="5"/>
  <c r="J352" i="5"/>
  <c r="I352" i="5"/>
  <c r="F352" i="5"/>
  <c r="H351" i="5"/>
  <c r="H350" i="5"/>
  <c r="M349" i="5"/>
  <c r="L349" i="5"/>
  <c r="K349" i="5"/>
  <c r="J349" i="5"/>
  <c r="I349" i="5"/>
  <c r="F349" i="5"/>
  <c r="M348" i="5"/>
  <c r="L348" i="5"/>
  <c r="K348" i="5"/>
  <c r="J348" i="5"/>
  <c r="I348" i="5"/>
  <c r="S347" i="5"/>
  <c r="M347" i="5"/>
  <c r="L347" i="5"/>
  <c r="K347" i="5"/>
  <c r="J347" i="5"/>
  <c r="I347" i="5"/>
  <c r="T346" i="5"/>
  <c r="H345" i="5"/>
  <c r="H344" i="5"/>
  <c r="M343" i="5"/>
  <c r="L343" i="5"/>
  <c r="K343" i="5"/>
  <c r="J343" i="5"/>
  <c r="I343" i="5"/>
  <c r="Q342" i="5" s="1"/>
  <c r="H342" i="5"/>
  <c r="H341" i="5"/>
  <c r="M340" i="5"/>
  <c r="L340" i="5"/>
  <c r="K340" i="5"/>
  <c r="J340" i="5"/>
  <c r="I340" i="5"/>
  <c r="Q339" i="5" s="1"/>
  <c r="H339" i="5"/>
  <c r="H338" i="5"/>
  <c r="M337" i="5"/>
  <c r="L337" i="5"/>
  <c r="K337" i="5"/>
  <c r="J337" i="5"/>
  <c r="I337" i="5"/>
  <c r="Q336" i="5" s="1"/>
  <c r="H336" i="5"/>
  <c r="H335" i="5"/>
  <c r="M334" i="5"/>
  <c r="L334" i="5"/>
  <c r="K334" i="5"/>
  <c r="J334" i="5"/>
  <c r="I334" i="5"/>
  <c r="M333" i="5"/>
  <c r="L333" i="5"/>
  <c r="K333" i="5"/>
  <c r="J333" i="5"/>
  <c r="I333" i="5"/>
  <c r="M332" i="5"/>
  <c r="L332" i="5"/>
  <c r="K332" i="5"/>
  <c r="J332" i="5"/>
  <c r="I332" i="5"/>
  <c r="S329" i="5"/>
  <c r="I329" i="5"/>
  <c r="I326" i="5" s="1"/>
  <c r="M328" i="5"/>
  <c r="L328" i="5"/>
  <c r="K328" i="5"/>
  <c r="J328" i="5"/>
  <c r="M327" i="5"/>
  <c r="L327" i="5"/>
  <c r="K327" i="5"/>
  <c r="J327" i="5"/>
  <c r="M326" i="5"/>
  <c r="M325" i="5" s="1"/>
  <c r="L326" i="5"/>
  <c r="L325" i="5" s="1"/>
  <c r="K326" i="5"/>
  <c r="K325" i="5" s="1"/>
  <c r="J326" i="5"/>
  <c r="J325" i="5" s="1"/>
  <c r="H324" i="5"/>
  <c r="H323" i="5"/>
  <c r="M322" i="5"/>
  <c r="L322" i="5"/>
  <c r="K322" i="5"/>
  <c r="J322" i="5"/>
  <c r="I322" i="5"/>
  <c r="H321" i="5"/>
  <c r="H320" i="5"/>
  <c r="M319" i="5"/>
  <c r="L319" i="5"/>
  <c r="K319" i="5"/>
  <c r="J319" i="5"/>
  <c r="I319" i="5"/>
  <c r="Q318" i="5" s="1"/>
  <c r="H318" i="5"/>
  <c r="H317" i="5"/>
  <c r="M316" i="5"/>
  <c r="L316" i="5"/>
  <c r="K316" i="5"/>
  <c r="J316" i="5"/>
  <c r="I316" i="5"/>
  <c r="Q315" i="5" s="1"/>
  <c r="H315" i="5"/>
  <c r="H314" i="5"/>
  <c r="M313" i="5"/>
  <c r="L313" i="5"/>
  <c r="K313" i="5"/>
  <c r="J313" i="5"/>
  <c r="I313" i="5"/>
  <c r="Q312" i="5" s="1"/>
  <c r="H312" i="5"/>
  <c r="H311" i="5"/>
  <c r="M310" i="5"/>
  <c r="L310" i="5"/>
  <c r="K310" i="5"/>
  <c r="J310" i="5"/>
  <c r="I310" i="5"/>
  <c r="Q309" i="5" s="1"/>
  <c r="H309" i="5"/>
  <c r="H308" i="5"/>
  <c r="M307" i="5"/>
  <c r="L307" i="5"/>
  <c r="K307" i="5"/>
  <c r="J307" i="5"/>
  <c r="I307" i="5"/>
  <c r="M306" i="5"/>
  <c r="L306" i="5"/>
  <c r="K306" i="5"/>
  <c r="J306" i="5"/>
  <c r="I306" i="5"/>
  <c r="M305" i="5"/>
  <c r="L305" i="5"/>
  <c r="K305" i="5"/>
  <c r="J305" i="5"/>
  <c r="I305" i="5"/>
  <c r="I303" i="5"/>
  <c r="S302" i="5"/>
  <c r="I302" i="5"/>
  <c r="I300" i="5"/>
  <c r="M298" i="5"/>
  <c r="L298" i="5"/>
  <c r="K298" i="5"/>
  <c r="J298" i="5"/>
  <c r="H297" i="5"/>
  <c r="H296" i="5"/>
  <c r="M295" i="5"/>
  <c r="L295" i="5"/>
  <c r="K295" i="5"/>
  <c r="J295" i="5"/>
  <c r="I295" i="5"/>
  <c r="Q297" i="5" s="1"/>
  <c r="H294" i="5"/>
  <c r="H293" i="5"/>
  <c r="M292" i="5"/>
  <c r="L292" i="5"/>
  <c r="K292" i="5"/>
  <c r="J292" i="5"/>
  <c r="I292" i="5"/>
  <c r="M291" i="5"/>
  <c r="L291" i="5"/>
  <c r="K291" i="5"/>
  <c r="J291" i="5"/>
  <c r="M290" i="5"/>
  <c r="M289" i="5" s="1"/>
  <c r="L290" i="5"/>
  <c r="K290" i="5"/>
  <c r="K289" i="5" s="1"/>
  <c r="J290" i="5"/>
  <c r="H288" i="5"/>
  <c r="H287" i="5"/>
  <c r="M286" i="5"/>
  <c r="L286" i="5"/>
  <c r="K286" i="5"/>
  <c r="J286" i="5"/>
  <c r="I286" i="5"/>
  <c r="H285" i="5"/>
  <c r="H284" i="5"/>
  <c r="M283" i="5"/>
  <c r="L283" i="5"/>
  <c r="K283" i="5"/>
  <c r="J283" i="5"/>
  <c r="I283" i="5"/>
  <c r="H282" i="5"/>
  <c r="H281" i="5"/>
  <c r="M280" i="5"/>
  <c r="L280" i="5"/>
  <c r="K280" i="5"/>
  <c r="J280" i="5"/>
  <c r="I280" i="5"/>
  <c r="H279" i="5"/>
  <c r="H278" i="5"/>
  <c r="M277" i="5"/>
  <c r="L277" i="5"/>
  <c r="K277" i="5"/>
  <c r="J277" i="5"/>
  <c r="I277" i="5"/>
  <c r="H276" i="5"/>
  <c r="H275" i="5"/>
  <c r="M274" i="5"/>
  <c r="L274" i="5"/>
  <c r="K274" i="5"/>
  <c r="J274" i="5"/>
  <c r="I274" i="5"/>
  <c r="H273" i="5"/>
  <c r="H272" i="5"/>
  <c r="M271" i="5"/>
  <c r="L271" i="5"/>
  <c r="K271" i="5"/>
  <c r="J271" i="5"/>
  <c r="I271" i="5"/>
  <c r="M270" i="5"/>
  <c r="L270" i="5"/>
  <c r="K270" i="5"/>
  <c r="J270" i="5"/>
  <c r="I270" i="5"/>
  <c r="M269" i="5"/>
  <c r="L269" i="5"/>
  <c r="K269" i="5"/>
  <c r="J269" i="5"/>
  <c r="I269" i="5"/>
  <c r="H267" i="5"/>
  <c r="H266" i="5"/>
  <c r="M265" i="5"/>
  <c r="L265" i="5"/>
  <c r="K265" i="5"/>
  <c r="J265" i="5"/>
  <c r="I265" i="5"/>
  <c r="H264" i="5"/>
  <c r="H263" i="5"/>
  <c r="M262" i="5"/>
  <c r="L262" i="5"/>
  <c r="K262" i="5"/>
  <c r="J262" i="5"/>
  <c r="I262" i="5"/>
  <c r="H261" i="5"/>
  <c r="H260" i="5"/>
  <c r="M259" i="5"/>
  <c r="L259" i="5"/>
  <c r="K259" i="5"/>
  <c r="J259" i="5"/>
  <c r="I259" i="5"/>
  <c r="M258" i="5"/>
  <c r="L258" i="5"/>
  <c r="K258" i="5"/>
  <c r="J258" i="5"/>
  <c r="I258" i="5"/>
  <c r="M257" i="5"/>
  <c r="L257" i="5"/>
  <c r="K257" i="5"/>
  <c r="J257" i="5"/>
  <c r="I257" i="5"/>
  <c r="I255" i="5"/>
  <c r="H255" i="5" s="1"/>
  <c r="I254" i="5"/>
  <c r="M253" i="5"/>
  <c r="L253" i="5"/>
  <c r="K253" i="5"/>
  <c r="J253" i="5"/>
  <c r="I252" i="5"/>
  <c r="H252" i="5" s="1"/>
  <c r="I251" i="5"/>
  <c r="H251" i="5" s="1"/>
  <c r="M250" i="5"/>
  <c r="L250" i="5"/>
  <c r="K250" i="5"/>
  <c r="J250" i="5"/>
  <c r="I249" i="5"/>
  <c r="H249" i="5" s="1"/>
  <c r="I248" i="5"/>
  <c r="M247" i="5"/>
  <c r="L247" i="5"/>
  <c r="K247" i="5"/>
  <c r="J247" i="5"/>
  <c r="I246" i="5"/>
  <c r="H246" i="5" s="1"/>
  <c r="I245" i="5"/>
  <c r="H245" i="5" s="1"/>
  <c r="M244" i="5"/>
  <c r="L244" i="5"/>
  <c r="K244" i="5"/>
  <c r="J244" i="5"/>
  <c r="I243" i="5"/>
  <c r="H243" i="5" s="1"/>
  <c r="I242" i="5"/>
  <c r="M241" i="5"/>
  <c r="L241" i="5"/>
  <c r="K241" i="5"/>
  <c r="J241" i="5"/>
  <c r="I240" i="5"/>
  <c r="I239" i="5"/>
  <c r="M238" i="5"/>
  <c r="L238" i="5"/>
  <c r="K238" i="5"/>
  <c r="J238" i="5"/>
  <c r="M237" i="5"/>
  <c r="L237" i="5"/>
  <c r="K237" i="5"/>
  <c r="J237" i="5"/>
  <c r="M236" i="5"/>
  <c r="M235" i="5" s="1"/>
  <c r="L236" i="5"/>
  <c r="L235" i="5" s="1"/>
  <c r="K236" i="5"/>
  <c r="K235" i="5" s="1"/>
  <c r="J236" i="5"/>
  <c r="J235" i="5" s="1"/>
  <c r="H234" i="5"/>
  <c r="H233" i="5"/>
  <c r="M232" i="5"/>
  <c r="L232" i="5"/>
  <c r="K232" i="5"/>
  <c r="J232" i="5"/>
  <c r="I232" i="5"/>
  <c r="H231" i="5"/>
  <c r="H230" i="5"/>
  <c r="M229" i="5"/>
  <c r="L229" i="5"/>
  <c r="K229" i="5"/>
  <c r="J229" i="5"/>
  <c r="I229" i="5"/>
  <c r="H228" i="5"/>
  <c r="H227" i="5"/>
  <c r="M226" i="5"/>
  <c r="L226" i="5"/>
  <c r="K226" i="5"/>
  <c r="J226" i="5"/>
  <c r="I226" i="5"/>
  <c r="H225" i="5"/>
  <c r="H224" i="5"/>
  <c r="M223" i="5"/>
  <c r="L223" i="5"/>
  <c r="K223" i="5"/>
  <c r="J223" i="5"/>
  <c r="I223" i="5"/>
  <c r="M222" i="5"/>
  <c r="L222" i="5"/>
  <c r="K222" i="5"/>
  <c r="J222" i="5"/>
  <c r="I222" i="5"/>
  <c r="M221" i="5"/>
  <c r="L221" i="5"/>
  <c r="K221" i="5"/>
  <c r="J221" i="5"/>
  <c r="I221" i="5"/>
  <c r="H219" i="5"/>
  <c r="H218" i="5"/>
  <c r="M217" i="5"/>
  <c r="L217" i="5"/>
  <c r="K217" i="5"/>
  <c r="J217" i="5"/>
  <c r="I217" i="5"/>
  <c r="M216" i="5"/>
  <c r="L216" i="5"/>
  <c r="K216" i="5"/>
  <c r="J216" i="5"/>
  <c r="I216" i="5"/>
  <c r="M215" i="5"/>
  <c r="L215" i="5"/>
  <c r="K215" i="5"/>
  <c r="J215" i="5"/>
  <c r="I215" i="5"/>
  <c r="H213" i="5"/>
  <c r="H212" i="5"/>
  <c r="M211" i="5"/>
  <c r="L211" i="5"/>
  <c r="K211" i="5"/>
  <c r="J211" i="5"/>
  <c r="I211" i="5"/>
  <c r="M210" i="5"/>
  <c r="L210" i="5"/>
  <c r="K210" i="5"/>
  <c r="J210" i="5"/>
  <c r="I210" i="5"/>
  <c r="M209" i="5"/>
  <c r="L209" i="5"/>
  <c r="K209" i="5"/>
  <c r="J209" i="5"/>
  <c r="I209" i="5"/>
  <c r="H204" i="5"/>
  <c r="H203" i="5"/>
  <c r="M202" i="5"/>
  <c r="L202" i="5"/>
  <c r="K202" i="5"/>
  <c r="J202" i="5"/>
  <c r="I202" i="5"/>
  <c r="H201" i="5"/>
  <c r="H200" i="5"/>
  <c r="M199" i="5"/>
  <c r="L199" i="5"/>
  <c r="K199" i="5"/>
  <c r="J199" i="5"/>
  <c r="I199" i="5"/>
  <c r="H198" i="5"/>
  <c r="H197" i="5"/>
  <c r="M196" i="5"/>
  <c r="L196" i="5"/>
  <c r="K196" i="5"/>
  <c r="J196" i="5"/>
  <c r="I196" i="5"/>
  <c r="M195" i="5"/>
  <c r="L195" i="5"/>
  <c r="K195" i="5"/>
  <c r="J195" i="5"/>
  <c r="M194" i="5"/>
  <c r="L194" i="5"/>
  <c r="K194" i="5"/>
  <c r="J194" i="5"/>
  <c r="H192" i="5"/>
  <c r="H191" i="5"/>
  <c r="H190" i="5"/>
  <c r="M189" i="5"/>
  <c r="L189" i="5"/>
  <c r="K189" i="5"/>
  <c r="J189" i="5"/>
  <c r="I189" i="5"/>
  <c r="M188" i="5"/>
  <c r="M393" i="5" s="1"/>
  <c r="K15" i="4" s="1"/>
  <c r="L188" i="5"/>
  <c r="L393" i="5" s="1"/>
  <c r="J15" i="4" s="1"/>
  <c r="K188" i="5"/>
  <c r="K393" i="5" s="1"/>
  <c r="I15" i="4" s="1"/>
  <c r="J188" i="5"/>
  <c r="J393" i="5" s="1"/>
  <c r="H15" i="4" s="1"/>
  <c r="I188" i="5"/>
  <c r="M187" i="5"/>
  <c r="L187" i="5"/>
  <c r="K187" i="5"/>
  <c r="J187" i="5"/>
  <c r="I187" i="5"/>
  <c r="M186" i="5"/>
  <c r="L186" i="5"/>
  <c r="K186" i="5"/>
  <c r="J186" i="5"/>
  <c r="I186" i="5"/>
  <c r="H183" i="5"/>
  <c r="M181" i="5"/>
  <c r="L181" i="5"/>
  <c r="K181" i="5"/>
  <c r="J181" i="5"/>
  <c r="H179" i="5"/>
  <c r="H178" i="5"/>
  <c r="M177" i="5"/>
  <c r="L177" i="5"/>
  <c r="K177" i="5"/>
  <c r="J177" i="5"/>
  <c r="Q179" i="5"/>
  <c r="H176" i="5"/>
  <c r="H175" i="5"/>
  <c r="H174" i="5"/>
  <c r="M173" i="5"/>
  <c r="L173" i="5"/>
  <c r="K173" i="5"/>
  <c r="J173" i="5"/>
  <c r="I173" i="5"/>
  <c r="H171" i="5"/>
  <c r="H170" i="5"/>
  <c r="M169" i="5"/>
  <c r="L169" i="5"/>
  <c r="K169" i="5"/>
  <c r="J169" i="5"/>
  <c r="Q171" i="5"/>
  <c r="M167" i="5"/>
  <c r="L167" i="5"/>
  <c r="K167" i="5"/>
  <c r="J167" i="5"/>
  <c r="M166" i="5"/>
  <c r="L166" i="5"/>
  <c r="K166" i="5"/>
  <c r="K165" i="5" s="1"/>
  <c r="J166" i="5"/>
  <c r="M165" i="5"/>
  <c r="H164" i="5"/>
  <c r="H163" i="5"/>
  <c r="M162" i="5"/>
  <c r="L162" i="5"/>
  <c r="K162" i="5"/>
  <c r="J162" i="5"/>
  <c r="I162" i="5"/>
  <c r="H161" i="5"/>
  <c r="H160" i="5"/>
  <c r="M159" i="5"/>
  <c r="L159" i="5"/>
  <c r="K159" i="5"/>
  <c r="J159" i="5"/>
  <c r="I159" i="5"/>
  <c r="H158" i="5"/>
  <c r="H157" i="5"/>
  <c r="M156" i="5"/>
  <c r="L156" i="5"/>
  <c r="K156" i="5"/>
  <c r="J156" i="5"/>
  <c r="I156" i="5"/>
  <c r="H155" i="5"/>
  <c r="H154" i="5"/>
  <c r="M153" i="5"/>
  <c r="L153" i="5"/>
  <c r="K153" i="5"/>
  <c r="J153" i="5"/>
  <c r="I153" i="5"/>
  <c r="M152" i="5"/>
  <c r="L152" i="5"/>
  <c r="K152" i="5"/>
  <c r="J152" i="5"/>
  <c r="I152" i="5"/>
  <c r="T151" i="5"/>
  <c r="M151" i="5"/>
  <c r="L151" i="5"/>
  <c r="K151" i="5"/>
  <c r="J151" i="5"/>
  <c r="I151" i="5"/>
  <c r="T150" i="5"/>
  <c r="H149" i="5"/>
  <c r="H148" i="5"/>
  <c r="M147" i="5"/>
  <c r="L147" i="5"/>
  <c r="K147" i="5"/>
  <c r="J147" i="5"/>
  <c r="I147" i="5"/>
  <c r="H146" i="5"/>
  <c r="H145" i="5"/>
  <c r="M144" i="5"/>
  <c r="L144" i="5"/>
  <c r="K144" i="5"/>
  <c r="J144" i="5"/>
  <c r="I144" i="5"/>
  <c r="H143" i="5"/>
  <c r="H142" i="5"/>
  <c r="M141" i="5"/>
  <c r="L141" i="5"/>
  <c r="K141" i="5"/>
  <c r="J141" i="5"/>
  <c r="I141" i="5"/>
  <c r="M140" i="5"/>
  <c r="L140" i="5"/>
  <c r="K140" i="5"/>
  <c r="J140" i="5"/>
  <c r="I140" i="5"/>
  <c r="M139" i="5"/>
  <c r="L139" i="5"/>
  <c r="K139" i="5"/>
  <c r="J139" i="5"/>
  <c r="I139" i="5"/>
  <c r="H137" i="5"/>
  <c r="H136" i="5"/>
  <c r="M135" i="5"/>
  <c r="L135" i="5"/>
  <c r="K135" i="5"/>
  <c r="J135" i="5"/>
  <c r="I135" i="5"/>
  <c r="H134" i="5"/>
  <c r="H133" i="5"/>
  <c r="M132" i="5"/>
  <c r="L132" i="5"/>
  <c r="K132" i="5"/>
  <c r="J132" i="5"/>
  <c r="I132" i="5"/>
  <c r="H131" i="5"/>
  <c r="H130" i="5"/>
  <c r="M129" i="5"/>
  <c r="L129" i="5"/>
  <c r="K129" i="5"/>
  <c r="J129" i="5"/>
  <c r="I129" i="5"/>
  <c r="M128" i="5"/>
  <c r="L128" i="5"/>
  <c r="K128" i="5"/>
  <c r="J128" i="5"/>
  <c r="I128" i="5"/>
  <c r="M127" i="5"/>
  <c r="L127" i="5"/>
  <c r="K127" i="5"/>
  <c r="J127" i="5"/>
  <c r="I127" i="5"/>
  <c r="H125" i="5"/>
  <c r="H124" i="5"/>
  <c r="M123" i="5"/>
  <c r="L123" i="5"/>
  <c r="K123" i="5"/>
  <c r="J123" i="5"/>
  <c r="I123" i="5"/>
  <c r="M122" i="5"/>
  <c r="L122" i="5"/>
  <c r="K122" i="5"/>
  <c r="J122" i="5"/>
  <c r="I122" i="5"/>
  <c r="M121" i="5"/>
  <c r="L121" i="5"/>
  <c r="K121" i="5"/>
  <c r="J121" i="5"/>
  <c r="I121" i="5"/>
  <c r="H119" i="5"/>
  <c r="H118" i="5"/>
  <c r="M117" i="5"/>
  <c r="L117" i="5"/>
  <c r="K117" i="5"/>
  <c r="J117" i="5"/>
  <c r="I117" i="5"/>
  <c r="M116" i="5"/>
  <c r="L116" i="5"/>
  <c r="K116" i="5"/>
  <c r="J116" i="5"/>
  <c r="I116" i="5"/>
  <c r="M115" i="5"/>
  <c r="L115" i="5"/>
  <c r="K115" i="5"/>
  <c r="J115" i="5"/>
  <c r="I115" i="5"/>
  <c r="S112" i="5"/>
  <c r="H112" i="5"/>
  <c r="T111" i="5"/>
  <c r="M111" i="5"/>
  <c r="L111" i="5"/>
  <c r="K111" i="5"/>
  <c r="J111" i="5"/>
  <c r="I111" i="5"/>
  <c r="I113" i="5" s="1"/>
  <c r="F111" i="5"/>
  <c r="H110" i="5"/>
  <c r="H109" i="5"/>
  <c r="M108" i="5"/>
  <c r="L108" i="5"/>
  <c r="K108" i="5"/>
  <c r="J108" i="5"/>
  <c r="I108" i="5"/>
  <c r="H107" i="5"/>
  <c r="H106" i="5"/>
  <c r="M105" i="5"/>
  <c r="L105" i="5"/>
  <c r="K105" i="5"/>
  <c r="J105" i="5"/>
  <c r="I105" i="5"/>
  <c r="H104" i="5"/>
  <c r="H103" i="5"/>
  <c r="M102" i="5"/>
  <c r="L102" i="5"/>
  <c r="K102" i="5"/>
  <c r="J102" i="5"/>
  <c r="I102" i="5"/>
  <c r="H101" i="5"/>
  <c r="H100" i="5"/>
  <c r="M99" i="5"/>
  <c r="L99" i="5"/>
  <c r="K99" i="5"/>
  <c r="J99" i="5"/>
  <c r="I99" i="5"/>
  <c r="M98" i="5"/>
  <c r="L98" i="5"/>
  <c r="K98" i="5"/>
  <c r="J98" i="5"/>
  <c r="M97" i="5"/>
  <c r="M96" i="5" s="1"/>
  <c r="L97" i="5"/>
  <c r="L96" i="5" s="1"/>
  <c r="K97" i="5"/>
  <c r="K96" i="5" s="1"/>
  <c r="J97" i="5"/>
  <c r="J96" i="5" s="1"/>
  <c r="I97" i="5"/>
  <c r="H95" i="5"/>
  <c r="H94" i="5"/>
  <c r="M93" i="5"/>
  <c r="L93" i="5"/>
  <c r="K93" i="5"/>
  <c r="J93" i="5"/>
  <c r="I93" i="5"/>
  <c r="H92" i="5"/>
  <c r="H91" i="5"/>
  <c r="M90" i="5"/>
  <c r="L90" i="5"/>
  <c r="K90" i="5"/>
  <c r="J90" i="5"/>
  <c r="I90" i="5"/>
  <c r="H89" i="5"/>
  <c r="H88" i="5"/>
  <c r="M87" i="5"/>
  <c r="L87" i="5"/>
  <c r="K87" i="5"/>
  <c r="J87" i="5"/>
  <c r="I87" i="5"/>
  <c r="H86" i="5"/>
  <c r="H85" i="5"/>
  <c r="M84" i="5"/>
  <c r="L84" i="5"/>
  <c r="K84" i="5"/>
  <c r="J84" i="5"/>
  <c r="I84" i="5"/>
  <c r="F84" i="5"/>
  <c r="M83" i="5"/>
  <c r="L83" i="5"/>
  <c r="K83" i="5"/>
  <c r="J83" i="5"/>
  <c r="I83" i="5"/>
  <c r="M82" i="5"/>
  <c r="L82" i="5"/>
  <c r="K82" i="5"/>
  <c r="J82" i="5"/>
  <c r="I82" i="5"/>
  <c r="S73" i="5"/>
  <c r="S72" i="5"/>
  <c r="S71" i="5"/>
  <c r="F70" i="5"/>
  <c r="H69" i="5"/>
  <c r="S67" i="5"/>
  <c r="I66" i="5"/>
  <c r="I68" i="5" s="1"/>
  <c r="H68" i="5" s="1"/>
  <c r="H65" i="5" s="1"/>
  <c r="F66" i="5"/>
  <c r="I62" i="5"/>
  <c r="I60" i="5" s="1"/>
  <c r="S61" i="5"/>
  <c r="H61" i="5"/>
  <c r="T60" i="5"/>
  <c r="F60" i="5"/>
  <c r="I58" i="5"/>
  <c r="H58" i="5" s="1"/>
  <c r="H56" i="5"/>
  <c r="H55" i="5"/>
  <c r="M54" i="5"/>
  <c r="L54" i="5"/>
  <c r="K54" i="5"/>
  <c r="J54" i="5"/>
  <c r="I54" i="5"/>
  <c r="F54" i="5"/>
  <c r="M53" i="5"/>
  <c r="L53" i="5"/>
  <c r="K53" i="5"/>
  <c r="J53" i="5"/>
  <c r="I53" i="5"/>
  <c r="M52" i="5"/>
  <c r="L52" i="5"/>
  <c r="K52" i="5"/>
  <c r="J52" i="5"/>
  <c r="I52" i="5"/>
  <c r="H50" i="5"/>
  <c r="H49" i="5"/>
  <c r="M48" i="5"/>
  <c r="L48" i="5"/>
  <c r="K48" i="5"/>
  <c r="J48" i="5"/>
  <c r="I48" i="5"/>
  <c r="F48" i="5"/>
  <c r="M47" i="5"/>
  <c r="L47" i="5"/>
  <c r="K47" i="5"/>
  <c r="J47" i="5"/>
  <c r="I47" i="5"/>
  <c r="M46" i="5"/>
  <c r="L46" i="5"/>
  <c r="K46" i="5"/>
  <c r="J46" i="5"/>
  <c r="I46" i="5"/>
  <c r="H44" i="5"/>
  <c r="J43" i="5"/>
  <c r="J40" i="5" s="1"/>
  <c r="M42" i="5"/>
  <c r="L42" i="5"/>
  <c r="K42" i="5"/>
  <c r="I42" i="5"/>
  <c r="F42" i="5"/>
  <c r="M41" i="5"/>
  <c r="L41" i="5"/>
  <c r="K41" i="5"/>
  <c r="J41" i="5"/>
  <c r="I41" i="5"/>
  <c r="M40" i="5"/>
  <c r="L40" i="5"/>
  <c r="K40" i="5"/>
  <c r="I40" i="5"/>
  <c r="H38" i="5"/>
  <c r="H37" i="5"/>
  <c r="M36" i="5"/>
  <c r="L36" i="5"/>
  <c r="K36" i="5"/>
  <c r="J36" i="5"/>
  <c r="J33" i="5" s="1"/>
  <c r="I36" i="5"/>
  <c r="I33" i="5" s="1"/>
  <c r="F36" i="5"/>
  <c r="M35" i="5"/>
  <c r="L35" i="5"/>
  <c r="K35" i="5"/>
  <c r="J35" i="5"/>
  <c r="I35" i="5"/>
  <c r="M34" i="5"/>
  <c r="L34" i="5"/>
  <c r="K34" i="5"/>
  <c r="J34" i="5"/>
  <c r="I34" i="5"/>
  <c r="H32" i="5"/>
  <c r="S31" i="5"/>
  <c r="H31" i="5"/>
  <c r="T30" i="5"/>
  <c r="M30" i="5"/>
  <c r="L30" i="5"/>
  <c r="K30" i="5"/>
  <c r="I30" i="5"/>
  <c r="F30" i="5"/>
  <c r="I29" i="5"/>
  <c r="H29" i="5" s="1"/>
  <c r="S28" i="5"/>
  <c r="I28" i="5"/>
  <c r="M27" i="5"/>
  <c r="L27" i="5"/>
  <c r="K27" i="5"/>
  <c r="J27" i="5"/>
  <c r="F27" i="5"/>
  <c r="J26" i="5"/>
  <c r="J25" i="5"/>
  <c r="M24" i="5"/>
  <c r="L24" i="5"/>
  <c r="K24" i="5"/>
  <c r="I23" i="5"/>
  <c r="S22" i="5"/>
  <c r="I22" i="5"/>
  <c r="M21" i="5"/>
  <c r="L21" i="5"/>
  <c r="L18" i="5" s="1"/>
  <c r="K21" i="5"/>
  <c r="K18" i="5" s="1"/>
  <c r="J21" i="5"/>
  <c r="J18" i="5" s="1"/>
  <c r="F21" i="5"/>
  <c r="L20" i="5"/>
  <c r="K20" i="5"/>
  <c r="J20" i="5"/>
  <c r="L19" i="5"/>
  <c r="K19" i="5"/>
  <c r="J19" i="5"/>
  <c r="M18" i="5"/>
  <c r="H17" i="5"/>
  <c r="S16" i="5"/>
  <c r="I16" i="5"/>
  <c r="T15" i="5" s="1"/>
  <c r="M15" i="5"/>
  <c r="L15" i="5"/>
  <c r="K15" i="5"/>
  <c r="J15" i="5"/>
  <c r="F15" i="5"/>
  <c r="M14" i="5"/>
  <c r="L14" i="5"/>
  <c r="K14" i="5"/>
  <c r="J14" i="5"/>
  <c r="I14" i="5"/>
  <c r="M13" i="5"/>
  <c r="L13" i="5"/>
  <c r="K13" i="5"/>
  <c r="J13" i="5"/>
  <c r="I11" i="5"/>
  <c r="H11" i="5" s="1"/>
  <c r="S10" i="5"/>
  <c r="I10" i="5"/>
  <c r="T9" i="5" s="1"/>
  <c r="M9" i="5"/>
  <c r="L9" i="5"/>
  <c r="K9" i="5"/>
  <c r="J9" i="5"/>
  <c r="F9" i="5"/>
  <c r="M8" i="5"/>
  <c r="L8" i="5"/>
  <c r="K8" i="5"/>
  <c r="J8" i="5"/>
  <c r="M7" i="5"/>
  <c r="L7" i="5"/>
  <c r="K7" i="5"/>
  <c r="J7" i="5"/>
  <c r="F28" i="4"/>
  <c r="F27" i="4" s="1"/>
  <c r="K27" i="4"/>
  <c r="J27" i="4"/>
  <c r="I27" i="4"/>
  <c r="H27" i="4"/>
  <c r="G27" i="4"/>
  <c r="E27" i="4"/>
  <c r="G26" i="4"/>
  <c r="E25" i="4"/>
  <c r="K24" i="4"/>
  <c r="J24" i="4"/>
  <c r="I24" i="4"/>
  <c r="H24" i="4"/>
  <c r="G24" i="4"/>
  <c r="E24" i="4"/>
  <c r="E23" i="4"/>
  <c r="H18" i="4"/>
  <c r="H16" i="4" s="1"/>
  <c r="F17" i="4"/>
  <c r="N7" i="4"/>
  <c r="T377" i="5" l="1"/>
  <c r="T301" i="5"/>
  <c r="I290" i="5"/>
  <c r="K26" i="4"/>
  <c r="T31" i="5"/>
  <c r="T61" i="5"/>
  <c r="J391" i="5"/>
  <c r="H195" i="5"/>
  <c r="J150" i="5"/>
  <c r="H169" i="5"/>
  <c r="H340" i="5"/>
  <c r="E340" i="5" s="1"/>
  <c r="H177" i="5"/>
  <c r="M391" i="5"/>
  <c r="L392" i="5"/>
  <c r="L383" i="5" s="1"/>
  <c r="K391" i="5"/>
  <c r="J392" i="5"/>
  <c r="Q341" i="5"/>
  <c r="T112" i="5"/>
  <c r="L391" i="5"/>
  <c r="K392" i="5"/>
  <c r="K383" i="5" s="1"/>
  <c r="M392" i="5"/>
  <c r="M383" i="5" s="1"/>
  <c r="E22" i="4"/>
  <c r="K405" i="5"/>
  <c r="F24" i="4"/>
  <c r="L150" i="5"/>
  <c r="M150" i="5"/>
  <c r="K150" i="5"/>
  <c r="L346" i="5"/>
  <c r="J346" i="5"/>
  <c r="J71" i="5"/>
  <c r="H10" i="4" s="1"/>
  <c r="J72" i="5"/>
  <c r="H11" i="4" s="1"/>
  <c r="L6" i="5"/>
  <c r="L71" i="5"/>
  <c r="J10" i="4" s="1"/>
  <c r="M71" i="5"/>
  <c r="K71" i="5"/>
  <c r="K72" i="5"/>
  <c r="L72" i="5"/>
  <c r="J11" i="4" s="1"/>
  <c r="M72" i="5"/>
  <c r="I65" i="5"/>
  <c r="H307" i="5"/>
  <c r="E307" i="5" s="1"/>
  <c r="I81" i="5"/>
  <c r="I268" i="5"/>
  <c r="U374" i="5"/>
  <c r="I419" i="5"/>
  <c r="H141" i="5"/>
  <c r="E141" i="5" s="1"/>
  <c r="H153" i="5"/>
  <c r="E153" i="5" s="1"/>
  <c r="L331" i="5"/>
  <c r="M419" i="5"/>
  <c r="J18" i="4"/>
  <c r="J16" i="4" s="1"/>
  <c r="H310" i="5"/>
  <c r="E310" i="5" s="1"/>
  <c r="H374" i="5"/>
  <c r="I393" i="5"/>
  <c r="Q308" i="5"/>
  <c r="H371" i="5"/>
  <c r="I368" i="5"/>
  <c r="H368" i="5" s="1"/>
  <c r="T374" i="5"/>
  <c r="L33" i="5"/>
  <c r="L39" i="5"/>
  <c r="J114" i="5"/>
  <c r="H151" i="5"/>
  <c r="K268" i="5"/>
  <c r="M268" i="5"/>
  <c r="K304" i="5"/>
  <c r="K303" i="5" s="1"/>
  <c r="K302" i="5" s="1"/>
  <c r="K301" i="5" s="1"/>
  <c r="M304" i="5"/>
  <c r="M303" i="5" s="1"/>
  <c r="M302" i="5" s="1"/>
  <c r="M301" i="5" s="1"/>
  <c r="H358" i="5"/>
  <c r="E358" i="5" s="1"/>
  <c r="H305" i="5"/>
  <c r="M81" i="5"/>
  <c r="K214" i="5"/>
  <c r="M256" i="5"/>
  <c r="J331" i="5"/>
  <c r="J81" i="5"/>
  <c r="L81" i="5"/>
  <c r="H83" i="5"/>
  <c r="K81" i="5"/>
  <c r="H90" i="5"/>
  <c r="E90" i="5" s="1"/>
  <c r="I120" i="5"/>
  <c r="K120" i="5"/>
  <c r="M120" i="5"/>
  <c r="H123" i="5"/>
  <c r="E123" i="5" s="1"/>
  <c r="H139" i="5"/>
  <c r="K138" i="5"/>
  <c r="M138" i="5"/>
  <c r="J138" i="5"/>
  <c r="L138" i="5"/>
  <c r="H144" i="5"/>
  <c r="E144" i="5" s="1"/>
  <c r="I150" i="5"/>
  <c r="H229" i="5"/>
  <c r="E229" i="5" s="1"/>
  <c r="L185" i="5"/>
  <c r="H8" i="4"/>
  <c r="H33" i="4" s="1"/>
  <c r="I18" i="4"/>
  <c r="I16" i="4" s="1"/>
  <c r="K18" i="4"/>
  <c r="K16" i="4" s="1"/>
  <c r="H26" i="4"/>
  <c r="H23" i="4" s="1"/>
  <c r="H22" i="4" s="1"/>
  <c r="J26" i="4"/>
  <c r="J23" i="4" s="1"/>
  <c r="J22" i="4" s="1"/>
  <c r="T16" i="5"/>
  <c r="H36" i="5"/>
  <c r="H33" i="5" s="1"/>
  <c r="K45" i="5"/>
  <c r="L51" i="5"/>
  <c r="J185" i="5"/>
  <c r="I193" i="5"/>
  <c r="K193" i="5"/>
  <c r="M193" i="5"/>
  <c r="H196" i="5"/>
  <c r="E196" i="5" s="1"/>
  <c r="I220" i="5"/>
  <c r="M220" i="5"/>
  <c r="H223" i="5"/>
  <c r="E223" i="5" s="1"/>
  <c r="H232" i="5"/>
  <c r="E232" i="5" s="1"/>
  <c r="I236" i="5"/>
  <c r="H236" i="5" s="1"/>
  <c r="I250" i="5"/>
  <c r="H280" i="5"/>
  <c r="E280" i="5" s="1"/>
  <c r="H332" i="5"/>
  <c r="K331" i="5"/>
  <c r="M331" i="5"/>
  <c r="H406" i="5"/>
  <c r="H405" i="5" s="1"/>
  <c r="L12" i="5"/>
  <c r="J39" i="5"/>
  <c r="H54" i="5"/>
  <c r="H295" i="5"/>
  <c r="E295" i="5" s="1"/>
  <c r="H334" i="5"/>
  <c r="E334" i="5" s="1"/>
  <c r="H343" i="5"/>
  <c r="E343" i="5" s="1"/>
  <c r="H87" i="5"/>
  <c r="E87" i="5" s="1"/>
  <c r="J304" i="5"/>
  <c r="J303" i="5" s="1"/>
  <c r="J302" i="5" s="1"/>
  <c r="J301" i="5" s="1"/>
  <c r="L304" i="5"/>
  <c r="L303" i="5" s="1"/>
  <c r="L302" i="5" s="1"/>
  <c r="L301" i="5" s="1"/>
  <c r="G25" i="4"/>
  <c r="G23" i="4"/>
  <c r="G22" i="4" s="1"/>
  <c r="K25" i="4"/>
  <c r="K23" i="4"/>
  <c r="K22" i="4" s="1"/>
  <c r="I23" i="4"/>
  <c r="I22" i="4" s="1"/>
  <c r="I13" i="5"/>
  <c r="I12" i="5" s="1"/>
  <c r="H22" i="5"/>
  <c r="H19" i="5" s="1"/>
  <c r="I19" i="5"/>
  <c r="H23" i="5"/>
  <c r="H20" i="5" s="1"/>
  <c r="I20" i="5"/>
  <c r="H182" i="5"/>
  <c r="H181" i="5" s="1"/>
  <c r="H28" i="5"/>
  <c r="H27" i="5" s="1"/>
  <c r="T27" i="5"/>
  <c r="T28" i="5" s="1"/>
  <c r="H239" i="5"/>
  <c r="I238" i="5"/>
  <c r="H300" i="5"/>
  <c r="I291" i="5"/>
  <c r="H291" i="5" s="1"/>
  <c r="H329" i="5"/>
  <c r="T328" i="5"/>
  <c r="T329" i="5" s="1"/>
  <c r="Q333" i="5"/>
  <c r="Q332" i="5"/>
  <c r="H348" i="5"/>
  <c r="J12" i="5"/>
  <c r="H14" i="5"/>
  <c r="J24" i="5"/>
  <c r="H40" i="5"/>
  <c r="K39" i="5"/>
  <c r="M39" i="5"/>
  <c r="I45" i="5"/>
  <c r="M45" i="5"/>
  <c r="J51" i="5"/>
  <c r="H93" i="5"/>
  <c r="E93" i="5" s="1"/>
  <c r="K114" i="5"/>
  <c r="M114" i="5"/>
  <c r="L114" i="5"/>
  <c r="K126" i="5"/>
  <c r="M126" i="5"/>
  <c r="J126" i="5"/>
  <c r="L126" i="5"/>
  <c r="M208" i="5"/>
  <c r="M207" i="5" s="1"/>
  <c r="M206" i="5" s="1"/>
  <c r="M205" i="5" s="1"/>
  <c r="I214" i="5"/>
  <c r="M214" i="5"/>
  <c r="J256" i="5"/>
  <c r="L256" i="5"/>
  <c r="H258" i="5"/>
  <c r="J268" i="5"/>
  <c r="L268" i="5"/>
  <c r="H270" i="5"/>
  <c r="H274" i="5"/>
  <c r="E274" i="5" s="1"/>
  <c r="H283" i="5"/>
  <c r="E283" i="5" s="1"/>
  <c r="J289" i="5"/>
  <c r="L289" i="5"/>
  <c r="H322" i="5"/>
  <c r="E322" i="5" s="1"/>
  <c r="H99" i="5"/>
  <c r="E99" i="5" s="1"/>
  <c r="H105" i="5"/>
  <c r="E105" i="5" s="1"/>
  <c r="H132" i="5"/>
  <c r="E132" i="5" s="1"/>
  <c r="H265" i="5"/>
  <c r="E265" i="5" s="1"/>
  <c r="H269" i="5"/>
  <c r="I39" i="5"/>
  <c r="H41" i="5"/>
  <c r="J45" i="5"/>
  <c r="L45" i="5"/>
  <c r="H47" i="5"/>
  <c r="T149" i="5"/>
  <c r="H156" i="5"/>
  <c r="E156" i="5" s="1"/>
  <c r="H186" i="5"/>
  <c r="K185" i="5"/>
  <c r="M185" i="5"/>
  <c r="H188" i="5"/>
  <c r="J208" i="5"/>
  <c r="J207" i="5" s="1"/>
  <c r="L208" i="5"/>
  <c r="L207" i="5" s="1"/>
  <c r="L206" i="5" s="1"/>
  <c r="L205" i="5" s="1"/>
  <c r="H210" i="5"/>
  <c r="K208" i="5"/>
  <c r="K207" i="5" s="1"/>
  <c r="K206" i="5" s="1"/>
  <c r="K205" i="5" s="1"/>
  <c r="J214" i="5"/>
  <c r="L214" i="5"/>
  <c r="H216" i="5"/>
  <c r="K256" i="5"/>
  <c r="H313" i="5"/>
  <c r="E313" i="5" s="1"/>
  <c r="H326" i="5"/>
  <c r="I331" i="5"/>
  <c r="H337" i="5"/>
  <c r="E337" i="5" s="1"/>
  <c r="T10" i="5"/>
  <c r="T21" i="5"/>
  <c r="T22" i="5" s="1"/>
  <c r="I25" i="5"/>
  <c r="H25" i="5" s="1"/>
  <c r="I27" i="5"/>
  <c r="H48" i="5"/>
  <c r="H84" i="5"/>
  <c r="E84" i="5" s="1"/>
  <c r="H127" i="5"/>
  <c r="I126" i="5"/>
  <c r="H34" i="5"/>
  <c r="K33" i="5"/>
  <c r="M33" i="5"/>
  <c r="H46" i="5"/>
  <c r="H82" i="5"/>
  <c r="H102" i="5"/>
  <c r="E102" i="5" s="1"/>
  <c r="H115" i="5"/>
  <c r="I114" i="5"/>
  <c r="T364" i="5"/>
  <c r="T365" i="5" s="1"/>
  <c r="I370" i="5"/>
  <c r="I372" i="5" s="1"/>
  <c r="H116" i="5"/>
  <c r="J120" i="5"/>
  <c r="L120" i="5"/>
  <c r="H122" i="5"/>
  <c r="H128" i="5"/>
  <c r="H135" i="5"/>
  <c r="E135" i="5" s="1"/>
  <c r="H147" i="5"/>
  <c r="E147" i="5" s="1"/>
  <c r="H159" i="5"/>
  <c r="E159" i="5" s="1"/>
  <c r="J165" i="5"/>
  <c r="L165" i="5"/>
  <c r="I167" i="5"/>
  <c r="H167" i="5" s="1"/>
  <c r="H173" i="5"/>
  <c r="I185" i="5"/>
  <c r="H187" i="5"/>
  <c r="J193" i="5"/>
  <c r="L193" i="5"/>
  <c r="H199" i="5"/>
  <c r="E199" i="5" s="1"/>
  <c r="I208" i="5"/>
  <c r="H211" i="5"/>
  <c r="E211" i="5" s="1"/>
  <c r="H215" i="5"/>
  <c r="J220" i="5"/>
  <c r="L220" i="5"/>
  <c r="H222" i="5"/>
  <c r="K220" i="5"/>
  <c r="I244" i="5"/>
  <c r="I256" i="5"/>
  <c r="H259" i="5"/>
  <c r="E259" i="5" s="1"/>
  <c r="H271" i="5"/>
  <c r="E271" i="5" s="1"/>
  <c r="H286" i="5"/>
  <c r="E286" i="5" s="1"/>
  <c r="H290" i="5"/>
  <c r="I304" i="5"/>
  <c r="H306" i="5"/>
  <c r="H316" i="5"/>
  <c r="E316" i="5" s="1"/>
  <c r="I328" i="5"/>
  <c r="I330" i="5" s="1"/>
  <c r="H330" i="5" s="1"/>
  <c r="H328" i="5" s="1"/>
  <c r="E328" i="5" s="1"/>
  <c r="Q335" i="5"/>
  <c r="H349" i="5"/>
  <c r="E349" i="5" s="1"/>
  <c r="H352" i="5"/>
  <c r="E352" i="5" s="1"/>
  <c r="H355" i="5"/>
  <c r="E355" i="5" s="1"/>
  <c r="H52" i="5"/>
  <c r="K51" i="5"/>
  <c r="M51" i="5"/>
  <c r="I63" i="5"/>
  <c r="K6" i="5"/>
  <c r="M6" i="5"/>
  <c r="K12" i="5"/>
  <c r="M12" i="5"/>
  <c r="I21" i="5"/>
  <c r="I26" i="5"/>
  <c r="H26" i="5" s="1"/>
  <c r="H30" i="5"/>
  <c r="H35" i="5"/>
  <c r="H97" i="5"/>
  <c r="H108" i="5"/>
  <c r="E108" i="5" s="1"/>
  <c r="H117" i="5"/>
  <c r="E117" i="5" s="1"/>
  <c r="H121" i="5"/>
  <c r="H129" i="5"/>
  <c r="E129" i="5" s="1"/>
  <c r="I138" i="5"/>
  <c r="H140" i="5"/>
  <c r="H152" i="5"/>
  <c r="H162" i="5"/>
  <c r="E162" i="5" s="1"/>
  <c r="I166" i="5"/>
  <c r="H189" i="5"/>
  <c r="E189" i="5" s="1"/>
  <c r="H194" i="5"/>
  <c r="H202" i="5"/>
  <c r="E202" i="5" s="1"/>
  <c r="H240" i="5"/>
  <c r="I237" i="5"/>
  <c r="H237" i="5" s="1"/>
  <c r="H248" i="5"/>
  <c r="H247" i="5" s="1"/>
  <c r="I247" i="5"/>
  <c r="I298" i="5"/>
  <c r="Q314" i="5"/>
  <c r="H242" i="5"/>
  <c r="H241" i="5" s="1"/>
  <c r="I241" i="5"/>
  <c r="H254" i="5"/>
  <c r="H253" i="5" s="1"/>
  <c r="I253" i="5"/>
  <c r="I362" i="5"/>
  <c r="H362" i="5" s="1"/>
  <c r="I364" i="5"/>
  <c r="I366" i="5" s="1"/>
  <c r="I363" i="5" s="1"/>
  <c r="J373" i="5"/>
  <c r="I405" i="5"/>
  <c r="H209" i="5"/>
  <c r="H217" i="5"/>
  <c r="E217" i="5" s="1"/>
  <c r="H221" i="5"/>
  <c r="H226" i="5"/>
  <c r="E226" i="5" s="1"/>
  <c r="H257" i="5"/>
  <c r="H262" i="5"/>
  <c r="E262" i="5" s="1"/>
  <c r="H277" i="5"/>
  <c r="E277" i="5" s="1"/>
  <c r="H292" i="5"/>
  <c r="E292" i="5" s="1"/>
  <c r="T302" i="5"/>
  <c r="H319" i="5"/>
  <c r="E319" i="5" s="1"/>
  <c r="H333" i="5"/>
  <c r="H347" i="5"/>
  <c r="K346" i="5"/>
  <c r="M346" i="5"/>
  <c r="H14" i="4"/>
  <c r="J367" i="5"/>
  <c r="J6" i="5"/>
  <c r="I8" i="5"/>
  <c r="H8" i="5" s="1"/>
  <c r="H10" i="5"/>
  <c r="H9" i="5" s="1"/>
  <c r="I9" i="5"/>
  <c r="I7" i="5"/>
  <c r="H16" i="5"/>
  <c r="H15" i="5" s="1"/>
  <c r="I15" i="5"/>
  <c r="H43" i="5"/>
  <c r="H42" i="5" s="1"/>
  <c r="J42" i="5"/>
  <c r="I51" i="5"/>
  <c r="H53" i="5"/>
  <c r="H62" i="5"/>
  <c r="H60" i="5" s="1"/>
  <c r="I59" i="5"/>
  <c r="H113" i="5"/>
  <c r="H111" i="5" s="1"/>
  <c r="I98" i="5"/>
  <c r="H244" i="5"/>
  <c r="H250" i="5"/>
  <c r="I67" i="5"/>
  <c r="Q311" i="5"/>
  <c r="Q317" i="5"/>
  <c r="Q338" i="5"/>
  <c r="I346" i="5"/>
  <c r="H378" i="5"/>
  <c r="H376" i="5" s="1"/>
  <c r="E376" i="5" s="1"/>
  <c r="H21" i="5" l="1"/>
  <c r="H18" i="5" s="1"/>
  <c r="I14" i="4"/>
  <c r="J14" i="4"/>
  <c r="J7" i="4" s="1"/>
  <c r="H7" i="4"/>
  <c r="H268" i="5"/>
  <c r="G15" i="4"/>
  <c r="F15" i="4" s="1"/>
  <c r="I391" i="5"/>
  <c r="K14" i="4"/>
  <c r="J206" i="5"/>
  <c r="H207" i="5"/>
  <c r="H214" i="5"/>
  <c r="I72" i="5"/>
  <c r="G11" i="4" s="1"/>
  <c r="H193" i="5"/>
  <c r="H120" i="5"/>
  <c r="G18" i="4"/>
  <c r="G8" i="4" s="1"/>
  <c r="G42" i="4" s="1"/>
  <c r="H420" i="5"/>
  <c r="H419" i="5" s="1"/>
  <c r="H51" i="5"/>
  <c r="H13" i="5"/>
  <c r="H12" i="5" s="1"/>
  <c r="I327" i="5"/>
  <c r="H327" i="5" s="1"/>
  <c r="H325" i="5" s="1"/>
  <c r="I24" i="5"/>
  <c r="H298" i="5"/>
  <c r="H393" i="5"/>
  <c r="J8" i="4"/>
  <c r="J42" i="4" s="1"/>
  <c r="H150" i="5"/>
  <c r="T8" i="4"/>
  <c r="H302" i="5"/>
  <c r="H114" i="5"/>
  <c r="H39" i="5"/>
  <c r="H256" i="5"/>
  <c r="H138" i="5"/>
  <c r="H42" i="4"/>
  <c r="I235" i="5"/>
  <c r="H289" i="5"/>
  <c r="H372" i="5"/>
  <c r="H370" i="5" s="1"/>
  <c r="E370" i="5" s="1"/>
  <c r="I369" i="5"/>
  <c r="H369" i="5" s="1"/>
  <c r="H367" i="5" s="1"/>
  <c r="H45" i="5"/>
  <c r="F26" i="4"/>
  <c r="F25" i="4" s="1"/>
  <c r="I18" i="5"/>
  <c r="H346" i="5"/>
  <c r="H220" i="5"/>
  <c r="H208" i="5"/>
  <c r="H304" i="5"/>
  <c r="H185" i="5"/>
  <c r="H126" i="5"/>
  <c r="H366" i="5"/>
  <c r="H364" i="5" s="1"/>
  <c r="E364" i="5" s="1"/>
  <c r="H303" i="5"/>
  <c r="H24" i="5"/>
  <c r="H81" i="5"/>
  <c r="H25" i="4"/>
  <c r="H238" i="5"/>
  <c r="I8" i="4"/>
  <c r="G9" i="3"/>
  <c r="H331" i="5"/>
  <c r="H235" i="5"/>
  <c r="J25" i="4"/>
  <c r="K8" i="4"/>
  <c r="I289" i="5"/>
  <c r="F23" i="4"/>
  <c r="F22" i="4" s="1"/>
  <c r="L390" i="5"/>
  <c r="L384" i="5" s="1"/>
  <c r="L382" i="5" s="1"/>
  <c r="J13" i="4"/>
  <c r="J70" i="5"/>
  <c r="H166" i="5"/>
  <c r="H165" i="5" s="1"/>
  <c r="I165" i="5"/>
  <c r="H98" i="5"/>
  <c r="H96" i="5" s="1"/>
  <c r="I96" i="5"/>
  <c r="I11" i="4"/>
  <c r="I7" i="4" s="1"/>
  <c r="I10" i="4"/>
  <c r="J9" i="4"/>
  <c r="H363" i="5"/>
  <c r="H361" i="5" s="1"/>
  <c r="I361" i="5"/>
  <c r="T66" i="5"/>
  <c r="T67" i="5" s="1"/>
  <c r="H67" i="5"/>
  <c r="I64" i="5"/>
  <c r="I71" i="5" s="1"/>
  <c r="I57" i="5"/>
  <c r="H59" i="5"/>
  <c r="H57" i="5" s="1"/>
  <c r="K11" i="4"/>
  <c r="K7" i="4" s="1"/>
  <c r="I6" i="5"/>
  <c r="H7" i="5"/>
  <c r="H6" i="5" s="1"/>
  <c r="K10" i="4"/>
  <c r="H9" i="4"/>
  <c r="L70" i="5"/>
  <c r="J12" i="4" l="1"/>
  <c r="I367" i="5"/>
  <c r="H206" i="5"/>
  <c r="H205" i="5" s="1"/>
  <c r="J205" i="5"/>
  <c r="G16" i="4"/>
  <c r="F18" i="4"/>
  <c r="F16" i="4" s="1"/>
  <c r="H301" i="5"/>
  <c r="E301" i="5" s="1"/>
  <c r="F9" i="3"/>
  <c r="Q324" i="5"/>
  <c r="I9" i="3"/>
  <c r="J33" i="4"/>
  <c r="S8" i="4"/>
  <c r="G33" i="4"/>
  <c r="I42" i="4"/>
  <c r="I33" i="4"/>
  <c r="H9" i="3"/>
  <c r="U8" i="4"/>
  <c r="K70" i="5"/>
  <c r="I7" i="3"/>
  <c r="I6" i="3" s="1"/>
  <c r="K42" i="4"/>
  <c r="J9" i="3"/>
  <c r="K33" i="4"/>
  <c r="F8" i="4"/>
  <c r="F33" i="4" s="1"/>
  <c r="J6" i="4"/>
  <c r="J40" i="4" s="1"/>
  <c r="H391" i="5"/>
  <c r="G13" i="4"/>
  <c r="M70" i="5"/>
  <c r="J390" i="5"/>
  <c r="H13" i="4"/>
  <c r="K41" i="4"/>
  <c r="K32" i="4"/>
  <c r="J8" i="3"/>
  <c r="H66" i="5"/>
  <c r="H64" i="5"/>
  <c r="J41" i="4"/>
  <c r="J32" i="4"/>
  <c r="I8" i="3"/>
  <c r="H72" i="5"/>
  <c r="H41" i="4"/>
  <c r="H32" i="4"/>
  <c r="T7" i="4"/>
  <c r="G8" i="3"/>
  <c r="K9" i="4"/>
  <c r="H71" i="5"/>
  <c r="I70" i="5"/>
  <c r="G10" i="4"/>
  <c r="I9" i="4"/>
  <c r="F11" i="4"/>
  <c r="I41" i="4"/>
  <c r="I32" i="4"/>
  <c r="H8" i="3"/>
  <c r="U7" i="4"/>
  <c r="F42" i="4" l="1"/>
  <c r="J5" i="4"/>
  <c r="J31" i="4"/>
  <c r="K9" i="3"/>
  <c r="N9" i="3" s="1"/>
  <c r="J39" i="4"/>
  <c r="I5" i="3"/>
  <c r="K390" i="5"/>
  <c r="K384" i="5" s="1"/>
  <c r="K382" i="5" s="1"/>
  <c r="I13" i="4"/>
  <c r="H12" i="4"/>
  <c r="G7" i="3"/>
  <c r="G6" i="3" s="1"/>
  <c r="H6" i="4"/>
  <c r="M390" i="5"/>
  <c r="M384" i="5" s="1"/>
  <c r="M382" i="5" s="1"/>
  <c r="K13" i="4"/>
  <c r="H63" i="5"/>
  <c r="E66" i="5"/>
  <c r="G9" i="4"/>
  <c r="G6" i="4"/>
  <c r="F7" i="3"/>
  <c r="F6" i="3" s="1"/>
  <c r="F10" i="4"/>
  <c r="F9" i="4" s="1"/>
  <c r="H70" i="5"/>
  <c r="K12" i="4" l="1"/>
  <c r="K6" i="4"/>
  <c r="J7" i="3"/>
  <c r="J6" i="3" s="1"/>
  <c r="T6" i="4"/>
  <c r="T5" i="4" s="1"/>
  <c r="H40" i="4"/>
  <c r="H39" i="4" s="1"/>
  <c r="H31" i="4"/>
  <c r="H5" i="4"/>
  <c r="I12" i="4"/>
  <c r="I6" i="4"/>
  <c r="H7" i="3"/>
  <c r="H6" i="3" s="1"/>
  <c r="F13" i="4"/>
  <c r="G5" i="3"/>
  <c r="G40" i="4"/>
  <c r="G31" i="4"/>
  <c r="S6" i="4"/>
  <c r="F6" i="4" l="1"/>
  <c r="K7" i="3"/>
  <c r="N7" i="3" s="1"/>
  <c r="N6" i="3" s="1"/>
  <c r="I31" i="4"/>
  <c r="I5" i="4"/>
  <c r="I40" i="4"/>
  <c r="I39" i="4" s="1"/>
  <c r="U6" i="4"/>
  <c r="U5" i="4" s="1"/>
  <c r="J5" i="3"/>
  <c r="H5" i="3"/>
  <c r="K31" i="4"/>
  <c r="K40" i="4"/>
  <c r="K39" i="4" s="1"/>
  <c r="K5" i="4"/>
  <c r="K6" i="3"/>
  <c r="F40" i="4" l="1"/>
  <c r="F31" i="4"/>
  <c r="I83" i="11"/>
  <c r="I82" i="11"/>
  <c r="I79" i="11" s="1"/>
  <c r="I56" i="11"/>
  <c r="I55" i="11"/>
  <c r="I47" i="11"/>
  <c r="I46" i="11"/>
  <c r="I35" i="11"/>
  <c r="I34" i="11"/>
  <c r="I31" i="11"/>
  <c r="I32" i="11"/>
  <c r="I20" i="11"/>
  <c r="I26" i="11"/>
  <c r="I25" i="11"/>
  <c r="I19" i="11" l="1"/>
  <c r="H505" i="11"/>
  <c r="H54" i="12" s="1"/>
  <c r="H504" i="11"/>
  <c r="H53" i="12" l="1"/>
  <c r="H713" i="11"/>
  <c r="H262" i="12" s="1"/>
  <c r="H612" i="11"/>
  <c r="H161" i="12" s="1"/>
  <c r="G743" i="11" l="1"/>
  <c r="G286" i="12" s="1"/>
  <c r="H736" i="11"/>
  <c r="H614" i="11"/>
  <c r="H163" i="12" s="1"/>
  <c r="H729" i="11"/>
  <c r="H278" i="12" s="1"/>
  <c r="H717" i="11"/>
  <c r="H705" i="11"/>
  <c r="H254" i="12" s="1"/>
  <c r="H684" i="11"/>
  <c r="H233" i="12" s="1"/>
  <c r="H658" i="11"/>
  <c r="H206" i="12"/>
  <c r="H636" i="11"/>
  <c r="H195" i="12"/>
  <c r="H631" i="11"/>
  <c r="H180" i="12" s="1"/>
  <c r="H628" i="11"/>
  <c r="H177" i="12" s="1"/>
  <c r="H627" i="11"/>
  <c r="H176" i="12" s="1"/>
  <c r="H630" i="11"/>
  <c r="H179" i="12" s="1"/>
  <c r="H587" i="11"/>
  <c r="H547" i="11"/>
  <c r="H96" i="12" s="1"/>
  <c r="H546" i="11"/>
  <c r="H95" i="12" s="1"/>
  <c r="H582" i="11"/>
  <c r="H207" i="12" l="1"/>
  <c r="H656" i="11"/>
  <c r="H266" i="12"/>
  <c r="H711" i="11"/>
  <c r="H635" i="11"/>
  <c r="H184" i="12" s="1"/>
  <c r="H185" i="12"/>
  <c r="H581" i="11"/>
  <c r="H130" i="12" s="1"/>
  <c r="H131" i="12"/>
  <c r="H735" i="11"/>
  <c r="H285" i="12"/>
  <c r="H589" i="11"/>
  <c r="H138" i="12" s="1"/>
  <c r="H136" i="12"/>
  <c r="H637" i="11"/>
  <c r="H625" i="11" s="1"/>
  <c r="H624" i="11"/>
  <c r="H173" i="12" s="1"/>
  <c r="H644" i="11"/>
  <c r="H193" i="12" s="1"/>
  <c r="H192" i="12"/>
  <c r="H626" i="11"/>
  <c r="H175" i="12" s="1"/>
  <c r="H576" i="11"/>
  <c r="H125" i="12" s="1"/>
  <c r="H554" i="11"/>
  <c r="H103" i="12" s="1"/>
  <c r="H553" i="11"/>
  <c r="H102" i="12" s="1"/>
  <c r="H552" i="11"/>
  <c r="H101" i="12" s="1"/>
  <c r="H549" i="11"/>
  <c r="H98" i="12" s="1"/>
  <c r="H544" i="11"/>
  <c r="H93" i="12" s="1"/>
  <c r="H543" i="11"/>
  <c r="H92" i="12" s="1"/>
  <c r="H534" i="11"/>
  <c r="H524" i="11"/>
  <c r="H73" i="12" s="1"/>
  <c r="H513" i="11"/>
  <c r="H489" i="11" s="1"/>
  <c r="H521" i="11"/>
  <c r="G514" i="11"/>
  <c r="G63" i="12" s="1"/>
  <c r="H186" i="12" l="1"/>
  <c r="G513" i="11"/>
  <c r="G62" i="12" s="1"/>
  <c r="H512" i="11"/>
  <c r="H61" i="12" s="1"/>
  <c r="H62" i="12"/>
  <c r="H533" i="11"/>
  <c r="H82" i="12" s="1"/>
  <c r="H83" i="12"/>
  <c r="H523" i="11"/>
  <c r="H70" i="12"/>
  <c r="H174" i="12"/>
  <c r="H732" i="11"/>
  <c r="H281" i="12" s="1"/>
  <c r="H284" i="12"/>
  <c r="H641" i="11"/>
  <c r="H190" i="12" s="1"/>
  <c r="G643" i="11"/>
  <c r="H540" i="11"/>
  <c r="H89" i="12" s="1"/>
  <c r="G512" i="11" l="1"/>
  <c r="G61" i="12" s="1"/>
  <c r="H72" i="12"/>
  <c r="G641" i="11"/>
  <c r="G190" i="12" s="1"/>
  <c r="G192" i="12"/>
  <c r="H506" i="11"/>
  <c r="H55" i="12" s="1"/>
  <c r="I486" i="11"/>
  <c r="I483" i="11"/>
  <c r="I471" i="11" s="1"/>
  <c r="H479" i="11"/>
  <c r="H28" i="12" s="1"/>
  <c r="I443" i="11"/>
  <c r="I445" i="11" s="1"/>
  <c r="H482" i="11"/>
  <c r="S454" i="11"/>
  <c r="R454" i="11"/>
  <c r="Q454" i="11"/>
  <c r="S455" i="11"/>
  <c r="R455" i="11"/>
  <c r="Q455" i="11"/>
  <c r="K423" i="11"/>
  <c r="K406" i="11"/>
  <c r="H408" i="11"/>
  <c r="J406" i="11"/>
  <c r="I446" i="11"/>
  <c r="J438" i="11"/>
  <c r="I438" i="11"/>
  <c r="J440" i="11"/>
  <c r="J442" i="11" s="1"/>
  <c r="I440" i="11"/>
  <c r="I442" i="11" s="1"/>
  <c r="I482" i="11" l="1"/>
  <c r="I31" i="12" s="1"/>
  <c r="I32" i="12"/>
  <c r="I485" i="11"/>
  <c r="I34" i="12" s="1"/>
  <c r="I35" i="12"/>
  <c r="H484" i="11"/>
  <c r="H33" i="12" s="1"/>
  <c r="H31" i="12"/>
  <c r="I484" i="11"/>
  <c r="T455" i="11"/>
  <c r="I20" i="12"/>
  <c r="T454" i="11"/>
  <c r="I399" i="11"/>
  <c r="I392" i="11"/>
  <c r="I378" i="11"/>
  <c r="I376" i="11"/>
  <c r="I373" i="11" s="1"/>
  <c r="I362" i="11"/>
  <c r="I350" i="11" s="1"/>
  <c r="I351" i="11"/>
  <c r="I33" i="12" l="1"/>
  <c r="I612" i="11"/>
  <c r="I161" i="12" s="1"/>
  <c r="G621" i="11"/>
  <c r="G170" i="12" s="1"/>
  <c r="I620" i="11"/>
  <c r="G618" i="11"/>
  <c r="G167" i="12" s="1"/>
  <c r="I617" i="11"/>
  <c r="I619" i="11" l="1"/>
  <c r="I168" i="12" s="1"/>
  <c r="I166" i="12"/>
  <c r="I622" i="11"/>
  <c r="I169" i="12"/>
  <c r="I613" i="11" l="1"/>
  <c r="I611" i="11" s="1"/>
  <c r="I160" i="12" s="1"/>
  <c r="G622" i="11"/>
  <c r="G171" i="12" s="1"/>
  <c r="I171" i="12"/>
  <c r="G486" i="11"/>
  <c r="G35" i="12" s="1"/>
  <c r="I487" i="11"/>
  <c r="G483" i="11"/>
  <c r="G32" i="12" s="1"/>
  <c r="K425" i="11"/>
  <c r="K427" i="11" s="1"/>
  <c r="K424" i="11" s="1"/>
  <c r="K422" i="11" s="1"/>
  <c r="J425" i="11"/>
  <c r="J427" i="11" s="1"/>
  <c r="M203" i="11"/>
  <c r="L203" i="11"/>
  <c r="K203" i="11"/>
  <c r="J203" i="11"/>
  <c r="I203" i="11"/>
  <c r="H204" i="11"/>
  <c r="M205" i="11"/>
  <c r="L205" i="11"/>
  <c r="K205" i="11"/>
  <c r="J205" i="11"/>
  <c r="I205" i="11"/>
  <c r="M207" i="11"/>
  <c r="L207" i="11"/>
  <c r="K207" i="11"/>
  <c r="J207" i="11"/>
  <c r="I207" i="11"/>
  <c r="H206" i="11"/>
  <c r="H208" i="11"/>
  <c r="M201" i="11"/>
  <c r="M215" i="11" s="1"/>
  <c r="L201" i="11"/>
  <c r="L215" i="11" s="1"/>
  <c r="K201" i="11"/>
  <c r="K215" i="11" s="1"/>
  <c r="J201" i="11"/>
  <c r="I201" i="11"/>
  <c r="H202" i="11"/>
  <c r="M199" i="11"/>
  <c r="L199" i="11"/>
  <c r="K199" i="11"/>
  <c r="J199" i="11"/>
  <c r="I199" i="11"/>
  <c r="H200" i="11"/>
  <c r="M185" i="11"/>
  <c r="L185" i="11"/>
  <c r="K185" i="11"/>
  <c r="J185" i="11"/>
  <c r="I185" i="11"/>
  <c r="H186" i="11"/>
  <c r="M187" i="11"/>
  <c r="L187" i="11"/>
  <c r="K187" i="11"/>
  <c r="J187" i="11"/>
  <c r="I187" i="11"/>
  <c r="H188" i="11"/>
  <c r="J189" i="11"/>
  <c r="I189" i="11"/>
  <c r="M197" i="11"/>
  <c r="L197" i="11"/>
  <c r="K197" i="11"/>
  <c r="J197" i="11"/>
  <c r="I197" i="11"/>
  <c r="J191" i="11"/>
  <c r="I191" i="11"/>
  <c r="J193" i="11"/>
  <c r="I193" i="11"/>
  <c r="M195" i="11"/>
  <c r="M194" i="11" s="1"/>
  <c r="M193" i="11" s="1"/>
  <c r="M192" i="11" s="1"/>
  <c r="M191" i="11" s="1"/>
  <c r="M190" i="11" s="1"/>
  <c r="L195" i="11"/>
  <c r="L194" i="11" s="1"/>
  <c r="L193" i="11" s="1"/>
  <c r="L192" i="11" s="1"/>
  <c r="L191" i="11" s="1"/>
  <c r="L190" i="11" s="1"/>
  <c r="K195" i="11"/>
  <c r="J195" i="11"/>
  <c r="I195" i="11"/>
  <c r="H196" i="11"/>
  <c r="H198" i="11"/>
  <c r="M183" i="11"/>
  <c r="L183" i="11"/>
  <c r="K183" i="11"/>
  <c r="J183" i="11"/>
  <c r="I183" i="11"/>
  <c r="H184" i="11"/>
  <c r="H182" i="11"/>
  <c r="I181" i="11"/>
  <c r="H181" i="11" s="1"/>
  <c r="I426" i="11"/>
  <c r="I425" i="11" s="1"/>
  <c r="I427" i="11" s="1"/>
  <c r="J397" i="11"/>
  <c r="J399" i="11" s="1"/>
  <c r="I398" i="11"/>
  <c r="I397" i="11" s="1"/>
  <c r="I396" i="11"/>
  <c r="J394" i="11"/>
  <c r="J396" i="11" s="1"/>
  <c r="I395" i="11"/>
  <c r="I393" i="11"/>
  <c r="J391" i="11"/>
  <c r="J393" i="11" s="1"/>
  <c r="I387" i="11"/>
  <c r="J385" i="11"/>
  <c r="J387" i="11" s="1"/>
  <c r="J376" i="11"/>
  <c r="I162" i="12" l="1"/>
  <c r="I36" i="12"/>
  <c r="I472" i="11"/>
  <c r="I213" i="11"/>
  <c r="G21" i="10" s="1"/>
  <c r="J213" i="11"/>
  <c r="H21" i="10" s="1"/>
  <c r="M189" i="11"/>
  <c r="M213" i="11" s="1"/>
  <c r="M211" i="11"/>
  <c r="L189" i="11"/>
  <c r="L213" i="11" s="1"/>
  <c r="L211" i="11"/>
  <c r="K214" i="11"/>
  <c r="M214" i="11"/>
  <c r="L214" i="11"/>
  <c r="K194" i="11"/>
  <c r="H194" i="11" s="1"/>
  <c r="H183" i="11"/>
  <c r="H187" i="11"/>
  <c r="H201" i="11"/>
  <c r="H197" i="11"/>
  <c r="H185" i="11"/>
  <c r="H199" i="11"/>
  <c r="H207" i="11"/>
  <c r="H205" i="11"/>
  <c r="H203" i="11"/>
  <c r="H195" i="11"/>
  <c r="I391" i="11"/>
  <c r="F21" i="10" l="1"/>
  <c r="K193" i="11"/>
  <c r="K192" i="11" s="1"/>
  <c r="H192" i="11" s="1"/>
  <c r="I232" i="11"/>
  <c r="F93" i="11"/>
  <c r="F96" i="11"/>
  <c r="H94" i="11"/>
  <c r="H97" i="11"/>
  <c r="M96" i="11"/>
  <c r="L96" i="11"/>
  <c r="K96" i="11"/>
  <c r="J96" i="11"/>
  <c r="M93" i="11"/>
  <c r="L93" i="11"/>
  <c r="K93" i="11"/>
  <c r="J93" i="11"/>
  <c r="H91" i="11"/>
  <c r="I90" i="11"/>
  <c r="M90" i="11"/>
  <c r="L90" i="11"/>
  <c r="K90" i="11"/>
  <c r="J90" i="11"/>
  <c r="F90" i="11"/>
  <c r="I87" i="11"/>
  <c r="I89" i="11" s="1"/>
  <c r="M79" i="11"/>
  <c r="M80" i="11"/>
  <c r="L79" i="11"/>
  <c r="L80" i="11"/>
  <c r="K79" i="11"/>
  <c r="K80" i="11"/>
  <c r="J79" i="11"/>
  <c r="J80" i="11"/>
  <c r="I84" i="11"/>
  <c r="I86" i="11" s="1"/>
  <c r="K191" i="11" l="1"/>
  <c r="K190" i="11" s="1"/>
  <c r="K211" i="11" s="1"/>
  <c r="H193" i="11"/>
  <c r="I92" i="11"/>
  <c r="H92" i="11" s="1"/>
  <c r="H90" i="11" s="1"/>
  <c r="H95" i="11"/>
  <c r="H93" i="11" s="1"/>
  <c r="H98" i="11"/>
  <c r="H96" i="11" s="1"/>
  <c r="H191" i="11" l="1"/>
  <c r="H190" i="11"/>
  <c r="K189" i="11"/>
  <c r="H189" i="11" l="1"/>
  <c r="K213" i="11"/>
  <c r="H213" i="11" s="1"/>
  <c r="I266" i="11"/>
  <c r="J266" i="11"/>
  <c r="F268" i="11"/>
  <c r="H269" i="11"/>
  <c r="I268" i="11"/>
  <c r="I270" i="11" s="1"/>
  <c r="J268" i="11"/>
  <c r="J270" i="11" s="1"/>
  <c r="J267" i="11" s="1"/>
  <c r="M250" i="11"/>
  <c r="L250" i="11"/>
  <c r="K250" i="11"/>
  <c r="J250" i="11"/>
  <c r="F250" i="11"/>
  <c r="I650" i="11"/>
  <c r="H650" i="11"/>
  <c r="H652" i="11" s="1"/>
  <c r="J136" i="11"/>
  <c r="K136" i="11"/>
  <c r="H139" i="11"/>
  <c r="K137" i="11"/>
  <c r="J138" i="11"/>
  <c r="J137" i="11" s="1"/>
  <c r="H201" i="12" l="1"/>
  <c r="H199" i="12"/>
  <c r="I652" i="11"/>
  <c r="I201" i="12" s="1"/>
  <c r="I199" i="12"/>
  <c r="J265" i="11"/>
  <c r="H266" i="11"/>
  <c r="H270" i="11"/>
  <c r="H268" i="11" s="1"/>
  <c r="H137" i="11"/>
  <c r="J135" i="11"/>
  <c r="K135" i="11"/>
  <c r="H140" i="11"/>
  <c r="H138" i="11" s="1"/>
  <c r="E138" i="11" s="1"/>
  <c r="H136" i="11"/>
  <c r="I267" i="11"/>
  <c r="H135" i="11" l="1"/>
  <c r="H267" i="11"/>
  <c r="H265" i="11" s="1"/>
  <c r="I265" i="11"/>
  <c r="F138" i="11" l="1"/>
  <c r="F229" i="11" l="1"/>
  <c r="J229" i="11"/>
  <c r="K229" i="11"/>
  <c r="L229" i="11"/>
  <c r="M229" i="11"/>
  <c r="H230" i="11"/>
  <c r="F451" i="11"/>
  <c r="J351" i="11"/>
  <c r="J349" i="11"/>
  <c r="K374" i="11"/>
  <c r="J373" i="11"/>
  <c r="J374" i="11"/>
  <c r="I435" i="11"/>
  <c r="I436" i="11"/>
  <c r="H365" i="11"/>
  <c r="H364" i="11"/>
  <c r="F363" i="11"/>
  <c r="H362" i="11"/>
  <c r="I361" i="11"/>
  <c r="F360" i="11"/>
  <c r="G640" i="11"/>
  <c r="G189" i="12" s="1"/>
  <c r="G639" i="11"/>
  <c r="G188" i="12" s="1"/>
  <c r="H638" i="11"/>
  <c r="H187" i="12" s="1"/>
  <c r="H361" i="11" l="1"/>
  <c r="I349" i="11"/>
  <c r="I360" i="11"/>
  <c r="I434" i="11"/>
  <c r="H360" i="11"/>
  <c r="E360" i="11" s="1"/>
  <c r="G638" i="11"/>
  <c r="G187" i="12" s="1"/>
  <c r="H363" i="11"/>
  <c r="J130" i="11" l="1"/>
  <c r="K130" i="11"/>
  <c r="L130" i="11"/>
  <c r="M130" i="11"/>
  <c r="I134" i="11"/>
  <c r="H134" i="11" s="1"/>
  <c r="I133" i="11"/>
  <c r="H133" i="11" s="1"/>
  <c r="F132" i="11"/>
  <c r="H132" i="11" l="1"/>
  <c r="I132" i="11"/>
  <c r="I130" i="11"/>
  <c r="I131" i="11"/>
  <c r="I648" i="11"/>
  <c r="H648" i="11"/>
  <c r="G651" i="11"/>
  <c r="J654" i="11"/>
  <c r="I654" i="11"/>
  <c r="I203" i="12" s="1"/>
  <c r="G678" i="11"/>
  <c r="G227" i="12" s="1"/>
  <c r="G681" i="11"/>
  <c r="G230" i="12" s="1"/>
  <c r="I680" i="11"/>
  <c r="J677" i="11"/>
  <c r="J679" i="11" s="1"/>
  <c r="I677" i="11"/>
  <c r="I649" i="11"/>
  <c r="I198" i="12" s="1"/>
  <c r="H620" i="11"/>
  <c r="H169" i="12" s="1"/>
  <c r="H617" i="11"/>
  <c r="G585" i="11"/>
  <c r="G134" i="12" s="1"/>
  <c r="G588" i="11"/>
  <c r="G137" i="12" s="1"/>
  <c r="G591" i="11"/>
  <c r="G140" i="12" s="1"/>
  <c r="G594" i="11"/>
  <c r="G143" i="12" s="1"/>
  <c r="G597" i="11"/>
  <c r="G146" i="12" s="1"/>
  <c r="G600" i="11"/>
  <c r="G149" i="12" s="1"/>
  <c r="G603" i="11"/>
  <c r="G152" i="12" s="1"/>
  <c r="G606" i="11"/>
  <c r="G155" i="12" s="1"/>
  <c r="G609" i="11"/>
  <c r="G158" i="12" s="1"/>
  <c r="H608" i="11"/>
  <c r="H605" i="11"/>
  <c r="H602" i="11"/>
  <c r="H151" i="12" s="1"/>
  <c r="H599" i="11"/>
  <c r="H148" i="12" s="1"/>
  <c r="H596" i="11"/>
  <c r="H145" i="12" s="1"/>
  <c r="H593" i="11"/>
  <c r="H590" i="11"/>
  <c r="G589" i="11"/>
  <c r="G138" i="12" s="1"/>
  <c r="H584" i="11"/>
  <c r="H133" i="12" s="1"/>
  <c r="G522" i="11"/>
  <c r="G71" i="12" s="1"/>
  <c r="G525" i="11"/>
  <c r="G74" i="12" s="1"/>
  <c r="H526" i="11"/>
  <c r="H490" i="11" s="1"/>
  <c r="G523" i="11"/>
  <c r="G72" i="12" s="1"/>
  <c r="H485" i="11"/>
  <c r="G484" i="11"/>
  <c r="G33" i="12" s="1"/>
  <c r="G481" i="11"/>
  <c r="G30" i="12" s="1"/>
  <c r="G480" i="11"/>
  <c r="G29" i="12" s="1"/>
  <c r="F440" i="11"/>
  <c r="F443" i="11"/>
  <c r="H441" i="11"/>
  <c r="H444" i="11"/>
  <c r="F446" i="11"/>
  <c r="H447" i="11"/>
  <c r="J446" i="11"/>
  <c r="J448" i="11" s="1"/>
  <c r="J439" i="11" s="1"/>
  <c r="I448" i="11"/>
  <c r="H445" i="11"/>
  <c r="H487" i="11" l="1"/>
  <c r="H34" i="12"/>
  <c r="G526" i="11"/>
  <c r="G75" i="12" s="1"/>
  <c r="H75" i="12"/>
  <c r="H595" i="11"/>
  <c r="H142" i="12"/>
  <c r="H607" i="11"/>
  <c r="H154" i="12"/>
  <c r="I679" i="11"/>
  <c r="I228" i="12" s="1"/>
  <c r="I226" i="12"/>
  <c r="I682" i="11"/>
  <c r="I231" i="12" s="1"/>
  <c r="I229" i="12"/>
  <c r="H592" i="11"/>
  <c r="H139" i="12"/>
  <c r="H610" i="11"/>
  <c r="H157" i="12"/>
  <c r="H619" i="11"/>
  <c r="H168" i="12" s="1"/>
  <c r="H166" i="12"/>
  <c r="G648" i="11"/>
  <c r="G197" i="12" s="1"/>
  <c r="G200" i="12"/>
  <c r="J231" i="12"/>
  <c r="J229" i="12"/>
  <c r="J228" i="12"/>
  <c r="J226" i="12"/>
  <c r="J203" i="12"/>
  <c r="H197" i="12"/>
  <c r="I197" i="12"/>
  <c r="I468" i="11"/>
  <c r="H45" i="10" s="1"/>
  <c r="G479" i="11"/>
  <c r="G28" i="12" s="1"/>
  <c r="H601" i="11"/>
  <c r="H604" i="11"/>
  <c r="H586" i="11"/>
  <c r="H598" i="11"/>
  <c r="I439" i="11"/>
  <c r="H439" i="11" s="1"/>
  <c r="G521" i="11"/>
  <c r="G70" i="12" s="1"/>
  <c r="H442" i="11"/>
  <c r="H440" i="11" s="1"/>
  <c r="H448" i="11"/>
  <c r="H446" i="11" s="1"/>
  <c r="H443" i="11"/>
  <c r="J437" i="11"/>
  <c r="H438" i="11"/>
  <c r="G482" i="11"/>
  <c r="G31" i="12" s="1"/>
  <c r="G620" i="11"/>
  <c r="G169" i="12" s="1"/>
  <c r="I647" i="11"/>
  <c r="I196" i="12" s="1"/>
  <c r="G587" i="11"/>
  <c r="G136" i="12" s="1"/>
  <c r="H649" i="11"/>
  <c r="G652" i="11"/>
  <c r="G201" i="12" s="1"/>
  <c r="I655" i="11"/>
  <c r="H685" i="11"/>
  <c r="H234" i="12" s="1"/>
  <c r="H541" i="11" l="1"/>
  <c r="G619" i="11"/>
  <c r="G617" i="11" s="1"/>
  <c r="G166" i="12" s="1"/>
  <c r="I17" i="12"/>
  <c r="G682" i="11"/>
  <c r="G680" i="11" s="1"/>
  <c r="G229" i="12" s="1"/>
  <c r="G524" i="11"/>
  <c r="G73" i="12" s="1"/>
  <c r="H613" i="11"/>
  <c r="H162" i="12" s="1"/>
  <c r="G586" i="11"/>
  <c r="H135" i="12"/>
  <c r="G601" i="11"/>
  <c r="H150" i="12"/>
  <c r="G598" i="11"/>
  <c r="H147" i="12"/>
  <c r="G604" i="11"/>
  <c r="H153" i="12"/>
  <c r="G610" i="11"/>
  <c r="H159" i="12"/>
  <c r="G592" i="11"/>
  <c r="H141" i="12"/>
  <c r="G607" i="11"/>
  <c r="H156" i="12"/>
  <c r="G595" i="11"/>
  <c r="H144" i="12"/>
  <c r="G487" i="11"/>
  <c r="H36" i="12"/>
  <c r="J655" i="11"/>
  <c r="J204" i="12" s="1"/>
  <c r="G679" i="11"/>
  <c r="H647" i="11"/>
  <c r="H196" i="12" s="1"/>
  <c r="H198" i="12"/>
  <c r="I653" i="11"/>
  <c r="I202" i="12" s="1"/>
  <c r="I204" i="12"/>
  <c r="I437" i="11"/>
  <c r="H437" i="11"/>
  <c r="G649" i="11"/>
  <c r="G650" i="11"/>
  <c r="G199" i="12" s="1"/>
  <c r="G616" i="11"/>
  <c r="G165" i="12" s="1"/>
  <c r="G615" i="11"/>
  <c r="G164" i="12" s="1"/>
  <c r="G614" i="11"/>
  <c r="G163" i="12" s="1"/>
  <c r="G613" i="11"/>
  <c r="G162" i="12" s="1"/>
  <c r="H733" i="11"/>
  <c r="G734" i="11"/>
  <c r="G283" i="12" s="1"/>
  <c r="G168" i="12" l="1"/>
  <c r="G231" i="12"/>
  <c r="G733" i="11"/>
  <c r="G282" i="12" s="1"/>
  <c r="H282" i="12"/>
  <c r="G36" i="12"/>
  <c r="G485" i="11"/>
  <c r="G34" i="12" s="1"/>
  <c r="G144" i="12"/>
  <c r="G593" i="11"/>
  <c r="G142" i="12" s="1"/>
  <c r="G156" i="12"/>
  <c r="G605" i="11"/>
  <c r="G154" i="12" s="1"/>
  <c r="G141" i="12"/>
  <c r="G590" i="11"/>
  <c r="G139" i="12" s="1"/>
  <c r="G159" i="12"/>
  <c r="G608" i="11"/>
  <c r="G157" i="12" s="1"/>
  <c r="G602" i="11"/>
  <c r="G151" i="12" s="1"/>
  <c r="G153" i="12"/>
  <c r="G596" i="11"/>
  <c r="G145" i="12" s="1"/>
  <c r="G147" i="12"/>
  <c r="G599" i="11"/>
  <c r="G148" i="12" s="1"/>
  <c r="G150" i="12"/>
  <c r="G584" i="11"/>
  <c r="G133" i="12" s="1"/>
  <c r="G135" i="12"/>
  <c r="J653" i="11"/>
  <c r="J202" i="12" s="1"/>
  <c r="G677" i="11"/>
  <c r="G226" i="12" s="1"/>
  <c r="G228" i="12"/>
  <c r="G647" i="11"/>
  <c r="G196" i="12" s="1"/>
  <c r="G198" i="12"/>
  <c r="G735" i="11"/>
  <c r="G284" i="12" s="1"/>
  <c r="G736" i="11"/>
  <c r="G285" i="12" s="1"/>
  <c r="H611" i="11"/>
  <c r="G612" i="11"/>
  <c r="G161" i="12" s="1"/>
  <c r="H661" i="11"/>
  <c r="H660" i="11"/>
  <c r="H209" i="12" s="1"/>
  <c r="H518" i="11"/>
  <c r="H67" i="12" s="1"/>
  <c r="G520" i="11"/>
  <c r="G69" i="12" s="1"/>
  <c r="G519" i="11"/>
  <c r="G68" i="12" s="1"/>
  <c r="H655" i="11" l="1"/>
  <c r="H204" i="12" s="1"/>
  <c r="H210" i="12"/>
  <c r="G611" i="11"/>
  <c r="G160" i="12" s="1"/>
  <c r="H160" i="12"/>
  <c r="H659" i="11"/>
  <c r="H208" i="12" s="1"/>
  <c r="H654" i="11"/>
  <c r="H203" i="12" s="1"/>
  <c r="H731" i="11"/>
  <c r="G518" i="11"/>
  <c r="G67" i="12" s="1"/>
  <c r="G731" i="11" l="1"/>
  <c r="G280" i="12" s="1"/>
  <c r="H280" i="12"/>
  <c r="G732" i="11"/>
  <c r="G281" i="12" s="1"/>
  <c r="H515" i="11"/>
  <c r="H64" i="12" s="1"/>
  <c r="G517" i="11"/>
  <c r="G66" i="12" s="1"/>
  <c r="G516" i="11"/>
  <c r="G65" i="12" s="1"/>
  <c r="G511" i="11"/>
  <c r="G60" i="12" s="1"/>
  <c r="G508" i="11"/>
  <c r="G57" i="12" s="1"/>
  <c r="G538" i="11"/>
  <c r="G87" i="12" s="1"/>
  <c r="G537" i="11"/>
  <c r="G86" i="12" s="1"/>
  <c r="H536" i="11"/>
  <c r="H674" i="11"/>
  <c r="H671" i="11"/>
  <c r="H668" i="11"/>
  <c r="H217" i="12" s="1"/>
  <c r="H665" i="11"/>
  <c r="G676" i="11"/>
  <c r="G225" i="12" s="1"/>
  <c r="G675" i="11"/>
  <c r="G224" i="12" s="1"/>
  <c r="G673" i="11"/>
  <c r="G222" i="12" s="1"/>
  <c r="G672" i="11"/>
  <c r="G221" i="12" s="1"/>
  <c r="G670" i="11"/>
  <c r="G219" i="12" s="1"/>
  <c r="G669" i="11"/>
  <c r="G218" i="12" s="1"/>
  <c r="G667" i="11"/>
  <c r="G216" i="12" s="1"/>
  <c r="G666" i="11"/>
  <c r="G215" i="12" s="1"/>
  <c r="G674" i="11" l="1"/>
  <c r="G223" i="12" s="1"/>
  <c r="H223" i="12"/>
  <c r="G665" i="11"/>
  <c r="G214" i="12" s="1"/>
  <c r="H214" i="12"/>
  <c r="G671" i="11"/>
  <c r="G220" i="12" s="1"/>
  <c r="H220" i="12"/>
  <c r="G536" i="11"/>
  <c r="G85" i="12" s="1"/>
  <c r="H85" i="12"/>
  <c r="G515" i="11"/>
  <c r="G64" i="12" s="1"/>
  <c r="G510" i="11"/>
  <c r="G507" i="11"/>
  <c r="G668" i="11"/>
  <c r="G217" i="12" s="1"/>
  <c r="H532" i="11"/>
  <c r="G530" i="11"/>
  <c r="G79" i="12" s="1"/>
  <c r="G645" i="11"/>
  <c r="G194" i="12" s="1"/>
  <c r="G636" i="11"/>
  <c r="G185" i="12" s="1"/>
  <c r="G634" i="11"/>
  <c r="G183" i="12" s="1"/>
  <c r="G632" i="11"/>
  <c r="G181" i="12" s="1"/>
  <c r="H531" i="11" l="1"/>
  <c r="H81" i="12"/>
  <c r="G506" i="11"/>
  <c r="G55" i="12" s="1"/>
  <c r="G56" i="12"/>
  <c r="G509" i="11"/>
  <c r="G58" i="12" s="1"/>
  <c r="G59" i="12"/>
  <c r="G646" i="11"/>
  <c r="G195" i="12" s="1"/>
  <c r="G532" i="11"/>
  <c r="G81" i="12" s="1"/>
  <c r="H529" i="11"/>
  <c r="H78" i="12" s="1"/>
  <c r="G644" i="11"/>
  <c r="G193" i="12" s="1"/>
  <c r="G633" i="11"/>
  <c r="G182" i="12" s="1"/>
  <c r="H80" i="12" l="1"/>
  <c r="H528" i="11"/>
  <c r="H77" i="12" s="1"/>
  <c r="G531" i="11"/>
  <c r="G80" i="12" s="1"/>
  <c r="G631" i="11"/>
  <c r="G180" i="12" s="1"/>
  <c r="G630" i="11" l="1"/>
  <c r="G179" i="12" s="1"/>
  <c r="H629" i="11"/>
  <c r="H718" i="11"/>
  <c r="H260" i="12"/>
  <c r="G547" i="11"/>
  <c r="G96" i="12" s="1"/>
  <c r="G546" i="11"/>
  <c r="G95" i="12" s="1"/>
  <c r="G553" i="11"/>
  <c r="G102" i="12" s="1"/>
  <c r="G552" i="11"/>
  <c r="G101" i="12" s="1"/>
  <c r="G581" i="11"/>
  <c r="G130" i="12" s="1"/>
  <c r="G583" i="11"/>
  <c r="G132" i="12" s="1"/>
  <c r="G582" i="11"/>
  <c r="G131" i="12" s="1"/>
  <c r="G568" i="11"/>
  <c r="G117" i="12" s="1"/>
  <c r="G567" i="11"/>
  <c r="G116" i="12" s="1"/>
  <c r="H566" i="11"/>
  <c r="H575" i="11"/>
  <c r="G577" i="11"/>
  <c r="G126" i="12" s="1"/>
  <c r="G576" i="11"/>
  <c r="G125" i="12" s="1"/>
  <c r="H727" i="11"/>
  <c r="H728" i="11"/>
  <c r="H38" i="12"/>
  <c r="H721" i="11"/>
  <c r="H270" i="12" s="1"/>
  <c r="H712" i="11" l="1"/>
  <c r="H261" i="12" s="1"/>
  <c r="H267" i="12"/>
  <c r="G727" i="11"/>
  <c r="G276" i="12" s="1"/>
  <c r="H276" i="12"/>
  <c r="G566" i="11"/>
  <c r="G115" i="12" s="1"/>
  <c r="H115" i="12"/>
  <c r="G629" i="11"/>
  <c r="G178" i="12" s="1"/>
  <c r="H178" i="12"/>
  <c r="G728" i="11"/>
  <c r="G277" i="12" s="1"/>
  <c r="H277" i="12"/>
  <c r="G575" i="11"/>
  <c r="G124" i="12" s="1"/>
  <c r="H124" i="12"/>
  <c r="G718" i="11"/>
  <c r="G267" i="12" s="1"/>
  <c r="G717" i="11"/>
  <c r="G266" i="12" s="1"/>
  <c r="H39" i="12"/>
  <c r="H726" i="11"/>
  <c r="G729" i="11"/>
  <c r="G278" i="12" s="1"/>
  <c r="H90" i="12"/>
  <c r="H551" i="11"/>
  <c r="H503" i="11"/>
  <c r="H52" i="12" s="1"/>
  <c r="H716" i="11"/>
  <c r="H545" i="11"/>
  <c r="G551" i="11" l="1"/>
  <c r="G100" i="12" s="1"/>
  <c r="H100" i="12"/>
  <c r="G545" i="11"/>
  <c r="G94" i="12" s="1"/>
  <c r="H94" i="12"/>
  <c r="G726" i="11"/>
  <c r="H275" i="12"/>
  <c r="G716" i="11"/>
  <c r="G265" i="12" s="1"/>
  <c r="H265" i="12"/>
  <c r="H725" i="11"/>
  <c r="H274" i="12" s="1"/>
  <c r="G723" i="11"/>
  <c r="G272" i="12" s="1"/>
  <c r="G724" i="11"/>
  <c r="G273" i="12" s="1"/>
  <c r="G721" i="11"/>
  <c r="G270" i="12" s="1"/>
  <c r="G725" i="11" l="1"/>
  <c r="G274" i="12" s="1"/>
  <c r="G275" i="12"/>
  <c r="H720" i="11"/>
  <c r="G722" i="11"/>
  <c r="G271" i="12" s="1"/>
  <c r="G720" i="11" l="1"/>
  <c r="G269" i="12" s="1"/>
  <c r="H269" i="12"/>
  <c r="H719" i="11"/>
  <c r="I258" i="11"/>
  <c r="I255" i="11" s="1"/>
  <c r="H255" i="11" s="1"/>
  <c r="F258" i="11"/>
  <c r="F298" i="11" s="1"/>
  <c r="F296" i="11" s="1"/>
  <c r="I257" i="11"/>
  <c r="I264" i="11"/>
  <c r="I261" i="11" s="1"/>
  <c r="M262" i="11"/>
  <c r="M259" i="11" s="1"/>
  <c r="L262" i="11"/>
  <c r="L259" i="11" s="1"/>
  <c r="K262" i="11"/>
  <c r="K259" i="11" s="1"/>
  <c r="J262" i="11"/>
  <c r="J259" i="11" s="1"/>
  <c r="F262" i="11"/>
  <c r="M261" i="11"/>
  <c r="L261" i="11"/>
  <c r="K261" i="11"/>
  <c r="J261" i="11"/>
  <c r="M260" i="11"/>
  <c r="L260" i="11"/>
  <c r="K260" i="11"/>
  <c r="J260" i="11"/>
  <c r="G719" i="11" l="1"/>
  <c r="G268" i="12" s="1"/>
  <c r="H268" i="12"/>
  <c r="I256" i="11"/>
  <c r="M258" i="11"/>
  <c r="M257" i="11" s="1"/>
  <c r="M256" i="11" s="1"/>
  <c r="L258" i="11"/>
  <c r="L257" i="11" s="1"/>
  <c r="L256" i="11" s="1"/>
  <c r="K258" i="11"/>
  <c r="K257" i="11" s="1"/>
  <c r="K256" i="11" s="1"/>
  <c r="F256" i="11"/>
  <c r="J258" i="11"/>
  <c r="J257" i="11" s="1"/>
  <c r="J256" i="11" s="1"/>
  <c r="I263" i="11"/>
  <c r="I260" i="11" s="1"/>
  <c r="H264" i="11"/>
  <c r="H261" i="11"/>
  <c r="I254" i="11"/>
  <c r="H258" i="11" l="1"/>
  <c r="I259" i="11"/>
  <c r="H260" i="11"/>
  <c r="H259" i="11" s="1"/>
  <c r="H263" i="11"/>
  <c r="H262" i="11" s="1"/>
  <c r="E262" i="11" s="1"/>
  <c r="H257" i="11"/>
  <c r="H256" i="11" s="1"/>
  <c r="E256" i="11" s="1"/>
  <c r="H254" i="11"/>
  <c r="H253" i="11" s="1"/>
  <c r="I253" i="11"/>
  <c r="I428" i="11" l="1"/>
  <c r="H429" i="11"/>
  <c r="H430" i="11"/>
  <c r="I414" i="11"/>
  <c r="I377" i="11"/>
  <c r="I374" i="11" s="1"/>
  <c r="I411" i="11" l="1"/>
  <c r="I413" i="11"/>
  <c r="H428" i="11"/>
  <c r="I388" i="11"/>
  <c r="I416" i="11"/>
  <c r="H417" i="11"/>
  <c r="H418" i="11"/>
  <c r="H416" i="11" l="1"/>
  <c r="E416" i="11" s="1"/>
  <c r="I33" i="11" l="1"/>
  <c r="I124" i="11" l="1"/>
  <c r="I125" i="11"/>
  <c r="H127" i="11"/>
  <c r="H128" i="11"/>
  <c r="H124" i="11" l="1"/>
  <c r="H125" i="11"/>
  <c r="H126" i="11"/>
  <c r="I123" i="11"/>
  <c r="I80" i="11"/>
  <c r="H80" i="11" s="1"/>
  <c r="H123" i="11" l="1"/>
  <c r="M117" i="11"/>
  <c r="L117" i="11"/>
  <c r="K117" i="11"/>
  <c r="J117" i="11"/>
  <c r="M120" i="11"/>
  <c r="L120" i="11"/>
  <c r="K120" i="11"/>
  <c r="J120" i="11"/>
  <c r="H121" i="11"/>
  <c r="I119" i="11"/>
  <c r="F120" i="11"/>
  <c r="H122" i="11" l="1"/>
  <c r="H120" i="11" s="1"/>
  <c r="H119" i="11"/>
  <c r="I118" i="11"/>
  <c r="I120" i="11"/>
  <c r="H118" i="11" l="1"/>
  <c r="H117" i="11" s="1"/>
  <c r="I117" i="11"/>
  <c r="I785" i="11" l="1"/>
  <c r="I328" i="12" s="1"/>
  <c r="J785" i="11"/>
  <c r="J328" i="12" s="1"/>
  <c r="K785" i="11"/>
  <c r="K328" i="12" s="1"/>
  <c r="L785" i="11"/>
  <c r="L328" i="12" s="1"/>
  <c r="H785" i="11"/>
  <c r="H328" i="12" s="1"/>
  <c r="I784" i="11"/>
  <c r="I327" i="12" s="1"/>
  <c r="J784" i="11"/>
  <c r="J327" i="12" s="1"/>
  <c r="K784" i="11"/>
  <c r="K327" i="12" s="1"/>
  <c r="L784" i="11"/>
  <c r="L327" i="12" s="1"/>
  <c r="H784" i="11"/>
  <c r="H327" i="12" s="1"/>
  <c r="J783" i="11" l="1"/>
  <c r="J326" i="12" s="1"/>
  <c r="I783" i="11"/>
  <c r="I326" i="12" s="1"/>
  <c r="H783" i="11"/>
  <c r="H326" i="12" s="1"/>
  <c r="E62" i="10" l="1"/>
  <c r="J227" i="11" l="1"/>
  <c r="K227" i="11"/>
  <c r="L227" i="11"/>
  <c r="M227" i="11"/>
  <c r="J228" i="11"/>
  <c r="K228" i="11"/>
  <c r="L228" i="11"/>
  <c r="M228" i="11"/>
  <c r="L226" i="11" l="1"/>
  <c r="J226" i="11"/>
  <c r="M226" i="11"/>
  <c r="K226" i="11"/>
  <c r="R71" i="11" l="1"/>
  <c r="R70" i="11" l="1"/>
  <c r="I69" i="11" l="1"/>
  <c r="Q73" i="11" l="1"/>
  <c r="V70" i="11"/>
  <c r="V71" i="11"/>
  <c r="E9" i="18"/>
  <c r="F9" i="18"/>
  <c r="G9" i="18"/>
  <c r="H9" i="18"/>
  <c r="D9" i="18"/>
  <c r="E8" i="18"/>
  <c r="F8" i="18"/>
  <c r="G8" i="18"/>
  <c r="H8" i="18"/>
  <c r="D8" i="18"/>
  <c r="F21" i="19"/>
  <c r="G21" i="19"/>
  <c r="H21" i="19"/>
  <c r="I21" i="19"/>
  <c r="J21" i="19"/>
  <c r="K21" i="19"/>
  <c r="E21" i="19"/>
  <c r="H7" i="19"/>
  <c r="H6" i="19" s="1"/>
  <c r="I7" i="19"/>
  <c r="J7" i="19"/>
  <c r="J6" i="19" s="1"/>
  <c r="K7" i="19"/>
  <c r="G6" i="19"/>
  <c r="I6" i="19"/>
  <c r="K6" i="19"/>
  <c r="F7" i="19"/>
  <c r="F6" i="19" s="1"/>
  <c r="G7" i="19"/>
  <c r="J113" i="11" l="1"/>
  <c r="K113" i="11"/>
  <c r="L113" i="11"/>
  <c r="M113" i="11"/>
  <c r="J112" i="11"/>
  <c r="K112" i="11"/>
  <c r="L112" i="11"/>
  <c r="M112" i="11"/>
  <c r="I113" i="11"/>
  <c r="I112" i="11"/>
  <c r="I68" i="11"/>
  <c r="I67" i="11"/>
  <c r="K111" i="11" l="1"/>
  <c r="L111" i="11"/>
  <c r="J111" i="11"/>
  <c r="H113" i="11"/>
  <c r="M111" i="11"/>
  <c r="I111" i="11"/>
  <c r="H112" i="11"/>
  <c r="H111" i="11" l="1"/>
  <c r="E6" i="14"/>
  <c r="E5" i="14" s="1"/>
  <c r="K9" i="14"/>
  <c r="J9" i="14"/>
  <c r="I9" i="14"/>
  <c r="H6" i="14"/>
  <c r="H5" i="14" s="1"/>
  <c r="I6" i="14"/>
  <c r="I5" i="14" s="1"/>
  <c r="J6" i="14"/>
  <c r="J5" i="14" s="1"/>
  <c r="K6" i="14"/>
  <c r="K5" i="14" s="1"/>
  <c r="G5" i="14"/>
  <c r="D7" i="13" l="1"/>
  <c r="E7" i="13"/>
  <c r="G7" i="13"/>
  <c r="H7" i="13"/>
  <c r="F7" i="13"/>
  <c r="H9" i="19"/>
  <c r="I9" i="19"/>
  <c r="J9" i="19"/>
  <c r="K9" i="19"/>
  <c r="G9" i="19"/>
  <c r="E6" i="19"/>
  <c r="E7" i="19"/>
  <c r="F11" i="20" l="1"/>
  <c r="E5" i="20" s="1"/>
  <c r="E7" i="20" s="1"/>
  <c r="H8" i="20" l="1"/>
  <c r="M7" i="20"/>
  <c r="L7" i="20"/>
  <c r="K7" i="20"/>
  <c r="J7" i="20"/>
  <c r="I7" i="20"/>
  <c r="H7" i="20" s="1"/>
  <c r="M6" i="20"/>
  <c r="L6" i="20"/>
  <c r="K6" i="20"/>
  <c r="J6" i="20"/>
  <c r="I6" i="20"/>
  <c r="H6" i="20" s="1"/>
  <c r="M5" i="20"/>
  <c r="L5" i="20"/>
  <c r="K5" i="20"/>
  <c r="J5" i="20"/>
  <c r="H5" i="20"/>
  <c r="F11" i="17" l="1"/>
  <c r="E11" i="17"/>
  <c r="M12" i="17"/>
  <c r="K8" i="16" s="1"/>
  <c r="L12" i="17"/>
  <c r="J8" i="16" s="1"/>
  <c r="K12" i="17"/>
  <c r="I8" i="16" s="1"/>
  <c r="J12" i="17"/>
  <c r="H8" i="16" s="1"/>
  <c r="I12" i="17"/>
  <c r="G8" i="16" s="1"/>
  <c r="M11" i="17"/>
  <c r="L11" i="17"/>
  <c r="K11" i="17"/>
  <c r="J11" i="17"/>
  <c r="I11" i="17"/>
  <c r="H10" i="17"/>
  <c r="H9" i="17"/>
  <c r="H8" i="17"/>
  <c r="H7" i="17"/>
  <c r="H6" i="17"/>
  <c r="H5" i="17"/>
  <c r="E8" i="16" l="1"/>
  <c r="H11" i="17"/>
  <c r="H12" i="17"/>
  <c r="E13" i="17" s="1"/>
  <c r="I864" i="11"/>
  <c r="I407" i="12" s="1"/>
  <c r="N836" i="11"/>
  <c r="M836" i="11"/>
  <c r="I858" i="11"/>
  <c r="I401" i="12" s="1"/>
  <c r="J858" i="11"/>
  <c r="J401" i="12" s="1"/>
  <c r="K858" i="11"/>
  <c r="K401" i="12" s="1"/>
  <c r="I857" i="11"/>
  <c r="I400" i="12" s="1"/>
  <c r="J857" i="11"/>
  <c r="J400" i="12" s="1"/>
  <c r="K857" i="11"/>
  <c r="K400" i="12" s="1"/>
  <c r="L857" i="11"/>
  <c r="L400" i="12" s="1"/>
  <c r="H858" i="11"/>
  <c r="H401" i="12" s="1"/>
  <c r="H857" i="11"/>
  <c r="H400" i="12" s="1"/>
  <c r="J864" i="11"/>
  <c r="J407" i="12" s="1"/>
  <c r="K864" i="11"/>
  <c r="K407" i="12" s="1"/>
  <c r="L864" i="11"/>
  <c r="L407" i="12" s="1"/>
  <c r="J863" i="11"/>
  <c r="J406" i="12" s="1"/>
  <c r="K863" i="11"/>
  <c r="K406" i="12" s="1"/>
  <c r="L863" i="11"/>
  <c r="L406" i="12" s="1"/>
  <c r="H864" i="11"/>
  <c r="H407" i="12" s="1"/>
  <c r="H863" i="11"/>
  <c r="H406" i="12" s="1"/>
  <c r="I863" i="11"/>
  <c r="I406" i="12" s="1"/>
  <c r="J862" i="11" l="1"/>
  <c r="J405" i="12" s="1"/>
  <c r="L862" i="11"/>
  <c r="L405" i="12" s="1"/>
  <c r="K862" i="11"/>
  <c r="K405" i="12" s="1"/>
  <c r="G863" i="11"/>
  <c r="G406" i="12" s="1"/>
  <c r="G864" i="11"/>
  <c r="G407" i="12" s="1"/>
  <c r="H862" i="11"/>
  <c r="H405" i="12" s="1"/>
  <c r="I862" i="11"/>
  <c r="I405" i="12" s="1"/>
  <c r="G862" i="11" l="1"/>
  <c r="G405" i="12" s="1"/>
  <c r="I81" i="11"/>
  <c r="F81" i="11"/>
  <c r="Q85" i="11" l="1"/>
  <c r="Q86" i="11"/>
  <c r="E81" i="11"/>
  <c r="J316" i="11"/>
  <c r="K316" i="11"/>
  <c r="L316" i="11"/>
  <c r="M316" i="11"/>
  <c r="I316" i="11"/>
  <c r="J315" i="11"/>
  <c r="K315" i="11"/>
  <c r="L315" i="11"/>
  <c r="M315" i="11"/>
  <c r="I315" i="11"/>
  <c r="N13" i="10" l="1"/>
  <c r="J310" i="11" l="1"/>
  <c r="J322" i="11" s="1"/>
  <c r="K310" i="11"/>
  <c r="K322" i="11" s="1"/>
  <c r="L310" i="11"/>
  <c r="L322" i="11" s="1"/>
  <c r="M310" i="11"/>
  <c r="M322" i="11" s="1"/>
  <c r="I310" i="11"/>
  <c r="I322" i="11" s="1"/>
  <c r="J309" i="11"/>
  <c r="J321" i="11" s="1"/>
  <c r="K309" i="11"/>
  <c r="K321" i="11" s="1"/>
  <c r="L309" i="11"/>
  <c r="L321" i="11" s="1"/>
  <c r="M309" i="11"/>
  <c r="M321" i="11" s="1"/>
  <c r="I309" i="11"/>
  <c r="I321" i="11" s="1"/>
  <c r="J320" i="11" l="1"/>
  <c r="L320" i="11"/>
  <c r="H321" i="11"/>
  <c r="I320" i="11"/>
  <c r="M320" i="11"/>
  <c r="K320" i="11"/>
  <c r="H322" i="11"/>
  <c r="G1006" i="11"/>
  <c r="G523" i="12" s="1"/>
  <c r="I1008" i="11"/>
  <c r="J1008" i="11"/>
  <c r="K1008" i="11"/>
  <c r="L1008" i="11"/>
  <c r="H1010" i="11"/>
  <c r="H527" i="12" s="1"/>
  <c r="I1010" i="11"/>
  <c r="I527" i="12" s="1"/>
  <c r="J1010" i="11"/>
  <c r="J527" i="12" s="1"/>
  <c r="K1010" i="11"/>
  <c r="K527" i="12" s="1"/>
  <c r="L1010" i="11"/>
  <c r="L527" i="12" s="1"/>
  <c r="H998" i="11"/>
  <c r="H515" i="12" s="1"/>
  <c r="I998" i="11"/>
  <c r="I515" i="12" s="1"/>
  <c r="J998" i="11"/>
  <c r="J515" i="12" s="1"/>
  <c r="K998" i="11"/>
  <c r="K515" i="12" s="1"/>
  <c r="L998" i="11"/>
  <c r="L515" i="12" s="1"/>
  <c r="G1000" i="11"/>
  <c r="G517" i="12" s="1"/>
  <c r="G999" i="11"/>
  <c r="G516" i="12" s="1"/>
  <c r="H992" i="11"/>
  <c r="H509" i="12" s="1"/>
  <c r="I992" i="11"/>
  <c r="I509" i="12" s="1"/>
  <c r="J992" i="11"/>
  <c r="J509" i="12" s="1"/>
  <c r="K992" i="11"/>
  <c r="K509" i="12" s="1"/>
  <c r="L992" i="11"/>
  <c r="L509" i="12" s="1"/>
  <c r="G994" i="11"/>
  <c r="G511" i="12" s="1"/>
  <c r="G993" i="11"/>
  <c r="G510" i="12" s="1"/>
  <c r="H990" i="11"/>
  <c r="H507" i="12" s="1"/>
  <c r="L1007" i="11" l="1"/>
  <c r="L524" i="12" s="1"/>
  <c r="L525" i="12"/>
  <c r="J1007" i="11"/>
  <c r="J524" i="12" s="1"/>
  <c r="J525" i="12"/>
  <c r="K1007" i="11"/>
  <c r="K524" i="12" s="1"/>
  <c r="K525" i="12"/>
  <c r="I1007" i="11"/>
  <c r="I524" i="12" s="1"/>
  <c r="I525" i="12"/>
  <c r="H320" i="11"/>
  <c r="G998" i="11"/>
  <c r="G515" i="12" s="1"/>
  <c r="G992" i="11"/>
  <c r="G509" i="12" s="1"/>
  <c r="G1012" i="11"/>
  <c r="G529" i="12" s="1"/>
  <c r="G1011" i="11"/>
  <c r="G528" i="12" s="1"/>
  <c r="H1009" i="11"/>
  <c r="H526" i="12" s="1"/>
  <c r="H1008" i="11"/>
  <c r="H525" i="12" s="1"/>
  <c r="H1007" i="11" l="1"/>
  <c r="H524" i="12" s="1"/>
  <c r="I888" i="11" l="1"/>
  <c r="I428" i="12" s="1"/>
  <c r="I887" i="11"/>
  <c r="I427" i="12" s="1"/>
  <c r="H750" i="11" l="1"/>
  <c r="H293" i="12" s="1"/>
  <c r="H749" i="11"/>
  <c r="H748" i="11"/>
  <c r="H756" i="11"/>
  <c r="H299" i="12" s="1"/>
  <c r="H755" i="11"/>
  <c r="H298" i="12" s="1"/>
  <c r="H754" i="11"/>
  <c r="H297" i="12" s="1"/>
  <c r="H762" i="11"/>
  <c r="H305" i="12" s="1"/>
  <c r="H761" i="11"/>
  <c r="H304" i="12" s="1"/>
  <c r="H760" i="11"/>
  <c r="H303" i="12" s="1"/>
  <c r="H768" i="11"/>
  <c r="H311" i="12" s="1"/>
  <c r="H767" i="11"/>
  <c r="H310" i="12" s="1"/>
  <c r="H766" i="11"/>
  <c r="H309" i="12" s="1"/>
  <c r="H774" i="11"/>
  <c r="H317" i="12" s="1"/>
  <c r="H773" i="11"/>
  <c r="H316" i="12" s="1"/>
  <c r="H772" i="11"/>
  <c r="H315" i="12" s="1"/>
  <c r="I779" i="11"/>
  <c r="I322" i="12" s="1"/>
  <c r="J779" i="11"/>
  <c r="J322" i="12" s="1"/>
  <c r="H779" i="11"/>
  <c r="H322" i="12" s="1"/>
  <c r="I778" i="11"/>
  <c r="I321" i="12" s="1"/>
  <c r="J778" i="11"/>
  <c r="J321" i="12" s="1"/>
  <c r="H778" i="11"/>
  <c r="H321" i="12" s="1"/>
  <c r="I792" i="11"/>
  <c r="I335" i="12" s="1"/>
  <c r="H791" i="11"/>
  <c r="H334" i="12" s="1"/>
  <c r="H790" i="11"/>
  <c r="H333" i="12" s="1"/>
  <c r="I797" i="11"/>
  <c r="I340" i="12" s="1"/>
  <c r="J797" i="11"/>
  <c r="J340" i="12" s="1"/>
  <c r="H797" i="11"/>
  <c r="H340" i="12" s="1"/>
  <c r="I796" i="11"/>
  <c r="I339" i="12" s="1"/>
  <c r="J796" i="11"/>
  <c r="J339" i="12" s="1"/>
  <c r="H796" i="11"/>
  <c r="I806" i="11"/>
  <c r="I349" i="12" s="1"/>
  <c r="J806" i="11"/>
  <c r="J349" i="12" s="1"/>
  <c r="H806" i="11"/>
  <c r="H349" i="12" s="1"/>
  <c r="I805" i="11"/>
  <c r="I348" i="12" s="1"/>
  <c r="J805" i="11"/>
  <c r="J348" i="12" s="1"/>
  <c r="H805" i="11"/>
  <c r="H348" i="12" s="1"/>
  <c r="J812" i="11"/>
  <c r="J355" i="12" s="1"/>
  <c r="I812" i="11"/>
  <c r="I355" i="12" s="1"/>
  <c r="J811" i="11"/>
  <c r="J354" i="12" s="1"/>
  <c r="I811" i="11"/>
  <c r="I354" i="12" s="1"/>
  <c r="H812" i="11"/>
  <c r="H355" i="12" s="1"/>
  <c r="H811" i="11"/>
  <c r="H354" i="12" s="1"/>
  <c r="I818" i="11"/>
  <c r="I361" i="12" s="1"/>
  <c r="I817" i="11"/>
  <c r="I360" i="12" s="1"/>
  <c r="H818" i="11"/>
  <c r="H361" i="12" s="1"/>
  <c r="H817" i="11"/>
  <c r="H360" i="12" s="1"/>
  <c r="I825" i="11"/>
  <c r="I368" i="12" s="1"/>
  <c r="I824" i="11"/>
  <c r="I367" i="12" s="1"/>
  <c r="I823" i="11"/>
  <c r="I366" i="12" s="1"/>
  <c r="H824" i="11"/>
  <c r="H367" i="12" s="1"/>
  <c r="H823" i="11"/>
  <c r="H366" i="12" s="1"/>
  <c r="I830" i="11"/>
  <c r="I373" i="12" s="1"/>
  <c r="I829" i="11"/>
  <c r="I372" i="12" s="1"/>
  <c r="I831" i="11"/>
  <c r="I374" i="12" s="1"/>
  <c r="H339" i="12" l="1"/>
  <c r="H795" i="11"/>
  <c r="G749" i="11"/>
  <c r="G292" i="12" s="1"/>
  <c r="H292" i="12"/>
  <c r="G748" i="11"/>
  <c r="G291" i="12" s="1"/>
  <c r="H291" i="12"/>
  <c r="I810" i="11"/>
  <c r="I353" i="12" s="1"/>
  <c r="J810" i="11"/>
  <c r="J353" i="12" s="1"/>
  <c r="H771" i="11"/>
  <c r="H314" i="12" s="1"/>
  <c r="J745" i="11"/>
  <c r="J288" i="12" s="1"/>
  <c r="H804" i="11"/>
  <c r="H347" i="12" s="1"/>
  <c r="I804" i="11"/>
  <c r="I347" i="12" s="1"/>
  <c r="H789" i="11"/>
  <c r="H332" i="12" s="1"/>
  <c r="H753" i="11"/>
  <c r="H296" i="12" s="1"/>
  <c r="I828" i="11"/>
  <c r="I371" i="12" s="1"/>
  <c r="H822" i="11"/>
  <c r="H365" i="12" s="1"/>
  <c r="I822" i="11"/>
  <c r="I365" i="12" s="1"/>
  <c r="H816" i="11"/>
  <c r="H359" i="12" s="1"/>
  <c r="I816" i="11"/>
  <c r="I359" i="12" s="1"/>
  <c r="H810" i="11"/>
  <c r="H353" i="12" s="1"/>
  <c r="I795" i="11"/>
  <c r="I338" i="12" s="1"/>
  <c r="H765" i="11"/>
  <c r="H308" i="12" s="1"/>
  <c r="H759" i="11"/>
  <c r="H302" i="12" s="1"/>
  <c r="H747" i="11"/>
  <c r="H290" i="12" s="1"/>
  <c r="I777" i="11"/>
  <c r="I320" i="12" s="1"/>
  <c r="J795" i="11"/>
  <c r="J338" i="12" s="1"/>
  <c r="J804" i="11"/>
  <c r="J347" i="12" s="1"/>
  <c r="J777" i="11"/>
  <c r="J320" i="12" s="1"/>
  <c r="G901" i="11"/>
  <c r="G441" i="12" s="1"/>
  <c r="H840" i="11"/>
  <c r="H839" i="11"/>
  <c r="H847" i="11"/>
  <c r="H390" i="12" s="1"/>
  <c r="H844" i="11"/>
  <c r="H387" i="12" s="1"/>
  <c r="H841" i="11"/>
  <c r="H384" i="12" s="1"/>
  <c r="H852" i="11"/>
  <c r="H395" i="12" s="1"/>
  <c r="H851" i="11"/>
  <c r="H394" i="12" s="1"/>
  <c r="I865" i="11"/>
  <c r="I408" i="12" s="1"/>
  <c r="H859" i="11"/>
  <c r="H402" i="12" s="1"/>
  <c r="H413" i="12"/>
  <c r="H412" i="12"/>
  <c r="I886" i="11"/>
  <c r="I426" i="12" s="1"/>
  <c r="I892" i="11"/>
  <c r="I432" i="12" s="1"/>
  <c r="I889" i="11"/>
  <c r="I429" i="12" s="1"/>
  <c r="H907" i="11"/>
  <c r="H906" i="11"/>
  <c r="H908" i="11"/>
  <c r="H448" i="12" s="1"/>
  <c r="H911" i="11"/>
  <c r="H451" i="12" s="1"/>
  <c r="H914" i="11"/>
  <c r="H454" i="12" s="1"/>
  <c r="H917" i="11"/>
  <c r="H457" i="12" s="1"/>
  <c r="H922" i="11"/>
  <c r="H921" i="11"/>
  <c r="H926" i="11"/>
  <c r="H466" i="12" s="1"/>
  <c r="H923" i="11"/>
  <c r="H463" i="12" s="1"/>
  <c r="H932" i="11"/>
  <c r="H472" i="12" s="1"/>
  <c r="H484" i="12"/>
  <c r="H481" i="12"/>
  <c r="H938" i="11"/>
  <c r="H478" i="12" s="1"/>
  <c r="H958" i="11"/>
  <c r="H957" i="11"/>
  <c r="H959" i="11"/>
  <c r="H490" i="12" s="1"/>
  <c r="H964" i="11"/>
  <c r="H963" i="11"/>
  <c r="H965" i="11"/>
  <c r="H496" i="12" s="1"/>
  <c r="H383" i="12" l="1"/>
  <c r="G747" i="11"/>
  <c r="G290" i="12" s="1"/>
  <c r="G964" i="11"/>
  <c r="G495" i="12" s="1"/>
  <c r="H495" i="12"/>
  <c r="G957" i="11"/>
  <c r="G488" i="12" s="1"/>
  <c r="H488" i="12"/>
  <c r="G921" i="11"/>
  <c r="G461" i="12" s="1"/>
  <c r="H461" i="12"/>
  <c r="G906" i="11"/>
  <c r="G446" i="12" s="1"/>
  <c r="H446" i="12"/>
  <c r="H382" i="12"/>
  <c r="G963" i="11"/>
  <c r="G494" i="12" s="1"/>
  <c r="H494" i="12"/>
  <c r="G958" i="11"/>
  <c r="G489" i="12" s="1"/>
  <c r="H489" i="12"/>
  <c r="G922" i="11"/>
  <c r="G462" i="12" s="1"/>
  <c r="H462" i="12"/>
  <c r="G907" i="11"/>
  <c r="G447" i="12" s="1"/>
  <c r="H447" i="12"/>
  <c r="G937" i="11"/>
  <c r="G477" i="12" s="1"/>
  <c r="H477" i="12"/>
  <c r="G936" i="11"/>
  <c r="G476" i="12" s="1"/>
  <c r="H476" i="12"/>
  <c r="H877" i="11"/>
  <c r="H417" i="12" s="1"/>
  <c r="H868" i="11"/>
  <c r="H411" i="12" s="1"/>
  <c r="H905" i="11"/>
  <c r="H445" i="12" s="1"/>
  <c r="H838" i="11"/>
  <c r="H381" i="12" s="1"/>
  <c r="H962" i="11"/>
  <c r="H493" i="12" s="1"/>
  <c r="H956" i="11"/>
  <c r="H487" i="12" s="1"/>
  <c r="H935" i="11"/>
  <c r="H475" i="12" s="1"/>
  <c r="H850" i="11"/>
  <c r="H393" i="12" s="1"/>
  <c r="G956" i="11" l="1"/>
  <c r="G487" i="12" s="1"/>
  <c r="G920" i="11"/>
  <c r="G460" i="12" s="1"/>
  <c r="G905" i="11"/>
  <c r="G445" i="12" s="1"/>
  <c r="G935" i="11"/>
  <c r="G475" i="12" s="1"/>
  <c r="G59" i="10"/>
  <c r="H76" i="10"/>
  <c r="I76" i="10"/>
  <c r="J76" i="10"/>
  <c r="K76" i="10"/>
  <c r="G76" i="10"/>
  <c r="H77" i="10"/>
  <c r="I77" i="10"/>
  <c r="J77" i="10"/>
  <c r="K77" i="10"/>
  <c r="G77" i="10"/>
  <c r="F77" i="10" l="1"/>
  <c r="F76" i="10"/>
  <c r="G14" i="9" l="1"/>
  <c r="H14" i="9"/>
  <c r="I14" i="9"/>
  <c r="J14" i="9"/>
  <c r="F14" i="9"/>
  <c r="G15" i="9"/>
  <c r="H15" i="9"/>
  <c r="I15" i="9"/>
  <c r="J15" i="9"/>
  <c r="F15" i="9"/>
  <c r="K14" i="9" l="1"/>
  <c r="N14" i="9" s="1"/>
  <c r="K15" i="9"/>
  <c r="N15" i="9" s="1"/>
  <c r="E6" i="21"/>
  <c r="F6" i="21"/>
  <c r="G6" i="21"/>
  <c r="H6" i="21"/>
  <c r="D6" i="21"/>
  <c r="G11" i="22"/>
  <c r="H11" i="22"/>
  <c r="I11" i="22"/>
  <c r="J11" i="22"/>
  <c r="K11" i="22"/>
  <c r="F11" i="22"/>
  <c r="G9" i="22"/>
  <c r="H9" i="22"/>
  <c r="I9" i="22"/>
  <c r="F9" i="22"/>
  <c r="F7" i="22"/>
  <c r="H7" i="22"/>
  <c r="I7" i="22"/>
  <c r="J7" i="22"/>
  <c r="K7" i="22"/>
  <c r="G7" i="22"/>
  <c r="I9" i="18" l="1"/>
  <c r="D7" i="18" l="1"/>
  <c r="E7" i="16"/>
  <c r="G40" i="14"/>
  <c r="G20" i="14"/>
  <c r="G15" i="14"/>
  <c r="G14" i="14"/>
  <c r="F8" i="14"/>
  <c r="G44" i="14" l="1"/>
  <c r="D8" i="13"/>
  <c r="O13" i="10"/>
  <c r="P13" i="10"/>
  <c r="I33" i="10"/>
  <c r="J33" i="10"/>
  <c r="K33" i="10"/>
  <c r="G33" i="10"/>
  <c r="F34" i="10"/>
  <c r="E33" i="10"/>
  <c r="F36" i="10"/>
  <c r="F35" i="10"/>
  <c r="I7" i="13" l="1"/>
  <c r="K32" i="10"/>
  <c r="J32" i="10"/>
  <c r="I32" i="10"/>
  <c r="E32" i="10"/>
  <c r="H32" i="10"/>
  <c r="F33" i="10" l="1"/>
  <c r="G32" i="10"/>
  <c r="F32" i="10" s="1"/>
  <c r="F31" i="10" l="1"/>
  <c r="H30" i="10"/>
  <c r="H15" i="10" s="1"/>
  <c r="H70" i="10" s="1"/>
  <c r="E29" i="10"/>
  <c r="J1035" i="11"/>
  <c r="J539" i="12" s="1"/>
  <c r="K1036" i="11"/>
  <c r="L1036" i="11"/>
  <c r="M1036" i="11"/>
  <c r="M1035" i="11" s="1"/>
  <c r="H1022" i="11"/>
  <c r="H1020" i="11" s="1"/>
  <c r="H1019" i="11" s="1"/>
  <c r="H536" i="12" s="1"/>
  <c r="M1021" i="11"/>
  <c r="M1020" i="11" s="1"/>
  <c r="M1019" i="11" s="1"/>
  <c r="L1021" i="11"/>
  <c r="K1021" i="11"/>
  <c r="J1021" i="11"/>
  <c r="I1021" i="11"/>
  <c r="F1021" i="11"/>
  <c r="F537" i="12" s="1"/>
  <c r="J537" i="12" l="1"/>
  <c r="J1020" i="11"/>
  <c r="J1019" i="11" s="1"/>
  <c r="J536" i="12" s="1"/>
  <c r="L537" i="12"/>
  <c r="L1020" i="11"/>
  <c r="L1019" i="11" s="1"/>
  <c r="L536" i="12" s="1"/>
  <c r="I537" i="12"/>
  <c r="I1020" i="11"/>
  <c r="I1019" i="11" s="1"/>
  <c r="I536" i="12" s="1"/>
  <c r="K537" i="12"/>
  <c r="K1020" i="11"/>
  <c r="K1019" i="11" s="1"/>
  <c r="K536" i="12" s="1"/>
  <c r="K1035" i="11"/>
  <c r="K539" i="12" s="1"/>
  <c r="K540" i="12"/>
  <c r="H1021" i="11"/>
  <c r="H538" i="12"/>
  <c r="J30" i="10"/>
  <c r="J15" i="10" s="1"/>
  <c r="J70" i="10" s="1"/>
  <c r="L540" i="12"/>
  <c r="G30" i="10"/>
  <c r="I540" i="12"/>
  <c r="L1035" i="11"/>
  <c r="L539" i="12" s="1"/>
  <c r="H29" i="10"/>
  <c r="G17" i="9"/>
  <c r="J17" i="1" s="1"/>
  <c r="K30" i="10"/>
  <c r="K15" i="10" s="1"/>
  <c r="K70" i="10" s="1"/>
  <c r="I30" i="10"/>
  <c r="I15" i="10" s="1"/>
  <c r="I70" i="10" s="1"/>
  <c r="I539" i="12"/>
  <c r="H1036" i="11"/>
  <c r="G15" i="10" l="1"/>
  <c r="W34" i="10" s="1"/>
  <c r="G29" i="10"/>
  <c r="I17" i="9"/>
  <c r="J29" i="10"/>
  <c r="H1035" i="11"/>
  <c r="H539" i="12" s="1"/>
  <c r="H540" i="12"/>
  <c r="E1021" i="11"/>
  <c r="E537" i="12" s="1"/>
  <c r="H537" i="12"/>
  <c r="I29" i="10"/>
  <c r="H17" i="9"/>
  <c r="K29" i="10"/>
  <c r="J17" i="9"/>
  <c r="F30" i="10"/>
  <c r="F29" i="10" s="1"/>
  <c r="O41" i="10"/>
  <c r="P41" i="10"/>
  <c r="N41" i="10"/>
  <c r="F17" i="9" l="1"/>
  <c r="G70" i="10"/>
  <c r="F70" i="10" s="1"/>
  <c r="F15" i="10"/>
  <c r="K17" i="9" l="1"/>
  <c r="N17" i="9" s="1"/>
  <c r="H931" i="11"/>
  <c r="H904" i="11" s="1"/>
  <c r="H930" i="11"/>
  <c r="H903" i="11" s="1"/>
  <c r="H470" i="12" l="1"/>
  <c r="H443" i="12"/>
  <c r="H471" i="12"/>
  <c r="H444" i="12"/>
  <c r="G931" i="11"/>
  <c r="G471" i="12" s="1"/>
  <c r="G930" i="11"/>
  <c r="G470" i="12" s="1"/>
  <c r="H920" i="11"/>
  <c r="H460" i="12" s="1"/>
  <c r="H929" i="11"/>
  <c r="H469" i="12" s="1"/>
  <c r="H902" i="11" l="1"/>
  <c r="H442" i="12" s="1"/>
  <c r="G929" i="11"/>
  <c r="G469" i="12" s="1"/>
  <c r="J472" i="11"/>
  <c r="J21" i="12" s="1"/>
  <c r="K472" i="11"/>
  <c r="K21" i="12" s="1"/>
  <c r="L472" i="11"/>
  <c r="L21" i="12" s="1"/>
  <c r="J471" i="11"/>
  <c r="K471" i="11"/>
  <c r="K20" i="12" s="1"/>
  <c r="L471" i="11"/>
  <c r="L20" i="12" s="1"/>
  <c r="I490" i="11"/>
  <c r="I39" i="12" s="1"/>
  <c r="J490" i="11"/>
  <c r="J39" i="12" s="1"/>
  <c r="K490" i="11"/>
  <c r="K39" i="12" s="1"/>
  <c r="L490" i="11"/>
  <c r="L39" i="12" s="1"/>
  <c r="I489" i="11"/>
  <c r="I38" i="12" s="1"/>
  <c r="J489" i="11"/>
  <c r="J38" i="12" s="1"/>
  <c r="K489" i="11"/>
  <c r="K38" i="12" s="1"/>
  <c r="L489" i="11"/>
  <c r="L38" i="12" s="1"/>
  <c r="H48" i="10"/>
  <c r="I48" i="10"/>
  <c r="J48" i="10"/>
  <c r="K48" i="10"/>
  <c r="E51" i="10"/>
  <c r="K20" i="10"/>
  <c r="K19" i="10" s="1"/>
  <c r="J20" i="10"/>
  <c r="J19" i="10" s="1"/>
  <c r="I20" i="10"/>
  <c r="I19" i="10" s="1"/>
  <c r="I21" i="12" l="1"/>
  <c r="I469" i="11"/>
  <c r="J20" i="12"/>
  <c r="J468" i="11"/>
  <c r="I11" i="9"/>
  <c r="J75" i="10"/>
  <c r="G11" i="9"/>
  <c r="H75" i="10"/>
  <c r="J11" i="9"/>
  <c r="K75" i="10"/>
  <c r="H11" i="9"/>
  <c r="I75" i="10"/>
  <c r="J7" i="11"/>
  <c r="K7" i="11"/>
  <c r="L7" i="11"/>
  <c r="M7" i="11"/>
  <c r="I8" i="11"/>
  <c r="J8" i="11"/>
  <c r="K8" i="11"/>
  <c r="L8" i="11"/>
  <c r="M8" i="11"/>
  <c r="F9" i="11"/>
  <c r="I9" i="11"/>
  <c r="J9" i="11"/>
  <c r="K9" i="11"/>
  <c r="L9" i="11"/>
  <c r="M9" i="11"/>
  <c r="H10" i="11"/>
  <c r="H11" i="11"/>
  <c r="F12" i="11"/>
  <c r="I12" i="11"/>
  <c r="J12" i="11"/>
  <c r="K12" i="11"/>
  <c r="L12" i="11"/>
  <c r="M12" i="11"/>
  <c r="H13" i="11"/>
  <c r="H14" i="11"/>
  <c r="I16" i="11"/>
  <c r="J16" i="11"/>
  <c r="K16" i="11"/>
  <c r="L16" i="11"/>
  <c r="M16" i="11"/>
  <c r="I17" i="11"/>
  <c r="J17" i="11"/>
  <c r="K17" i="11"/>
  <c r="L17" i="11"/>
  <c r="M17" i="11"/>
  <c r="F18" i="11"/>
  <c r="I18" i="11"/>
  <c r="J18" i="11"/>
  <c r="K18" i="11"/>
  <c r="L18" i="11"/>
  <c r="M18" i="11"/>
  <c r="H19" i="11"/>
  <c r="H20" i="11"/>
  <c r="I22" i="11"/>
  <c r="J22" i="11"/>
  <c r="K22" i="11"/>
  <c r="L22" i="11"/>
  <c r="M22" i="11"/>
  <c r="I23" i="11"/>
  <c r="J23" i="11"/>
  <c r="K23" i="11"/>
  <c r="L23" i="11"/>
  <c r="M23" i="11"/>
  <c r="F24" i="11"/>
  <c r="I24" i="11"/>
  <c r="J24" i="11"/>
  <c r="K24" i="11"/>
  <c r="L24" i="11"/>
  <c r="M24" i="11"/>
  <c r="H25" i="11"/>
  <c r="H26" i="11"/>
  <c r="I28" i="11"/>
  <c r="J28" i="11"/>
  <c r="K28" i="11"/>
  <c r="L28" i="11"/>
  <c r="M28" i="11"/>
  <c r="I29" i="11"/>
  <c r="J29" i="11"/>
  <c r="K29" i="11"/>
  <c r="L29" i="11"/>
  <c r="M29" i="11"/>
  <c r="F30" i="11"/>
  <c r="I30" i="11"/>
  <c r="J30" i="11"/>
  <c r="K30" i="11"/>
  <c r="L30" i="11"/>
  <c r="M30" i="11"/>
  <c r="H31" i="11"/>
  <c r="H32" i="11"/>
  <c r="F33" i="11"/>
  <c r="J33" i="11"/>
  <c r="K33" i="11"/>
  <c r="L33" i="11"/>
  <c r="M33" i="11"/>
  <c r="H34" i="11"/>
  <c r="H35" i="11"/>
  <c r="I37" i="11"/>
  <c r="J37" i="11"/>
  <c r="K37" i="11"/>
  <c r="L37" i="11"/>
  <c r="M37" i="11"/>
  <c r="I38" i="11"/>
  <c r="J38" i="11"/>
  <c r="K38" i="11"/>
  <c r="L38" i="11"/>
  <c r="M38" i="11"/>
  <c r="F39" i="11"/>
  <c r="I39" i="11"/>
  <c r="J39" i="11"/>
  <c r="K39" i="11"/>
  <c r="L39" i="11"/>
  <c r="M39" i="11"/>
  <c r="H40" i="11"/>
  <c r="H41" i="11"/>
  <c r="I42" i="11"/>
  <c r="J42" i="11"/>
  <c r="K42" i="11"/>
  <c r="L42" i="11"/>
  <c r="M42" i="11"/>
  <c r="H43" i="11"/>
  <c r="H44" i="11"/>
  <c r="F45" i="11"/>
  <c r="I45" i="11"/>
  <c r="J45" i="11"/>
  <c r="K45" i="11"/>
  <c r="L45" i="11"/>
  <c r="M45" i="11"/>
  <c r="H46" i="11"/>
  <c r="H47" i="11"/>
  <c r="F48" i="11"/>
  <c r="I48" i="11"/>
  <c r="I52" i="11"/>
  <c r="J52" i="11"/>
  <c r="K52" i="11"/>
  <c r="L52" i="11"/>
  <c r="M52" i="11"/>
  <c r="I53" i="11"/>
  <c r="J53" i="11"/>
  <c r="K53" i="11"/>
  <c r="L53" i="11"/>
  <c r="M53" i="11"/>
  <c r="F54" i="11"/>
  <c r="I54" i="11"/>
  <c r="J54" i="11"/>
  <c r="K54" i="11"/>
  <c r="L54" i="11"/>
  <c r="M54" i="11"/>
  <c r="H55" i="11"/>
  <c r="H56" i="11"/>
  <c r="F57" i="11"/>
  <c r="I57" i="11"/>
  <c r="J57" i="11"/>
  <c r="K57" i="11"/>
  <c r="L57" i="11"/>
  <c r="M57" i="11"/>
  <c r="H58" i="11"/>
  <c r="H59" i="11"/>
  <c r="F60" i="11"/>
  <c r="I60" i="11"/>
  <c r="J60" i="11"/>
  <c r="K60" i="11"/>
  <c r="L60" i="11"/>
  <c r="M60" i="11"/>
  <c r="H61" i="11"/>
  <c r="H62" i="11"/>
  <c r="F63" i="11"/>
  <c r="I63" i="11"/>
  <c r="J63" i="11"/>
  <c r="K63" i="11"/>
  <c r="L63" i="11"/>
  <c r="M63" i="11"/>
  <c r="H64" i="11"/>
  <c r="H65" i="11"/>
  <c r="J67" i="11"/>
  <c r="K67" i="11"/>
  <c r="L67" i="11"/>
  <c r="M67" i="11"/>
  <c r="J68" i="11"/>
  <c r="K68" i="11"/>
  <c r="L68" i="11"/>
  <c r="M68" i="11"/>
  <c r="Q74" i="11"/>
  <c r="J69" i="11"/>
  <c r="K69" i="11"/>
  <c r="L69" i="11"/>
  <c r="M69" i="11"/>
  <c r="H70" i="11"/>
  <c r="H71" i="11"/>
  <c r="F114" i="11"/>
  <c r="I114" i="11"/>
  <c r="Q131" i="11" s="1"/>
  <c r="J114" i="11"/>
  <c r="K114" i="11"/>
  <c r="L114" i="11"/>
  <c r="M114" i="11"/>
  <c r="H115" i="11"/>
  <c r="H116" i="11"/>
  <c r="I73" i="11"/>
  <c r="J73" i="11"/>
  <c r="K73" i="11"/>
  <c r="L73" i="11"/>
  <c r="M73" i="11"/>
  <c r="I74" i="11"/>
  <c r="J74" i="11"/>
  <c r="K74" i="11"/>
  <c r="L74" i="11"/>
  <c r="M74" i="11"/>
  <c r="F75" i="11"/>
  <c r="I75" i="11"/>
  <c r="J75" i="11"/>
  <c r="K75" i="11"/>
  <c r="L75" i="11"/>
  <c r="M75" i="11"/>
  <c r="H76" i="11"/>
  <c r="H77" i="11"/>
  <c r="J81" i="11"/>
  <c r="K81" i="11"/>
  <c r="L81" i="11"/>
  <c r="M81" i="11"/>
  <c r="H82" i="11"/>
  <c r="H83" i="11"/>
  <c r="F84" i="11"/>
  <c r="J84" i="11"/>
  <c r="K84" i="11"/>
  <c r="L84" i="11"/>
  <c r="M84" i="11"/>
  <c r="H85" i="11"/>
  <c r="H86" i="11"/>
  <c r="F87" i="11"/>
  <c r="J87" i="11"/>
  <c r="K87" i="11"/>
  <c r="L87" i="11"/>
  <c r="M87" i="11"/>
  <c r="H88" i="11"/>
  <c r="H89" i="11"/>
  <c r="I100" i="11"/>
  <c r="J100" i="11"/>
  <c r="K100" i="11"/>
  <c r="L100" i="11"/>
  <c r="M100" i="11"/>
  <c r="I101" i="11"/>
  <c r="J101" i="11"/>
  <c r="K101" i="11"/>
  <c r="L101" i="11"/>
  <c r="M101" i="11"/>
  <c r="F102" i="11"/>
  <c r="I102" i="11"/>
  <c r="J102" i="11"/>
  <c r="K102" i="11"/>
  <c r="L102" i="11"/>
  <c r="M102" i="11"/>
  <c r="H103" i="11"/>
  <c r="H104" i="11"/>
  <c r="F105" i="11"/>
  <c r="I105" i="11"/>
  <c r="J105" i="11"/>
  <c r="K105" i="11"/>
  <c r="L105" i="11"/>
  <c r="M105" i="11"/>
  <c r="H106" i="11"/>
  <c r="H107" i="11"/>
  <c r="F108" i="11"/>
  <c r="I108" i="11"/>
  <c r="J108" i="11"/>
  <c r="K108" i="11"/>
  <c r="L108" i="11"/>
  <c r="M108" i="11"/>
  <c r="H109" i="11"/>
  <c r="H110" i="11"/>
  <c r="H159" i="11"/>
  <c r="I234" i="11"/>
  <c r="I227" i="11"/>
  <c r="J162" i="11" l="1"/>
  <c r="I161" i="11"/>
  <c r="I162" i="11"/>
  <c r="G18" i="10" s="1"/>
  <c r="J161" i="11"/>
  <c r="L161" i="11"/>
  <c r="K162" i="11"/>
  <c r="L162" i="11"/>
  <c r="J18" i="10" s="1"/>
  <c r="M161" i="11"/>
  <c r="K17" i="10" s="1"/>
  <c r="H18" i="10"/>
  <c r="K161" i="11"/>
  <c r="M162" i="11"/>
  <c r="H81" i="11"/>
  <c r="H227" i="11"/>
  <c r="Q112" i="11"/>
  <c r="Q113" i="11"/>
  <c r="Q109" i="11"/>
  <c r="Q110" i="11"/>
  <c r="Q107" i="11"/>
  <c r="Q106" i="11"/>
  <c r="Q100" i="11"/>
  <c r="Q101" i="11"/>
  <c r="Q88" i="11"/>
  <c r="Q89" i="11"/>
  <c r="Q80" i="11"/>
  <c r="Q79" i="11"/>
  <c r="L66" i="11"/>
  <c r="M51" i="11"/>
  <c r="M50" i="11" s="1"/>
  <c r="M49" i="11" s="1"/>
  <c r="M48" i="11" s="1"/>
  <c r="L51" i="11"/>
  <c r="L50" i="11" s="1"/>
  <c r="L49" i="11" s="1"/>
  <c r="L48" i="11" s="1"/>
  <c r="J51" i="11"/>
  <c r="J50" i="11" s="1"/>
  <c r="J49" i="11" s="1"/>
  <c r="J48" i="11" s="1"/>
  <c r="M36" i="11"/>
  <c r="K36" i="11"/>
  <c r="I36" i="11"/>
  <c r="H24" i="11"/>
  <c r="K21" i="11"/>
  <c r="H18" i="11"/>
  <c r="M15" i="11"/>
  <c r="K15" i="11"/>
  <c r="I15" i="11"/>
  <c r="H12" i="11"/>
  <c r="H9" i="11"/>
  <c r="M6" i="11"/>
  <c r="K6" i="11"/>
  <c r="I6" i="11"/>
  <c r="M99" i="11"/>
  <c r="L99" i="11"/>
  <c r="J99" i="11"/>
  <c r="L78" i="11"/>
  <c r="J78" i="11"/>
  <c r="L72" i="11"/>
  <c r="J72" i="11"/>
  <c r="M66" i="11"/>
  <c r="K66" i="11"/>
  <c r="I66" i="11"/>
  <c r="L36" i="11"/>
  <c r="L27" i="11"/>
  <c r="J27" i="11"/>
  <c r="H68" i="11"/>
  <c r="H38" i="11"/>
  <c r="H17" i="11"/>
  <c r="H8" i="11"/>
  <c r="H108" i="11"/>
  <c r="H105" i="11"/>
  <c r="H102" i="11"/>
  <c r="K99" i="11"/>
  <c r="H87" i="11"/>
  <c r="H84" i="11"/>
  <c r="M78" i="11"/>
  <c r="K78" i="11"/>
  <c r="I78" i="11"/>
  <c r="H75" i="11"/>
  <c r="M72" i="11"/>
  <c r="H69" i="11"/>
  <c r="J66" i="11"/>
  <c r="H63" i="11"/>
  <c r="N63" i="11" s="1"/>
  <c r="H60" i="11"/>
  <c r="N60" i="11" s="1"/>
  <c r="H57" i="11"/>
  <c r="N57" i="11" s="1"/>
  <c r="H54" i="11"/>
  <c r="K51" i="11"/>
  <c r="K50" i="11" s="1"/>
  <c r="K49" i="11" s="1"/>
  <c r="K48" i="11" s="1"/>
  <c r="H45" i="11"/>
  <c r="H42" i="11"/>
  <c r="J36" i="11"/>
  <c r="H33" i="11"/>
  <c r="H29" i="11"/>
  <c r="M27" i="11"/>
  <c r="K27" i="11"/>
  <c r="I27" i="11"/>
  <c r="L21" i="11"/>
  <c r="J21" i="11"/>
  <c r="L15" i="11"/>
  <c r="J15" i="11"/>
  <c r="H101" i="11"/>
  <c r="I99" i="11"/>
  <c r="H79" i="11"/>
  <c r="H73" i="11"/>
  <c r="K72" i="11"/>
  <c r="H53" i="11"/>
  <c r="I51" i="11"/>
  <c r="H23" i="11"/>
  <c r="M21" i="11"/>
  <c r="H100" i="11"/>
  <c r="H74" i="11"/>
  <c r="I72" i="11"/>
  <c r="H114" i="11"/>
  <c r="H67" i="11"/>
  <c r="H52" i="11"/>
  <c r="H39" i="11"/>
  <c r="H37" i="11"/>
  <c r="H30" i="11"/>
  <c r="H28" i="11"/>
  <c r="H22" i="11"/>
  <c r="I21" i="11"/>
  <c r="H16" i="11"/>
  <c r="H7" i="11"/>
  <c r="L6" i="11"/>
  <c r="J6" i="11"/>
  <c r="J160" i="11" l="1"/>
  <c r="K160" i="11"/>
  <c r="L160" i="11"/>
  <c r="I17" i="10"/>
  <c r="M160" i="11"/>
  <c r="G17" i="10"/>
  <c r="H131" i="11"/>
  <c r="H162" i="11" s="1"/>
  <c r="H49" i="11"/>
  <c r="H6" i="11"/>
  <c r="H27" i="11"/>
  <c r="H36" i="11"/>
  <c r="J17" i="10"/>
  <c r="I18" i="10"/>
  <c r="H50" i="11"/>
  <c r="H66" i="11"/>
  <c r="H17" i="10"/>
  <c r="K18" i="10"/>
  <c r="H15" i="11"/>
  <c r="H21" i="11"/>
  <c r="H51" i="11"/>
  <c r="H99" i="11"/>
  <c r="H78" i="11"/>
  <c r="H72" i="11"/>
  <c r="I160" i="11"/>
  <c r="G16" i="10" l="1"/>
  <c r="I129" i="11"/>
  <c r="H130" i="11"/>
  <c r="H161" i="11" s="1"/>
  <c r="H160" i="11" s="1"/>
  <c r="H48" i="11"/>
  <c r="K16" i="10"/>
  <c r="I16" i="10"/>
  <c r="J16" i="10"/>
  <c r="F17" i="10"/>
  <c r="H16" i="10"/>
  <c r="F18" i="10"/>
  <c r="H129" i="11" l="1"/>
  <c r="F16" i="10"/>
  <c r="F17" i="19" l="1"/>
  <c r="F16" i="19"/>
  <c r="F15" i="19"/>
  <c r="F14" i="19"/>
  <c r="F13" i="19"/>
  <c r="F12" i="19"/>
  <c r="F11" i="19"/>
  <c r="F10" i="19"/>
  <c r="F9" i="19"/>
  <c r="K8" i="19"/>
  <c r="J8" i="19"/>
  <c r="I8" i="19"/>
  <c r="H8" i="19"/>
  <c r="G8" i="19"/>
  <c r="E8" i="19"/>
  <c r="E7" i="18"/>
  <c r="F7" i="18"/>
  <c r="H7" i="18"/>
  <c r="I8" i="18"/>
  <c r="E6" i="16"/>
  <c r="E5" i="16" s="1"/>
  <c r="G7" i="16"/>
  <c r="G6" i="16" s="1"/>
  <c r="H7" i="16"/>
  <c r="H6" i="16" s="1"/>
  <c r="I7" i="16"/>
  <c r="I6" i="16" s="1"/>
  <c r="J7" i="16"/>
  <c r="J6" i="16" s="1"/>
  <c r="K7" i="16"/>
  <c r="K6" i="16" s="1"/>
  <c r="F8" i="16"/>
  <c r="F7" i="16" s="1"/>
  <c r="F6" i="16" s="1"/>
  <c r="F5" i="16" s="1"/>
  <c r="E7" i="14"/>
  <c r="G7" i="14"/>
  <c r="H7" i="14"/>
  <c r="I7" i="14"/>
  <c r="J7" i="14"/>
  <c r="K7" i="14"/>
  <c r="F7" i="14"/>
  <c r="E9" i="14"/>
  <c r="G9" i="14"/>
  <c r="H9" i="14"/>
  <c r="F10" i="14"/>
  <c r="G13" i="14"/>
  <c r="E14" i="14"/>
  <c r="E13" i="14" s="1"/>
  <c r="H14" i="14"/>
  <c r="I14" i="14"/>
  <c r="J14" i="14"/>
  <c r="G8" i="13" s="1"/>
  <c r="K14" i="14"/>
  <c r="E15" i="14"/>
  <c r="H15" i="14"/>
  <c r="H13" i="14" s="1"/>
  <c r="I15" i="14"/>
  <c r="I13" i="14" s="1"/>
  <c r="J15" i="14"/>
  <c r="J13" i="14" s="1"/>
  <c r="K15" i="14"/>
  <c r="K13" i="14" s="1"/>
  <c r="F16" i="14"/>
  <c r="F15" i="14" s="1"/>
  <c r="J19" i="14"/>
  <c r="K19" i="14"/>
  <c r="E20" i="14"/>
  <c r="E19" i="14" s="1"/>
  <c r="G19" i="14"/>
  <c r="H20" i="14"/>
  <c r="I20" i="14"/>
  <c r="I19" i="14" s="1"/>
  <c r="E21" i="14"/>
  <c r="G21" i="14"/>
  <c r="H21" i="14"/>
  <c r="I21" i="14"/>
  <c r="J22" i="14"/>
  <c r="J21" i="14" s="1"/>
  <c r="K22" i="14"/>
  <c r="K21" i="14" s="1"/>
  <c r="E23" i="14"/>
  <c r="G23" i="14"/>
  <c r="H23" i="14"/>
  <c r="I23" i="14"/>
  <c r="J23" i="14"/>
  <c r="K23" i="14"/>
  <c r="F24" i="14"/>
  <c r="F23" i="14" s="1"/>
  <c r="E25" i="14"/>
  <c r="G25" i="14"/>
  <c r="H25" i="14"/>
  <c r="I25" i="14"/>
  <c r="J25" i="14"/>
  <c r="K25" i="14"/>
  <c r="F26" i="14"/>
  <c r="F25" i="14" s="1"/>
  <c r="E27" i="14"/>
  <c r="G27" i="14"/>
  <c r="H27" i="14"/>
  <c r="I27" i="14"/>
  <c r="J27" i="14"/>
  <c r="K27" i="14"/>
  <c r="F28" i="14"/>
  <c r="F27" i="14" s="1"/>
  <c r="E29" i="14"/>
  <c r="G29" i="14"/>
  <c r="H29" i="14"/>
  <c r="I29" i="14"/>
  <c r="J29" i="14"/>
  <c r="K29" i="14"/>
  <c r="F30" i="14"/>
  <c r="F29" i="14" s="1"/>
  <c r="E31" i="14"/>
  <c r="G31" i="14"/>
  <c r="H31" i="14"/>
  <c r="I31" i="14"/>
  <c r="J31" i="14"/>
  <c r="K31" i="14"/>
  <c r="F32" i="14"/>
  <c r="F31" i="14" s="1"/>
  <c r="E33" i="14"/>
  <c r="G33" i="14"/>
  <c r="H33" i="14"/>
  <c r="I33" i="14"/>
  <c r="J33" i="14"/>
  <c r="K33" i="14"/>
  <c r="F34" i="14"/>
  <c r="F33" i="14" s="1"/>
  <c r="E35" i="14"/>
  <c r="G35" i="14"/>
  <c r="H35" i="14"/>
  <c r="I35" i="14"/>
  <c r="J35" i="14"/>
  <c r="K35" i="14"/>
  <c r="F36" i="14"/>
  <c r="F35" i="14" s="1"/>
  <c r="G37" i="14"/>
  <c r="H37" i="14"/>
  <c r="I37" i="14"/>
  <c r="J37" i="14"/>
  <c r="K37" i="14"/>
  <c r="F38" i="14"/>
  <c r="F37" i="14" s="1"/>
  <c r="E40" i="14"/>
  <c r="E39" i="14" s="1"/>
  <c r="G39" i="14"/>
  <c r="H40" i="14"/>
  <c r="I40" i="14"/>
  <c r="J40" i="14"/>
  <c r="K40" i="14"/>
  <c r="E41" i="14"/>
  <c r="G41" i="14"/>
  <c r="H41" i="14"/>
  <c r="I41" i="14"/>
  <c r="J41" i="14"/>
  <c r="K41" i="14"/>
  <c r="F42" i="14"/>
  <c r="F41" i="14" s="1"/>
  <c r="H39" i="14" l="1"/>
  <c r="H44" i="14"/>
  <c r="H8" i="13"/>
  <c r="K39" i="14"/>
  <c r="K44" i="14"/>
  <c r="J39" i="14"/>
  <c r="J44" i="14"/>
  <c r="F8" i="13"/>
  <c r="I39" i="14"/>
  <c r="I44" i="14"/>
  <c r="E8" i="13"/>
  <c r="F9" i="14"/>
  <c r="F6" i="14"/>
  <c r="F5" i="14" s="1"/>
  <c r="J5" i="16"/>
  <c r="G7" i="15"/>
  <c r="G6" i="15" s="1"/>
  <c r="H5" i="16"/>
  <c r="E7" i="15"/>
  <c r="E6" i="15" s="1"/>
  <c r="K5" i="16"/>
  <c r="H7" i="15"/>
  <c r="I5" i="16"/>
  <c r="F7" i="15"/>
  <c r="F6" i="15" s="1"/>
  <c r="G5" i="16"/>
  <c r="D7" i="15"/>
  <c r="H19" i="14"/>
  <c r="F20" i="14"/>
  <c r="F19" i="14" s="1"/>
  <c r="F8" i="19"/>
  <c r="F22" i="14"/>
  <c r="F21" i="14" s="1"/>
  <c r="I7" i="18"/>
  <c r="F40" i="14"/>
  <c r="F39" i="14" s="1"/>
  <c r="F14" i="14"/>
  <c r="F13" i="14" s="1"/>
  <c r="F6" i="13"/>
  <c r="G6" i="13"/>
  <c r="D6" i="15" l="1"/>
  <c r="I17" i="1"/>
  <c r="Q17" i="1" s="1"/>
  <c r="H6" i="13"/>
  <c r="F44" i="14"/>
  <c r="I7" i="15"/>
  <c r="H6" i="15"/>
  <c r="I6" i="15" s="1"/>
  <c r="I8" i="13"/>
  <c r="E6" i="13"/>
  <c r="I6" i="13" s="1"/>
  <c r="G712" i="11" l="1"/>
  <c r="G261" i="12" s="1"/>
  <c r="G715" i="11"/>
  <c r="G264" i="12" s="1"/>
  <c r="G714" i="11"/>
  <c r="G263" i="12" s="1"/>
  <c r="G713" i="11"/>
  <c r="G262" i="12" s="1"/>
  <c r="G711" i="11"/>
  <c r="G260" i="12" s="1"/>
  <c r="G580" i="11"/>
  <c r="G129" i="12" s="1"/>
  <c r="G579" i="11"/>
  <c r="G128" i="12" s="1"/>
  <c r="H578" i="11"/>
  <c r="G574" i="11"/>
  <c r="G123" i="12" s="1"/>
  <c r="G573" i="11"/>
  <c r="G122" i="12" s="1"/>
  <c r="H572" i="11"/>
  <c r="G571" i="11"/>
  <c r="G120" i="12" s="1"/>
  <c r="G570" i="11"/>
  <c r="G119" i="12" s="1"/>
  <c r="H569" i="11"/>
  <c r="G565" i="11"/>
  <c r="G114" i="12" s="1"/>
  <c r="G564" i="11"/>
  <c r="G113" i="12" s="1"/>
  <c r="H563" i="11"/>
  <c r="G562" i="11"/>
  <c r="G111" i="12" s="1"/>
  <c r="G561" i="11"/>
  <c r="G110" i="12" s="1"/>
  <c r="H560" i="11"/>
  <c r="G559" i="11"/>
  <c r="G108" i="12" s="1"/>
  <c r="G558" i="11"/>
  <c r="G107" i="12" s="1"/>
  <c r="H557" i="11"/>
  <c r="G556" i="11"/>
  <c r="G105" i="12" s="1"/>
  <c r="G555" i="11"/>
  <c r="G104" i="12" s="1"/>
  <c r="G554" i="11"/>
  <c r="G103" i="12" s="1"/>
  <c r="G502" i="11"/>
  <c r="G51" i="12" s="1"/>
  <c r="G501" i="11"/>
  <c r="G50" i="12" s="1"/>
  <c r="H500" i="11"/>
  <c r="H49" i="12" s="1"/>
  <c r="G499" i="11"/>
  <c r="G48" i="12" s="1"/>
  <c r="G498" i="11"/>
  <c r="G47" i="12" s="1"/>
  <c r="H497" i="11"/>
  <c r="H46" i="12" s="1"/>
  <c r="H476" i="11"/>
  <c r="H25" i="12" s="1"/>
  <c r="H491" i="11"/>
  <c r="H40" i="12" s="1"/>
  <c r="H494" i="11"/>
  <c r="H43" i="12" s="1"/>
  <c r="G496" i="11"/>
  <c r="G45" i="12" s="1"/>
  <c r="G495" i="11"/>
  <c r="G44" i="12" s="1"/>
  <c r="G493" i="11"/>
  <c r="G42" i="12" s="1"/>
  <c r="G492" i="11"/>
  <c r="G41" i="12" s="1"/>
  <c r="G478" i="11"/>
  <c r="G27" i="12" s="1"/>
  <c r="G477" i="11"/>
  <c r="G26" i="12" s="1"/>
  <c r="H706" i="11"/>
  <c r="G705" i="11"/>
  <c r="G254" i="12" s="1"/>
  <c r="G709" i="11"/>
  <c r="G258" i="12" s="1"/>
  <c r="G708" i="11"/>
  <c r="G257" i="12" s="1"/>
  <c r="H707" i="11"/>
  <c r="G685" i="11"/>
  <c r="G234" i="12" s="1"/>
  <c r="G684" i="11"/>
  <c r="G233" i="12" s="1"/>
  <c r="G694" i="11"/>
  <c r="G243" i="12" s="1"/>
  <c r="G693" i="11"/>
  <c r="G242" i="12" s="1"/>
  <c r="H692" i="11"/>
  <c r="H686" i="11"/>
  <c r="G703" i="11"/>
  <c r="G252" i="12" s="1"/>
  <c r="G702" i="11"/>
  <c r="G251" i="12" s="1"/>
  <c r="H701" i="11"/>
  <c r="G700" i="11"/>
  <c r="G249" i="12" s="1"/>
  <c r="G699" i="11"/>
  <c r="G248" i="12" s="1"/>
  <c r="H698" i="11"/>
  <c r="G697" i="11"/>
  <c r="G246" i="12" s="1"/>
  <c r="G696" i="11"/>
  <c r="G245" i="12" s="1"/>
  <c r="H695" i="11"/>
  <c r="G691" i="11"/>
  <c r="G240" i="12" s="1"/>
  <c r="G690" i="11"/>
  <c r="G239" i="12" s="1"/>
  <c r="H689" i="11"/>
  <c r="G688" i="11"/>
  <c r="G237" i="12" s="1"/>
  <c r="G687" i="11"/>
  <c r="G236" i="12" s="1"/>
  <c r="G664" i="11"/>
  <c r="G213" i="12" s="1"/>
  <c r="G663" i="11"/>
  <c r="G212" i="12" s="1"/>
  <c r="H662" i="11"/>
  <c r="G659" i="11"/>
  <c r="G208" i="12" s="1"/>
  <c r="G661" i="11"/>
  <c r="G210" i="12" s="1"/>
  <c r="G658" i="11"/>
  <c r="G207" i="12" s="1"/>
  <c r="G626" i="11"/>
  <c r="G175" i="12" s="1"/>
  <c r="G628" i="11"/>
  <c r="G177" i="12" s="1"/>
  <c r="I541" i="11"/>
  <c r="I90" i="12" s="1"/>
  <c r="J541" i="11"/>
  <c r="J90" i="12" s="1"/>
  <c r="K541" i="11"/>
  <c r="K90" i="12" s="1"/>
  <c r="L541" i="11"/>
  <c r="L90" i="12" s="1"/>
  <c r="I540" i="11"/>
  <c r="I89" i="12" s="1"/>
  <c r="J540" i="11"/>
  <c r="K540" i="11"/>
  <c r="L540" i="11"/>
  <c r="H548" i="11"/>
  <c r="G550" i="11"/>
  <c r="G99" i="12" s="1"/>
  <c r="H542" i="11"/>
  <c r="G544" i="11"/>
  <c r="G93" i="12" s="1"/>
  <c r="G533" i="11"/>
  <c r="G82" i="12" s="1"/>
  <c r="I529" i="11"/>
  <c r="I78" i="12" s="1"/>
  <c r="J529" i="11"/>
  <c r="J78" i="12" s="1"/>
  <c r="K529" i="11"/>
  <c r="K78" i="12" s="1"/>
  <c r="L529" i="11"/>
  <c r="L78" i="12" s="1"/>
  <c r="I528" i="11"/>
  <c r="I77" i="12" s="1"/>
  <c r="J528" i="11"/>
  <c r="J77" i="12" s="1"/>
  <c r="K528" i="11"/>
  <c r="K77" i="12" s="1"/>
  <c r="L528" i="11"/>
  <c r="L77" i="12" s="1"/>
  <c r="G535" i="11"/>
  <c r="G84" i="12" s="1"/>
  <c r="I473" i="11"/>
  <c r="I22" i="12" s="1"/>
  <c r="H475" i="11"/>
  <c r="H472" i="11" s="1"/>
  <c r="H469" i="11" s="1"/>
  <c r="J996" i="11"/>
  <c r="J513" i="12" s="1"/>
  <c r="L996" i="11"/>
  <c r="L513" i="12" s="1"/>
  <c r="I997" i="11"/>
  <c r="I514" i="12" s="1"/>
  <c r="J997" i="11"/>
  <c r="J514" i="12" s="1"/>
  <c r="K997" i="11"/>
  <c r="K514" i="12" s="1"/>
  <c r="L997" i="11"/>
  <c r="L514" i="12" s="1"/>
  <c r="I996" i="11"/>
  <c r="K996" i="11"/>
  <c r="K513" i="12" s="1"/>
  <c r="H997" i="11"/>
  <c r="H514" i="12" s="1"/>
  <c r="I991" i="11"/>
  <c r="I508" i="12" s="1"/>
  <c r="J991" i="11"/>
  <c r="J508" i="12" s="1"/>
  <c r="K991" i="11"/>
  <c r="K508" i="12" s="1"/>
  <c r="L991" i="11"/>
  <c r="L508" i="12" s="1"/>
  <c r="I990" i="11"/>
  <c r="I507" i="12" s="1"/>
  <c r="J990" i="11"/>
  <c r="J507" i="12" s="1"/>
  <c r="K990" i="11"/>
  <c r="K507" i="12" s="1"/>
  <c r="L990" i="11"/>
  <c r="L507" i="12" s="1"/>
  <c r="H991" i="11"/>
  <c r="N987" i="11"/>
  <c r="M987" i="11"/>
  <c r="G1009" i="11"/>
  <c r="G526" i="12" s="1"/>
  <c r="I1002" i="11"/>
  <c r="J1002" i="11"/>
  <c r="K1002" i="11"/>
  <c r="L1002" i="11"/>
  <c r="H1003" i="11"/>
  <c r="H520" i="12" s="1"/>
  <c r="H1004" i="11"/>
  <c r="L1004" i="11"/>
  <c r="L521" i="12" s="1"/>
  <c r="K1004" i="11"/>
  <c r="K521" i="12" s="1"/>
  <c r="J1004" i="11"/>
  <c r="J521" i="12" s="1"/>
  <c r="I1004" i="11"/>
  <c r="I521" i="12" s="1"/>
  <c r="H1005" i="11"/>
  <c r="N745" i="11"/>
  <c r="M745" i="11"/>
  <c r="K778" i="11"/>
  <c r="L778" i="11"/>
  <c r="L321" i="12" s="1"/>
  <c r="G788" i="11"/>
  <c r="G787" i="11"/>
  <c r="I786" i="11"/>
  <c r="H786" i="11"/>
  <c r="H329" i="12" s="1"/>
  <c r="H830" i="11"/>
  <c r="H373" i="12" s="1"/>
  <c r="H829" i="11"/>
  <c r="H372" i="12" s="1"/>
  <c r="G833" i="11"/>
  <c r="G376" i="12" s="1"/>
  <c r="G832" i="11"/>
  <c r="H831" i="11"/>
  <c r="H374" i="12" s="1"/>
  <c r="G827" i="11"/>
  <c r="G370" i="12" s="1"/>
  <c r="G826" i="11"/>
  <c r="H825" i="11"/>
  <c r="H368" i="12" s="1"/>
  <c r="G821" i="11"/>
  <c r="G364" i="12" s="1"/>
  <c r="G820" i="11"/>
  <c r="I819" i="11"/>
  <c r="I362" i="12" s="1"/>
  <c r="H819" i="11"/>
  <c r="H362" i="12" s="1"/>
  <c r="G815" i="11"/>
  <c r="G358" i="12" s="1"/>
  <c r="G814" i="11"/>
  <c r="J813" i="11"/>
  <c r="J356" i="12" s="1"/>
  <c r="I813" i="11"/>
  <c r="I356" i="12" s="1"/>
  <c r="H813" i="11"/>
  <c r="H356" i="12" s="1"/>
  <c r="G809" i="11"/>
  <c r="G352" i="12" s="1"/>
  <c r="G808" i="11"/>
  <c r="J807" i="11"/>
  <c r="J350" i="12" s="1"/>
  <c r="I807" i="11"/>
  <c r="I350" i="12" s="1"/>
  <c r="H807" i="11"/>
  <c r="H350" i="12" s="1"/>
  <c r="G803" i="11"/>
  <c r="G346" i="12" s="1"/>
  <c r="G802" i="11"/>
  <c r="G345" i="12" s="1"/>
  <c r="I801" i="11"/>
  <c r="I344" i="12" s="1"/>
  <c r="H801" i="11"/>
  <c r="H344" i="12" s="1"/>
  <c r="G800" i="11"/>
  <c r="G799" i="11"/>
  <c r="G342" i="12" s="1"/>
  <c r="J798" i="11"/>
  <c r="J341" i="12" s="1"/>
  <c r="I798" i="11"/>
  <c r="I341" i="12" s="1"/>
  <c r="H798" i="11"/>
  <c r="H341" i="12" s="1"/>
  <c r="I791" i="11"/>
  <c r="I334" i="12" s="1"/>
  <c r="I790" i="11"/>
  <c r="I333" i="12" s="1"/>
  <c r="H792" i="11"/>
  <c r="H335" i="12" s="1"/>
  <c r="H780" i="11"/>
  <c r="H323" i="12" s="1"/>
  <c r="G794" i="11"/>
  <c r="G793" i="11"/>
  <c r="G336" i="12" s="1"/>
  <c r="G760" i="11"/>
  <c r="G303" i="12" s="1"/>
  <c r="G776" i="11"/>
  <c r="L774" i="11"/>
  <c r="L317" i="12" s="1"/>
  <c r="K774" i="11"/>
  <c r="K317" i="12" s="1"/>
  <c r="J774" i="11"/>
  <c r="J317" i="12" s="1"/>
  <c r="G770" i="11"/>
  <c r="G769" i="11"/>
  <c r="G312" i="12" s="1"/>
  <c r="L768" i="11"/>
  <c r="L311" i="12" s="1"/>
  <c r="K768" i="11"/>
  <c r="K311" i="12" s="1"/>
  <c r="J768" i="11"/>
  <c r="J311" i="12" s="1"/>
  <c r="G764" i="11"/>
  <c r="G307" i="12" s="1"/>
  <c r="G763" i="11"/>
  <c r="G306" i="12" s="1"/>
  <c r="G758" i="11"/>
  <c r="G301" i="12" s="1"/>
  <c r="G757" i="11"/>
  <c r="G300" i="12" s="1"/>
  <c r="G752" i="11"/>
  <c r="G295" i="12" s="1"/>
  <c r="G751" i="11"/>
  <c r="G294" i="12" s="1"/>
  <c r="I840" i="11"/>
  <c r="I383" i="12" s="1"/>
  <c r="J840" i="11"/>
  <c r="J383" i="12" s="1"/>
  <c r="K840" i="11"/>
  <c r="K383" i="12" s="1"/>
  <c r="L840" i="11"/>
  <c r="L383" i="12" s="1"/>
  <c r="I852" i="11"/>
  <c r="I395" i="12" s="1"/>
  <c r="J852" i="11"/>
  <c r="J395" i="12" s="1"/>
  <c r="K852" i="11"/>
  <c r="K395" i="12" s="1"/>
  <c r="L852" i="11"/>
  <c r="L395" i="12" s="1"/>
  <c r="I851" i="11"/>
  <c r="J851" i="11"/>
  <c r="J394" i="12" s="1"/>
  <c r="K851" i="11"/>
  <c r="K394" i="12" s="1"/>
  <c r="L851" i="11"/>
  <c r="L394" i="12" s="1"/>
  <c r="L858" i="11"/>
  <c r="L401" i="12" s="1"/>
  <c r="G878" i="11"/>
  <c r="G418" i="12" s="1"/>
  <c r="J888" i="11"/>
  <c r="J428" i="12" s="1"/>
  <c r="K888" i="11"/>
  <c r="K428" i="12" s="1"/>
  <c r="L888" i="11"/>
  <c r="L428" i="12" s="1"/>
  <c r="J887" i="11"/>
  <c r="J427" i="12" s="1"/>
  <c r="K887" i="11"/>
  <c r="K427" i="12" s="1"/>
  <c r="L887" i="11"/>
  <c r="L427" i="12" s="1"/>
  <c r="H888" i="11"/>
  <c r="H837" i="11" s="1"/>
  <c r="H887" i="11"/>
  <c r="G894" i="11"/>
  <c r="G434" i="12" s="1"/>
  <c r="G893" i="11"/>
  <c r="G433" i="12" s="1"/>
  <c r="L892" i="11"/>
  <c r="L432" i="12" s="1"/>
  <c r="K892" i="11"/>
  <c r="K432" i="12" s="1"/>
  <c r="J892" i="11"/>
  <c r="J432" i="12" s="1"/>
  <c r="H892" i="11"/>
  <c r="H432" i="12" s="1"/>
  <c r="G891" i="11"/>
  <c r="G431" i="12" s="1"/>
  <c r="G890" i="11"/>
  <c r="G430" i="12" s="1"/>
  <c r="L889" i="11"/>
  <c r="L429" i="12" s="1"/>
  <c r="K889" i="11"/>
  <c r="K429" i="12" s="1"/>
  <c r="J889" i="11"/>
  <c r="J429" i="12" s="1"/>
  <c r="H889" i="11"/>
  <c r="H429" i="12" s="1"/>
  <c r="G867" i="11"/>
  <c r="G410" i="12" s="1"/>
  <c r="G866" i="11"/>
  <c r="G409" i="12" s="1"/>
  <c r="L865" i="11"/>
  <c r="L408" i="12" s="1"/>
  <c r="K865" i="11"/>
  <c r="K408" i="12" s="1"/>
  <c r="J865" i="11"/>
  <c r="J408" i="12" s="1"/>
  <c r="H865" i="11"/>
  <c r="H408" i="12" s="1"/>
  <c r="G882" i="11"/>
  <c r="G422" i="12" s="1"/>
  <c r="G881" i="11"/>
  <c r="G421" i="12" s="1"/>
  <c r="L880" i="11"/>
  <c r="L420" i="12" s="1"/>
  <c r="K880" i="11"/>
  <c r="K420" i="12" s="1"/>
  <c r="J880" i="11"/>
  <c r="J420" i="12" s="1"/>
  <c r="I880" i="11"/>
  <c r="I420" i="12" s="1"/>
  <c r="H880" i="11"/>
  <c r="H420" i="12" s="1"/>
  <c r="L877" i="11"/>
  <c r="L417" i="12" s="1"/>
  <c r="K877" i="11"/>
  <c r="K417" i="12" s="1"/>
  <c r="J877" i="11"/>
  <c r="J417" i="12" s="1"/>
  <c r="I877" i="11"/>
  <c r="I417" i="12" s="1"/>
  <c r="G873" i="11"/>
  <c r="G416" i="12" s="1"/>
  <c r="G872" i="11"/>
  <c r="G415" i="12" s="1"/>
  <c r="L871" i="11"/>
  <c r="L414" i="12" s="1"/>
  <c r="K871" i="11"/>
  <c r="K414" i="12" s="1"/>
  <c r="J871" i="11"/>
  <c r="J414" i="12" s="1"/>
  <c r="I871" i="11"/>
  <c r="I414" i="12" s="1"/>
  <c r="H871" i="11"/>
  <c r="H414" i="12" s="1"/>
  <c r="L868" i="11"/>
  <c r="L411" i="12" s="1"/>
  <c r="K868" i="11"/>
  <c r="K411" i="12" s="1"/>
  <c r="J868" i="11"/>
  <c r="J411" i="12" s="1"/>
  <c r="I868" i="11"/>
  <c r="I411" i="12" s="1"/>
  <c r="G861" i="11"/>
  <c r="G404" i="12" s="1"/>
  <c r="G860" i="11"/>
  <c r="G403" i="12" s="1"/>
  <c r="L859" i="11"/>
  <c r="L402" i="12" s="1"/>
  <c r="K859" i="11"/>
  <c r="K402" i="12" s="1"/>
  <c r="J859" i="11"/>
  <c r="J402" i="12" s="1"/>
  <c r="I859" i="11"/>
  <c r="I402" i="12" s="1"/>
  <c r="G855" i="11"/>
  <c r="G398" i="12" s="1"/>
  <c r="G854" i="11"/>
  <c r="G397" i="12" s="1"/>
  <c r="L853" i="11"/>
  <c r="L396" i="12" s="1"/>
  <c r="K853" i="11"/>
  <c r="K396" i="12" s="1"/>
  <c r="J853" i="11"/>
  <c r="J396" i="12" s="1"/>
  <c r="I853" i="11"/>
  <c r="I396" i="12" s="1"/>
  <c r="H853" i="11"/>
  <c r="H396" i="12" s="1"/>
  <c r="G849" i="11"/>
  <c r="G392" i="12" s="1"/>
  <c r="G848" i="11"/>
  <c r="G391" i="12" s="1"/>
  <c r="L847" i="11"/>
  <c r="L390" i="12" s="1"/>
  <c r="K847" i="11"/>
  <c r="K390" i="12" s="1"/>
  <c r="J847" i="11"/>
  <c r="J390" i="12" s="1"/>
  <c r="I847" i="11"/>
  <c r="I390" i="12" s="1"/>
  <c r="G846" i="11"/>
  <c r="G389" i="12" s="1"/>
  <c r="G845" i="11"/>
  <c r="G388" i="12" s="1"/>
  <c r="L844" i="11"/>
  <c r="L387" i="12" s="1"/>
  <c r="K844" i="11"/>
  <c r="K387" i="12" s="1"/>
  <c r="J844" i="11"/>
  <c r="J387" i="12" s="1"/>
  <c r="I844" i="11"/>
  <c r="I387" i="12" s="1"/>
  <c r="G843" i="11"/>
  <c r="G386" i="12" s="1"/>
  <c r="G842" i="11"/>
  <c r="G385" i="12" s="1"/>
  <c r="L841" i="11"/>
  <c r="L384" i="12" s="1"/>
  <c r="K841" i="11"/>
  <c r="K384" i="12" s="1"/>
  <c r="J841" i="11"/>
  <c r="J384" i="12" s="1"/>
  <c r="I841" i="11"/>
  <c r="I384" i="12" s="1"/>
  <c r="M903" i="11"/>
  <c r="G456" i="12"/>
  <c r="G455" i="12"/>
  <c r="L914" i="11"/>
  <c r="L454" i="12" s="1"/>
  <c r="K914" i="11"/>
  <c r="K454" i="12" s="1"/>
  <c r="J914" i="11"/>
  <c r="J454" i="12" s="1"/>
  <c r="I914" i="11"/>
  <c r="I454" i="12" s="1"/>
  <c r="G498" i="12"/>
  <c r="G497" i="12"/>
  <c r="L965" i="11"/>
  <c r="L496" i="12" s="1"/>
  <c r="K965" i="11"/>
  <c r="K496" i="12" s="1"/>
  <c r="J965" i="11"/>
  <c r="J496" i="12" s="1"/>
  <c r="I965" i="11"/>
  <c r="I496" i="12" s="1"/>
  <c r="L962" i="11"/>
  <c r="L493" i="12" s="1"/>
  <c r="K962" i="11"/>
  <c r="K493" i="12" s="1"/>
  <c r="J962" i="11"/>
  <c r="J493" i="12" s="1"/>
  <c r="I962" i="11"/>
  <c r="I493" i="12" s="1"/>
  <c r="G492" i="12"/>
  <c r="G491" i="12"/>
  <c r="L959" i="11"/>
  <c r="L490" i="12" s="1"/>
  <c r="K959" i="11"/>
  <c r="K490" i="12" s="1"/>
  <c r="J959" i="11"/>
  <c r="J490" i="12" s="1"/>
  <c r="I959" i="11"/>
  <c r="I490" i="12" s="1"/>
  <c r="L956" i="11"/>
  <c r="L487" i="12" s="1"/>
  <c r="K956" i="11"/>
  <c r="K487" i="12" s="1"/>
  <c r="J956" i="11"/>
  <c r="J487" i="12" s="1"/>
  <c r="I956" i="11"/>
  <c r="I487" i="12" s="1"/>
  <c r="G486" i="12"/>
  <c r="G485" i="12"/>
  <c r="L484" i="12"/>
  <c r="K484" i="12"/>
  <c r="J484" i="12"/>
  <c r="I484" i="12"/>
  <c r="G483" i="12"/>
  <c r="G482" i="12"/>
  <c r="L481" i="12"/>
  <c r="K481" i="12"/>
  <c r="J481" i="12"/>
  <c r="I481" i="12"/>
  <c r="G450" i="12"/>
  <c r="G479" i="12"/>
  <c r="L938" i="11"/>
  <c r="K938" i="11"/>
  <c r="J938" i="11"/>
  <c r="I938" i="11"/>
  <c r="L935" i="11"/>
  <c r="L475" i="12" s="1"/>
  <c r="K935" i="11"/>
  <c r="K475" i="12" s="1"/>
  <c r="J935" i="11"/>
  <c r="J475" i="12" s="1"/>
  <c r="I935" i="11"/>
  <c r="I475" i="12" s="1"/>
  <c r="G474" i="12"/>
  <c r="G473" i="12"/>
  <c r="L932" i="11"/>
  <c r="L472" i="12" s="1"/>
  <c r="K932" i="11"/>
  <c r="K472" i="12" s="1"/>
  <c r="J932" i="11"/>
  <c r="J472" i="12" s="1"/>
  <c r="I932" i="11"/>
  <c r="I472" i="12" s="1"/>
  <c r="L929" i="11"/>
  <c r="L469" i="12" s="1"/>
  <c r="K929" i="11"/>
  <c r="K469" i="12" s="1"/>
  <c r="J929" i="11"/>
  <c r="J469" i="12" s="1"/>
  <c r="I929" i="11"/>
  <c r="I469" i="12" s="1"/>
  <c r="G468" i="12"/>
  <c r="G467" i="12"/>
  <c r="L926" i="11"/>
  <c r="L466" i="12" s="1"/>
  <c r="K926" i="11"/>
  <c r="K466" i="12" s="1"/>
  <c r="J926" i="11"/>
  <c r="J466" i="12" s="1"/>
  <c r="I926" i="11"/>
  <c r="I466" i="12" s="1"/>
  <c r="G465" i="12"/>
  <c r="G464" i="12"/>
  <c r="L923" i="11"/>
  <c r="L463" i="12" s="1"/>
  <c r="K923" i="11"/>
  <c r="K463" i="12" s="1"/>
  <c r="J923" i="11"/>
  <c r="J463" i="12" s="1"/>
  <c r="I923" i="11"/>
  <c r="I463" i="12" s="1"/>
  <c r="L920" i="11"/>
  <c r="L460" i="12" s="1"/>
  <c r="K920" i="11"/>
  <c r="K460" i="12" s="1"/>
  <c r="J920" i="11"/>
  <c r="J460" i="12" s="1"/>
  <c r="I920" i="11"/>
  <c r="I460" i="12" s="1"/>
  <c r="G459" i="12"/>
  <c r="G458" i="12"/>
  <c r="L917" i="11"/>
  <c r="L457" i="12" s="1"/>
  <c r="K917" i="11"/>
  <c r="K457" i="12" s="1"/>
  <c r="J917" i="11"/>
  <c r="J457" i="12" s="1"/>
  <c r="I917" i="11"/>
  <c r="I457" i="12" s="1"/>
  <c r="L911" i="11"/>
  <c r="L451" i="12" s="1"/>
  <c r="K911" i="11"/>
  <c r="K451" i="12" s="1"/>
  <c r="J911" i="11"/>
  <c r="J451" i="12" s="1"/>
  <c r="I911" i="11"/>
  <c r="I451" i="12" s="1"/>
  <c r="G449" i="12"/>
  <c r="L908" i="11"/>
  <c r="L448" i="12" s="1"/>
  <c r="K908" i="11"/>
  <c r="K448" i="12" s="1"/>
  <c r="J908" i="11"/>
  <c r="J448" i="12" s="1"/>
  <c r="I908" i="11"/>
  <c r="I448" i="12" s="1"/>
  <c r="H380" i="12" l="1"/>
  <c r="H428" i="12"/>
  <c r="I836" i="11"/>
  <c r="I379" i="12" s="1"/>
  <c r="I394" i="12"/>
  <c r="G791" i="11"/>
  <c r="G334" i="12" s="1"/>
  <c r="G337" i="12"/>
  <c r="G811" i="11"/>
  <c r="G354" i="12" s="1"/>
  <c r="G357" i="12"/>
  <c r="G817" i="11"/>
  <c r="G360" i="12" s="1"/>
  <c r="G363" i="12"/>
  <c r="G829" i="11"/>
  <c r="G372" i="12" s="1"/>
  <c r="G375" i="12"/>
  <c r="G784" i="11"/>
  <c r="G327" i="12" s="1"/>
  <c r="G330" i="12"/>
  <c r="G1005" i="11"/>
  <c r="H522" i="12"/>
  <c r="K1001" i="11"/>
  <c r="K518" i="12" s="1"/>
  <c r="K519" i="12"/>
  <c r="I1001" i="11"/>
  <c r="I518" i="12" s="1"/>
  <c r="I519" i="12"/>
  <c r="H989" i="11"/>
  <c r="H506" i="12" s="1"/>
  <c r="H508" i="12"/>
  <c r="H24" i="12"/>
  <c r="L539" i="11"/>
  <c r="L88" i="12" s="1"/>
  <c r="L89" i="12"/>
  <c r="J539" i="11"/>
  <c r="J88" i="12" s="1"/>
  <c r="J89" i="12"/>
  <c r="G656" i="11"/>
  <c r="G205" i="12" s="1"/>
  <c r="H205" i="12"/>
  <c r="G662" i="11"/>
  <c r="G211" i="12" s="1"/>
  <c r="H211" i="12"/>
  <c r="G695" i="11"/>
  <c r="G244" i="12" s="1"/>
  <c r="H244" i="12"/>
  <c r="G701" i="11"/>
  <c r="G250" i="12" s="1"/>
  <c r="H250" i="12"/>
  <c r="G692" i="11"/>
  <c r="G241" i="12" s="1"/>
  <c r="H241" i="12"/>
  <c r="G557" i="11"/>
  <c r="G106" i="12" s="1"/>
  <c r="H106" i="12"/>
  <c r="G563" i="11"/>
  <c r="G112" i="12" s="1"/>
  <c r="H112" i="12"/>
  <c r="G572" i="11"/>
  <c r="G121" i="12" s="1"/>
  <c r="H121" i="12"/>
  <c r="H427" i="12"/>
  <c r="H836" i="11"/>
  <c r="H379" i="12" s="1"/>
  <c r="G767" i="11"/>
  <c r="G310" i="12" s="1"/>
  <c r="G313" i="12"/>
  <c r="G773" i="11"/>
  <c r="G316" i="12" s="1"/>
  <c r="G319" i="12"/>
  <c r="G797" i="11"/>
  <c r="G340" i="12" s="1"/>
  <c r="G343" i="12"/>
  <c r="G805" i="11"/>
  <c r="G348" i="12" s="1"/>
  <c r="G351" i="12"/>
  <c r="G823" i="11"/>
  <c r="G366" i="12" s="1"/>
  <c r="G369" i="12"/>
  <c r="Q782" i="11"/>
  <c r="I329" i="12"/>
  <c r="G785" i="11"/>
  <c r="G328" i="12" s="1"/>
  <c r="G331" i="12"/>
  <c r="K745" i="11"/>
  <c r="K321" i="12"/>
  <c r="G1003" i="11"/>
  <c r="G520" i="12" s="1"/>
  <c r="H521" i="12"/>
  <c r="L1001" i="11"/>
  <c r="L518" i="12" s="1"/>
  <c r="L519" i="12"/>
  <c r="J1001" i="11"/>
  <c r="J518" i="12" s="1"/>
  <c r="J519" i="12"/>
  <c r="I995" i="11"/>
  <c r="I512" i="12" s="1"/>
  <c r="I513" i="12"/>
  <c r="G542" i="11"/>
  <c r="G91" i="12" s="1"/>
  <c r="H91" i="12"/>
  <c r="G548" i="11"/>
  <c r="G97" i="12" s="1"/>
  <c r="H97" i="12"/>
  <c r="K539" i="11"/>
  <c r="K88" i="12" s="1"/>
  <c r="K89" i="12"/>
  <c r="G689" i="11"/>
  <c r="G238" i="12" s="1"/>
  <c r="H238" i="12"/>
  <c r="G698" i="11"/>
  <c r="G247" i="12" s="1"/>
  <c r="H247" i="12"/>
  <c r="G686" i="11"/>
  <c r="G235" i="12" s="1"/>
  <c r="H235" i="12"/>
  <c r="G707" i="11"/>
  <c r="G256" i="12" s="1"/>
  <c r="H256" i="12"/>
  <c r="G706" i="11"/>
  <c r="G255" i="12" s="1"/>
  <c r="H255" i="12"/>
  <c r="G560" i="11"/>
  <c r="G109" i="12" s="1"/>
  <c r="H109" i="12"/>
  <c r="G569" i="11"/>
  <c r="G118" i="12" s="1"/>
  <c r="H118" i="12"/>
  <c r="G578" i="11"/>
  <c r="G127" i="12" s="1"/>
  <c r="H127" i="12"/>
  <c r="G796" i="11"/>
  <c r="G339" i="12" s="1"/>
  <c r="I18" i="12"/>
  <c r="K468" i="11"/>
  <c r="L468" i="11"/>
  <c r="K850" i="11"/>
  <c r="K393" i="12" s="1"/>
  <c r="K836" i="11"/>
  <c r="K838" i="11"/>
  <c r="K381" i="12" s="1"/>
  <c r="K837" i="11"/>
  <c r="K380" i="12" s="1"/>
  <c r="I837" i="11"/>
  <c r="I380" i="12" s="1"/>
  <c r="L850" i="11"/>
  <c r="L393" i="12" s="1"/>
  <c r="L836" i="11"/>
  <c r="J850" i="11"/>
  <c r="J393" i="12" s="1"/>
  <c r="J836" i="11"/>
  <c r="L838" i="11"/>
  <c r="L381" i="12" s="1"/>
  <c r="L837" i="11"/>
  <c r="L380" i="12" s="1"/>
  <c r="J838" i="11"/>
  <c r="J381" i="12" s="1"/>
  <c r="J837" i="11"/>
  <c r="J380" i="12" s="1"/>
  <c r="K988" i="11"/>
  <c r="K505" i="12" s="1"/>
  <c r="I988" i="11"/>
  <c r="I505" i="12" s="1"/>
  <c r="K989" i="11"/>
  <c r="K506" i="12" s="1"/>
  <c r="K987" i="11"/>
  <c r="K504" i="12" s="1"/>
  <c r="I989" i="11"/>
  <c r="I506" i="12" s="1"/>
  <c r="I987" i="11"/>
  <c r="L987" i="11"/>
  <c r="L504" i="12" s="1"/>
  <c r="L989" i="11"/>
  <c r="L506" i="12" s="1"/>
  <c r="J987" i="11"/>
  <c r="J504" i="12" s="1"/>
  <c r="J989" i="11"/>
  <c r="J506" i="12" s="1"/>
  <c r="L988" i="11"/>
  <c r="L505" i="12" s="1"/>
  <c r="J988" i="11"/>
  <c r="J505" i="12" s="1"/>
  <c r="K886" i="11"/>
  <c r="K426" i="12" s="1"/>
  <c r="I850" i="11"/>
  <c r="I393" i="12" s="1"/>
  <c r="H47" i="10"/>
  <c r="I838" i="11"/>
  <c r="I381" i="12" s="1"/>
  <c r="L886" i="11"/>
  <c r="L426" i="12" s="1"/>
  <c r="J886" i="11"/>
  <c r="J426" i="12" s="1"/>
  <c r="I789" i="11"/>
  <c r="I332" i="12" s="1"/>
  <c r="I745" i="11"/>
  <c r="I46" i="10"/>
  <c r="L469" i="11"/>
  <c r="L18" i="12" s="1"/>
  <c r="J469" i="11"/>
  <c r="K469" i="11"/>
  <c r="K18" i="12" s="1"/>
  <c r="G475" i="11"/>
  <c r="G24" i="12" s="1"/>
  <c r="I470" i="11"/>
  <c r="I19" i="12" s="1"/>
  <c r="H710" i="11"/>
  <c r="G1008" i="11"/>
  <c r="G1010" i="11"/>
  <c r="G527" i="12" s="1"/>
  <c r="G991" i="11"/>
  <c r="G508" i="12" s="1"/>
  <c r="G997" i="11"/>
  <c r="G514" i="12" s="1"/>
  <c r="J995" i="11"/>
  <c r="J512" i="12" s="1"/>
  <c r="H474" i="11"/>
  <c r="H539" i="11"/>
  <c r="H88" i="12" s="1"/>
  <c r="K527" i="11"/>
  <c r="K76" i="12" s="1"/>
  <c r="G1002" i="11"/>
  <c r="G541" i="11"/>
  <c r="G90" i="12" s="1"/>
  <c r="H527" i="11"/>
  <c r="H76" i="12" s="1"/>
  <c r="G500" i="11"/>
  <c r="G49" i="12" s="1"/>
  <c r="G497" i="11"/>
  <c r="G46" i="12" s="1"/>
  <c r="G494" i="11"/>
  <c r="G43" i="12" s="1"/>
  <c r="G491" i="11"/>
  <c r="G40" i="12" s="1"/>
  <c r="H338" i="12"/>
  <c r="G990" i="11"/>
  <c r="G507" i="12" s="1"/>
  <c r="K995" i="11"/>
  <c r="K512" i="12" s="1"/>
  <c r="L995" i="11"/>
  <c r="L512" i="12" s="1"/>
  <c r="H988" i="11"/>
  <c r="G540" i="11"/>
  <c r="G89" i="12" s="1"/>
  <c r="G476" i="11"/>
  <c r="G25" i="12" s="1"/>
  <c r="H704" i="11"/>
  <c r="H683" i="11"/>
  <c r="G660" i="11"/>
  <c r="G209" i="12" s="1"/>
  <c r="G627" i="11"/>
  <c r="G176" i="12" s="1"/>
  <c r="I539" i="11"/>
  <c r="I88" i="12" s="1"/>
  <c r="G549" i="11"/>
  <c r="G98" i="12" s="1"/>
  <c r="G543" i="11"/>
  <c r="G92" i="12" s="1"/>
  <c r="J527" i="11"/>
  <c r="J76" i="12" s="1"/>
  <c r="L527" i="11"/>
  <c r="L76" i="12" s="1"/>
  <c r="I527" i="11"/>
  <c r="I76" i="12" s="1"/>
  <c r="G534" i="11"/>
  <c r="G83" i="12" s="1"/>
  <c r="G528" i="11"/>
  <c r="G77" i="12" s="1"/>
  <c r="G529" i="11"/>
  <c r="G78" i="12" s="1"/>
  <c r="G996" i="11"/>
  <c r="G513" i="12" s="1"/>
  <c r="H996" i="11"/>
  <c r="H513" i="12" s="1"/>
  <c r="H1002" i="11"/>
  <c r="H519" i="12" s="1"/>
  <c r="H745" i="11"/>
  <c r="H777" i="11"/>
  <c r="H320" i="12" s="1"/>
  <c r="G807" i="11"/>
  <c r="G350" i="12" s="1"/>
  <c r="G831" i="11"/>
  <c r="G374" i="12" s="1"/>
  <c r="H828" i="11"/>
  <c r="H371" i="12" s="1"/>
  <c r="G786" i="11"/>
  <c r="G329" i="12" s="1"/>
  <c r="L856" i="11"/>
  <c r="L399" i="12" s="1"/>
  <c r="G768" i="11"/>
  <c r="G311" i="12" s="1"/>
  <c r="J780" i="11"/>
  <c r="J323" i="12" s="1"/>
  <c r="G801" i="11"/>
  <c r="G344" i="12" s="1"/>
  <c r="G830" i="11"/>
  <c r="G825" i="11"/>
  <c r="G368" i="12" s="1"/>
  <c r="L745" i="11"/>
  <c r="H746" i="11"/>
  <c r="H289" i="12" s="1"/>
  <c r="J746" i="11"/>
  <c r="J289" i="12" s="1"/>
  <c r="L746" i="11"/>
  <c r="L289" i="12" s="1"/>
  <c r="G824" i="11"/>
  <c r="G819" i="11"/>
  <c r="G362" i="12" s="1"/>
  <c r="G818" i="11"/>
  <c r="G813" i="11"/>
  <c r="G356" i="12" s="1"/>
  <c r="G812" i="11"/>
  <c r="G806" i="11"/>
  <c r="G798" i="11"/>
  <c r="G341" i="12" s="1"/>
  <c r="G782" i="11"/>
  <c r="I780" i="11"/>
  <c r="I323" i="12" s="1"/>
  <c r="G781" i="11"/>
  <c r="G792" i="11"/>
  <c r="G335" i="12" s="1"/>
  <c r="G790" i="11"/>
  <c r="G766" i="11"/>
  <c r="J856" i="11"/>
  <c r="J399" i="12" s="1"/>
  <c r="G851" i="11"/>
  <c r="G394" i="12" s="1"/>
  <c r="G47" i="10"/>
  <c r="X44" i="10" s="1"/>
  <c r="G762" i="11"/>
  <c r="G305" i="12" s="1"/>
  <c r="G754" i="11"/>
  <c r="G297" i="12" s="1"/>
  <c r="G756" i="11"/>
  <c r="G299" i="12" s="1"/>
  <c r="G750" i="11"/>
  <c r="G293" i="12" s="1"/>
  <c r="I856" i="11"/>
  <c r="I399" i="12" s="1"/>
  <c r="G755" i="11"/>
  <c r="G298" i="12" s="1"/>
  <c r="G761" i="11"/>
  <c r="K856" i="11"/>
  <c r="K399" i="12" s="1"/>
  <c r="G865" i="11"/>
  <c r="G408" i="12" s="1"/>
  <c r="G892" i="11"/>
  <c r="G432" i="12" s="1"/>
  <c r="G889" i="11"/>
  <c r="G429" i="12" s="1"/>
  <c r="G888" i="11"/>
  <c r="G428" i="12" s="1"/>
  <c r="G841" i="11"/>
  <c r="G384" i="12" s="1"/>
  <c r="G847" i="11"/>
  <c r="G390" i="12" s="1"/>
  <c r="G853" i="11"/>
  <c r="G396" i="12" s="1"/>
  <c r="G871" i="11"/>
  <c r="G414" i="12" s="1"/>
  <c r="G880" i="11"/>
  <c r="G420" i="12" s="1"/>
  <c r="G914" i="11"/>
  <c r="G454" i="12" s="1"/>
  <c r="G844" i="11"/>
  <c r="G387" i="12" s="1"/>
  <c r="G859" i="11"/>
  <c r="G402" i="12" s="1"/>
  <c r="G48" i="10"/>
  <c r="G959" i="11"/>
  <c r="G490" i="12" s="1"/>
  <c r="G926" i="11"/>
  <c r="G466" i="12" s="1"/>
  <c r="G452" i="12"/>
  <c r="G453" i="12"/>
  <c r="G965" i="11"/>
  <c r="G496" i="12" s="1"/>
  <c r="G962" i="11"/>
  <c r="G493" i="12" s="1"/>
  <c r="G484" i="12"/>
  <c r="G481" i="12"/>
  <c r="G938" i="11"/>
  <c r="G478" i="12" s="1"/>
  <c r="G932" i="11"/>
  <c r="G472" i="12" s="1"/>
  <c r="G923" i="11"/>
  <c r="G463" i="12" s="1"/>
  <c r="G917" i="11"/>
  <c r="G457" i="12" s="1"/>
  <c r="G908" i="11"/>
  <c r="G448" i="12" s="1"/>
  <c r="I461" i="11" l="1"/>
  <c r="I10" i="12" s="1"/>
  <c r="F48" i="10"/>
  <c r="X45" i="10"/>
  <c r="H462" i="11"/>
  <c r="G795" i="11"/>
  <c r="G338" i="12" s="1"/>
  <c r="H21" i="12"/>
  <c r="G50" i="10"/>
  <c r="J18" i="12"/>
  <c r="J467" i="11"/>
  <c r="J16" i="12" s="1"/>
  <c r="G804" i="11"/>
  <c r="G347" i="12" s="1"/>
  <c r="G349" i="12"/>
  <c r="G789" i="11"/>
  <c r="G332" i="12" s="1"/>
  <c r="G333" i="12"/>
  <c r="G778" i="11"/>
  <c r="G321" i="12" s="1"/>
  <c r="G324" i="12"/>
  <c r="G779" i="11"/>
  <c r="G322" i="12" s="1"/>
  <c r="G325" i="12"/>
  <c r="G810" i="11"/>
  <c r="G353" i="12" s="1"/>
  <c r="G355" i="12"/>
  <c r="G816" i="11"/>
  <c r="G359" i="12" s="1"/>
  <c r="G361" i="12"/>
  <c r="G822" i="11"/>
  <c r="G365" i="12" s="1"/>
  <c r="G367" i="12"/>
  <c r="K46" i="10"/>
  <c r="K73" i="10" s="1"/>
  <c r="L288" i="12"/>
  <c r="G828" i="11"/>
  <c r="G371" i="12" s="1"/>
  <c r="G373" i="12"/>
  <c r="G704" i="11"/>
  <c r="G253" i="12" s="1"/>
  <c r="H253" i="12"/>
  <c r="G1001" i="11"/>
  <c r="G518" i="12" s="1"/>
  <c r="G519" i="12"/>
  <c r="G1007" i="11"/>
  <c r="G524" i="12" s="1"/>
  <c r="G525" i="12"/>
  <c r="H52" i="10"/>
  <c r="I504" i="12"/>
  <c r="I47" i="10"/>
  <c r="H10" i="9" s="1"/>
  <c r="J379" i="12"/>
  <c r="K47" i="10"/>
  <c r="J10" i="9" s="1"/>
  <c r="L379" i="12"/>
  <c r="G759" i="11"/>
  <c r="G302" i="12" s="1"/>
  <c r="G304" i="12"/>
  <c r="G683" i="11"/>
  <c r="G232" i="12" s="1"/>
  <c r="H232" i="12"/>
  <c r="H505" i="12"/>
  <c r="G988" i="11"/>
  <c r="G505" i="12" s="1"/>
  <c r="H471" i="11"/>
  <c r="H468" i="11" s="1"/>
  <c r="H23" i="12"/>
  <c r="G710" i="11"/>
  <c r="G259" i="12" s="1"/>
  <c r="H259" i="12"/>
  <c r="J47" i="10"/>
  <c r="J74" i="10" s="1"/>
  <c r="K379" i="12"/>
  <c r="J46" i="10"/>
  <c r="K288" i="12"/>
  <c r="G1004" i="11"/>
  <c r="G521" i="12" s="1"/>
  <c r="G522" i="12"/>
  <c r="G46" i="10"/>
  <c r="H288" i="12"/>
  <c r="H46" i="10"/>
  <c r="I288" i="12"/>
  <c r="G765" i="11"/>
  <c r="G308" i="12" s="1"/>
  <c r="G309" i="12"/>
  <c r="I45" i="10"/>
  <c r="J17" i="12"/>
  <c r="J45" i="10"/>
  <c r="K17" i="12"/>
  <c r="K45" i="10"/>
  <c r="L17" i="12"/>
  <c r="G783" i="11"/>
  <c r="G326" i="12" s="1"/>
  <c r="G836" i="11"/>
  <c r="G379" i="12" s="1"/>
  <c r="G837" i="11"/>
  <c r="G380" i="12" s="1"/>
  <c r="H9" i="9"/>
  <c r="I73" i="10"/>
  <c r="F11" i="9"/>
  <c r="G75" i="10"/>
  <c r="F10" i="9"/>
  <c r="G74" i="10"/>
  <c r="G10" i="9"/>
  <c r="H74" i="10"/>
  <c r="G995" i="11"/>
  <c r="G512" i="12" s="1"/>
  <c r="L462" i="11"/>
  <c r="L11" i="12" s="1"/>
  <c r="J462" i="11"/>
  <c r="J11" i="12" s="1"/>
  <c r="K461" i="11"/>
  <c r="K10" i="12" s="1"/>
  <c r="J461" i="11"/>
  <c r="J10" i="12" s="1"/>
  <c r="L461" i="11"/>
  <c r="L10" i="12" s="1"/>
  <c r="K50" i="10"/>
  <c r="I50" i="10"/>
  <c r="G474" i="11"/>
  <c r="I467" i="11"/>
  <c r="I16" i="12" s="1"/>
  <c r="J986" i="11"/>
  <c r="J503" i="12" s="1"/>
  <c r="I52" i="10"/>
  <c r="I986" i="11"/>
  <c r="L986" i="11"/>
  <c r="L503" i="12" s="1"/>
  <c r="K52" i="10"/>
  <c r="K986" i="11"/>
  <c r="K503" i="12" s="1"/>
  <c r="J52" i="10"/>
  <c r="G472" i="11"/>
  <c r="G21" i="12" s="1"/>
  <c r="G489" i="11"/>
  <c r="G38" i="12" s="1"/>
  <c r="H488" i="11"/>
  <c r="H37" i="12" s="1"/>
  <c r="G539" i="11"/>
  <c r="G88" i="12" s="1"/>
  <c r="G989" i="11"/>
  <c r="G506" i="12" s="1"/>
  <c r="G655" i="11"/>
  <c r="G204" i="12" s="1"/>
  <c r="G657" i="11"/>
  <c r="G206" i="12" s="1"/>
  <c r="G490" i="11"/>
  <c r="G39" i="12" s="1"/>
  <c r="G624" i="11"/>
  <c r="G173" i="12" s="1"/>
  <c r="G527" i="11"/>
  <c r="G76" i="12" s="1"/>
  <c r="J744" i="11"/>
  <c r="J287" i="12" s="1"/>
  <c r="L744" i="11"/>
  <c r="L287" i="12" s="1"/>
  <c r="G780" i="11"/>
  <c r="G323" i="12" s="1"/>
  <c r="G753" i="11"/>
  <c r="G296" i="12" s="1"/>
  <c r="G775" i="11"/>
  <c r="G318" i="12" s="1"/>
  <c r="G887" i="11"/>
  <c r="H886" i="11"/>
  <c r="H426" i="12" s="1"/>
  <c r="G869" i="11"/>
  <c r="G412" i="12" s="1"/>
  <c r="G857" i="11"/>
  <c r="G400" i="12" s="1"/>
  <c r="G839" i="11"/>
  <c r="G382" i="12" s="1"/>
  <c r="G911" i="11"/>
  <c r="G451" i="12" s="1"/>
  <c r="F9" i="9" l="1"/>
  <c r="X43" i="10"/>
  <c r="H470" i="11"/>
  <c r="H461" i="11"/>
  <c r="G777" i="11"/>
  <c r="G320" i="12" s="1"/>
  <c r="J9" i="9"/>
  <c r="K74" i="10"/>
  <c r="I74" i="10"/>
  <c r="G9" i="9"/>
  <c r="H44" i="10"/>
  <c r="G469" i="11"/>
  <c r="G18" i="12" s="1"/>
  <c r="I44" i="10"/>
  <c r="I43" i="10" s="1"/>
  <c r="F47" i="10"/>
  <c r="K44" i="10"/>
  <c r="K43" i="10" s="1"/>
  <c r="I503" i="12"/>
  <c r="G986" i="11"/>
  <c r="G503" i="12" s="1"/>
  <c r="I10" i="9"/>
  <c r="K10" i="9" s="1"/>
  <c r="N10" i="9" s="1"/>
  <c r="H73" i="10"/>
  <c r="G473" i="11"/>
  <c r="G22" i="12" s="1"/>
  <c r="G23" i="12"/>
  <c r="J44" i="10"/>
  <c r="G886" i="11"/>
  <c r="G426" i="12" s="1"/>
  <c r="G427" i="12"/>
  <c r="G52" i="10"/>
  <c r="H504" i="12"/>
  <c r="G987" i="11"/>
  <c r="G504" i="12" s="1"/>
  <c r="J73" i="10"/>
  <c r="I9" i="9"/>
  <c r="H20" i="12"/>
  <c r="G73" i="10"/>
  <c r="F46" i="10"/>
  <c r="H503" i="12"/>
  <c r="G488" i="11"/>
  <c r="G37" i="12" s="1"/>
  <c r="L460" i="11"/>
  <c r="L9" i="12" s="1"/>
  <c r="J51" i="10"/>
  <c r="I12" i="9"/>
  <c r="J78" i="10"/>
  <c r="K51" i="10"/>
  <c r="J12" i="9"/>
  <c r="K78" i="10"/>
  <c r="H51" i="10"/>
  <c r="G12" i="9"/>
  <c r="H78" i="10"/>
  <c r="I51" i="10"/>
  <c r="H12" i="9"/>
  <c r="I78" i="10"/>
  <c r="J460" i="11"/>
  <c r="J9" i="12" s="1"/>
  <c r="K11" i="9"/>
  <c r="N11" i="9" s="1"/>
  <c r="F75" i="10"/>
  <c r="G471" i="11"/>
  <c r="H19" i="12"/>
  <c r="G654" i="11"/>
  <c r="G203" i="12" s="1"/>
  <c r="H653" i="11"/>
  <c r="I488" i="11"/>
  <c r="I37" i="12" s="1"/>
  <c r="I746" i="11"/>
  <c r="K746" i="11"/>
  <c r="H744" i="11"/>
  <c r="G745" i="11"/>
  <c r="G288" i="12" s="1"/>
  <c r="G774" i="11"/>
  <c r="G317" i="12" s="1"/>
  <c r="G772" i="11"/>
  <c r="G879" i="11"/>
  <c r="G468" i="11" l="1"/>
  <c r="G17" i="12" s="1"/>
  <c r="F12" i="9"/>
  <c r="X46" i="10"/>
  <c r="F52" i="10"/>
  <c r="F51" i="10" s="1"/>
  <c r="G78" i="10"/>
  <c r="F78" i="10" s="1"/>
  <c r="G51" i="10"/>
  <c r="F74" i="10"/>
  <c r="K9" i="9"/>
  <c r="N9" i="9" s="1"/>
  <c r="I289" i="12"/>
  <c r="I462" i="11"/>
  <c r="I11" i="12" s="1"/>
  <c r="F73" i="10"/>
  <c r="H467" i="11"/>
  <c r="H16" i="12" s="1"/>
  <c r="G45" i="10"/>
  <c r="G44" i="10" s="1"/>
  <c r="G43" i="10" s="1"/>
  <c r="P469" i="11"/>
  <c r="H10" i="12"/>
  <c r="G461" i="11"/>
  <c r="G10" i="12" s="1"/>
  <c r="G877" i="11"/>
  <c r="G417" i="12" s="1"/>
  <c r="G419" i="12"/>
  <c r="K462" i="11"/>
  <c r="K11" i="12" s="1"/>
  <c r="K289" i="12"/>
  <c r="H17" i="12"/>
  <c r="G470" i="11"/>
  <c r="G19" i="12" s="1"/>
  <c r="G20" i="12"/>
  <c r="H18" i="12"/>
  <c r="G771" i="11"/>
  <c r="G314" i="12" s="1"/>
  <c r="G315" i="12"/>
  <c r="H287" i="12"/>
  <c r="G653" i="11"/>
  <c r="G202" i="12" s="1"/>
  <c r="H202" i="12"/>
  <c r="H460" i="11"/>
  <c r="H9" i="12" s="1"/>
  <c r="H11" i="12"/>
  <c r="K12" i="9"/>
  <c r="N12" i="9" s="1"/>
  <c r="H50" i="10"/>
  <c r="K744" i="11"/>
  <c r="K287" i="12" s="1"/>
  <c r="J50" i="10"/>
  <c r="G852" i="11"/>
  <c r="K460" i="11" l="1"/>
  <c r="K9" i="12" s="1"/>
  <c r="G462" i="11"/>
  <c r="G467" i="11"/>
  <c r="G16" i="12" s="1"/>
  <c r="F45" i="10"/>
  <c r="F44" i="10" s="1"/>
  <c r="G850" i="11"/>
  <c r="G393" i="12" s="1"/>
  <c r="G395" i="12"/>
  <c r="G739" i="11"/>
  <c r="H737" i="11"/>
  <c r="G737" i="11" s="1"/>
  <c r="H43" i="10"/>
  <c r="J43" i="10"/>
  <c r="I460" i="11"/>
  <c r="I9" i="12" s="1"/>
  <c r="F50" i="10"/>
  <c r="I744" i="11"/>
  <c r="I287" i="12" s="1"/>
  <c r="G746" i="11"/>
  <c r="G840" i="11"/>
  <c r="F43" i="10" l="1"/>
  <c r="M38" i="10" s="1"/>
  <c r="G838" i="11"/>
  <c r="G381" i="12" s="1"/>
  <c r="G383" i="12"/>
  <c r="G744" i="11"/>
  <c r="G287" i="12" s="1"/>
  <c r="G289" i="12"/>
  <c r="G460" i="11"/>
  <c r="G9" i="12" s="1"/>
  <c r="G11" i="12"/>
  <c r="L905" i="11"/>
  <c r="L445" i="12" s="1"/>
  <c r="K905" i="11"/>
  <c r="K445" i="12" s="1"/>
  <c r="J905" i="11"/>
  <c r="J445" i="12" s="1"/>
  <c r="I905" i="11"/>
  <c r="I445" i="12" s="1"/>
  <c r="G903" i="11"/>
  <c r="G443" i="12" s="1"/>
  <c r="L902" i="11"/>
  <c r="L442" i="12" s="1"/>
  <c r="K902" i="11"/>
  <c r="K442" i="12" s="1"/>
  <c r="J902" i="11"/>
  <c r="J442" i="12" s="1"/>
  <c r="I902" i="11"/>
  <c r="I442" i="12" s="1"/>
  <c r="L835" i="11"/>
  <c r="L378" i="12" s="1"/>
  <c r="K835" i="11"/>
  <c r="K378" i="12" s="1"/>
  <c r="J835" i="11"/>
  <c r="J378" i="12" s="1"/>
  <c r="I835" i="11"/>
  <c r="I378" i="12" s="1"/>
  <c r="E59" i="10"/>
  <c r="E58" i="10" s="1"/>
  <c r="H58" i="10"/>
  <c r="I58" i="10"/>
  <c r="J58" i="10"/>
  <c r="K58" i="10"/>
  <c r="G58" i="10"/>
  <c r="F61" i="10"/>
  <c r="F60" i="10" s="1"/>
  <c r="G60" i="10"/>
  <c r="H60" i="10"/>
  <c r="I60" i="10"/>
  <c r="J60" i="10"/>
  <c r="K60" i="10"/>
  <c r="E60" i="10"/>
  <c r="J62" i="10"/>
  <c r="F63" i="10"/>
  <c r="F62" i="10" s="1"/>
  <c r="G870" i="11" l="1"/>
  <c r="F59" i="10"/>
  <c r="F58" i="10" s="1"/>
  <c r="G868" i="11" l="1"/>
  <c r="G411" i="12" s="1"/>
  <c r="G413" i="12"/>
  <c r="G904" i="11"/>
  <c r="G902" i="11" l="1"/>
  <c r="G442" i="12" s="1"/>
  <c r="G444" i="12"/>
  <c r="G858" i="11"/>
  <c r="H856" i="11"/>
  <c r="H399" i="12" s="1"/>
  <c r="G856" i="11" l="1"/>
  <c r="G399" i="12" s="1"/>
  <c r="G401" i="12"/>
  <c r="G835" i="11"/>
  <c r="G378" i="12" s="1"/>
  <c r="H835" i="11"/>
  <c r="H378" i="12" s="1"/>
  <c r="I311" i="11" l="1"/>
  <c r="J311" i="11"/>
  <c r="K311" i="11"/>
  <c r="L311" i="11"/>
  <c r="M311" i="11"/>
  <c r="H312" i="11"/>
  <c r="H313" i="11"/>
  <c r="F311" i="11"/>
  <c r="H234" i="11"/>
  <c r="H233" i="11"/>
  <c r="M232" i="11"/>
  <c r="L232" i="11"/>
  <c r="K232" i="11"/>
  <c r="J232" i="11"/>
  <c r="F232" i="11"/>
  <c r="J237" i="11"/>
  <c r="J298" i="11" s="1"/>
  <c r="K237" i="11"/>
  <c r="K298" i="11" s="1"/>
  <c r="L237" i="11"/>
  <c r="L298" i="11" s="1"/>
  <c r="M237" i="11"/>
  <c r="M298" i="11" s="1"/>
  <c r="J236" i="11"/>
  <c r="J297" i="11" s="1"/>
  <c r="H27" i="10" s="1"/>
  <c r="K236" i="11"/>
  <c r="K297" i="11" s="1"/>
  <c r="L236" i="11"/>
  <c r="L297" i="11" s="1"/>
  <c r="M236" i="11"/>
  <c r="M297" i="11" s="1"/>
  <c r="H245" i="11"/>
  <c r="M244" i="11"/>
  <c r="L244" i="11"/>
  <c r="K244" i="11"/>
  <c r="J244" i="11"/>
  <c r="I244" i="11"/>
  <c r="F244" i="11"/>
  <c r="H243" i="11"/>
  <c r="H242" i="11"/>
  <c r="M241" i="11"/>
  <c r="L241" i="11"/>
  <c r="K241" i="11"/>
  <c r="J241" i="11"/>
  <c r="I241" i="11"/>
  <c r="F241" i="11"/>
  <c r="H240" i="11"/>
  <c r="H239" i="11"/>
  <c r="M238" i="11"/>
  <c r="L238" i="11"/>
  <c r="K238" i="11"/>
  <c r="J238" i="11"/>
  <c r="I238" i="11"/>
  <c r="F238" i="11"/>
  <c r="L296" i="11" l="1"/>
  <c r="J296" i="11"/>
  <c r="M296" i="11"/>
  <c r="M290" i="11" s="1"/>
  <c r="K296" i="11"/>
  <c r="K290" i="11" s="1"/>
  <c r="I314" i="11"/>
  <c r="M314" i="11"/>
  <c r="I24" i="10"/>
  <c r="K24" i="10"/>
  <c r="J25" i="10"/>
  <c r="H241" i="11"/>
  <c r="E241" i="11" s="1"/>
  <c r="L314" i="11"/>
  <c r="H311" i="11"/>
  <c r="E311" i="11" s="1"/>
  <c r="H24" i="10"/>
  <c r="J24" i="10"/>
  <c r="L308" i="11"/>
  <c r="J308" i="11"/>
  <c r="J314" i="11"/>
  <c r="H316" i="11"/>
  <c r="K314" i="11"/>
  <c r="H315" i="11"/>
  <c r="H309" i="11"/>
  <c r="K308" i="11"/>
  <c r="M308" i="11"/>
  <c r="I308" i="11"/>
  <c r="H310" i="11"/>
  <c r="K27" i="10"/>
  <c r="I27" i="10"/>
  <c r="J28" i="10"/>
  <c r="H28" i="10"/>
  <c r="H14" i="10" s="1"/>
  <c r="L235" i="11"/>
  <c r="J27" i="10"/>
  <c r="K28" i="10"/>
  <c r="I28" i="10"/>
  <c r="I14" i="10" s="1"/>
  <c r="H232" i="11"/>
  <c r="E232" i="11" s="1"/>
  <c r="H244" i="11"/>
  <c r="E244" i="11" s="1"/>
  <c r="J235" i="11"/>
  <c r="K235" i="11"/>
  <c r="M235" i="11"/>
  <c r="H238" i="11"/>
  <c r="E238" i="11" s="1"/>
  <c r="K289" i="11" l="1"/>
  <c r="M289" i="11"/>
  <c r="L290" i="11"/>
  <c r="L289" i="11" s="1"/>
  <c r="J13" i="10"/>
  <c r="K13" i="10"/>
  <c r="J14" i="10"/>
  <c r="I13" i="10"/>
  <c r="H314" i="11"/>
  <c r="J26" i="10"/>
  <c r="H26" i="10"/>
  <c r="K26" i="10"/>
  <c r="K25" i="10"/>
  <c r="K14" i="10" s="1"/>
  <c r="J23" i="10"/>
  <c r="G24" i="10"/>
  <c r="I26" i="10"/>
  <c r="H23" i="10"/>
  <c r="I23" i="10"/>
  <c r="H308" i="11"/>
  <c r="J290" i="11" l="1"/>
  <c r="K23" i="10"/>
  <c r="J12" i="10"/>
  <c r="I12" i="10"/>
  <c r="K12" i="10"/>
  <c r="F25" i="10"/>
  <c r="G23" i="10"/>
  <c r="F24" i="10"/>
  <c r="J289" i="11" l="1"/>
  <c r="H290" i="11"/>
  <c r="H289" i="11" s="1"/>
  <c r="F23" i="10"/>
  <c r="H449" i="11" l="1"/>
  <c r="I412" i="11"/>
  <c r="H421" i="11"/>
  <c r="H420" i="11"/>
  <c r="I419" i="11"/>
  <c r="H419" i="11" l="1"/>
  <c r="F419" i="11"/>
  <c r="I354" i="11"/>
  <c r="J369" i="11"/>
  <c r="I369" i="11"/>
  <c r="H377" i="11"/>
  <c r="H376" i="11"/>
  <c r="J375" i="11"/>
  <c r="I375" i="11"/>
  <c r="F452" i="11"/>
  <c r="I385" i="11"/>
  <c r="I394" i="11"/>
  <c r="I406" i="11"/>
  <c r="H409" i="11"/>
  <c r="H407" i="11"/>
  <c r="H406" i="11" s="1"/>
  <c r="H414" i="11"/>
  <c r="H415" i="11"/>
  <c r="H427" i="11"/>
  <c r="H426" i="11"/>
  <c r="F434" i="11"/>
  <c r="F428" i="11"/>
  <c r="F425" i="11"/>
  <c r="J424" i="11"/>
  <c r="J423" i="11"/>
  <c r="F416" i="11"/>
  <c r="F413" i="11"/>
  <c r="J412" i="11"/>
  <c r="J411" i="11"/>
  <c r="J405" i="11"/>
  <c r="F406" i="11"/>
  <c r="M405" i="11"/>
  <c r="L405" i="11"/>
  <c r="K405" i="11"/>
  <c r="M404" i="11"/>
  <c r="M454" i="11" s="1"/>
  <c r="K55" i="10" s="1"/>
  <c r="L404" i="11"/>
  <c r="L454" i="11" s="1"/>
  <c r="J55" i="10" s="1"/>
  <c r="K404" i="11"/>
  <c r="I404" i="11"/>
  <c r="H400" i="11"/>
  <c r="H399" i="11"/>
  <c r="F397" i="11"/>
  <c r="F394" i="11"/>
  <c r="H393" i="11"/>
  <c r="F391" i="11"/>
  <c r="H390" i="11"/>
  <c r="H389" i="11"/>
  <c r="F388" i="11"/>
  <c r="J383" i="11"/>
  <c r="H386" i="11"/>
  <c r="F385" i="11"/>
  <c r="H381" i="11"/>
  <c r="H380" i="11"/>
  <c r="H379" i="11"/>
  <c r="F378" i="11"/>
  <c r="F375" i="11"/>
  <c r="L372" i="11"/>
  <c r="M372" i="11"/>
  <c r="H371" i="11"/>
  <c r="H370" i="11"/>
  <c r="K369" i="11"/>
  <c r="F369" i="11"/>
  <c r="M368" i="11"/>
  <c r="L368" i="11"/>
  <c r="K368" i="11"/>
  <c r="J368" i="11"/>
  <c r="I368" i="11"/>
  <c r="M367" i="11"/>
  <c r="L367" i="11"/>
  <c r="K367" i="11"/>
  <c r="J367" i="11"/>
  <c r="I367" i="11"/>
  <c r="H359" i="11"/>
  <c r="H358" i="11"/>
  <c r="I357" i="11"/>
  <c r="F357" i="11"/>
  <c r="H356" i="11"/>
  <c r="H355" i="11"/>
  <c r="M354" i="11"/>
  <c r="L354" i="11"/>
  <c r="K354" i="11"/>
  <c r="F354" i="11"/>
  <c r="H353" i="11"/>
  <c r="H352" i="11"/>
  <c r="M351" i="11"/>
  <c r="F351" i="11"/>
  <c r="M350" i="11"/>
  <c r="M347" i="11" s="1"/>
  <c r="M344" i="11" s="1"/>
  <c r="L350" i="11"/>
  <c r="L347" i="11" s="1"/>
  <c r="L344" i="11" s="1"/>
  <c r="K350" i="11"/>
  <c r="M349" i="11"/>
  <c r="M346" i="11" s="1"/>
  <c r="M343" i="11" s="1"/>
  <c r="L349" i="11"/>
  <c r="L346" i="11" s="1"/>
  <c r="L343" i="11" s="1"/>
  <c r="K349" i="11"/>
  <c r="K346" i="11" s="1"/>
  <c r="K343" i="11" s="1"/>
  <c r="E210" i="11"/>
  <c r="J177" i="11"/>
  <c r="K177" i="11"/>
  <c r="L177" i="11"/>
  <c r="M177" i="11"/>
  <c r="J173" i="11"/>
  <c r="K173" i="11"/>
  <c r="L173" i="11"/>
  <c r="M173" i="11"/>
  <c r="I212" i="11"/>
  <c r="H212" i="11" s="1"/>
  <c r="L210" i="11"/>
  <c r="K210" i="11"/>
  <c r="H20" i="10"/>
  <c r="H13" i="10" s="1"/>
  <c r="M210" i="11"/>
  <c r="H180" i="11"/>
  <c r="H179" i="11"/>
  <c r="H176" i="11"/>
  <c r="H175" i="11"/>
  <c r="H174" i="11"/>
  <c r="I173" i="11"/>
  <c r="H172" i="11"/>
  <c r="H171" i="11"/>
  <c r="H170" i="11"/>
  <c r="H169" i="11" s="1"/>
  <c r="M169" i="11"/>
  <c r="L169" i="11"/>
  <c r="K169" i="11"/>
  <c r="J169" i="11"/>
  <c r="M455" i="11" l="1"/>
  <c r="K56" i="10" s="1"/>
  <c r="K72" i="10" s="1"/>
  <c r="K347" i="11"/>
  <c r="K344" i="11" s="1"/>
  <c r="K342" i="11" s="1"/>
  <c r="H350" i="11"/>
  <c r="I455" i="11"/>
  <c r="G56" i="10" s="1"/>
  <c r="K455" i="11"/>
  <c r="L455" i="11"/>
  <c r="J56" i="10" s="1"/>
  <c r="J455" i="11"/>
  <c r="H56" i="10" s="1"/>
  <c r="H72" i="10" s="1"/>
  <c r="K454" i="11"/>
  <c r="I55" i="10" s="1"/>
  <c r="J71" i="10"/>
  <c r="I7" i="9"/>
  <c r="K54" i="10"/>
  <c r="J7" i="9"/>
  <c r="K71" i="10"/>
  <c r="J214" i="11"/>
  <c r="J215" i="11" s="1"/>
  <c r="L342" i="11"/>
  <c r="M342" i="11"/>
  <c r="H343" i="11"/>
  <c r="L345" i="11"/>
  <c r="H346" i="11"/>
  <c r="M345" i="11"/>
  <c r="L451" i="11"/>
  <c r="H19" i="10"/>
  <c r="K451" i="11"/>
  <c r="M451" i="11"/>
  <c r="L452" i="11"/>
  <c r="J57" i="10" s="1"/>
  <c r="J42" i="10" s="1"/>
  <c r="M452" i="11"/>
  <c r="K57" i="10" s="1"/>
  <c r="K42" i="10" s="1"/>
  <c r="F210" i="11"/>
  <c r="E20" i="10"/>
  <c r="E19" i="10" s="1"/>
  <c r="J410" i="11"/>
  <c r="J422" i="11"/>
  <c r="H357" i="11"/>
  <c r="E357" i="11" s="1"/>
  <c r="F450" i="11"/>
  <c r="M348" i="11"/>
  <c r="L348" i="11"/>
  <c r="H354" i="11"/>
  <c r="K348" i="11"/>
  <c r="J348" i="11"/>
  <c r="H351" i="11"/>
  <c r="H367" i="11"/>
  <c r="J366" i="11"/>
  <c r="I366" i="11"/>
  <c r="K366" i="11"/>
  <c r="M366" i="11"/>
  <c r="H369" i="11"/>
  <c r="H375" i="11"/>
  <c r="E375" i="11" s="1"/>
  <c r="I348" i="11"/>
  <c r="L403" i="11"/>
  <c r="K403" i="11"/>
  <c r="M403" i="11"/>
  <c r="H425" i="11"/>
  <c r="H413" i="11"/>
  <c r="E413" i="11" s="1"/>
  <c r="H349" i="11"/>
  <c r="L366" i="11"/>
  <c r="H368" i="11"/>
  <c r="K372" i="11"/>
  <c r="H378" i="11"/>
  <c r="E378" i="11" s="1"/>
  <c r="H388" i="11"/>
  <c r="H412" i="11"/>
  <c r="H396" i="11"/>
  <c r="H395" i="11"/>
  <c r="J384" i="11"/>
  <c r="J382" i="11" s="1"/>
  <c r="I384" i="11"/>
  <c r="H387" i="11"/>
  <c r="H385" i="11" s="1"/>
  <c r="H392" i="11"/>
  <c r="H391" i="11" s="1"/>
  <c r="E391" i="11" s="1"/>
  <c r="H398" i="11"/>
  <c r="H397" i="11" s="1"/>
  <c r="E397" i="11" s="1"/>
  <c r="I405" i="11"/>
  <c r="H173" i="11"/>
  <c r="I169" i="11"/>
  <c r="H211" i="11"/>
  <c r="H210" i="11" s="1"/>
  <c r="I177" i="11"/>
  <c r="H177" i="11" s="1"/>
  <c r="H178" i="11"/>
  <c r="J8" i="9" l="1"/>
  <c r="K345" i="11"/>
  <c r="H347" i="11"/>
  <c r="H345" i="11" s="1"/>
  <c r="H344" i="11"/>
  <c r="H342" i="11" s="1"/>
  <c r="I214" i="11"/>
  <c r="H455" i="11"/>
  <c r="K41" i="10"/>
  <c r="K68" i="10" s="1"/>
  <c r="K79" i="10"/>
  <c r="J6" i="9"/>
  <c r="I71" i="10"/>
  <c r="H7" i="9"/>
  <c r="K452" i="11"/>
  <c r="K450" i="11" s="1"/>
  <c r="H12" i="10"/>
  <c r="J452" i="11"/>
  <c r="H57" i="10" s="1"/>
  <c r="J54" i="10"/>
  <c r="I8" i="9"/>
  <c r="I6" i="9" s="1"/>
  <c r="J72" i="10"/>
  <c r="J79" i="10" s="1"/>
  <c r="G8" i="9"/>
  <c r="K53" i="10"/>
  <c r="J69" i="10"/>
  <c r="K453" i="11"/>
  <c r="I56" i="10"/>
  <c r="I54" i="10" s="1"/>
  <c r="I41" i="10" s="1"/>
  <c r="I210" i="11"/>
  <c r="G20" i="10"/>
  <c r="H366" i="11"/>
  <c r="L450" i="11"/>
  <c r="H348" i="11"/>
  <c r="J372" i="11"/>
  <c r="J404" i="11"/>
  <c r="J454" i="11" s="1"/>
  <c r="J453" i="11" s="1"/>
  <c r="H405" i="11"/>
  <c r="I403" i="11"/>
  <c r="H384" i="11"/>
  <c r="I383" i="11"/>
  <c r="H394" i="11"/>
  <c r="H374" i="11"/>
  <c r="I372" i="11"/>
  <c r="H373" i="11"/>
  <c r="K81" i="10" l="1"/>
  <c r="H55" i="10"/>
  <c r="G7" i="9" s="1"/>
  <c r="I68" i="10"/>
  <c r="H42" i="10"/>
  <c r="H69" i="10" s="1"/>
  <c r="J41" i="10"/>
  <c r="J68" i="10" s="1"/>
  <c r="I57" i="10"/>
  <c r="H214" i="11"/>
  <c r="I215" i="11"/>
  <c r="K40" i="10"/>
  <c r="K69" i="10"/>
  <c r="K67" i="10" s="1"/>
  <c r="J53" i="10"/>
  <c r="J451" i="11"/>
  <c r="J450" i="11" s="1"/>
  <c r="G19" i="10"/>
  <c r="F20" i="10"/>
  <c r="F19" i="10" s="1"/>
  <c r="G72" i="10"/>
  <c r="H8" i="9"/>
  <c r="I72" i="10"/>
  <c r="I79" i="10" s="1"/>
  <c r="F8" i="9"/>
  <c r="I16" i="9"/>
  <c r="J16" i="9"/>
  <c r="F56" i="10"/>
  <c r="H372" i="11"/>
  <c r="H383" i="11"/>
  <c r="H382" i="11" s="1"/>
  <c r="I382" i="11"/>
  <c r="J403" i="11"/>
  <c r="H404" i="11"/>
  <c r="H403" i="11" s="1"/>
  <c r="H411" i="11"/>
  <c r="H410" i="11" s="1"/>
  <c r="I410" i="11"/>
  <c r="H215" i="11" l="1"/>
  <c r="G22" i="10"/>
  <c r="J40" i="10"/>
  <c r="G16" i="9"/>
  <c r="J16" i="1" s="1"/>
  <c r="J81" i="10"/>
  <c r="J67" i="10"/>
  <c r="I42" i="10"/>
  <c r="I69" i="10" s="1"/>
  <c r="I67" i="10" s="1"/>
  <c r="H71" i="10"/>
  <c r="H79" i="10" s="1"/>
  <c r="I5" i="9"/>
  <c r="J5" i="9"/>
  <c r="H6" i="9"/>
  <c r="H54" i="10"/>
  <c r="H41" i="10" s="1"/>
  <c r="F72" i="10"/>
  <c r="I81" i="10"/>
  <c r="I53" i="10"/>
  <c r="K8" i="9"/>
  <c r="N8" i="9" s="1"/>
  <c r="F22" i="10" l="1"/>
  <c r="X42" i="10"/>
  <c r="I40" i="10"/>
  <c r="H68" i="10"/>
  <c r="H16" i="9"/>
  <c r="G6" i="9"/>
  <c r="J15" i="1" s="1"/>
  <c r="H53" i="10"/>
  <c r="H5" i="9" l="1"/>
  <c r="H67" i="10"/>
  <c r="H81" i="10"/>
  <c r="G5" i="9"/>
  <c r="J19" i="1"/>
  <c r="J22" i="1"/>
  <c r="H40" i="10"/>
  <c r="I424" i="11" l="1"/>
  <c r="H424" i="11" l="1"/>
  <c r="I423" i="11"/>
  <c r="H423" i="11" l="1"/>
  <c r="H422" i="11" s="1"/>
  <c r="I422" i="11"/>
  <c r="H436" i="11" l="1"/>
  <c r="I433" i="11" l="1"/>
  <c r="I452" i="11" s="1"/>
  <c r="H435" i="11" l="1"/>
  <c r="H434" i="11" s="1"/>
  <c r="I432" i="11"/>
  <c r="H433" i="11"/>
  <c r="I454" i="11" l="1"/>
  <c r="I451" i="11"/>
  <c r="I450" i="11" s="1"/>
  <c r="I431" i="11"/>
  <c r="H432" i="11"/>
  <c r="H431" i="11" s="1"/>
  <c r="I453" i="11" l="1"/>
  <c r="H451" i="11"/>
  <c r="H454" i="11"/>
  <c r="H453" i="11" s="1"/>
  <c r="G55" i="10"/>
  <c r="G54" i="10" l="1"/>
  <c r="F55" i="10"/>
  <c r="F54" i="10" s="1"/>
  <c r="G41" i="10" l="1"/>
  <c r="F41" i="10" l="1"/>
  <c r="G505" i="11" l="1"/>
  <c r="G54" i="12" s="1"/>
  <c r="G504" i="11"/>
  <c r="G53" i="12" s="1"/>
  <c r="G503" i="11" l="1"/>
  <c r="G52" i="12" s="1"/>
  <c r="H452" i="11" l="1"/>
  <c r="H450" i="11" s="1"/>
  <c r="G57" i="10"/>
  <c r="G53" i="10" s="1"/>
  <c r="F57" i="10" l="1"/>
  <c r="F53" i="10" s="1"/>
  <c r="G42" i="10"/>
  <c r="F42" i="10" l="1"/>
  <c r="F40" i="10" s="1"/>
  <c r="G40" i="10"/>
  <c r="G637" i="11" l="1"/>
  <c r="G186" i="12" s="1"/>
  <c r="G635" i="11"/>
  <c r="G184" i="12" s="1"/>
  <c r="H623" i="11"/>
  <c r="G623" i="11" l="1"/>
  <c r="G172" i="12" s="1"/>
  <c r="H172" i="12"/>
  <c r="G625" i="11"/>
  <c r="G174" i="12" s="1"/>
  <c r="H381" i="5" l="1"/>
  <c r="H379" i="5" s="1"/>
  <c r="I392" i="5" l="1"/>
  <c r="I390" i="5" s="1"/>
  <c r="I373" i="5" l="1"/>
  <c r="H375" i="5"/>
  <c r="H373" i="5" s="1"/>
  <c r="H392" i="5" l="1"/>
  <c r="H390" i="5" s="1"/>
  <c r="G14" i="4"/>
  <c r="G12" i="4" l="1"/>
  <c r="F14" i="4"/>
  <c r="F12" i="4" s="1"/>
  <c r="G7" i="4"/>
  <c r="F8" i="3" s="1"/>
  <c r="F5" i="3" l="1"/>
  <c r="G32" i="4"/>
  <c r="F7" i="4"/>
  <c r="G5" i="4"/>
  <c r="S7" i="4"/>
  <c r="S5" i="4" s="1"/>
  <c r="G41" i="4"/>
  <c r="G39" i="4" l="1"/>
  <c r="F41" i="4"/>
  <c r="F39" i="4" s="1"/>
  <c r="K8" i="3"/>
  <c r="F32" i="4"/>
  <c r="F5" i="4"/>
  <c r="H343" i="8"/>
  <c r="H344" i="8"/>
  <c r="I342" i="8"/>
  <c r="H342" i="8" s="1"/>
  <c r="K5" i="3" l="1"/>
  <c r="N8" i="3"/>
  <c r="N5" i="3" s="1"/>
  <c r="I347" i="8"/>
  <c r="G21" i="7" l="1"/>
  <c r="G7" i="7" s="1"/>
  <c r="F9" i="6" l="1"/>
  <c r="F15" i="6"/>
  <c r="G49" i="7"/>
  <c r="L340" i="8"/>
  <c r="L339" i="8" s="1"/>
  <c r="L338" i="8" s="1"/>
  <c r="L337" i="8" s="1"/>
  <c r="L336" i="8" s="1"/>
  <c r="L335" i="8" s="1"/>
  <c r="L334" i="8" s="1"/>
  <c r="M340" i="8"/>
  <c r="M339" i="8" s="1"/>
  <c r="M338" i="8" s="1"/>
  <c r="M337" i="8" s="1"/>
  <c r="M336" i="8" s="1"/>
  <c r="M335" i="8" s="1"/>
  <c r="M334" i="8" s="1"/>
  <c r="K340" i="8"/>
  <c r="K339" i="8" s="1"/>
  <c r="I341" i="8"/>
  <c r="H339" i="8" l="1"/>
  <c r="K338" i="8"/>
  <c r="L349" i="8"/>
  <c r="J23" i="7" s="1"/>
  <c r="J9" i="7" s="1"/>
  <c r="L333" i="8"/>
  <c r="M349" i="8"/>
  <c r="K23" i="7" s="1"/>
  <c r="K9" i="7" s="1"/>
  <c r="M333" i="8"/>
  <c r="I340" i="8"/>
  <c r="H341" i="8"/>
  <c r="H340" i="8" s="1"/>
  <c r="I346" i="8"/>
  <c r="G20" i="7" s="1"/>
  <c r="F7" i="6" s="1"/>
  <c r="F6" i="6" s="1"/>
  <c r="F5" i="6" l="1"/>
  <c r="F13" i="6"/>
  <c r="I345" i="8"/>
  <c r="J11" i="6"/>
  <c r="M18" i="1" s="1"/>
  <c r="K51" i="7"/>
  <c r="M348" i="8"/>
  <c r="K22" i="7" s="1"/>
  <c r="K8" i="7" s="1"/>
  <c r="M332" i="8"/>
  <c r="L348" i="8"/>
  <c r="J22" i="7" s="1"/>
  <c r="J8" i="7" s="1"/>
  <c r="L332" i="8"/>
  <c r="H338" i="8"/>
  <c r="K337" i="8"/>
  <c r="I11" i="6"/>
  <c r="L18" i="1" s="1"/>
  <c r="J51" i="7"/>
  <c r="I10" i="6" l="1"/>
  <c r="L17" i="1" s="1"/>
  <c r="J10" i="6"/>
  <c r="M17" i="1" s="1"/>
  <c r="I337" i="8"/>
  <c r="H337" i="8" s="1"/>
  <c r="K336" i="8"/>
  <c r="L331" i="8"/>
  <c r="L347" i="8"/>
  <c r="J21" i="7" s="1"/>
  <c r="J7" i="7" s="1"/>
  <c r="I9" i="6" s="1"/>
  <c r="M347" i="8"/>
  <c r="K21" i="7" s="1"/>
  <c r="K7" i="7" s="1"/>
  <c r="J9" i="6" s="1"/>
  <c r="M331" i="8"/>
  <c r="G19" i="7"/>
  <c r="G6" i="7"/>
  <c r="N13" i="7"/>
  <c r="G54" i="7"/>
  <c r="G55" i="7" s="1"/>
  <c r="G5" i="7" l="1"/>
  <c r="G48" i="7"/>
  <c r="M330" i="8"/>
  <c r="M329" i="8" s="1"/>
  <c r="M328" i="8" s="1"/>
  <c r="M327" i="8" s="1"/>
  <c r="M326" i="8" s="1"/>
  <c r="M325" i="8" s="1"/>
  <c r="M346" i="8"/>
  <c r="L16" i="1"/>
  <c r="J49" i="7"/>
  <c r="I336" i="8"/>
  <c r="K335" i="8"/>
  <c r="K334" i="8" s="1"/>
  <c r="K49" i="7"/>
  <c r="M16" i="1"/>
  <c r="L330" i="8"/>
  <c r="L329" i="8" s="1"/>
  <c r="L328" i="8" s="1"/>
  <c r="L327" i="8" s="1"/>
  <c r="L326" i="8" s="1"/>
  <c r="L325" i="8" s="1"/>
  <c r="L346" i="8"/>
  <c r="I335" i="8" l="1"/>
  <c r="H336" i="8"/>
  <c r="H335" i="8" s="1"/>
  <c r="L345" i="8"/>
  <c r="J20" i="7"/>
  <c r="I7" i="6" s="1"/>
  <c r="I6" i="6" s="1"/>
  <c r="H334" i="8"/>
  <c r="K349" i="8"/>
  <c r="K333" i="8"/>
  <c r="K20" i="7"/>
  <c r="J7" i="6" s="1"/>
  <c r="J6" i="6" s="1"/>
  <c r="M345" i="8"/>
  <c r="G47" i="7"/>
  <c r="H349" i="8" l="1"/>
  <c r="I23" i="7"/>
  <c r="J6" i="7"/>
  <c r="L15" i="1"/>
  <c r="J54" i="7"/>
  <c r="H333" i="8"/>
  <c r="K348" i="8"/>
  <c r="K332" i="8"/>
  <c r="K54" i="7"/>
  <c r="K6" i="7"/>
  <c r="M15" i="1"/>
  <c r="K5" i="7" l="1"/>
  <c r="K48" i="7"/>
  <c r="K47" i="7" s="1"/>
  <c r="H332" i="8"/>
  <c r="K347" i="8"/>
  <c r="K331" i="8"/>
  <c r="I5" i="6"/>
  <c r="L19" i="1"/>
  <c r="I9" i="7"/>
  <c r="F23" i="7"/>
  <c r="J5" i="6"/>
  <c r="M19" i="1"/>
  <c r="H348" i="8"/>
  <c r="I22" i="7"/>
  <c r="J5" i="7"/>
  <c r="J48" i="7"/>
  <c r="J47" i="7" s="1"/>
  <c r="F22" i="7" l="1"/>
  <c r="I8" i="7"/>
  <c r="H10" i="6" s="1"/>
  <c r="F9" i="7"/>
  <c r="I51" i="7"/>
  <c r="F51" i="7" s="1"/>
  <c r="H11" i="6"/>
  <c r="H347" i="8"/>
  <c r="I21" i="7"/>
  <c r="H331" i="8"/>
  <c r="H330" i="8" s="1"/>
  <c r="E330" i="8" s="1"/>
  <c r="K330" i="8"/>
  <c r="K329" i="8" s="1"/>
  <c r="K346" i="8"/>
  <c r="F8" i="7" l="1"/>
  <c r="K345" i="8"/>
  <c r="I20" i="7"/>
  <c r="H7" i="6" s="1"/>
  <c r="H6" i="6" s="1"/>
  <c r="K6" i="6" s="1"/>
  <c r="H346" i="8"/>
  <c r="H345" i="8" s="1"/>
  <c r="H329" i="8"/>
  <c r="K328" i="8"/>
  <c r="F21" i="7"/>
  <c r="I7" i="7"/>
  <c r="H9" i="6" s="1"/>
  <c r="K11" i="6"/>
  <c r="O11" i="6" s="1"/>
  <c r="K18" i="1"/>
  <c r="H18" i="1" s="1"/>
  <c r="O18" i="1" s="1"/>
  <c r="O6" i="6" l="1"/>
  <c r="K10" i="6"/>
  <c r="O10" i="6" s="1"/>
  <c r="K17" i="1"/>
  <c r="H17" i="1" s="1"/>
  <c r="O17" i="1" s="1"/>
  <c r="I54" i="7"/>
  <c r="I6" i="7"/>
  <c r="F20" i="7"/>
  <c r="F19" i="7" s="1"/>
  <c r="F7" i="7"/>
  <c r="I49" i="7"/>
  <c r="F49" i="7" s="1"/>
  <c r="K16" i="1"/>
  <c r="K327" i="8"/>
  <c r="H328" i="8"/>
  <c r="H327" i="8" l="1"/>
  <c r="K326" i="8"/>
  <c r="K9" i="6"/>
  <c r="I5" i="7"/>
  <c r="I48" i="7"/>
  <c r="F6" i="7"/>
  <c r="F5" i="7" s="1"/>
  <c r="K15" i="1"/>
  <c r="K7" i="6"/>
  <c r="O7" i="6" s="1"/>
  <c r="O9" i="6" l="1"/>
  <c r="O5" i="6" s="1"/>
  <c r="K5" i="6"/>
  <c r="H5" i="6"/>
  <c r="I47" i="7"/>
  <c r="F48" i="7"/>
  <c r="F47" i="7" s="1"/>
  <c r="H326" i="8"/>
  <c r="H325" i="8" s="1"/>
  <c r="K325" i="8"/>
  <c r="K19" i="1" l="1"/>
  <c r="K22" i="1"/>
  <c r="P225" i="11"/>
  <c r="H231" i="11" l="1"/>
  <c r="H229" i="11" s="1"/>
  <c r="E229" i="11" s="1"/>
  <c r="I228" i="11"/>
  <c r="I226" i="11" l="1"/>
  <c r="H228" i="11"/>
  <c r="H226" i="11" s="1"/>
  <c r="I248" i="11"/>
  <c r="I297" i="11" s="1"/>
  <c r="H297" i="11" s="1"/>
  <c r="I249" i="11" l="1"/>
  <c r="H252" i="11"/>
  <c r="H249" i="11" s="1"/>
  <c r="G27" i="10"/>
  <c r="H248" i="11"/>
  <c r="H236" i="11"/>
  <c r="H247" i="11" l="1"/>
  <c r="I247" i="11"/>
  <c r="I298" i="11"/>
  <c r="X41" i="10"/>
  <c r="X40" i="10" s="1"/>
  <c r="X39" i="10" s="1"/>
  <c r="R14" i="10"/>
  <c r="G71" i="10"/>
  <c r="F27" i="10"/>
  <c r="G13" i="10"/>
  <c r="F7" i="9"/>
  <c r="H237" i="11"/>
  <c r="H235" i="11" s="1"/>
  <c r="H250" i="11"/>
  <c r="H298" i="11" l="1"/>
  <c r="H296" i="11" s="1"/>
  <c r="G28" i="10"/>
  <c r="I296" i="11"/>
  <c r="G79" i="10"/>
  <c r="F79" i="10" s="1"/>
  <c r="F71" i="10"/>
  <c r="G68" i="10"/>
  <c r="W32" i="10"/>
  <c r="Z35" i="10" s="1"/>
  <c r="F13" i="10"/>
  <c r="K7" i="9"/>
  <c r="N7" i="9" s="1"/>
  <c r="N6" i="9" s="1"/>
  <c r="F6" i="9"/>
  <c r="K6" i="9" l="1"/>
  <c r="I15" i="1"/>
  <c r="G81" i="10"/>
  <c r="F68" i="10"/>
  <c r="F28" i="10"/>
  <c r="F26" i="10" s="1"/>
  <c r="G14" i="10"/>
  <c r="G26" i="10"/>
  <c r="W33" i="10" l="1"/>
  <c r="F14" i="10"/>
  <c r="F12" i="10" s="1"/>
  <c r="F16" i="9"/>
  <c r="G69" i="10"/>
  <c r="G12" i="10"/>
  <c r="I22" i="1"/>
  <c r="Q15" i="1"/>
  <c r="H15" i="1"/>
  <c r="O15" i="1" s="1"/>
  <c r="F69" i="10" l="1"/>
  <c r="F67" i="10" s="1"/>
  <c r="G67" i="10"/>
  <c r="W31" i="10"/>
  <c r="R15" i="10"/>
  <c r="K16" i="9"/>
  <c r="N16" i="9" s="1"/>
  <c r="N5" i="9" s="1"/>
  <c r="I16" i="1"/>
  <c r="F5" i="9"/>
  <c r="K5" i="9" s="1"/>
  <c r="H16" i="1" l="1"/>
  <c r="O16" i="1" s="1"/>
  <c r="O19" i="1" s="1"/>
  <c r="Q16" i="1"/>
  <c r="I19" i="1"/>
  <c r="Q19" i="1" l="1"/>
  <c r="H19" i="1"/>
</calcChain>
</file>

<file path=xl/comments1.xml><?xml version="1.0" encoding="utf-8"?>
<comments xmlns="http://schemas.openxmlformats.org/spreadsheetml/2006/main">
  <authors>
    <author>Автор</author>
  </authors>
  <commentList>
    <comment ref="B301" authorId="0" guid="{C1CF8F17-C836-453F-B6CC-19D788FAEC6A}" shapeId="0">
      <text>
        <r>
          <rPr>
            <b/>
            <sz val="9"/>
            <color indexed="81"/>
            <rFont val="Tahoma"/>
            <family val="2"/>
            <charset val="204"/>
          </rPr>
          <t>Автор:</t>
        </r>
        <r>
          <rPr>
            <sz val="9"/>
            <color indexed="81"/>
            <rFont val="Tahoma"/>
            <family val="2"/>
            <charset val="204"/>
          </rPr>
          <t xml:space="preserve">
Замена объекта в утвержденой версии был </t>
        </r>
        <r>
          <rPr>
            <i/>
            <sz val="9"/>
            <color indexed="81"/>
            <rFont val="Tahoma"/>
            <family val="2"/>
            <charset val="204"/>
          </rPr>
          <t xml:space="preserve">"Приобретение, монтаж и ввод в эксплуатацию станции водоподготовки на ВЗУ с. Куликово Дмитровский  м.р.(с.п. Куликовское)". </t>
        </r>
        <r>
          <rPr>
            <sz val="9"/>
            <color indexed="81"/>
            <rFont val="Tahoma"/>
            <family val="2"/>
            <charset val="204"/>
          </rPr>
          <t xml:space="preserve">Деньги поменялись. </t>
        </r>
      </text>
    </comment>
    <comment ref="B322" authorId="0" guid="{AD289EFE-4486-4B3F-9162-318DCA3363C8}" shapeId="0">
      <text>
        <r>
          <rPr>
            <b/>
            <sz val="11"/>
            <color indexed="81"/>
            <rFont val="Times New Roman"/>
            <family val="1"/>
            <charset val="204"/>
          </rPr>
          <t>Автор:</t>
        </r>
        <r>
          <rPr>
            <sz val="11"/>
            <color indexed="81"/>
            <rFont val="Times New Roman"/>
            <family val="1"/>
            <charset val="204"/>
          </rPr>
          <t xml:space="preserve">
Замена наименования объекта деньги не менялись. Первоночальный объект был</t>
        </r>
        <r>
          <rPr>
            <i/>
            <sz val="11"/>
            <color indexed="81"/>
            <rFont val="Times New Roman"/>
            <family val="1"/>
            <charset val="204"/>
          </rPr>
          <t xml:space="preserve"> "Приобретение, монтаж и ввод в эксплуатацию станции водоподготовки на ВЗУ   д. Клюшниково Дмитровский м.р.(с.п. Куликовское)"</t>
        </r>
      </text>
    </comment>
  </commentList>
</comments>
</file>

<file path=xl/comments2.xml><?xml version="1.0" encoding="utf-8"?>
<comments xmlns="http://schemas.openxmlformats.org/spreadsheetml/2006/main">
  <authors>
    <author>Автор</author>
  </authors>
  <commentList>
    <comment ref="D340" authorId="0" guid="{068B66C5-970A-4A1C-9129-6F86401A172A}" shapeId="0">
      <text>
        <r>
          <rPr>
            <b/>
            <sz val="9"/>
            <color indexed="81"/>
            <rFont val="Tahoma"/>
            <family val="2"/>
            <charset val="204"/>
          </rPr>
          <t>Автор:</t>
        </r>
        <r>
          <rPr>
            <sz val="9"/>
            <color indexed="81"/>
            <rFont val="Tahoma"/>
            <family val="2"/>
            <charset val="204"/>
          </rPr>
          <t xml:space="preserve">
существующая производительность - 6500 куб.м/сут.</t>
        </r>
      </text>
    </comment>
    <comment ref="D360" authorId="0" guid="{F2B46863-FD56-4599-92D4-014BCD5A79CF}" shapeId="0">
      <text>
        <r>
          <rPr>
            <b/>
            <sz val="9"/>
            <color indexed="81"/>
            <rFont val="Tahoma"/>
            <family val="2"/>
            <charset val="204"/>
          </rPr>
          <t>Автор:</t>
        </r>
        <r>
          <rPr>
            <sz val="9"/>
            <color indexed="81"/>
            <rFont val="Tahoma"/>
            <family val="2"/>
            <charset val="204"/>
          </rPr>
          <t xml:space="preserve">
существующая производительность - 6500 куб.м/сут.</t>
        </r>
      </text>
    </comment>
  </commentList>
</comments>
</file>

<file path=xl/comments3.xml><?xml version="1.0" encoding="utf-8"?>
<comments xmlns="http://schemas.openxmlformats.org/spreadsheetml/2006/main">
  <authors>
    <author>Автор</author>
  </authors>
  <commentList>
    <comment ref="H719" authorId="0" guid="{55ADD68E-D1F2-4BBD-AB31-0CDE76E4C63E}" shapeId="0">
      <text>
        <r>
          <rPr>
            <b/>
            <sz val="9"/>
            <color indexed="81"/>
            <rFont val="Tahoma"/>
            <family val="2"/>
            <charset val="204"/>
          </rPr>
          <t>Автор:</t>
        </r>
        <r>
          <rPr>
            <sz val="9"/>
            <color indexed="81"/>
            <rFont val="Tahoma"/>
            <family val="2"/>
            <charset val="204"/>
          </rPr>
          <t xml:space="preserve">
по экспертизе сумма</t>
        </r>
      </text>
    </comment>
  </commentList>
</comments>
</file>

<file path=xl/sharedStrings.xml><?xml version="1.0" encoding="utf-8"?>
<sst xmlns="http://schemas.openxmlformats.org/spreadsheetml/2006/main" count="5154" uniqueCount="1713">
  <si>
    <t xml:space="preserve">Государственный заказчик подпрограммы
</t>
  </si>
  <si>
    <t xml:space="preserve">Министерство жилищно-коммунального хозяйства Московской области
</t>
  </si>
  <si>
    <t xml:space="preserve">Средства бюджета Московской области
</t>
  </si>
  <si>
    <t xml:space="preserve">Средства бюджетов муниципальных образований Московской области
</t>
  </si>
  <si>
    <t>2018 год</t>
  </si>
  <si>
    <t xml:space="preserve">Итого
</t>
  </si>
  <si>
    <t xml:space="preserve">Источники финансирования
</t>
  </si>
  <si>
    <t xml:space="preserve">Срок исполнения мероприятий
(годы)
</t>
  </si>
  <si>
    <t xml:space="preserve">Всего (тыс. руб.)
</t>
  </si>
  <si>
    <t xml:space="preserve">Объем финансирования по годам
(тыс. руб.)
</t>
  </si>
  <si>
    <t xml:space="preserve">Ответственный за выполнение мероприятия подпрограммы
</t>
  </si>
  <si>
    <t xml:space="preserve">Результаты выполнения мероприятий подпрограммы
</t>
  </si>
  <si>
    <t>Итого</t>
  </si>
  <si>
    <t>Средства бюджета Московской области</t>
  </si>
  <si>
    <t>Средства бюджетов муниципальных образований Московской области</t>
  </si>
  <si>
    <t>Внебюджетные источники</t>
  </si>
  <si>
    <t>Министерство жилищно-коммунального хозяйства Московской области</t>
  </si>
  <si>
    <t xml:space="preserve">Главное управление Московской области "Государственная жилищная инспекция Московской области"
</t>
  </si>
  <si>
    <t xml:space="preserve">Главное управление государственного административно-технического надзора Московской области
</t>
  </si>
  <si>
    <t xml:space="preserve">Мероприятия по реализации подпрограммы </t>
  </si>
  <si>
    <t xml:space="preserve">
Средства бюджета Московской области</t>
  </si>
  <si>
    <t xml:space="preserve">Проведение областных смотров-конкурсов, фестивалей в сферах благоустройства и коммунального хозяйства
</t>
  </si>
  <si>
    <t>Определение и награждение победителя</t>
  </si>
  <si>
    <t>Субсидии некоммерческим организациям</t>
  </si>
  <si>
    <t xml:space="preserve">Заключение договоров страхования
</t>
  </si>
  <si>
    <t xml:space="preserve">Обеспечение мобилизационной готовности экономики
</t>
  </si>
  <si>
    <t xml:space="preserve">Мобилизационная готовность государственных гражданских служащих Министерства жилищно-коммунального хозяйства Московской области
</t>
  </si>
  <si>
    <t xml:space="preserve">Выполнение государственных функций
</t>
  </si>
  <si>
    <t>Главное управление государственного административно-технического надзора Московской области</t>
  </si>
  <si>
    <t xml:space="preserve">Предоставление субсидии в полном объеме
</t>
  </si>
  <si>
    <t xml:space="preserve">Организация добровольного страхования автотранспортного средства (КАСКО)
</t>
  </si>
  <si>
    <t>Государственный заказчик подпрограммы</t>
  </si>
  <si>
    <t>Городской округ Балашиха</t>
  </si>
  <si>
    <t>Всего</t>
  </si>
  <si>
    <t>Средства бюджетов муниципального образования Московской области</t>
  </si>
  <si>
    <t>Цели государственной программы</t>
  </si>
  <si>
    <t>Обеспечение комфортных условий проживания, повышение качества и условий жизни населения на территории Московской области</t>
  </si>
  <si>
    <t>Координатор государственной программы</t>
  </si>
  <si>
    <t>Заместитель Председателя Правительства Московской области Д.В. Пестов</t>
  </si>
  <si>
    <t>Государственный заказчик государственной программы</t>
  </si>
  <si>
    <t>Источники финансирования государственной программы, в том числе по годам:</t>
  </si>
  <si>
    <t>Расходы (тыс. рублей)</t>
  </si>
  <si>
    <t>Итого:</t>
  </si>
  <si>
    <t xml:space="preserve">№  
п/п
</t>
  </si>
  <si>
    <t xml:space="preserve">Планируемое значение показателя по годам           
реализации                                         
</t>
  </si>
  <si>
    <t>единица</t>
  </si>
  <si>
    <t>№ п/п</t>
  </si>
  <si>
    <t>Министерство строительного комплекса Московской области</t>
  </si>
  <si>
    <t xml:space="preserve">Срок исполнения мероприятий
</t>
  </si>
  <si>
    <t>Годы строительства/ реконструкции/ капитального ремонта</t>
  </si>
  <si>
    <t>Остаток сметной стоимости до ввода в эксплуатацию, тыс. руб.</t>
  </si>
  <si>
    <t>Проектная мощность</t>
  </si>
  <si>
    <t>Предельная стоимость объекта, тыс. руб.</t>
  </si>
  <si>
    <t xml:space="preserve">Источники финансирова-ния </t>
  </si>
  <si>
    <t>ВСЕГО по мероприятию:</t>
  </si>
  <si>
    <t>Наименование муниципального образования/Адрес объекта (наименование объекта)</t>
  </si>
  <si>
    <t>Государственный заказчик: Министерство жилищно-коммунального хозяйства Московской области</t>
  </si>
  <si>
    <t>Финансирование, тыс. руб.</t>
  </si>
  <si>
    <t>Организация обязательного страхования гражданской ответственности владельцев транспортных средств</t>
  </si>
  <si>
    <t xml:space="preserve">Источники финансирования </t>
  </si>
  <si>
    <t>Комитет по ценам и тарифам Московской области</t>
  </si>
  <si>
    <t>Главный распорядитель бюджетных средств</t>
  </si>
  <si>
    <t>Источник финансирования</t>
  </si>
  <si>
    <t>Расходы (тыс. руб.)</t>
  </si>
  <si>
    <t>Перечень подпрограмм</t>
  </si>
  <si>
    <t>Котельная для Московской областной психиатрической больницы № 3 и Егорьевского психоневрологического интерната вблизи деревни Старое, поселок Павлова, в том числе:</t>
  </si>
  <si>
    <t>1.1.3</t>
  </si>
  <si>
    <t>2016-2017</t>
  </si>
  <si>
    <t>Городское поселение Монино Щелковского муниципального района</t>
  </si>
  <si>
    <t>Выполнение государственных функций, приобретение основных средств</t>
  </si>
  <si>
    <t>Волоколамский муниципальный район</t>
  </si>
  <si>
    <t>ГУП Московской области "Коммунальные системы Московской области"</t>
  </si>
  <si>
    <t>Развитие Восточной системы водоснабжения в рамках инвестиционной программы ГУП Московской области "Коммунальные системы Московской области"</t>
  </si>
  <si>
    <t xml:space="preserve">№ п/п
</t>
  </si>
  <si>
    <t xml:space="preserve">Обеспечение деятельности Главного управления Московской области "Государственная жилищная инспекция Московской области"
</t>
  </si>
  <si>
    <t>Субсидии профсоюзной  организации,  созданной в Главном управлении Московской области "Государственная жилищная инспекция Московской области", на проведение культурно-массовых и физкультурно-оздоровительных мероприятий для работников, ветеранов и пенсионеров   Главного управления Московской области "Государственная жилищная инспекция Московской областии" и членов семей работников, а также на мероприятия по организации оздоровительной компании детей работников</t>
  </si>
  <si>
    <t xml:space="preserve">Обеспечение деятельности Главного управления государственного административно-технического надзора Московской области
</t>
  </si>
  <si>
    <t xml:space="preserve">Субсидии профсоюзной  организации, созданной  в Главном управлении государственного административно-технического надзора Московской области,на проведение культурно-массовых и физкультурно-оздоровительных мероприятий для работников, ветеранов и пенсионеров  Главного управления государственного административно-технического надзора Московской области  и членов семей работников, а также на мероприятия по организации оздоровительной компании детей работников
</t>
  </si>
  <si>
    <t xml:space="preserve">Основное мероприятие 3 - Обеспечение деятельности государственного казенного учреждения Московской области "Московская областная специализированная аварийно-восстановительная служба"
 </t>
  </si>
  <si>
    <t xml:space="preserve"> Содержание государственного казенного учреждения Московской области "Московская областная специализированная аварийно-восстановительная служба"
</t>
  </si>
  <si>
    <t>Обязательное страхование гражданской ответственности владельца опасного объекта за причинение вреда в результате аварии на опасном объекте организаций, эксплуатирующих опасные производственные объекты</t>
  </si>
  <si>
    <t xml:space="preserve">Обязательное страхование гражданской ответственности владельцев транспортных средств
</t>
  </si>
  <si>
    <t>2017-2018</t>
  </si>
  <si>
    <t>2013-2018</t>
  </si>
  <si>
    <t>Производительность - 7500 куб.м/сут.</t>
  </si>
  <si>
    <t xml:space="preserve">Подпрограмма  I "Чистая вода" </t>
  </si>
  <si>
    <t>Ногинский муниципальный район</t>
  </si>
  <si>
    <t>Выполнение государственных функций</t>
  </si>
  <si>
    <t>ЗАТО городской округ Молодежный</t>
  </si>
  <si>
    <t>2021 год</t>
  </si>
  <si>
    <t>2020 год</t>
  </si>
  <si>
    <t>2019 год</t>
  </si>
  <si>
    <t>2018</t>
  </si>
  <si>
    <t>2019</t>
  </si>
  <si>
    <t>2020</t>
  </si>
  <si>
    <t>2021</t>
  </si>
  <si>
    <t xml:space="preserve">Разработка комплексной программы  по модернизации  очистных сооружений канализации </t>
  </si>
  <si>
    <t>Сергиево-Посадский муниципальный район</t>
  </si>
  <si>
    <t>1.1.3.1</t>
  </si>
  <si>
    <t>1.1.4</t>
  </si>
  <si>
    <t>Министерство жилищно-коммунального хозяйства  Московской области, органы местного самоуправления муниципальных образований Московской области</t>
  </si>
  <si>
    <t>Министерство жилищно-коммунального хозяйства Московской области, ГУП Московской области "Коммунальные системы Московской области"</t>
  </si>
  <si>
    <t xml:space="preserve">Ответствен-ный за выполнение мероприятия подпрограммы
</t>
  </si>
  <si>
    <t xml:space="preserve">Городской округ Шаховская </t>
  </si>
  <si>
    <t>1.1.1.1</t>
  </si>
  <si>
    <t>Государственный заказчик: Министерство жилищно-коммунального хозяйства Московской области.</t>
  </si>
  <si>
    <t>Финансирование, в том числе распределение межбюджетных трансфертов из бюджета Московской области, тыс. руб.</t>
  </si>
  <si>
    <t>1.1.2.1</t>
  </si>
  <si>
    <t>Городское поселение Черкизово Пушкинского муниципального района</t>
  </si>
  <si>
    <t>Производительность - 4000 куб.м/сутки</t>
  </si>
  <si>
    <t>Городское поселение Пушкино Пушкинского муниципального района</t>
  </si>
  <si>
    <t>Производительность - 3840 куб.м/сутки</t>
  </si>
  <si>
    <t>Городской округ Рошаль</t>
  </si>
  <si>
    <t>1.1.1</t>
  </si>
  <si>
    <t>1.1.2</t>
  </si>
  <si>
    <t>1.1</t>
  </si>
  <si>
    <t>1.2</t>
  </si>
  <si>
    <t>1.2.1</t>
  </si>
  <si>
    <t>1.2.2</t>
  </si>
  <si>
    <t>1.3</t>
  </si>
  <si>
    <t>1.3.1</t>
  </si>
  <si>
    <t>проектно-изыскательские работы</t>
  </si>
  <si>
    <t>Субсидия  государственным унитарным предприятиям Московской области на осуществление строительства (реконструкции) объектов водоснабжения</t>
  </si>
  <si>
    <t>-</t>
  </si>
  <si>
    <t>Городской округ Подольск</t>
  </si>
  <si>
    <t>Субсидии профсоюзной  организации,  созданной в Министерстве жилищно-коммунального хозяйства Московской области, на проведение культурно-массовых и физкультурно-оздоровительных мероприятий для работников, ветеранов и пенсионеров Министерства жилищно-коммунального хозяйства Московской области и членов семей работников, а также на мероприятия по организации оздоровительной компании детей указанных работников</t>
  </si>
  <si>
    <t>1.1.5</t>
  </si>
  <si>
    <t>1.1.6</t>
  </si>
  <si>
    <t>1.1.7</t>
  </si>
  <si>
    <t>1.1.7.1</t>
  </si>
  <si>
    <t>1.1.8</t>
  </si>
  <si>
    <t>1.3.2</t>
  </si>
  <si>
    <t>Городское поселение Вербилки Талдомского муниципального района</t>
  </si>
  <si>
    <t>Производительность - 4000куб.м/сутки (1я очередь - 2100 куб.м/сутки)</t>
  </si>
  <si>
    <t>Городское поселение Щёлково Щёлковского муниципального района</t>
  </si>
  <si>
    <t>Городской округ Фрязино</t>
  </si>
  <si>
    <t>Городское поселение Северный Талдомский муниципальный район</t>
  </si>
  <si>
    <t>Мощность - 11 МВт</t>
  </si>
  <si>
    <t>Проектная мощность - 20 тыс. куб.м/сутки</t>
  </si>
  <si>
    <t>Мощность - 5,9 МВт</t>
  </si>
  <si>
    <t>Мощность - 45 МВт</t>
  </si>
  <si>
    <t>Городской округ Кашира</t>
  </si>
  <si>
    <t>Городское поселение Щелково Щелковского муниципального района</t>
  </si>
  <si>
    <t>1.1.4.1</t>
  </si>
  <si>
    <t>Средства Фонда содействия реформированию жилищно-коммунального хозяйства</t>
  </si>
  <si>
    <t>Ответственный за выполнение мероприятия: Министерство жилищно-коммунального хозяйства Московской области, органы местного самоуправления муниципальных образований Московской области, хозяйствующие субъекты</t>
  </si>
  <si>
    <t>№ муниципаль-ного образования/объекта (согласно перечню мероприятий)</t>
  </si>
  <si>
    <t>1.4</t>
  </si>
  <si>
    <t>2017-2019</t>
  </si>
  <si>
    <t>2.1</t>
  </si>
  <si>
    <t xml:space="preserve">Всего, в том числе по годам
</t>
  </si>
  <si>
    <t>Городской округ Краснознаменск</t>
  </si>
  <si>
    <t>Чеховский муниципальный район</t>
  </si>
  <si>
    <t>Мощность -10,5 Гкал/час</t>
  </si>
  <si>
    <t>Мощность -0,5 Гкал/час</t>
  </si>
  <si>
    <t>Мощность -6,5 Гкал/час</t>
  </si>
  <si>
    <t>Солнечногорский муниципальный район</t>
  </si>
  <si>
    <t>Д=300 мм - 0,7 км;  Д=400 мм - 1,8 км;                        Д=500 мм - 0,7 км;  Д=600 мм - 0,3 км; Д=1200 мм - 0,3 км</t>
  </si>
  <si>
    <t>Мощность - 500 куб.м/сут</t>
  </si>
  <si>
    <t>Министерство здравоохранения Московской области</t>
  </si>
  <si>
    <t>2.2</t>
  </si>
  <si>
    <t>Производительность - 12 000 куб.м./сутки</t>
  </si>
  <si>
    <t xml:space="preserve">Строительство ВЗУ по адресу: г. Волоколамск, ул. Пороховская 
</t>
  </si>
  <si>
    <t>Производительность 800 куб.м/сут.</t>
  </si>
  <si>
    <t>Солнечногорский  муниципальный район</t>
  </si>
  <si>
    <t xml:space="preserve">Мощность -2МВт </t>
  </si>
  <si>
    <t>Строительство блочно-модульной котельной 45МВт по адресу: Московская область, г.о.Рошаль, ул. Коммунаров, д. 9 (в том числе технологическое присоединение)</t>
  </si>
  <si>
    <t>Строительство блочно-модульной котельной 45МВт по адресу: Московская область, г.о.Рошаль, ул. Свердлова, северо-восточнее д.25 (в том числе технологическое присоединение)</t>
  </si>
  <si>
    <t>корректировка проекта</t>
  </si>
  <si>
    <t>1) Объем финансирования  объектов подлежит уточнению по итогам получения положительного заключения органа экспертизы на проектную документацию и инженерные изыскания, а также  положительного заключения органа экспертизы по проверке достоверности определения сметной стоимости путем внесения изменений в Программу.</t>
  </si>
  <si>
    <t>Строительство физкультурно-оздоровительного комплекса с плавательным бассейном по адресу: г.о. Балашиха, мкр. Заря, в том числе ПИР</t>
  </si>
  <si>
    <t>Реконструкция плавательного бассейна по адресу: Щелковский муниципальный район, г.п. Монино, п. Монино, в том числе ПИР</t>
  </si>
  <si>
    <t>Производительность - 1500 куб.м/сут.</t>
  </si>
  <si>
    <t>ЗАТО Власиха</t>
  </si>
  <si>
    <t>городской округ Электросталь</t>
  </si>
  <si>
    <t xml:space="preserve">Канализационные очистные сооружения хозяйственно-бытовых сточных вод производительностью 1500 куб.м/сут. по адресу: п. Молодежный, в том числе: </t>
  </si>
  <si>
    <t>проектно-изыскательские работы ( в том числе погашение кредиторской задолженности за работы, выполненные в 2016 году: 2017 год - 287,92 тыс.руб.)</t>
  </si>
  <si>
    <t>Реконструкция ВЗУ с установкой станций обезжелезивания и УФ-обеззараживание по адресу: пос. Чернецкое, г. Чехов-7, ул. Победы, военный городок №  18, в том числе:</t>
  </si>
  <si>
    <t>Производительность - 120куб.м/сут.</t>
  </si>
  <si>
    <t>Мощность - 29МВт</t>
  </si>
  <si>
    <t>Мощность - 15Гкал/час</t>
  </si>
  <si>
    <t>Реконструкция котельной № 6 по адресу: пос.Чернецкое, г. Чехов-7, ул. Победы, военный городок №  18 ( в том числе ПИР)</t>
  </si>
  <si>
    <t>Реконструкция тепловых сетей   по адресу: пос.Чернецкое, г. Чехов-7 (в том числе ПИР)</t>
  </si>
  <si>
    <t>Производительность - 3000куб.м/сут.</t>
  </si>
  <si>
    <t>Реконструкция очистных сооружений канализации по адресу: пос.Чернецкое, г. Чехов-7, ул. Победы, военный городок №  18, в том числе:</t>
  </si>
  <si>
    <t>Мощность - 20МВт</t>
  </si>
  <si>
    <t>Строительство газовой котельной 20МВт по адресу: городской округ Балашиха, мкр. Северный, в том числе:</t>
  </si>
  <si>
    <t>Строительство модульных очистных сооружений, расположенных по адресу: Ступинский муниципальный район, п. Михнево-3, в том числе:</t>
  </si>
  <si>
    <t>Производительность - 100 куб.м/сут.</t>
  </si>
  <si>
    <t>Мощность - 25МВт</t>
  </si>
  <si>
    <t>Строительство котельной мощностью 25 МВт по адресу: г.п. Щелково, Щелково-4, ул. Беляева</t>
  </si>
  <si>
    <t>Городской округ Жуковский</t>
  </si>
  <si>
    <t>1.1.6.1</t>
  </si>
  <si>
    <t>Строительство магистрального коллектора системы ливневой канализации с выпуском в реку Пахра на территории Подольского муниципального района  ( в том числе погашение кредиторской задолженности органов местного самоуправления муниципального образования за работы, выполненные в предшествующие годы: 2015 г. – 14258,99 тыс. руб.), в том числе: 1)</t>
  </si>
  <si>
    <t xml:space="preserve">Основное мероприятие 2 - Обеспечение деятельности государственного казенного учреждения Московской области "Агентство развития коммунальной инфраструктуры"
 </t>
  </si>
  <si>
    <t xml:space="preserve">Содержание государственного казенного учреждения Московской области "Агентство развития коммунальной инфраструктуры"
</t>
  </si>
  <si>
    <t>Министерство жилищно-коммунального хозяйства Московской области, государственное казенное учреждение Московской области «Агентство развития коммунальной инфраструктуры»</t>
  </si>
  <si>
    <t xml:space="preserve"> Обеспечение деятельности государственного казенного учреждения Московской области «Агентство развития коммунальной инфраструктуры»</t>
  </si>
  <si>
    <t>Заключение договоров страхования</t>
  </si>
  <si>
    <t>Министерство жилищно-коммунального хозяйства Московской области, государственное казенное учреждение Московской области «Московская областная специализирован-ная аварийно-восстановитель-ная служба»</t>
  </si>
  <si>
    <t>Обеспечение деятельности государственного казенного учреждения Московской области «Московская областная специализи-рованная аварийно-восстанови-тельная служба»</t>
  </si>
  <si>
    <t xml:space="preserve">Итого:
</t>
  </si>
  <si>
    <t>км</t>
  </si>
  <si>
    <t>Строительство Дома культуры  "Молодёжный", в том числе ПИР</t>
  </si>
  <si>
    <t>Реконструкция котельной № 2 с демонтажем дымовой трубы в п. Власиха (в том числе ПИР)</t>
  </si>
  <si>
    <t>2013-2019</t>
  </si>
  <si>
    <t>Реконструкция котельной, строительство газопровода и инженерных коммуникаций на территории оздоровительной базы государственного образовательного учреждения высшего профессионального образования Московского государственного областного университета в сельском поселении Бужаровское, деревня Ламишино Истринского муниципального района (городской округ Истра), в том числе:</t>
  </si>
  <si>
    <t>НЕРАСПРЕДЕЛЕННЫЙ ОСТАТОК СУБСИДИИ</t>
  </si>
  <si>
    <t>2018-2019</t>
  </si>
  <si>
    <t>Реконструкция котельной № 123 по адресу: Ногинский муниципальный район, с.п. Мамонтовское, военный городок Ногинск-9, в том числе:</t>
  </si>
  <si>
    <t>Мощность -21,81 МВт</t>
  </si>
  <si>
    <r>
      <t xml:space="preserve">в том числе: корректировка проекта  (оплата ПИР) </t>
    </r>
    <r>
      <rPr>
        <vertAlign val="superscript"/>
        <sz val="9"/>
        <rFont val="Times New Roman"/>
        <family val="1"/>
        <charset val="204"/>
      </rPr>
      <t>1)</t>
    </r>
  </si>
  <si>
    <r>
      <t>кроме того: строительный контроль</t>
    </r>
    <r>
      <rPr>
        <vertAlign val="superscript"/>
        <sz val="9"/>
        <rFont val="Times New Roman"/>
        <family val="1"/>
        <charset val="204"/>
      </rPr>
      <t>2)</t>
    </r>
  </si>
  <si>
    <r>
      <t>проектно-изыскательские работы (оплата ПИР)</t>
    </r>
    <r>
      <rPr>
        <vertAlign val="superscript"/>
        <sz val="9"/>
        <rFont val="Times New Roman"/>
        <family val="1"/>
        <charset val="204"/>
      </rPr>
      <t>3)</t>
    </r>
  </si>
  <si>
    <r>
      <t xml:space="preserve">проектно-изыскательские работы (оплата ПИР) </t>
    </r>
    <r>
      <rPr>
        <vertAlign val="superscript"/>
        <sz val="9"/>
        <rFont val="Times New Roman"/>
        <family val="1"/>
        <charset val="204"/>
      </rPr>
      <t>4)</t>
    </r>
  </si>
  <si>
    <r>
      <rPr>
        <vertAlign val="superscript"/>
        <sz val="12"/>
        <rFont val="Times New Roman"/>
        <family val="1"/>
        <charset val="204"/>
      </rPr>
      <t>1)</t>
    </r>
    <r>
      <rPr>
        <sz val="12"/>
        <rFont val="Times New Roman"/>
        <family val="1"/>
        <charset val="204"/>
      </rPr>
      <t xml:space="preserve"> Финансирование до 2014 года мероприятия осуществлялось за счет средств бюджета Московской области (в размере 3 445,35 тыс. руб.) в рамках постановления Правительства Московской области от 14.07.2008  № 561/26 «Об утверждении Порядка осуществления бюджетных инвестиций  и Перечня объектов капитального строительства и реконструкции государственной собственности Московской области, финансируемых из бюджета Московской области за счет бюджетных ассигнований, предусматриваемых Министерству строительного комплекса Московской области на осуществление бюджетных инвестиций».</t>
    </r>
  </si>
  <si>
    <r>
      <rPr>
        <vertAlign val="superscript"/>
        <sz val="12"/>
        <rFont val="Times New Roman"/>
        <family val="1"/>
        <charset val="204"/>
      </rPr>
      <t>2)</t>
    </r>
    <r>
      <rPr>
        <sz val="12"/>
        <rFont val="Times New Roman"/>
        <family val="1"/>
        <charset val="204"/>
      </rPr>
      <t xml:space="preserve"> Расходы на выполнение строительного контроля учитываются в составе субсидии на финансовое обеспечение выполнения государственного задания на оказание государственных услуг  Государственному бюджетному учреждению Московской области «Управление контроля за строительством» в рамках «Обеспечивающей подпрограммы» государственной программы Московской области «Жилище».</t>
    </r>
  </si>
  <si>
    <r>
      <rPr>
        <vertAlign val="superscript"/>
        <sz val="12"/>
        <rFont val="Times New Roman"/>
        <family val="1"/>
        <charset val="204"/>
      </rPr>
      <t>3)</t>
    </r>
    <r>
      <rPr>
        <sz val="12"/>
        <rFont val="Times New Roman"/>
        <family val="1"/>
        <charset val="204"/>
      </rPr>
      <t xml:space="preserve"> Финансирование в 2014 году мероприятия (в части выполнения ПИР) осуществлялось за счет средств бюджета Московской области  (в размере 2 603,00 тыс. руб.) в рамках государственной программы Московской области «Энергоэффективность и развитие энергетики».</t>
    </r>
  </si>
  <si>
    <r>
      <rPr>
        <vertAlign val="superscript"/>
        <sz val="12"/>
        <rFont val="Times New Roman"/>
        <family val="1"/>
        <charset val="204"/>
      </rPr>
      <t>4)</t>
    </r>
    <r>
      <rPr>
        <sz val="12"/>
        <rFont val="Times New Roman"/>
        <family val="1"/>
        <charset val="204"/>
      </rPr>
      <t xml:space="preserve"> Финансирование в 2014 году мероприятия (в части выполнения ПИР) осуществлялось за счет средств бюджета Московской области (в размере 3 325,00 тыс. руб.) в рамках государственной программы Московской области «Энергоэффективность и развитие энергетики».</t>
    </r>
  </si>
  <si>
    <t xml:space="preserve"> Волоколамский муниципальный район</t>
  </si>
  <si>
    <t>Источники финансирования подпрограммы по годам реализации и главным распорядителеям бюджетных средств, в том числе по годам:</t>
  </si>
  <si>
    <t>2022 год</t>
  </si>
  <si>
    <t>Всего в том числе:</t>
  </si>
  <si>
    <t>Средства бюджета Московской области, в том числе:</t>
  </si>
  <si>
    <t>Мероприятие подпрограммы</t>
  </si>
  <si>
    <t xml:space="preserve">Объем финанси-рования мероприятия в 2017 году (тыс. руб.)
</t>
  </si>
  <si>
    <t>2022</t>
  </si>
  <si>
    <t>2018-2022</t>
  </si>
  <si>
    <t xml:space="preserve">Предоставление субсидий из бюджета Московской области бюджетам муниципальных образований Московской области на  капитальный ремонт, приобретение, монтаж и ввод в эксплуатацию  объектов водоснабжения </t>
  </si>
  <si>
    <t xml:space="preserve">Предоставление субсидий из бюджета Московской области бюджетам муниципальных образований Московской области на строительство и реконструкцию объектов водоснабжения </t>
  </si>
  <si>
    <t>Основное мероприятие 2 -   Развитие Восточной системы водоснабжения</t>
  </si>
  <si>
    <t>Внебюджетные средства</t>
  </si>
  <si>
    <t>городской округ Луховицы</t>
  </si>
  <si>
    <t xml:space="preserve">городское поселение Раменское Раменского муниципального района </t>
  </si>
  <si>
    <t>Строительство станции обезжелезивания на ВЗУ №3а по адресу: Московская область, г. Кашира, ул. Окская )  1)</t>
  </si>
  <si>
    <t>Строительство станции очистки воды по адресу: Солнечногорский муниципальный район, сельское поселение  Кривцовское,                           д. Кривцово, ВЗУ № 13 (в том числе ПИР) 1)</t>
  </si>
  <si>
    <t xml:space="preserve"> Адресный перечень, предусматривающий капитальные вложения в объекты коммунальной инфраструктуры за счет всех источников финансирования</t>
  </si>
  <si>
    <t xml:space="preserve">Завершение строительства (реконструкции) очистных сооружений и главной канализационной насосной станции в поселке Шаховсая ( в том числе ПИР) </t>
  </si>
  <si>
    <t>2015-2018</t>
  </si>
  <si>
    <t>Проектируемая мощность - 4,5 тыс. куб.м/сут.</t>
  </si>
  <si>
    <t>проектно-изыскательские работы:</t>
  </si>
  <si>
    <t>Строительство очистных сооружений по адресу: с. Кудиново сельское поселение Аксено-Бутырское Ногинский муниципальный район</t>
  </si>
  <si>
    <t>Строительство ВЗУ № 5 по адресу: городской округ Жуковский  (завершение строительства) 1)</t>
  </si>
  <si>
    <t>2500 куб.м/сутки</t>
  </si>
  <si>
    <t xml:space="preserve">Городской округ Красногорск </t>
  </si>
  <si>
    <t>Реконструкция канализационного коллектора с продолжением его от вантузной камеры по левому берегу р. Москвы до пешеходного моста с последыющим прохождением дюкером через реку до регулирующей камеры на правом берегу реки у пешеходного моста, г. Красногорск, мкр. Павшинская пойма 1)</t>
  </si>
  <si>
    <t xml:space="preserve">Реконструкция напорного канализационного коллектора г/п Львовский </t>
  </si>
  <si>
    <t xml:space="preserve">Техническое перевооружение котельной в  с. Шестаково сельского поселения Теряевское Техническое перевооружение котельной в  с. Шестаково сельского поселения Теряевское </t>
  </si>
  <si>
    <t>Строительство котельной по адресу: д. Судниково сельского поселения Спасское (ПИР) 1)</t>
  </si>
  <si>
    <r>
      <t>Газовая котельная мощностью 5,9 МВт с подводящим газопроводом для теплоснабжения многоквартирных жилых домов, расположенных по адресу: Московская область, Рузский городской округ, п. Тучково, ул. Восточная, ул. Заводская 1</t>
    </r>
    <r>
      <rPr>
        <vertAlign val="superscript"/>
        <sz val="10"/>
        <rFont val="Times New Roman"/>
        <family val="1"/>
        <charset val="204"/>
      </rPr>
      <t>)</t>
    </r>
  </si>
  <si>
    <t>Строительство блочно-модульной котельной мощностью 20 МВт с наружными сетями теплоснабжения для обеспечения нужд резидентов индустриального парка, в том числе: 1)</t>
  </si>
  <si>
    <t>Мощность - 20 МВт</t>
  </si>
  <si>
    <t>Мощность - 60МВт</t>
  </si>
  <si>
    <t>Мощность -30 Гкал/час</t>
  </si>
  <si>
    <t>Строительство сетей водоснабжения и водоотведения хозяйственно-бытовых стоков (в том числе техническое присоединение) по адресу: городской округ Жуковский 1)</t>
  </si>
  <si>
    <t xml:space="preserve">Реконструкция инженерных сетей по адресу: городское поселение  Хотьково Сергиево-Посадского мунинципального района </t>
  </si>
  <si>
    <t>Мощность -4,2 МВт</t>
  </si>
  <si>
    <t>Строительство магистральных сетей до существующей котельной (в том числе техническое присоединение) по адресу: городской округ Жуковский 1)</t>
  </si>
  <si>
    <t>Строительство газовой блочно-модульной котельной  мощностью 4,6 МВт по адресу: д. Самотовино сельское поселение Шеметовское Сергиево-Посадского мунинципального района</t>
  </si>
  <si>
    <t>Строительство блочно-модульной котельной  по адресу:  д. Соколово сельского поселения Соколовское  Солнечногорского муниципального района</t>
  </si>
  <si>
    <t>Строительство блочно-модульной котельной по адресу:   д. Лыткино  сельского поселения Соколовское  Солнечногорского муниципального района</t>
  </si>
  <si>
    <t>Строительство блочно-модульной котельной по адресу:  д. Кривцово 3,4 сельское поселение Кривцовское   д. Кривцово 3,4, Солнечногорского мунинципаьного района</t>
  </si>
  <si>
    <t>64 чел. в смену</t>
  </si>
  <si>
    <t>в том числе: демонтаж существующего здания ДК "Молодежный", расположенного по адресу: п. Молодежный, д. 29</t>
  </si>
  <si>
    <t>2016-2018</t>
  </si>
  <si>
    <t xml:space="preserve">Приобретение, монтаж и ввод в эксплуатацию станции водогоподготовки на ВЗУ Воскресенский м.р., пос.  Виноградово (с.п. Ашитковское) </t>
  </si>
  <si>
    <t xml:space="preserve">Приобретение, монтаж и ввод в эксплуатацию станции водогоподготовки на ВЗУ Воскресенский м.р. Фаустово (с.п. Ашитковское) </t>
  </si>
  <si>
    <t>Приобретение, монтаж и ввод в эксплуатацию станции водогоподготовки на ВЗУ Воскресенский м.р., с. Марчуги (с.п. Фединское)</t>
  </si>
  <si>
    <t xml:space="preserve">Приобретение, монтаж и ввод в эксплуатацию станции обезжелезивания на ВЗУ №4 производительностью 210 м3/ч г.Наро-Фоминск, ул.Московская </t>
  </si>
  <si>
    <t xml:space="preserve">Приобретение, монтаж и ввод в эксплуатацию станции обезжелезивания производительностью 65 м3/ч пос.д/о"Бекасово" Наро-Фоминский м.р.  </t>
  </si>
  <si>
    <t>Приобретение, монтаж и ввод в эксплуатацию станции водоочистки  Наро-Фоминский м.р. , д. Софьино</t>
  </si>
  <si>
    <t>Приобретение, монтаж и ввод в эксплуатацию станции обезжелезивания на ВЗУ д. Григорово Талдомский м.р. (с.п. Гуслевское)</t>
  </si>
  <si>
    <t xml:space="preserve">Приобретение, монтаж и ввод в эксплуатацию станции обезжелезивания на ВЗУ с. Новогуслево  Талдомский м.р. (с.п. Гуслевское) </t>
  </si>
  <si>
    <t xml:space="preserve"> Приобретение, монтаж и ввод в эксплуатацию станции обезжелезивания на ВЗУ с. Темпы   Талдомский м.р.  (с.п. Темповое)</t>
  </si>
  <si>
    <t>Приобретение, монтаж и ввод в эксплуатацию станции обезжелезивания на ВЗУ д. Пановка  Талдомский м.р.  (с.п. Темповое)</t>
  </si>
  <si>
    <t xml:space="preserve">Приобретение, монтаж и воод в эксплуатацию станции обезжелезивания на ВЗУ № 12 г.о. Люберцы п.  Малаховка ул. Пионерская </t>
  </si>
  <si>
    <t xml:space="preserve">Приобретение, монтаж и воод в эксплуатацию станции обезжелезивания на ВЗУ № 13 Сергеево-Посадский м.р. пос. Мишутино (г.п.Сергиев Посад) </t>
  </si>
  <si>
    <t xml:space="preserve">Приобретение, монтаж и воод в эксплуатацию станции обезжелезивания на ВЗУ № 17 Сергеево-Посадский м.р. пос. Конкурсный,  (г.п.Сергиев Посад)  </t>
  </si>
  <si>
    <t xml:space="preserve">Приобретение, монтаж и воод в эксплуатацию станции обезжелезивания на ВЗУ № 15 Сергеево-Посадский м.р. пос. Ферма  (г.п.Сергиев Посад)  </t>
  </si>
  <si>
    <t xml:space="preserve">Приобретение, монтаж и воод в эксплуатацию станции обезжелезивания Сергеево-Посадский м.р. пос. Хотьково п. Южный,  Художетсвенный проезд 2д. </t>
  </si>
  <si>
    <t xml:space="preserve">Приобретение, монтаж и воод в эксплуатацию станции обезжелезивания Сергеево-Посадский м.р. пос. Хотьково д. Жучки </t>
  </si>
  <si>
    <t>Приобретение, монтаж и воод в эксплуатацию станции обезжелезивания Сергеево-Посадский м.р. пос. Хотьково д. Репихово</t>
  </si>
  <si>
    <t xml:space="preserve">Приобретение, монтаж и воод в эксплуатацию станции обезжелезивания Сергеево-Посадский м.р. пос. Хотьково .п. ОРГРЭС </t>
  </si>
  <si>
    <t xml:space="preserve">Приобретение, монтаж и воод в эксплуатацию станции обезжелезивания Сергеево-Посадский м.р. пос. Хотьково ул. Октябрьская </t>
  </si>
  <si>
    <t xml:space="preserve">Приобретение, монтаж и воод в эксплуатацию станции обезжелезивания Сергеево-Посадский м.р. пос. Хотьково ул. Горбуновская </t>
  </si>
  <si>
    <t>Приобретение, монтаж и воод в эксплуатацию станции обезжелезивания Сергеево-Посадский м.р. пос. Ситники  (с.п. Лозовское)</t>
  </si>
  <si>
    <t>Приобретение, монтаж и воод в эксплуатацию станции обезжелезивания на ВЗУ № 5 ул. 40-лет Октября  г.п. Сергиев Посад  Сергеево-Посадский м.р</t>
  </si>
  <si>
    <t>Приобретение, монтаж и воод в эксплуатацию станции обезжелезивания Сергеево-Посадский м.р. д. Селково с.п. Селковское</t>
  </si>
  <si>
    <t>Приобретение, монтаж и воод в эксплуатацию станции обезжелезивания Сергеево-Посадский м.р. д. Марьино (с.п. Шеметовское)</t>
  </si>
  <si>
    <t>Приобретение, монтаж и ввод в эксплуатацию  станции обезжелезивания г.о. Павловский Посад д. Кузнецы (с.п. Кузнецовское)</t>
  </si>
  <si>
    <t xml:space="preserve">Приобретение, монтаж и ввод в эксплуатацию  станции обезжелезивания г.о. Павловский Посад д. Тарасово </t>
  </si>
  <si>
    <t xml:space="preserve">Приобретение, монтаж и ввод в эксплуатацию  станции обезжелезивания г.о. Павловский Посад д. Новово-Загарье с.п. Шеметовское </t>
  </si>
  <si>
    <t xml:space="preserve">Приобретение, монтаж и ввод в эксплуатацию блочно-модульной станции обесфторивания  г.о. Шатура пос.Радовицкий  с.п. Радовицкое  </t>
  </si>
  <si>
    <t xml:space="preserve">Приобретение, монтаж и ввод в эксплуатацию блочно-модульной станции обесфторивания  г.о. Шатура с.Дмитровский Погост с.п. Дмитровсокое  </t>
  </si>
  <si>
    <t>Приобретение, монтаж и ввод в эксплуатацию блочно-модульной станции обесфторивания  г.о. Шатура поселок санаторий "Озеро Белое"</t>
  </si>
  <si>
    <t xml:space="preserve">Приобретение, монтаж и ввод в эксплуатацию блочно-модульной станции обесфторивания  г.о. Шатура  с.Середниково с.п. Дмитровское  </t>
  </si>
  <si>
    <t xml:space="preserve">Приобретение, монтаж и ввод в эксплуатацию блочно-модульной станции обесфторивания  г.о. Шатура п.Долгуша г.п. Шатура  </t>
  </si>
  <si>
    <t xml:space="preserve">Приобретение, монтаж и ввод в эксплуатацию блочно-модульной станции обесфторивания  г.о. Шатура п.Туголесский Бор  с.п. Кривандинское </t>
  </si>
  <si>
    <t xml:space="preserve">Приобретение, монтаж и ввод в эксплуатацию станции водоподготовки на ВЗУ № 3  г. Дмитров, ул. Сенная Дмитровский  м.р. г.п. Дмитров </t>
  </si>
  <si>
    <t xml:space="preserve">Приобретение, монтаж и ввод в эксплуатацию станции водоподготовки на ВЗУ  с. Орудьево (лента) Дмитровский  м.р </t>
  </si>
  <si>
    <t>Приобретение, монтаж и ввод в эксплуатацию станции водоподготовки на ВЗУ № 5  д. Митькино  Дмитровский  м.р г.п. Дмитров</t>
  </si>
  <si>
    <t>Приобретение, монтаж и ввод в эксплуатацию станции водоподготовки на ВЗУ с. Костино  Дмитровский   м.р.</t>
  </si>
  <si>
    <t>Приобретение, монтаж и ввод в эксплуатацию станции водоподготовки на ВЗУ п. Автополигон Дмитровский м.р.(с.п. Синьковское)</t>
  </si>
  <si>
    <t xml:space="preserve">Приобретение, монтаж и ввод в эксплуатацию станции водоподготовки на ВЗУ  с. Ольявидово   Дмитровский м.р.(с.п.Якотское) </t>
  </si>
  <si>
    <t>Приобретение, монтаж и ввод в эксплуатацию станции водоподготовки на ВЗУ  с. Семеновское   Дмитровский м.р.(с.п. Синьковское)</t>
  </si>
  <si>
    <t>Приобретение, монтаж и ввод в эксплуатацию станции водоподготовки на ВЗУ п. Новое  Гришино   Дмитровский м.р.(с.п. Костинское)</t>
  </si>
  <si>
    <t>Воскресенский муниципальный район</t>
  </si>
  <si>
    <t>городское поселение Белозёрское Воскресенского муниципального района</t>
  </si>
  <si>
    <t>городское поселение Воскресенск Воскресенского муниципального района</t>
  </si>
  <si>
    <t>городское поселение Цурюпы Воскресенского муниципального района</t>
  </si>
  <si>
    <t>городское поселение Солнечногорск Солнечногорского муниципального района</t>
  </si>
  <si>
    <t>2000 куб.м./сут</t>
  </si>
  <si>
    <t xml:space="preserve">Приобретение, монтаж и ввод в эксплуатацию станции обезжелезивания на ВЗУ №5 ул. Школьная Солнечногорск г.п.  </t>
  </si>
  <si>
    <t>4000 куб.м./сут</t>
  </si>
  <si>
    <t xml:space="preserve">Приобретение. монтаж и ввод в эксплуатацию станции обезжелезивания на ВЗУ №1 ул. Крупская  г.п. Солнечногорск 
</t>
  </si>
  <si>
    <t xml:space="preserve">Приобретение. монтаж и ввод в эксплуатацию станции обезжелезивания на ВЗУ №2  ул. Рабочая г.п. Солнечногорск    </t>
  </si>
  <si>
    <t>Талдомский муниципальный район</t>
  </si>
  <si>
    <t>городской округ Истра</t>
  </si>
  <si>
    <t>городской округ Люберцы</t>
  </si>
  <si>
    <t>городской округ Павловский Посад</t>
  </si>
  <si>
    <t>городской округ Шатура</t>
  </si>
  <si>
    <t>Дмитровский муниципальный район</t>
  </si>
  <si>
    <t>1-18, 1-19</t>
  </si>
  <si>
    <t>Щёлковский муниципальный район</t>
  </si>
  <si>
    <t>городской округ Красногорск</t>
  </si>
  <si>
    <t>Строительство линейного объекта инженерной инфраструктуры второй нитки магистрального водопровода Ду700мм  от камеры переключения № 19 до камеры переключения № 7.14   (врезка на Старую Купавну) Ногинский м.р. (1 участок)</t>
  </si>
  <si>
    <t>2018 год - 2 ед. котельные</t>
  </si>
  <si>
    <t>2018 год - 1 ед. котельные</t>
  </si>
  <si>
    <t>2018 год - 1 ед. котельые</t>
  </si>
  <si>
    <t>Строительство ливневой канализации (в том числе техприсоединение) по адресу:  городской округ Жуковский          1 )</t>
  </si>
  <si>
    <t>2018 год - 1 ед. котельные,  1 ед. сети</t>
  </si>
  <si>
    <t>2018 год - 3 ед. сети</t>
  </si>
  <si>
    <t>2018 год - 2 ед. - сети, 
2019 год - 1 ед. котельные,  2 ед. - сети</t>
  </si>
  <si>
    <t>городской округ Кашира</t>
  </si>
  <si>
    <t>2018-2020</t>
  </si>
  <si>
    <t>городской округ Ступино</t>
  </si>
  <si>
    <t>Реконструкция камеры   К-64 Колев</t>
  </si>
  <si>
    <t>2019 год - 1 ед. коллектор, 
2021 год - 1 ед. коллектор</t>
  </si>
  <si>
    <t>2019-2020</t>
  </si>
  <si>
    <t>Капитальный ремонт участка канализационного коллектора Егорьевск-Воскресенск (левая ветка) Ду900 мм L=375 п.м. Колев</t>
  </si>
  <si>
    <t>Капитальный ремонт участка канализационного коллектора Егорьевск-Воскресенск (левая ветка) Ду900 мм L=380 п.м. Колев</t>
  </si>
  <si>
    <t>Капитальный ремонт участка канализационного коллектора Егорьевск-Воскресенск (левая ветка) Ду900 мм L=390 п.м. Колев</t>
  </si>
  <si>
    <t>Капитальный ремонт участка канализационного коллектора Егорьевск-Воскресенск (левая ветка) Ду900 мм L=410 п.м. Колев</t>
  </si>
  <si>
    <t>2018 год - 4 участка коллектора</t>
  </si>
  <si>
    <t>Капитальный ремонт двух ниток канализационного коллектора 2Д1200 мм от КНС Соколовская до камеры гашения, Щелковский муниципальный район (2 этап)</t>
  </si>
  <si>
    <t xml:space="preserve">Капитальный ремонт межрайонного самотечного коллектора от г. Королев (пл. Валентиновская) до г. Щелково (КНС "Соколовская") Д1500 мм - 1600 п.м. Щелковский муниципальный район (2 этап) </t>
  </si>
  <si>
    <t>Орехово-Зуевский муниципальный район</t>
  </si>
  <si>
    <t>городской округ Балашиха</t>
  </si>
  <si>
    <t>МинЖКХ МО</t>
  </si>
  <si>
    <t>Минстрой</t>
  </si>
  <si>
    <t>Городской округ Лосино-Петровский</t>
  </si>
  <si>
    <t>Производительность - 10 000 куб.м/сут.</t>
  </si>
  <si>
    <t>2018 - 1 ед ОС</t>
  </si>
  <si>
    <t>Городской округ Электросталь</t>
  </si>
  <si>
    <t>Капитальный ремонт самотечного участка канализационного коллектора             г. Электросталь - г. Павловский Посад от КГ-10 до КГ-11, расположенном по адресу: Носовихинское шоссе, 52 км</t>
  </si>
  <si>
    <t>D=1500 мм,                L=150 м</t>
  </si>
  <si>
    <t>2017, 2019</t>
  </si>
  <si>
    <t>Щелковский муниципальный район</t>
  </si>
  <si>
    <t>Д=1500 мм, L=1600 п.м.</t>
  </si>
  <si>
    <t>2Д=1200 мм</t>
  </si>
  <si>
    <t>Министерство социального развития Московской области</t>
  </si>
  <si>
    <t xml:space="preserve">Компенсация выпадающих доходов организациям (за исключением бюджетных и автономных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t>
  </si>
  <si>
    <t xml:space="preserve">В полном объеме возмещение выпадающих доходов организациям (за исключением бюджетных и автономных учреждений), поставляющим коммунальные ресурсы для оказания коммунальных услуг населению Московской области по тарифам, не обеспечивающим возмещение издержек
</t>
  </si>
  <si>
    <t>Компенсация выпадающих доходов бюджетным и автономным учреждениям, поставляющим коммунальные ресурсы для оказания коммунальных услуг населению Московской области по тарифам, не обеспечивающим возмещение издержек</t>
  </si>
  <si>
    <t xml:space="preserve">В полном объеме возмещение выпадающих доходов бюджетным и автономным учреждениям, поставляющим коммунальные ресурсы для оказания коммунальных услуг населению Московской области по тарифам, не обеспечивающим возмещение издержек
</t>
  </si>
  <si>
    <t xml:space="preserve">В пределах средств, предусмотренных на осуществление текущей деятельности Министерства жилищно-коммунального хозяйства Московской области
</t>
  </si>
  <si>
    <t>2020 -  ед. неизвестно</t>
  </si>
  <si>
    <t>2020 - ед. неизвестно</t>
  </si>
  <si>
    <t xml:space="preserve">№  муниципального образования (согласно перечню мероприятий)
</t>
  </si>
  <si>
    <t>Наименование муниципального образования Московской области – получателя субсидии</t>
  </si>
  <si>
    <t>Размер субсидии из бюджета Московской области бюджетам муниципальных образований, тыс.руб.</t>
  </si>
  <si>
    <t>Министерство культуры Московской области</t>
  </si>
  <si>
    <t>Капитальный ремонт линий наружного освещения мкр. Северный г.о. Балашиха</t>
  </si>
  <si>
    <t>Капитальный ремонт линий наружного освещения мкр. Заря  г.о. Балашиха</t>
  </si>
  <si>
    <t>Капитальный ремонт линий наружного освещения городской округ Звездный городок</t>
  </si>
  <si>
    <t xml:space="preserve">Капитальный ремонт  линий наружного освещения г.п. Некрасовский Дмитровский м.р.  в/г № 27 мкр. Трудовая </t>
  </si>
  <si>
    <t>Капитальный ремонт линий наружного освещения с.п. Большерогачевское в/г № 211 с. Рогачеово ул. Ракетчиков</t>
  </si>
  <si>
    <t>Капитальный ремонт линий наружного освещения с.п. Большерогачевское в/г № 214 д. Ивлево</t>
  </si>
  <si>
    <t>Капитальный ремонт линий наружного освещения с.п. Якотское Дмитровского м.р. в/г. № 25 д. Ковригино</t>
  </si>
  <si>
    <t xml:space="preserve">Капитальный ремонт линий наружного освещения с.п. Медвежье-Озерское  в/г. № 36 пос. Новый Городок Щелковский м.р. </t>
  </si>
  <si>
    <t xml:space="preserve">Капитальный реомнт  линий наружного освещения г.п. Монино  Щелковский м.р.  в/г № 21/1 </t>
  </si>
  <si>
    <t>городской округ Звездный городок</t>
  </si>
  <si>
    <t>городское поселение Некросовский Дмитровского мунинципального района</t>
  </si>
  <si>
    <t>городское поселение Монино Щелковского муниципального района</t>
  </si>
  <si>
    <t>Министерство  образования Московской области</t>
  </si>
  <si>
    <t>Министерство  энергетики Московской области</t>
  </si>
  <si>
    <t xml:space="preserve">МАОУ «Гимназия № 3», мкр. Северный, г.о. Балашиха
</t>
  </si>
  <si>
    <t xml:space="preserve">МБДОУ «Детский сад комбинированного вида № 47 «Умка» г.о. Балашиха </t>
  </si>
  <si>
    <t>МБДОУ «Детский сад комбинированного вида № 41 «Заряночка» г.о. Балашиха</t>
  </si>
  <si>
    <t xml:space="preserve">Ногинский м.р. МБДОУ № 97 "Солнышко" комбинированного вида, состоит из 3-х зданий д. Дуброво (Ногинск-9)         Ногинский м.р.                                     </t>
  </si>
  <si>
    <t>Одинцовский муниципальный район</t>
  </si>
  <si>
    <t xml:space="preserve">Одинцовский м.р.  МБОУ Новгородковская СОШ Новый городок (Кубинка-7)    Одинцовский м.р.                 </t>
  </si>
  <si>
    <t>Детский сад № 45 г. солнечногорск-7 ул. Подмосковная д. 28а в/г 15 Солнечногорский м.р.</t>
  </si>
  <si>
    <t xml:space="preserve">Электросталь г.о  МБДОУ "Детский сад № 87 "Солнышко" с. Всеволодово (Ногинск-5) г.о. Электросталь
                         </t>
  </si>
  <si>
    <t>Капитальный ремонт детский сад "Светлячок" в/ч 92551 г.о. Ступино</t>
  </si>
  <si>
    <t>Детский сад «Солнышко»№ 153,  в/ч 03770 г.о. Ступино</t>
  </si>
  <si>
    <t>ЗАТО городской округ Власиха</t>
  </si>
  <si>
    <t xml:space="preserve">Капитальный ремонт здания МУК «Дворец культуры» городского округа Власиха Московской области, п. Власиха, ул. Маршала Жукова, д. 9, военный городок             № 22/1 (г.Одинцово-10)
</t>
  </si>
  <si>
    <t>ЗАТО городской округ Восход</t>
  </si>
  <si>
    <t>Капитальный ремонт здания  муниципального казенного учреждения культуры «Культурно-досуговый центр» Городской округ Восход</t>
  </si>
  <si>
    <t>Городское поселение  Монино Щелковского муниципального района</t>
  </si>
  <si>
    <t xml:space="preserve">Капитальный ремонт здания МБУ городского поселения Монино «Культурно-досуговый центр «Дом офицеров», г.п. Монино,ул. Авиационная, д. 2а, военный городок № 21/1
</t>
  </si>
  <si>
    <t>Капитальный ремонт здания МБУК «Дом офицеров», Московская область, г. Краснознаменск, ул. Молодёжная, д. 2</t>
  </si>
  <si>
    <t>Капитальный ремонт здания Дома культуры "Бригантина" Муниципального бюджетного учреждения  «Культурно - досуговый центр» сельского поселения Габовское Дмитровского муниципального района Московской области, Московская область, Дмитровский р-н, пос. Горки - 25</t>
  </si>
  <si>
    <t>Капремонт здания КДЦ "Заря" МБУК "КД" " Заря" мкр. Заря г.о. Балашиха</t>
  </si>
  <si>
    <t>Капремонт здания ДК "Северный" МБУК КДЦ "Заря" мкр. Северный г.о. Балашиха</t>
  </si>
  <si>
    <t>городской округ Домодедово</t>
  </si>
  <si>
    <t>Капитальный ремонт здания филиала Шаховского сельского дома культуры МБУК округа Домодедово "Центр культуры и досуга "Импульс", г.Домодедово, мкр. Белые столбы-2</t>
  </si>
  <si>
    <t>Капитальный ремонт здания Муниципального автономного учреждения культуры городского поселения Щёлково "Дворец культуры им. В.П. Чкалова" Щелковский м.р., г. Щёлково, ул.Супруна, д. 3</t>
  </si>
  <si>
    <t>Капитальный ремонт здания Муниципального учреждения культуры "Дом культуры "Выстрел"«Выстрел» г.п.Солнечногорск, г. Солнечногорск, ул. Д.А. Драгунского, д.1</t>
  </si>
  <si>
    <t>Капремонт гарнизонного офицерского клуба в п. Петровское г.п. Горки Ленинские Ленинский м.р.</t>
  </si>
  <si>
    <t>Ленинский муниципальный район</t>
  </si>
  <si>
    <t>Капремонт ДК в п. Некрасовский мкр Трудовая Дмитровский м.р.</t>
  </si>
  <si>
    <t>2018 - 1 ед. котельная</t>
  </si>
  <si>
    <t xml:space="preserve">2019 год - 1 ед. </t>
  </si>
  <si>
    <t>Министерство  здравоохраненияМосковской области</t>
  </si>
  <si>
    <t>Капитальный ремонт здания административно-лечебного отделения госпиталя по адресу: Московская область, г.Чехов-4, ул. Гагарина, участок 37</t>
  </si>
  <si>
    <t>Капитальный ремонт, дооснащение медицинским оборудованием и мебелью санчасти №96, находящейся по адресу: Щёлковский муниципальный район сельское поселение Медвежье-Озерское, поселок Новый Городок, в/г 36</t>
  </si>
  <si>
    <t>Одинцовский мунинципальный район</t>
  </si>
  <si>
    <t>Ремонт встроенно-пристроенного помещения,Одинцовский муниципальный район, г. Кубинка, ул. Армейская,
д. 16</t>
  </si>
  <si>
    <t>Проведение капитального ремонта здания Медицинского пункта военной части 25801-8 Луховицы-3 ул. Восточная в/ч № 25801-8 ул. Восточная в/ч 25801-8 ул. Восточная  д.66 Луховицкий м.р.</t>
  </si>
  <si>
    <t>Капитальный ремонт сетей водоснабжения, п. Власиха, военный городок № 22/1
(г.Одинцово-10)</t>
  </si>
  <si>
    <t>Городское поселение Софрино Пушкинского муниципального района</t>
  </si>
  <si>
    <t>Капитальный ремонт сетей теплоснабжения (участки № 1 - № 14) (в том числе на финансирование выполненного, но не оплаченного (частично оплаченного) в предыдущем финансовом году, мероприятия -
55 807,44013 тыс. руб.), г.п.Софрино
   (перенос инженерия)</t>
  </si>
  <si>
    <t>Капитальный ремонт сетей водоотведения (самотечная - фикальная канализация): по адресу военный городок № 19  п. Софрино-1   (перенос инженерия)</t>
  </si>
  <si>
    <t>Капитальный ремонт котельной №2 Щелковский м.р. Монино</t>
  </si>
  <si>
    <t>городское поселение Некрасовский Дмитровского муниципального района</t>
  </si>
  <si>
    <t>Колев</t>
  </si>
  <si>
    <t xml:space="preserve">Срок исполнения мероприятия
</t>
  </si>
  <si>
    <t xml:space="preserve">Результаты выполнения мероприятия подпрограммы
</t>
  </si>
  <si>
    <t xml:space="preserve">Паспорт государственной программы Московской области
«Развитие инженерной инфраструктуры и энергоэффективности» на 2018-2022 годы
</t>
  </si>
  <si>
    <t>Министерство жилищно-коммунального хозяйства Московской области
Министерство энергетики Московской обалсти</t>
  </si>
  <si>
    <t xml:space="preserve">Подпрограмма  III "Создание условий для обеспечения качественными коммунальными услугами"
</t>
  </si>
  <si>
    <t>Подпрограмма IV«Энергосбережение и повышение энергетической эффективности на территории Московской области»</t>
  </si>
  <si>
    <t>Министерство энергетики Московской области</t>
  </si>
  <si>
    <t>Источники финансирования подпрограммы по годам реализации и главным распорядителям бюджетных средств, в том числе по годам:</t>
  </si>
  <si>
    <t>Всего:
в том числе:</t>
  </si>
  <si>
    <t xml:space="preserve">Паспорт подпрограммы IV «Энергосбережение и повышение энергетической эффективности на территории Московской области»  </t>
  </si>
  <si>
    <t xml:space="preserve">Паспорт  подпрограммы I «Чистая вода» 
</t>
  </si>
  <si>
    <t>Количество автобусов - 20 единиц</t>
  </si>
  <si>
    <t xml:space="preserve">Министерство транспорта и дорожной инфраструктуры Московской области, транспортные организации </t>
  </si>
  <si>
    <t>2018-2020 гг.</t>
  </si>
  <si>
    <t xml:space="preserve">Приобретение транспортными организациями Московской области транспортных средств, относящихся к общественному транспорту, использующих  моторное топливо экологического класса не ниже Евро-4, или компримированный природный газ, или сжиженный углеводородный газ
</t>
  </si>
  <si>
    <t>6.1</t>
  </si>
  <si>
    <t>6</t>
  </si>
  <si>
    <t>Экономия ЭЭ - 1918 тыс. кВт.ч. Экономия финансовых ресурсов – 5505 тыс. руб.</t>
  </si>
  <si>
    <t>ПАО «Мосэнергосбыт»</t>
  </si>
  <si>
    <t>В 2017 финансовом году мероприятие не осуществлялось</t>
  </si>
  <si>
    <t>2018 г.</t>
  </si>
  <si>
    <t>Внедрение автоматизированной системы контроля учета ЭЭ бытовых потребителей 
ПАО «Мосэнергосбыт»</t>
  </si>
  <si>
    <t>5.9</t>
  </si>
  <si>
    <t>Экономия ЭЭ - 2500 тыс. кВт.ч. Экономия финансовых ресурсов – 5263 тыс. руб.</t>
  </si>
  <si>
    <t>ПАО «МОЭСК»</t>
  </si>
  <si>
    <t>Компенсация реактивной мощности в распределительной сети ПАО «МОЭСК»</t>
  </si>
  <si>
    <t>5.8</t>
  </si>
  <si>
    <t>Количество точек учета - 10008. Экономия ЭЭ - 41254 тыс. кВт.ч. Экономия финансовых ресурсов – 108521 тыс. руб.</t>
  </si>
  <si>
    <t>Реализация программы перспективного развития системы учета розничного рынка электроэнергии  районных электрических сетей (Южные электрические сети, Северные электрические сети, Восточные электрические сети, Западные электрические сети)</t>
  </si>
  <si>
    <t>5.7</t>
  </si>
  <si>
    <t>Экономия ЭЭ - 21648 тыс. кВт.ч. Экономия финансовых ресурсов –  76868 тыс. руб.</t>
  </si>
  <si>
    <t>Министерство жилищно-коммунального хозяйства Московской области, организации коммунального комплекса Московской области, ресурсоснабжающие организации Московской области</t>
  </si>
  <si>
    <t>Установка частотно-регулируемых приводов и устройств плавного пуска на электроустановках объектов водоснабжения и водоотведения</t>
  </si>
  <si>
    <t>5.6</t>
  </si>
  <si>
    <t>Экономия воды - 80685 тыс. м3. Экономия финансовых ресурсов – 228245 тыс. руб.</t>
  </si>
  <si>
    <t>Установка и замена сетей водоснабжения и водоотведения современными трубопроводами</t>
  </si>
  <si>
    <t>5.5</t>
  </si>
  <si>
    <t>Экономия ТЭ - 18716 Гкал. Экономия финансовых ресурсов – 11619 тыс. руб.</t>
  </si>
  <si>
    <t>Замена изношенных тепловых сетей современными трубопроводами</t>
  </si>
  <si>
    <t>5.4</t>
  </si>
  <si>
    <t>Экономия ТЭ - 20 процентов от общего потребления</t>
  </si>
  <si>
    <t>Установка автоматизированных приборов учета тепловой энергии в организациях, осуществляющих деятельность на территории Московской области</t>
  </si>
  <si>
    <t>5.3</t>
  </si>
  <si>
    <t>Экономия газа - 1856 тыс. м3. Экономия финансовых ресурсов – 6783 тыс. руб.</t>
  </si>
  <si>
    <t>Строительство котельных с использованием энергоэффективных технологий с высоким коэффициентом полезного действия</t>
  </si>
  <si>
    <t>5.2</t>
  </si>
  <si>
    <t>Экономия ТЭР -  23,3 т усл. топл. Экономия финансовых ресурсов – 62 тыс. руб.</t>
  </si>
  <si>
    <t>Установка энергоэффективного оборудования с высоким коэффициентом полезного действия при модернизации котельных</t>
  </si>
  <si>
    <t>5.1</t>
  </si>
  <si>
    <t>5</t>
  </si>
  <si>
    <t>Реализуется без привлечения финансовых ресурсов в пределах средств, предусмотренных бюджетом Московской области Министерству энергетики Московской области</t>
  </si>
  <si>
    <t>Выполнение требований приказа Министерства строительства и жидищно-коммунального хозяйства Российской Федерации от 06.06.2016 № 399/пр «Об утверждении правил определения класса энергетической эффективности многоквартирных домов»</t>
  </si>
  <si>
    <t xml:space="preserve">Министерство энергетики Московской области </t>
  </si>
  <si>
    <t xml:space="preserve">Мониторинг классов энергетической эффективности многоквартирных домов
</t>
  </si>
  <si>
    <t>4.1</t>
  </si>
  <si>
    <t>Выполнение требований Федерального закона от 23.11.2009 № 261-ФЗ  «Об энергосбережении и о повышении энергетической эффективности и о внесении изменений в отдельные законодательные акты Российской Федерации»</t>
  </si>
  <si>
    <t xml:space="preserve">Министерство жилищно-коммунального хозяйства Московской области, организации, осуществляющие управление, содержание и ремонт жилищного фонда, а также организации собственников жилья, ресурсоснабжающие организации Московской </t>
  </si>
  <si>
    <t>Установка приборов учета  энергетических ресурсов в государственных учреждениях здравоохранения Московской области</t>
  </si>
  <si>
    <t>3.1</t>
  </si>
  <si>
    <t>Экономия ТЭ - в размере 15 процентов от общего потребления</t>
  </si>
  <si>
    <t>Министерство здравоохранения Московской области, государственные учреждения, подведомственные Министерству здравоохранения Московской области</t>
  </si>
  <si>
    <t>Результаты выполнения мероприятия подпрограммы</t>
  </si>
  <si>
    <t>Ответственный за выполнение мероприятия подпрограммы</t>
  </si>
  <si>
    <t>Объем финансирования по годам (тыс. руб.)</t>
  </si>
  <si>
    <t>Всего (тыс. руб.)</t>
  </si>
  <si>
    <t xml:space="preserve">Объем финансирования мероприятия в году, предшествующему году начала реализации госпрограммы (тыс. руб.) </t>
  </si>
  <si>
    <t>Источники финансирования</t>
  </si>
  <si>
    <t>Сроки исполнения мероприятия</t>
  </si>
  <si>
    <t xml:space="preserve">Перечень мероприятий подпрограммы 4 «Энергосбережение и повышение энергетической эффективности на территории Московской области» </t>
  </si>
  <si>
    <t>Подпрограмма V  «Развитие и модернизация электроэнергетики в Московской области»</t>
  </si>
  <si>
    <t xml:space="preserve">Оптимизация этапов технологического присоединения, контроль этапов технологического присоединения </t>
  </si>
  <si>
    <t>Министерство энергетики Московской области, территори-альные сетевые организации</t>
  </si>
  <si>
    <t>Реализация без привлечения финансовых ресурсов</t>
  </si>
  <si>
    <t>Оптимизация внутренних процессов работы территориальных сетевых организаций Московской области, мониторинг выполнения территориальными сетевыми организациями мероприятий по технологическому присоединению энергопринимающих устройств/объектов потребителей всех категорий на территории Московской области к электрическим сетям</t>
  </si>
  <si>
    <t>Упрощение процедуры технологического присоединения объектов электроэнергетики</t>
  </si>
  <si>
    <t>3</t>
  </si>
  <si>
    <t xml:space="preserve">Оптимизация сроков выполнения необходимых мероприятий по технологическому присоединению, контроль сроков выполнения мероприятий по технологическому присоединению территориальными сетевыми организациями </t>
  </si>
  <si>
    <t>Министерство энергетики Московской области, Министерство государственного управления, информационных технологий и связи Московской области, Главное управление архитектуры и градостроительства Московской области, Администрации муниципальных образований Московской области, ГКУ МО «АРКИ», территориальные сетевые организации</t>
  </si>
  <si>
    <t xml:space="preserve">2018-2022 </t>
  </si>
  <si>
    <t xml:space="preserve">Реализация без привлечения финансовых ресурсов </t>
  </si>
  <si>
    <t>Ввод в эксплуатацию трансформаторной мощности и линий электропередачи</t>
  </si>
  <si>
    <t>Министерство энергетики Московской области, ТСО Московской области</t>
  </si>
  <si>
    <t>Подпрограмма VI «Развитие газификации в Московской области»</t>
  </si>
  <si>
    <t>2017-2022</t>
  </si>
  <si>
    <t>Газификация населенных пунктов</t>
  </si>
  <si>
    <t>Синхронизация мероприятий по развитию системы газоснабжения ПАО «Газпром» и ГУП МО «Мособлгаз»</t>
  </si>
  <si>
    <t>Утвержденная схема и программа газификации Московской области</t>
  </si>
  <si>
    <t>Строительство и реконструкция 6 объектов инфраструктуры нефтепроводов и нефтепродуктопроводов</t>
  </si>
  <si>
    <t>ОАО «АК «Транснефть»,  ЗАО «ТЗК-Шереметьево»</t>
  </si>
  <si>
    <t>ОАО «АК «Транснефть», ПАО «ЛУКОЙЛ».</t>
  </si>
  <si>
    <t>Строительство и ввод в эксплуатацию 437 современных объектов топливозаправочного  комплекса, из них: в 2018 году – 35 объектов, в 2019 году – 109 объектов, в 2020 году – 82 объекта, в 2021 году — 100 объектов, в 2022 году — 111 объектов</t>
  </si>
  <si>
    <t>Перечень мероприятий подпрограммы 7 «Развитие топливозаправочного комплекса в Московской области»</t>
  </si>
  <si>
    <t>Подпрограмма VII «Развитие топливозаправочного комплекса в Московской области»</t>
  </si>
  <si>
    <t xml:space="preserve"> Подпрограмма VIII "Обеспечивающая подпрограмма"</t>
  </si>
  <si>
    <t>2021  год</t>
  </si>
  <si>
    <t xml:space="preserve"> Планируемые результаты реализации государственной программы Московской области 
«Развитие инженерной инфраструктуры и энергоэффективности» на 2018-2022 годы
</t>
  </si>
  <si>
    <t>Планируемые результаты реализации государственной программы</t>
  </si>
  <si>
    <t>Тип показателя</t>
  </si>
  <si>
    <t>Единица измерения</t>
  </si>
  <si>
    <t xml:space="preserve">Базовое      
значение     
на начало   
реализации   
подпрограммы
</t>
  </si>
  <si>
    <t>№ основного мероприятия в перечне мероприятий подпрограммы</t>
  </si>
  <si>
    <t>Подпрограмма I «Чистая вода»</t>
  </si>
  <si>
    <t>%</t>
  </si>
  <si>
    <t>обращения</t>
  </si>
  <si>
    <t>ед.</t>
  </si>
  <si>
    <t>ед./тыс.куб.м</t>
  </si>
  <si>
    <t>ед</t>
  </si>
  <si>
    <t>процент к уровню 2007 года</t>
  </si>
  <si>
    <t>указ</t>
  </si>
  <si>
    <t>день</t>
  </si>
  <si>
    <t>МВА</t>
  </si>
  <si>
    <t xml:space="preserve">отраслевой </t>
  </si>
  <si>
    <t>не менее 28</t>
  </si>
  <si>
    <t>не менее 3</t>
  </si>
  <si>
    <t>Производительность - 1200 куб.м/сут.</t>
  </si>
  <si>
    <t>Установка оборудования для  станции обезжелезивания в здании артезианской скважины по адресу: городской округ Павловский Посад,  д. Семеново, д.45В</t>
  </si>
  <si>
    <t>Производительность - 144 куб.м/сут.</t>
  </si>
  <si>
    <t>Профинансировано на 01.01.2018, тыс. руб.</t>
  </si>
  <si>
    <t>Пуск в работу 2 объектов водоснабжения</t>
  </si>
  <si>
    <t>Пуск в работу  2 линейных объектов водоснабжения</t>
  </si>
  <si>
    <t>Увеличение объема сбыта питьевой воды, повышение энергетической эффективности в части сокращения удельного расхода электроэнергии на 1 куб. м воды, снижение износа систем водоснабжения</t>
  </si>
  <si>
    <t>2018 год -  Пуск в работу 2 объектов водоснабжения</t>
  </si>
  <si>
    <t>2018 год  -Пуск в работу  2 линейных объектов водоснабжения</t>
  </si>
  <si>
    <t>2.1.1</t>
  </si>
  <si>
    <t>2.1.2</t>
  </si>
  <si>
    <t>Строительство линейного объекта инженерной инфраструктуры для присоединительного водовода Ду350мм от ВЗУ-1 к водоводу ВСВ в районе ВК-11.7 в г.п. Электроугли Ногинский м.р. 1)</t>
  </si>
  <si>
    <t>Строительство линейного объекта инженерной инфраструктуры второй нитки магистрального водопровода Ду700мм  от камеры переключения № 19 до камеры переключения № 7.14   (врезка на Старую Купавну) Ногинский м.р. (1 участок) 1)</t>
  </si>
  <si>
    <t>Ответственный за выполнение мероприятия: Министерство жилищно-коммунального хозяйства Московской области, ГУП Московской области "Коммунальные системы Московской области"</t>
  </si>
  <si>
    <t>Строительство водозаборных сооружений и магистральных сетей по адресу: г.о. Кашира, мкр. Кашира-2 (в том числе ПИР)   1)</t>
  </si>
  <si>
    <t>2018 - 1</t>
  </si>
  <si>
    <t>2019 - 1</t>
  </si>
  <si>
    <t>Строительство ВЗУ с установкой станции обезжелезивания по адресу: городской округ Луховицы  д. Круглово (в том числе ПИР)  1)</t>
  </si>
  <si>
    <t xml:space="preserve">Средства бюджета Московской области </t>
  </si>
  <si>
    <r>
      <t xml:space="preserve">Строительство автоматизированной блочно-модульной котельной производительностью 11,0 МВт по адресу: Талдомский район, р.п. Северный, ул. Садовая,  д. 12  (в том числе ПИР) </t>
    </r>
    <r>
      <rPr>
        <sz val="9"/>
        <rFont val="Times New Roman"/>
        <family val="1"/>
        <charset val="204"/>
      </rPr>
      <t>1)</t>
    </r>
  </si>
  <si>
    <t xml:space="preserve"> Предоставление субсидий из бюджета Московской области бюджетам муниципальных образований Московской области на  строительство и реконструкцию  объектов очистки сточных вод </t>
  </si>
  <si>
    <t>МО</t>
  </si>
  <si>
    <t>местные</t>
  </si>
  <si>
    <t>2018-1 ед. ОС</t>
  </si>
  <si>
    <t>2019 - 1 ед. ОС</t>
  </si>
  <si>
    <t>2018 - 4 ед. ОС</t>
  </si>
  <si>
    <t>2019 -2 ед. ОС</t>
  </si>
  <si>
    <t>Органы местного самоуправления муниципальных образований Московской области</t>
  </si>
  <si>
    <t>Министерство жилищно-коммунального хозяйства Московской области, органы местного самоуправления муниципальных образований Московской области</t>
  </si>
  <si>
    <t xml:space="preserve">Создание и восстановление объектов водоснабжения муниципальных образований за счет средств бюджетов муниципальных образований и (или) внебюджетных средств
</t>
  </si>
  <si>
    <t>2019 год - 1 ед.</t>
  </si>
  <si>
    <t>1.2.1.1</t>
  </si>
  <si>
    <t>1.2.3</t>
  </si>
  <si>
    <t>1.2.4</t>
  </si>
  <si>
    <t>1.3.1.</t>
  </si>
  <si>
    <t>1.1.7.2</t>
  </si>
  <si>
    <t>2.2.</t>
  </si>
  <si>
    <t>2.1.1.1</t>
  </si>
  <si>
    <t>2.1.2.1</t>
  </si>
  <si>
    <t>2.1.3</t>
  </si>
  <si>
    <t>2.1.3.1</t>
  </si>
  <si>
    <t>2.1.4</t>
  </si>
  <si>
    <t>2.1.4.1</t>
  </si>
  <si>
    <t>2.1.5</t>
  </si>
  <si>
    <t>2.1.5.1</t>
  </si>
  <si>
    <t>2.1.5.2</t>
  </si>
  <si>
    <t>2.1.6</t>
  </si>
  <si>
    <t>2018  3 ед. -КНС</t>
  </si>
  <si>
    <t>2019 год - 2 ед. коллектора</t>
  </si>
  <si>
    <t>2018 - 1 ед. коллетор</t>
  </si>
  <si>
    <t>2019 - 1 ед. коллетор</t>
  </si>
  <si>
    <t>2018 - 3 ед. КНС</t>
  </si>
  <si>
    <t>2019 год - 3 коллетора</t>
  </si>
  <si>
    <t>2018 всего 4 ед., из них :  3 ед. коллетор 1 ед. КС</t>
  </si>
  <si>
    <t>2.3</t>
  </si>
  <si>
    <t>Приобретение, монтаж и ввод в эксплуатацию станции водогоподготовки на ВЗУ-5 Воскресенский м.р. , д.Цибино</t>
  </si>
  <si>
    <t xml:space="preserve">Приобретение, монтаж и ввод в эксплуатацию станции водогоподготовки на ВЗУ-6 Воскресенский м.р., дер. Ивановка </t>
  </si>
  <si>
    <t xml:space="preserve">Приобретение, монтаж и ввод в эксплуатацию станции водогоподготовки на ВЗУ-8  Воскресенский м.р., дер. Ворщиково </t>
  </si>
  <si>
    <t xml:space="preserve">Приобретение, монтаж и ввод в эксплуатацию станции водогоподготовки на ВЗУ - 9 Воскресенский м.р., дер.  Ворщиково  </t>
  </si>
  <si>
    <t>Приобретение, монтаж и ввод в эксплуатацию станции водогоподготовки на ВЗУ Воскресенский м.р., с. Косяково с.п. Фединское</t>
  </si>
  <si>
    <t>2019 - 1 ед.коллектор</t>
  </si>
  <si>
    <t>2020 - 1 ед. коллектор</t>
  </si>
  <si>
    <t>2.3.1</t>
  </si>
  <si>
    <t>2.3.2</t>
  </si>
  <si>
    <t>2.4</t>
  </si>
  <si>
    <t>2018- 4 ед. (участки коллектора)</t>
  </si>
  <si>
    <t>2.4.1</t>
  </si>
  <si>
    <t>2.4.2</t>
  </si>
  <si>
    <t>2.4.3</t>
  </si>
  <si>
    <t>2.4.4</t>
  </si>
  <si>
    <t>2.4.5</t>
  </si>
  <si>
    <t>Реконструкция существующих  и строительство новых  очистных сооружений   г.о.  Электросталь 1)</t>
  </si>
  <si>
    <t>Мероприятия по модернизации систем коммунальной инфраструктуры, реализуемые при поддержке Фонда содействия реформированию жилищно-коммунального хозяйства (обеспечение мероприятий по модернизации систем коммунальной инфраструктуры)</t>
  </si>
  <si>
    <t xml:space="preserve">Министерство жилищно-коммунального хозяйства Московской области, органы местного самоуправления муниципальных образований Московской области
</t>
  </si>
  <si>
    <t>1.3.1.1</t>
  </si>
  <si>
    <t>Средства бюджета Московской области, в том числе в разрезе ГРБС:</t>
  </si>
  <si>
    <t>проверка</t>
  </si>
  <si>
    <t>МинжКХ</t>
  </si>
  <si>
    <t>Министерство жилищно-коммунального хозяйства Московской области,, ГУП Московской области "Коммунальные системы Московской области"</t>
  </si>
  <si>
    <t>2</t>
  </si>
  <si>
    <t>Предоставление субсидий из бюджета Московской области
бюджетам муниципальных образований Московской области
на строительство и реконструкцию объектов коммунальной инфраструктуры</t>
  </si>
  <si>
    <t xml:space="preserve">Министерство культуры Московской области
</t>
  </si>
  <si>
    <t>Министерство образования Московской области</t>
  </si>
  <si>
    <t xml:space="preserve">Министерство жилищно-коммунального хозяйства  Московской области
</t>
  </si>
  <si>
    <t xml:space="preserve">Укрепление материально-технической базы учреждений здравоохранения, расположенных на территории военных городков </t>
  </si>
  <si>
    <t>3.2</t>
  </si>
  <si>
    <t>Министерство здравоохранения московской области</t>
  </si>
  <si>
    <t>3.2.1</t>
  </si>
  <si>
    <t>3.2.1.1</t>
  </si>
  <si>
    <t>3.2.2</t>
  </si>
  <si>
    <t>3.2.2.1</t>
  </si>
  <si>
    <t>3.2.3</t>
  </si>
  <si>
    <t>3.2.3.1</t>
  </si>
  <si>
    <t>3.2.4</t>
  </si>
  <si>
    <t>3.2.4.1</t>
  </si>
  <si>
    <t>Министерство энергетики московской области</t>
  </si>
  <si>
    <t>городской окргу Электросталь</t>
  </si>
  <si>
    <t>Предоставление субсидий государственным унитарным предприятиям Московской области   на осуществление   капитального   ремонта  канализационных коллекторов  (участков)</t>
  </si>
  <si>
    <t>Установка и капитальный ремонт электросетевого хозяйства и систем наружного освещения 12 ед.</t>
  </si>
  <si>
    <t>3.3.</t>
  </si>
  <si>
    <t xml:space="preserve">Министерство строительного комплекса Московской области
</t>
  </si>
  <si>
    <t>1, 2</t>
  </si>
  <si>
    <t>Капитальный ремонт  здания котельной д. Новая Солнечногорский м.р. 1)</t>
  </si>
  <si>
    <t>Капитальный ремонт  тепловых сетей  д. Новая Солнечногорский м.р. 1)</t>
  </si>
  <si>
    <t>Капитальный ремонт  водопроводных сетей  д. Новая Солнечногорский м.р. 1)</t>
  </si>
  <si>
    <t>Предоставление субсидий из бюджета Московской области
бюджетам муниципальных образований Московской области
на капитальный ремонт, приобретение, монтаж и ввод в эксплуатацию объектов коммунальной инфраструктуры</t>
  </si>
  <si>
    <t>Строительство, реконструкция, модернизация объектов  инженерной инфраструктуры муниципальных образований за счет внебюджетных средств и/или средств бюджетов муниципальных образований</t>
  </si>
  <si>
    <t>2.5</t>
  </si>
  <si>
    <t>Строительство котельной, Наро-Фоминский муниципальный район, городское поселение Апрелевка,                                      ул. Октябрьская, д.11</t>
  </si>
  <si>
    <t>2014, 2018</t>
  </si>
  <si>
    <t>Органы местного самоуправления муниципальных образований Московской области, ресурсоснабжающие организации в сфере коммунальной инфраструктуры</t>
  </si>
  <si>
    <t>2018- 1 ед. котельная</t>
  </si>
  <si>
    <t xml:space="preserve">Министерство жилищно-коммунального хозяйства Московской области </t>
  </si>
  <si>
    <t>Акционерное общество "Финансово-проектная лизинговая компания Московской области "</t>
  </si>
  <si>
    <r>
      <t>Строительство новых объектов системы централизованного теплоснабжения4</t>
    </r>
    <r>
      <rPr>
        <vertAlign val="superscript"/>
        <sz val="11"/>
        <rFont val="Times New Roman"/>
        <family val="1"/>
        <charset val="204"/>
      </rPr>
      <t>)</t>
    </r>
  </si>
  <si>
    <r>
      <t>Модернизация и техническое перевооружение котельных4</t>
    </r>
    <r>
      <rPr>
        <vertAlign val="superscript"/>
        <sz val="11"/>
        <rFont val="Times New Roman"/>
        <family val="1"/>
        <charset val="204"/>
      </rPr>
      <t>)</t>
    </r>
  </si>
  <si>
    <r>
      <t>Модернизация сетей теплоснабжения5</t>
    </r>
    <r>
      <rPr>
        <vertAlign val="superscript"/>
        <sz val="11"/>
        <rFont val="Times New Roman"/>
        <family val="1"/>
        <charset val="204"/>
      </rPr>
      <t>)</t>
    </r>
  </si>
  <si>
    <t>2.6</t>
  </si>
  <si>
    <t>Реализация инвестиционного проекта развития системы теплоснабжения Можайского муниципального района</t>
  </si>
  <si>
    <t>2.6.1</t>
  </si>
  <si>
    <t>2.6.2</t>
  </si>
  <si>
    <t>2.6.3</t>
  </si>
  <si>
    <t xml:space="preserve">котельная 2018- 1 ед. </t>
  </si>
  <si>
    <t>котельные 2018 - 20 ед.</t>
  </si>
  <si>
    <t>№   п/п</t>
  </si>
  <si>
    <t>Оптимизация внутренних процессов работы территориальных сетевых организаций, оптимизация процедурных мероприятий, необходимых к реализации в рамках технологического присоединения, мониторинг выполнения территориальными сетевыми организациями мероприятий по технологическому присоединению энергопринимающих устройств/объектов потребителей всех категорий на территории Московской области к электрическим сетям</t>
  </si>
  <si>
    <t xml:space="preserve">Объем финансирования мероприятия в году, предшествующему году начала реализации госпрограммы                    (тыс. руб.) </t>
  </si>
  <si>
    <t>Всего                    (тыс. руб.)</t>
  </si>
  <si>
    <t>Строительство и реконструкция 27,4 км нефтепроводов и нефтепро-дуктопроводов.</t>
  </si>
  <si>
    <t xml:space="preserve"> ООО «Детдомстрой», ООО «Вест Эссетс», ООО «Люкс», ООО «Трамонтана», ООО «Поликрон», ООО «ЕКА-Московиянефтепродукт», ООО «Транспортный газ», ЗАО «Транс  АЗС», ООО «Шелл Нефть», ЗАО «Юнити», ООО «Нефто-Сервис», ЗАО «Петрол Комплекс Эквипмент Кампани», ОАО «РН-Москва», ИП Шевелев А.П., ООО «Клен», ООО «Серпуховнефтепродуктсервис», ООО «Ясень», ООО «АРМ-Ойл», ООО «Топливная Сервисная Компания», ООО «Ступ-Ойл», ООО «Стентор», ООО «Сервиснефть», ООО «ОНТЭК», ООО «Озерская топливная компания», ООО «Вэриус  Сервис», ООО «Гостиный Двор», ООО «Дикей», ООО «Зенит-Алтай», ИП Косова Ю.В., ИП Салова Т.В., ИП Торбин Ю.В., ООО «Атлант Петролиум 2», ООО «Газпромнефть-Центр», ООО «Интел Проект», ООО «Прайт-Люкс Т», ООО «Лукойл-Центрнефтепродукт», ООО «УНИМАРКЕТ-АЗС», ООО «Моб-Сервис», ЗАО «Магистрал -НК», ООО «Радуга», ООО «Проектно Строительная Компания», ООО «Луховицкая нефтебаза», ООО «АТАК», ООО «Союз Святого Иоанна Воина», ООО «Гиперглобус», АО «Мособлэнерго», ООО «Торговый Дом «Нефтьмагист раль», ООО «Аренда-Групп», ООО «Ломбарди», ПАО «МОЭСК».
</t>
  </si>
  <si>
    <t>Порядок+</t>
  </si>
  <si>
    <t>Капитальный ремонт ВЗУ №3 со станцией обезжелезивания г. Щелково, ул. Центральная 1)</t>
  </si>
  <si>
    <t>Приобретение, монтаж и ввод в эксплуатацию станции водоподготовки на ВЗУ, производительнстью130 м3/ч Цементгигант (г.п. Воскресенск)</t>
  </si>
  <si>
    <t>Приобретение, монтаж и ввод в эксплуатацию станции водоподготовки на ВЗУ , производительнстью 130 м3/ч  г.п. Цюрупы  (г.п. Цюрупы)</t>
  </si>
  <si>
    <t>Капитальный ремонт ВЗУ  со станцией обезжелезивания п. Краснознамененский                              г. Щелково Щелковский м.р. 1)</t>
  </si>
  <si>
    <t>Капитальный ремонт ВЗУ производительностью 54,3 м3/сутки  д. Серково г.п. Щёлково  Щелковский м.р. 10</t>
  </si>
  <si>
    <t>Капитальный ремонт ВЗУ  со станцией обезжелезивания  ул. Розы Люксеммбург г.п. Загорянский  Щелковский м.р. 1)</t>
  </si>
  <si>
    <t>Капитальный ремонт ВЗУ производительностью 82,3 м3/сутки ул. Соколовская г. Щёлково г.п. Загорянское   Щелковской м.р. 1)</t>
  </si>
  <si>
    <t>Капитальный ремонт ВЗУ на территории больничного комплекса Монино  г.п. Монино Щелковский м.р. 1)</t>
  </si>
  <si>
    <t>Капитальный ремонт ВЗУ производительностью 29,8 м3/сутки д. Долгое Ледово с.п. Медвежье-Озерское  Щелковский м.р. 1)</t>
  </si>
  <si>
    <t>Капитальный ремонт ВЗУ производительностью 110,6 м3/сутки д. Долгое Ледово с.п. Медвежье-Озерское (на территории МОСК) 1)</t>
  </si>
  <si>
    <t>Капитальный ремонт ВЗУ д. Сукманиха с.п. Трубинское Щелковский м.р. 1)</t>
  </si>
  <si>
    <t>Установка станции обезжелезивания на ВЗУ № 2 г. Дедовск, ул. Гагарина г.о. Истра  1)</t>
  </si>
  <si>
    <t>4</t>
  </si>
  <si>
    <t>4.2</t>
  </si>
  <si>
    <t>ЖКХ</t>
  </si>
  <si>
    <t>минстрой</t>
  </si>
  <si>
    <t>минкульт</t>
  </si>
  <si>
    <t>минобр</t>
  </si>
  <si>
    <t>минсоц</t>
  </si>
  <si>
    <t>минэнернго</t>
  </si>
  <si>
    <t>комитет</t>
  </si>
  <si>
    <t>минздрав</t>
  </si>
  <si>
    <t xml:space="preserve">Паспорт  подпрограммы VIII  «Обеспечивающая подпрограмма» </t>
  </si>
  <si>
    <t>Объём финансирования мероприятия в 2017 году (тыс. руб.)</t>
  </si>
  <si>
    <t>Министерство энергетики  Московской области</t>
  </si>
  <si>
    <t>Субсидии профсоюзным организациям на проведение культурно-массовых и физкультурно-оздоровительных мероприятий для работников, ветеранов и пенсионеров органов государственной власти Московской области и государственных органов Московской области и членов семей работников, а также на мероприятия по организации оздоровительной кампании детей указанных работников Министерства энергетики Московской области</t>
  </si>
  <si>
    <t>Популяризация энергосбережения и повышения энергетической эффективности в Московской области</t>
  </si>
  <si>
    <t>Разработаны регламенты, расценки и технологические карты. Обеспечено повышение качества эксплуатации систем наружного освещения</t>
  </si>
  <si>
    <t>порядок+</t>
  </si>
  <si>
    <t>1</t>
  </si>
  <si>
    <t>12</t>
  </si>
  <si>
    <t>13</t>
  </si>
  <si>
    <t>14</t>
  </si>
  <si>
    <t>15</t>
  </si>
  <si>
    <t>16</t>
  </si>
  <si>
    <t>17</t>
  </si>
  <si>
    <t>18</t>
  </si>
  <si>
    <t>19</t>
  </si>
  <si>
    <t>20</t>
  </si>
  <si>
    <t>22</t>
  </si>
  <si>
    <t>23</t>
  </si>
  <si>
    <t>24</t>
  </si>
  <si>
    <t>1-6</t>
  </si>
  <si>
    <t>1-3</t>
  </si>
  <si>
    <t>ГЖИ</t>
  </si>
  <si>
    <t>АДМ</t>
  </si>
  <si>
    <t>1.6</t>
  </si>
  <si>
    <t>1.8</t>
  </si>
  <si>
    <t>3.3</t>
  </si>
  <si>
    <t>Минэнергетика</t>
  </si>
  <si>
    <t>Минздрав</t>
  </si>
  <si>
    <t>Минкульт</t>
  </si>
  <si>
    <t>Минобр</t>
  </si>
  <si>
    <t>Минсоц</t>
  </si>
  <si>
    <t>АДТЕХНАДЗОР</t>
  </si>
  <si>
    <t>Комитет</t>
  </si>
  <si>
    <t>Нераспределенный</t>
  </si>
  <si>
    <t>Паспорт подпрограммы V «Развитие и модернизация электроэнергетики в Московской области»</t>
  </si>
  <si>
    <t>Паспорт подпрограммы VI «Развитие газификации в Московской области»</t>
  </si>
  <si>
    <t>Паспорт подпрограммы VII «Развитие топливозаправочного комплекса в Московской области»</t>
  </si>
  <si>
    <t>Подпрограмма II "Очистка сточных вод"</t>
  </si>
  <si>
    <t>5/8,0</t>
  </si>
  <si>
    <t>нераспределенный</t>
  </si>
  <si>
    <t>Подпрограмма IV"Энергосбережение и повышение энергетической эффективности на территории Московской области"</t>
  </si>
  <si>
    <r>
      <t xml:space="preserve">Реконструкция  ВЗУ №5, расположенного  по адресу: Московская область, Пушкинский муниципальный район,  г. Пушкино, м-н Мамонтовка, ул. Рабочая,   около д. 5 </t>
    </r>
    <r>
      <rPr>
        <vertAlign val="superscript"/>
        <sz val="9"/>
        <rFont val="Times New Roman"/>
        <family val="1"/>
        <charset val="204"/>
      </rPr>
      <t xml:space="preserve">   1)</t>
    </r>
  </si>
  <si>
    <t>Всего по мероприятию:</t>
  </si>
  <si>
    <t>Нреспределенный остаток</t>
  </si>
  <si>
    <t>Проектируемая производительность 1000 куб. м./сут.</t>
  </si>
  <si>
    <t>2.2.1</t>
  </si>
  <si>
    <t>2.2.1.1</t>
  </si>
  <si>
    <t>2.2.2</t>
  </si>
  <si>
    <t>2.2.2.1</t>
  </si>
  <si>
    <t>2.2.3</t>
  </si>
  <si>
    <t>2.2.3.1</t>
  </si>
  <si>
    <t>2.2.4</t>
  </si>
  <si>
    <t>2.2.4.1</t>
  </si>
  <si>
    <t>2.2.5</t>
  </si>
  <si>
    <t>2.2.5.1</t>
  </si>
  <si>
    <t>Капитальный ремонт участка канализационного коллектора Железнодорожный г.о. Балашиха 1)</t>
  </si>
  <si>
    <t>2.2.5.2</t>
  </si>
  <si>
    <t>2.2.6</t>
  </si>
  <si>
    <t>2.2.6.1</t>
  </si>
  <si>
    <t>2.2.7</t>
  </si>
  <si>
    <t>2.3.3</t>
  </si>
  <si>
    <t>Нераспределенный остаток</t>
  </si>
  <si>
    <t xml:space="preserve">  Перечень мероприятий подпрограммы III «Обеспечивающая подпрограмма»</t>
  </si>
  <si>
    <t>Всего,
в том числе:</t>
  </si>
  <si>
    <t>Проведение работ по строительству и реконструкции нефтепроводов и нефтепродуктопроводов</t>
  </si>
  <si>
    <t xml:space="preserve"> Проведение работ по строительству и реконструкции объектов инфраструктуры нефтепроводов и нефтепродуктопроводов</t>
  </si>
  <si>
    <t>Создание условий для газификации индустриальных парков</t>
  </si>
  <si>
    <t>Проведение работ по строительству газопроводов-источников для создания условий газоснабжения инвестиционных проектов на территории Московской области</t>
  </si>
  <si>
    <t xml:space="preserve">Разработка схемы и программы газификации Московской области </t>
  </si>
  <si>
    <t>Министерство образования Московской обаласти</t>
  </si>
  <si>
    <t>Министерство здравоохранения Московской обаласти</t>
  </si>
  <si>
    <t xml:space="preserve">Доведение доли объектов жилищно-коммунального хозяйства государственных и муниципальных предприятий, осуществляющих неэффективное управление, переданных частным операторам на основе концессионных соглашений, в соответствии с графиками, актуализированными на основании проведенного анализа эффективности управления, до 100% в 2018 году, до 100%  в 2019 году , до 100% в 2020 году 
</t>
  </si>
  <si>
    <t>2.1.6.1</t>
  </si>
  <si>
    <t>2.1.7</t>
  </si>
  <si>
    <t>2.3.1.1</t>
  </si>
  <si>
    <t>2.3.2.1</t>
  </si>
  <si>
    <t>Ответственный за выполнение мероприятия: Министерство жилищно-коммунального хозяйства Московской области, органы местного самоуправления муниципальных образований Московской области,  иные хозяйствующие субъекты</t>
  </si>
  <si>
    <t>Создание и модернизация объектов централизованного теплоснабжения и горячего водоснабжения на территории г.о.  Кашира 1)</t>
  </si>
  <si>
    <t>Создание и модернизация объектов централизованного теплоснабжения и горячего водоснабжения на территории  г.о. Ступино  1)</t>
  </si>
  <si>
    <t>1) Объем финансирования  объектов подлежит уточнению по итогам заключеннных концессионных соглашений и положительных заключений  на  проектную документацию и инженерные изыскания, а также  положительного заключения  по проверке достоверности определения сметной стоимости путем внесения изменений в Программу.</t>
  </si>
  <si>
    <t>3.1.1.</t>
  </si>
  <si>
    <t xml:space="preserve">Государственные заказчики: Министерство жилищно-коммунального хозяйства Московской области, Министерство культуры Московской области, Министерство образования Московской области, Министерство энергетики Московской области
</t>
  </si>
  <si>
    <t>Ответственные за выполнение мероприятия: Министерство жилищно-коммунального хозяйства Московской области, Министерство образования Московской области, Министерство энергетики Московской области, Министерство культуры Московской области,  органы местного самоуправления муниципальных образований Московской области, хозяйствующие субъекты</t>
  </si>
  <si>
    <t>3.1.1.1</t>
  </si>
  <si>
    <t>3.1.1.2</t>
  </si>
  <si>
    <t>3.1.1.3</t>
  </si>
  <si>
    <t>3.1.1.4</t>
  </si>
  <si>
    <t>3.1.1.5</t>
  </si>
  <si>
    <t>3.1.1.6</t>
  </si>
  <si>
    <t>3.1.1.7</t>
  </si>
  <si>
    <t>3.1.1.8</t>
  </si>
  <si>
    <t>3.1.1.10</t>
  </si>
  <si>
    <t>3.1.2</t>
  </si>
  <si>
    <t>3.1.2.1</t>
  </si>
  <si>
    <t>3.1.2.2</t>
  </si>
  <si>
    <t>3.1.2.3</t>
  </si>
  <si>
    <t>3.1.2.4</t>
  </si>
  <si>
    <t>3.1.2.5</t>
  </si>
  <si>
    <t>3.1.2.6</t>
  </si>
  <si>
    <t>3.1.2.7</t>
  </si>
  <si>
    <t>3.1.2.8</t>
  </si>
  <si>
    <t>3.1.2.9</t>
  </si>
  <si>
    <t>3.1.2.10</t>
  </si>
  <si>
    <t>3.1.2.11</t>
  </si>
  <si>
    <t>3.1.2.12</t>
  </si>
  <si>
    <t>3.1.2.13</t>
  </si>
  <si>
    <t>3.1.2.14</t>
  </si>
  <si>
    <t>3.1.3</t>
  </si>
  <si>
    <t>3.1.3.1</t>
  </si>
  <si>
    <t>3.1.3.2</t>
  </si>
  <si>
    <t>3.1.3.3</t>
  </si>
  <si>
    <t>3.1.3.4</t>
  </si>
  <si>
    <t>3.1.3.6</t>
  </si>
  <si>
    <t>3.1.3.7</t>
  </si>
  <si>
    <t>3.1.4</t>
  </si>
  <si>
    <t>3.1.4.1</t>
  </si>
  <si>
    <t>3.1.4.2</t>
  </si>
  <si>
    <t>3.1.4.3</t>
  </si>
  <si>
    <t>3.1.4.4</t>
  </si>
  <si>
    <t>3.1.4.5</t>
  </si>
  <si>
    <t>Капитальный ремонт котельной № 25 в мкр. Заря г.о. Балашиха (НОВЫЕ РАБОТЫ)</t>
  </si>
  <si>
    <t>Капитальный ремонт котельной № 27 в мкр. Заря г.о. Балашиха  (НОВЫЕ РАБОТЫ)</t>
  </si>
  <si>
    <t>профсоюз</t>
  </si>
  <si>
    <t>Мощность -1,5 МВт</t>
  </si>
  <si>
    <t>Наименование главного распорядителя средств бюджета Московской области</t>
  </si>
  <si>
    <t>N п/п</t>
  </si>
  <si>
    <t>Направление инвестирования, наименование объекта, адрес объекта, сведения о государственной регистрации права собственности</t>
  </si>
  <si>
    <t>Годы строительства/ реконструкции объектов государственной собственности</t>
  </si>
  <si>
    <t xml:space="preserve">Профинансиро
вано на 01.01.18, тыс. руб.
</t>
  </si>
  <si>
    <t>Котельная с газопроводом для Московской областной психиатрической больницы № 23 в селе Каменское Наро-Фоминского муниципального района Московской области, в том числе:</t>
  </si>
  <si>
    <t>Строительство ВЗУ, РЧВ, станции обезжелезивания производительностью 2500 куб.м./сутки и водопроводных сетей  для нужд многоквартирных жилых домов  по адресу: городское поселение Раменское  ул. Северное шоссе мкр. ЖК "Раменский"    ( в том числе ПИР) 1)</t>
  </si>
  <si>
    <t>Строительство КНС  производительностью 2500 куб.м./сутки и сетей хозяйственно-бытовой и ливневой канализации   для нужд многоквартирных жилых домов  по адресу: городское поселение Раменское  ул. Северное шоссе мкр. ЖК "Раменский"  (в том числе ПИР) 1)</t>
  </si>
  <si>
    <t>Строительство канализационного коллектора по адресу: п. Ростелеком сельского поселения Гжель Раменского мунинципального района 1)</t>
  </si>
  <si>
    <t>Строительство газовой котельной тепловой мощностью 30 гкал/час, газопровода, сетей центрального отопления и ГВС для теплоснабжения многоквартирных жилых довом по адресу: городское поселение Раменское, ул. Северное шоссе, мкр. ЖК "Ременский"  ( в том числе ПИР) 1)</t>
  </si>
  <si>
    <t>Обеспечение деятельности Министерства жилищно-коммунального хозяйства Московской области</t>
  </si>
  <si>
    <t>1.2.</t>
  </si>
  <si>
    <t>1.7</t>
  </si>
  <si>
    <t>1.9</t>
  </si>
  <si>
    <t>1.10</t>
  </si>
  <si>
    <t>1.11</t>
  </si>
  <si>
    <t>1.13</t>
  </si>
  <si>
    <t>1.15</t>
  </si>
  <si>
    <t>1.16</t>
  </si>
  <si>
    <t xml:space="preserve">Обеспечение деятельности Министерства энергетики  Московской области
</t>
  </si>
  <si>
    <t>36 котельных-7 сети-3 ЦТП</t>
  </si>
  <si>
    <t xml:space="preserve"> Раменский муниципальный район</t>
  </si>
  <si>
    <t xml:space="preserve">Основное мероприятие 1 - Строительство, реконструкция, капитальный ремонт, приобретение, монтаж и ввод в эксплуатацию объектов очистки сточных вод на территории муниципальных образований Московской области
</t>
  </si>
  <si>
    <t xml:space="preserve">Основное мероприятие 1  - Создание условий для реализации полномочий  органов государственной власти Московской области  и государственных органов Московской области </t>
  </si>
  <si>
    <t>1.12</t>
  </si>
  <si>
    <t>1.14</t>
  </si>
  <si>
    <t>1.5</t>
  </si>
  <si>
    <t>Минэнрего</t>
  </si>
  <si>
    <t xml:space="preserve">Предоставление субсидий из бюджета Московской области бюджетам муниципальных образований Московской области на капитальный ремонт канализационных коллеторов и канализационных насосных станций </t>
  </si>
  <si>
    <t xml:space="preserve">Предоставление субсидий из бюджета Московской области бюджетам муниципальных образований Московской области  на строительство (реконструкция) канализационных коллекторов,  канализационных насосных станций </t>
  </si>
  <si>
    <t xml:space="preserve">Основное мероприятие 2 - Строительство, реконструкция, капитальный ремонт, приобретение, монтаж и ввод в эксплуатацию объектов коммунальной инфраструктуры на территории муниципальных образований Московской области
</t>
  </si>
  <si>
    <t xml:space="preserve">Основное мероприятие 3 - Проведение первоочередных мероприятий по  восстановлению инфраструктуры военных городков на территории Московской области, переданных из федеральной собственности   </t>
  </si>
  <si>
    <t>Основное мероприятие 4 -Создание экономических условий для повышения эффективности работы организаций жилищно-коммунального хозяйства Московской области</t>
  </si>
  <si>
    <t>обращение</t>
  </si>
  <si>
    <t>Мощность/прирост мощности объекта (кв. метр, погонный метр, место, койко-место и т.д.)</t>
  </si>
  <si>
    <t>Ответственный за выполнение мероприятия: Министерство жилищно-коммунального хозяйства Московской области, органы местного самоуправления муниципальных образований Московской области, иные хозяйствующиие субьекты</t>
  </si>
  <si>
    <t>Иные хозяйствующие субъекты</t>
  </si>
  <si>
    <t>Установка оборудования для  станции обезжелезивания в здании артезианской скважины по адресу: городской округ Павловский Посад,  с. Рахманово, д.91/1</t>
  </si>
  <si>
    <t>орган местного самоуправления Московской области</t>
  </si>
  <si>
    <t xml:space="preserve">2020 год </t>
  </si>
  <si>
    <t xml:space="preserve">2021 год </t>
  </si>
  <si>
    <t xml:space="preserve">2) Объем финансирования мероприятий подлежит уточнению по итогам принятия решения об участии Правительства Московской области в концессионных соглашениях в сфере жилищно-коммунального хозяйства. Порядок предоставления и распределение субсидий из бюджета Московской области бюджетам муниципальных образований Московской области на реализацию проектов государственно-частного партнерства в жилищно-коммунальном хозяйстве будет утвержден путем внесения изменений в Программу. </t>
  </si>
  <si>
    <t>Министерство жилищно-коммунального хозяйства Московской области, органы местного самоуправления муниципальных образований Московской области, иные хозяйствующие субьекты</t>
  </si>
  <si>
    <t>Министерство жилищно-коммунального хозяйства Московской области, органы местного самоуправления муниципальных образований Московской области, иные хозяйствующие субъекты</t>
  </si>
  <si>
    <t>Капитальный ремонт ВЗУ пос. Архангельское городской округ Красногорск 1)</t>
  </si>
  <si>
    <t>Реконструкция   тепловых сетей отопления и горячего водоснабжения   (в том числе ПИР) по адресу: городской округ Красногорск пос. Архангельское 1)</t>
  </si>
  <si>
    <t>городское поселение Апрелевка Наро-Фоминского муниципального района</t>
  </si>
  <si>
    <t xml:space="preserve">Макропоказатель  подпрограммы - Увеличение доли населения, обеспеченного доброкачественной питьевой водой из централизованных источников водоснабжения 
</t>
  </si>
  <si>
    <t xml:space="preserve">Макропоказатель подпрограммы - Увеличение доли сточных вод, очищенных до нормативных значений, в общем объеме сточных вод, пропущенных через очистные сооружения </t>
  </si>
  <si>
    <t xml:space="preserve">Целевой показатель 1 - Количество созданных и восстановленных ВЗУ, ВНС и станций водоподготовки                                                </t>
  </si>
  <si>
    <t xml:space="preserve">Целевой показатель 2- Процент загрузки Восточной системы водоснабжения до проектной мощности                                               </t>
  </si>
  <si>
    <t xml:space="preserve">Целевой показатель 1 - Количество созданных и восстановленных объектов очистки сточных вод суммарной производительностью                            </t>
  </si>
  <si>
    <t xml:space="preserve">Целевой показатель 2 - Количество построенных, реконструированных, отремонтированных коллекторов (участков), канализационных насосных станций                       </t>
  </si>
  <si>
    <t xml:space="preserve">Целевой показатель 2 -Количество созданных и восстановленных объектов коммунальной инфраструктуры                                   </t>
  </si>
  <si>
    <t>Макропоказатель подпрограммы - Снижение энергоемкости ВРП</t>
  </si>
  <si>
    <t>Целевой показатель 1 - Доля зданий, строений, сооружений государственной собственности Московской области, оснащенных приборами учета энергетических ресурсов</t>
  </si>
  <si>
    <t>Целевой показатель 2 - Доля зданий, строений, сооружений государственной собственности Московской области, соответствующих нормальному уровню энергетической эффективности и выше (A,B,C,D)</t>
  </si>
  <si>
    <t>Целевой показатель 3 - Оснащенность многоквартирных домов общедомовыми (коллективными) приборами учета потребляемых энергетических ресурсов</t>
  </si>
  <si>
    <t>Целевой показатель 4 -Доля многоквартирных домов, соответствующих нормальному классу энергоэффективности и выше (A, B, C, D)</t>
  </si>
  <si>
    <t>Целевой показатель 5 - Внедрение энергоэффективных инженерных коммунальных систем с целью повышения энергетической эффективности и снижения процента износа</t>
  </si>
  <si>
    <t>Целевой показатель 6 - Увеличение количества средств общественного транспорта, использующих моторное топливо экологического класса не ниже Евро-4, или компримированный природный газ, или сжиженный углеводородный газ, приобретенных транспортными организациями Московской области</t>
  </si>
  <si>
    <t xml:space="preserve">Целевой показатель 1 -Ввод объектов в результате строительства, комплексного технического перевооружения и реконструкции питающих центров (РТП, ТП), а также линий электропередачи напряжением 0,4 кВ и выше                                                          </t>
  </si>
  <si>
    <t>Целевой показатель 2 -Предельный срок подключения энергопринимающих устройств потребителей (до 150 кВт) со дня поступления заявки на технологическое присоединение к электросетям до дня подписания акта о технологическом присоединении потребителя электроэнергии к электросетям</t>
  </si>
  <si>
    <t>Целевой показатель 3 -Предельное количество этапов, необходимых для технологического присоединения</t>
  </si>
  <si>
    <t>Макропоказатель подпрограммы - Обеспечение населенных пунктов Московской области источниками газификации - газопроводами высокого и низкого давления</t>
  </si>
  <si>
    <t xml:space="preserve">Целевой показатель 1 -Доля газифицированных сельских населенных пунктов численностью свыше 100 человек в общем количестве сельских населенных пунктов Московской области численностью свыше 100 человек </t>
  </si>
  <si>
    <t xml:space="preserve">Целевой показатель 2 -Количество земельных участков под размещение инвестиционных проектов на территории Московской области, для которых созданы условия для обеспечения развития газоснабжения </t>
  </si>
  <si>
    <t>Целевой показатель 3 - Схема и программа газификации Московской области</t>
  </si>
  <si>
    <t>Предоставление субсидий государственным унитарным предприятиям Московской области  
на осуществление строительства (реконструкции) канализационных коллекторов  (участков)</t>
  </si>
  <si>
    <t>3.1.3.4=5</t>
  </si>
  <si>
    <t xml:space="preserve">Перечень мероприятий подпрограммы V  «Развитие и модернизация электроэнергетики в Московской области» </t>
  </si>
  <si>
    <t>ПАО "ФСК ЕЭС" (в границах Московской области)</t>
  </si>
  <si>
    <t>2008-2022</t>
  </si>
  <si>
    <t>5486 МВА/248 км</t>
  </si>
  <si>
    <t>ПАО "МОЭСК" (в границах Московской области)</t>
  </si>
  <si>
    <t>2005-2024</t>
  </si>
  <si>
    <t>14125 МВА/20620 км</t>
  </si>
  <si>
    <t>Прочие ТСО (в границах Московской области)</t>
  </si>
  <si>
    <t>2007-2022</t>
  </si>
  <si>
    <t>1148 МВА/2935 км</t>
  </si>
  <si>
    <t>Всего:</t>
  </si>
  <si>
    <t>ГУП ГХ Московской области "Мособлгаз" (в границах Московской области)</t>
  </si>
  <si>
    <t>2005-2025</t>
  </si>
  <si>
    <t>4617,23 км</t>
  </si>
  <si>
    <t>Перечень мероприятий VI «Развитие газификации в Московской области»</t>
  </si>
  <si>
    <t>Строительство газопроводов в сельских населенных пунктах Московской области</t>
  </si>
  <si>
    <t>Строительство, комплексное  техническое перевооружение
и реконструкция объектов электроэнергетики</t>
  </si>
  <si>
    <t>Основное мероприятие 3 - Организация учета энергетических ресурсов в жилищном фонде</t>
  </si>
  <si>
    <t xml:space="preserve">2018-2019 </t>
  </si>
  <si>
    <t>Мониторинг энергетических деклараций государственных учреждений Московской области</t>
  </si>
  <si>
    <t>Мониторинг деклараций</t>
  </si>
  <si>
    <t>Основное мероприятие  1 - Повышение энергетической эффективности государственных учреждений Московской области</t>
  </si>
  <si>
    <t>Установка электротехнического оборудования, обеспечивающего работу в экономичном энергопотребляющем режиме в государственных учреждениях Московской области</t>
  </si>
  <si>
    <t>Основное мероприятие  2 - Мониторинг уровня энергетической эффективности государственных учреждений Московской области</t>
  </si>
  <si>
    <t>Строительство объектов топливозаправочного комплекса и электрозарядной инфраструктуры</t>
  </si>
  <si>
    <t>25</t>
  </si>
  <si>
    <t>Целевой показатель 1 - Рост числа объектов ТЗК к уровню 2012 года/Создание современных объектов топливозаправочного комплекса и оптимизация их размещения на территории Московской области</t>
  </si>
  <si>
    <t>процент/единица</t>
  </si>
  <si>
    <t>113,7/37</t>
  </si>
  <si>
    <t>116,5/35</t>
  </si>
  <si>
    <t>124,8/109</t>
  </si>
  <si>
    <t>131,1/82</t>
  </si>
  <si>
    <t>138,8/100</t>
  </si>
  <si>
    <t>147,3/111</t>
  </si>
  <si>
    <t xml:space="preserve">Основное мероприятие 1 -Строительство, реконструкция, капитальный ремонт, приобретение, монтаж и ввод в эксплуатацию объектов водоснабжения (ВЗУ, ВНС, станций водоочистки) на территории муниципальных образований Московской области.
</t>
  </si>
  <si>
    <t xml:space="preserve">
Основное мероприятие 1- Строительство, комплексное техническое перевооружение и реконструкция объектов электроэнергетики
</t>
  </si>
  <si>
    <t xml:space="preserve">Паспорт  подпрограммы III «Создание условий для обеспечения качественными жилищно-коммунальными услугами» </t>
  </si>
  <si>
    <t>2018 год всего   20 ед. их них: 11 ед. котельные, 6 ед. сети, 3 ед. ЦТП  (ОТДЕЛЬНО 3 ед. ПИР котельные)</t>
  </si>
  <si>
    <t>4 ед всего</t>
  </si>
  <si>
    <t xml:space="preserve">Целевой показатель 3 -Количество созданных и восстановленных объектов социальной и инженерной инфраструктуры на территории военных городков МО (в разрезе сфер деятельности) 
</t>
  </si>
  <si>
    <t>Капитальный ремонт участка канализационного коллектора д. Фенино г.о. Балашиха  1)</t>
  </si>
  <si>
    <t>Капитальный ремонт напорного канализационного коллектора от КНС д. Давыдово до ОАО "Куровские очистные сооружения" по адресу: Московская область, Орехово-Зуевский м.р. д. Давыдово 1)</t>
  </si>
  <si>
    <t>городское поселение Хотьково  Сергиево-Посадского муниципального района</t>
  </si>
  <si>
    <t xml:space="preserve">городской округ Наро-Фоминский </t>
  </si>
  <si>
    <t>2018 год - 1 ед. сети</t>
  </si>
  <si>
    <t>городской округ Чехов</t>
  </si>
  <si>
    <t>Основное мероприятие 1 - Строительство газопроводов в населенных пунктах Московской области</t>
  </si>
  <si>
    <t xml:space="preserve">Основное мероприятие 2 -Создание условий для обеспечения развития газоснабжения земельных участков под размещение инвестиционных проектов на территории Московской области 
</t>
  </si>
  <si>
    <t>Основное мероприятие 3 -Развитие системы газоснабжения Московской области</t>
  </si>
  <si>
    <t>Годы строительства/ реконструкции/капитального ремонта (ремонта)</t>
  </si>
  <si>
    <t>Проектная мощность (кв. метр, погонный метр, место, койко-место и т.д.)</t>
  </si>
  <si>
    <t>1.8.1</t>
  </si>
  <si>
    <t>1.9.1</t>
  </si>
  <si>
    <t>1.19.6</t>
  </si>
  <si>
    <t>Капитальный ремонт ВЗУ производительностью 82,3 м3/сутки ул. Соколовская г. Щёлково г.п. Щёлково   Щелковской м.р. 1)</t>
  </si>
  <si>
    <t xml:space="preserve">Приобретение, монтаж и ввод в эксплуатацию станции водоподготовки на ВЗУ  с. Орудьево (лента) городское поселение Дмитров  </t>
  </si>
  <si>
    <t>Основное мероприятие 4- Повышение энергетической эффективности многоквартирных домов</t>
  </si>
  <si>
    <t>Основное мероприятие 5 -Повышение энергетической эффективности на объектах энергетики и коммунальной инфраструктуры</t>
  </si>
  <si>
    <t xml:space="preserve">Основное мероприятие 6 -Повышение энергетической эффективности общественного транспорта и транспортной инфраструктуры </t>
  </si>
  <si>
    <t>Основное мероприятие 2 - Упрощение процедуры технологического присоединения объектов электроэнергетики</t>
  </si>
  <si>
    <t>Основное мероприятие 1 - Строительство объектов топливозаправочного комплекса</t>
  </si>
  <si>
    <t>сейчас- но нужно поправить</t>
  </si>
  <si>
    <t>Капитальный ремонт здания Дома офицеров Кубинского гарнизона пос.Новый городок сельское поселение Никольское  Одинцовского м.р.</t>
  </si>
  <si>
    <t>сельское поселение Никольское Одинцовский муниципальный район</t>
  </si>
  <si>
    <t>Распределение субсидий бюджетам муниципальных образований Московской области и адресный перечень объектов муниципальной собственности, за счет всех источников финансирования подпрограммы III</t>
  </si>
  <si>
    <t>1.</t>
  </si>
  <si>
    <t>6.2</t>
  </si>
  <si>
    <t>6.3</t>
  </si>
  <si>
    <t>6.4</t>
  </si>
  <si>
    <t>7</t>
  </si>
  <si>
    <t>7.1</t>
  </si>
  <si>
    <t>8</t>
  </si>
  <si>
    <t>8.1</t>
  </si>
  <si>
    <t>9</t>
  </si>
  <si>
    <t>9.1</t>
  </si>
  <si>
    <t>9.2</t>
  </si>
  <si>
    <t>9.3</t>
  </si>
  <si>
    <t>9.4</t>
  </si>
  <si>
    <t>9.5</t>
  </si>
  <si>
    <t>10</t>
  </si>
  <si>
    <t>10.1</t>
  </si>
  <si>
    <t>10.2</t>
  </si>
  <si>
    <t>10.3</t>
  </si>
  <si>
    <t>11</t>
  </si>
  <si>
    <t>11.1</t>
  </si>
  <si>
    <t>2.</t>
  </si>
  <si>
    <t>8.2</t>
  </si>
  <si>
    <t>Адресный перечень объектов строительства (реконструкции)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2.5 «Строительство, реконструкция, модернизация объектов инженерной инфраструктуры муниципальных образований за счет внебюджетных средств и/или средств бюджетов муниципальных образований» подпрограммы «Создание условий для обеспечения качественными жилищно-коммунальными услугами»</t>
  </si>
  <si>
    <t>Основное мероприятие 2 -Строительство (реконструкция), капитальный ремонт канализационных коллекторов    и канализационных насосных станций  на территории муниципальных образований Московской области.</t>
  </si>
  <si>
    <t>Ввод в эксплуатацию одной котельной  в мкр. Химик г.п. Можайска</t>
  </si>
  <si>
    <t>Проведение работ по капитальному ремонту или пуск в работу 5   объектов коммунальной инфраструктуры в 2018 - 2 ед. в  2019 - 3 ед.</t>
  </si>
  <si>
    <t xml:space="preserve">Ввод в эксплуатацию 1  объекта коммунальной инфраструктуры
</t>
  </si>
  <si>
    <t>Модернизация и техническое перевооружение не менее 40 котельных, 2017  - 20 ед.; 2018 - 20 ед.</t>
  </si>
  <si>
    <t>Капитальный ремонт 15 объектов в сфере культуры 2018 - 5 ед., 2019 - 6 ед. 2020 - 4 ед.</t>
  </si>
  <si>
    <t>Укрепление материально-технической базы 4 объектов в сфере здравоохранения  2018 год - 2 ед., 2019 год - 2 ед.</t>
  </si>
  <si>
    <t xml:space="preserve">Выполнение работ по восстановлению 28 объектов инженерной инфраструктуры 2018 -27 ед., 2019 - 1 ед.
</t>
  </si>
  <si>
    <t>сельское поселение Медвежье-Озёрское Щелковский муниципальный район</t>
  </si>
  <si>
    <t xml:space="preserve">Реконструкция биологических очистных сооружений канализации по адресу:  городской округ Электросталь,  пос.Фрязево (в том числе ПИР) 1) </t>
  </si>
  <si>
    <t>Капитальный ремонт очистных сооружений,  городской округ Электросталь  село Всеволодово, Ногинск-5</t>
  </si>
  <si>
    <t xml:space="preserve">Капитальный ремонт здания Дома культуры «Всеволодово» ф-л МБУК «СДК «Елизаветино» по адресу: с. Всеволодово, военный городок Ногинск-5
</t>
  </si>
  <si>
    <t xml:space="preserve">Капитальный ремонт здания МАОУ ДОД "Мещеринская ДМШ", с. Мещерино – 1 г.о. Ступино </t>
  </si>
  <si>
    <t>г.п. Некрасовский Дмитровский муниципальный район</t>
  </si>
  <si>
    <t>Подпрограмма II "Системы водоотведения"</t>
  </si>
  <si>
    <t xml:space="preserve">Реконструкция канализационных очистных сооружений, предназначенных для транспортировки и очистки сточных вод, находящихся в собственности Рузского муниципального района Московской области по адресу: Московская область, Рузский район, г. Руза (Рузский городской округ)
</t>
  </si>
  <si>
    <t>Проектируемая производительность -10 000 куб.м/сут.</t>
  </si>
  <si>
    <t>Городской округ Руза</t>
  </si>
  <si>
    <t>1.3.2.1</t>
  </si>
  <si>
    <t xml:space="preserve">3) Подлежит внесению в закон Московской области о бюджете Московской области на 2018 год и на плановый период 2019 и 2020 годов при очередном внесени и изменений                </t>
  </si>
  <si>
    <t>2018-2021</t>
  </si>
  <si>
    <t>2019-2021</t>
  </si>
  <si>
    <t xml:space="preserve">Реконструкция котельной д. Степаньково городского округа Шаховская Московской области с установкой двух котлов Турботерм-1600 и одного котла Турботерм-500 общей мощностью 3,7 МВт (в том числе ПИР) </t>
  </si>
  <si>
    <t>Мощность - 3,7 МВт</t>
  </si>
  <si>
    <r>
      <t>Строительство блочно-модульной котельной по адресу: д. Толстяково, с.п. Смирновское, Солнечногорский муниципальный район  (в том числе ПИР) 1</t>
    </r>
    <r>
      <rPr>
        <sz val="9"/>
        <rFont val="Times New Roman"/>
        <family val="1"/>
        <charset val="204"/>
      </rPr>
      <t>)</t>
    </r>
  </si>
  <si>
    <t>12.1</t>
  </si>
  <si>
    <t xml:space="preserve">Строительство блочно-модульной котельной по адресу: п. Фруктовая г.о. Луховицы (в том числе ПИР) 1)
</t>
  </si>
  <si>
    <t xml:space="preserve">Мощность - 2 МВт
</t>
  </si>
  <si>
    <t>Городское поселение Одинцово</t>
  </si>
  <si>
    <t>Строительство тепловых сетей в г.п. Одинцово 1)</t>
  </si>
  <si>
    <t>13.1</t>
  </si>
  <si>
    <t>Городское поселение Яхрома Дмитровского муниципального района</t>
  </si>
  <si>
    <t>Производительность 3580 куб.м/сут.</t>
  </si>
  <si>
    <t>Строительство станции обезжелезивания на ВЗУ № 2 Шлюзовый переулок городского поселения Яхрома Дмитровского муниципального района Московской области</t>
  </si>
  <si>
    <t>Городское поселение Лотошино Лотошинского муниципального района</t>
  </si>
  <si>
    <t>Строительство водопровода и станции обезжелезивания в д. Стрешневы Горы Лотошинского муниципального района городского поселения Лотошино Московской области (II этап)</t>
  </si>
  <si>
    <t>Производительность станции обезжелезивания - 7,52 куб.м/час</t>
  </si>
  <si>
    <t>Производительность - 160  куб.м/час</t>
  </si>
  <si>
    <t>Серпуховской муниципальный район</t>
  </si>
  <si>
    <t>Приобретение, монтаж, ввод в эксплуатацию блочно-модульной котельной в п. Шарапова Охота  (в том числе погашение кредиторской задолженности органов местного самоуправления муниципального образования за работы, выполненные в 2016 г. - 10 980,78 тыс. рублей)</t>
  </si>
  <si>
    <t>Городской округ Пущино</t>
  </si>
  <si>
    <t>УБО в 2016 году=0,88</t>
  </si>
  <si>
    <t>Письмо о возврате назад  №11вх-30823</t>
  </si>
  <si>
    <t xml:space="preserve">Капитальный ремонт тепловой сети от ТК 14 до ТК 17 в мик-не "АБ" г. Пущино  </t>
  </si>
  <si>
    <t>Сведено в соответствие с экспертизой (Ц-6-0424-17)</t>
  </si>
  <si>
    <t>1.23</t>
  </si>
  <si>
    <t>1.2.1.5</t>
  </si>
  <si>
    <t xml:space="preserve">Капитальный ремонт сетей ХВС п. Архангельское </t>
  </si>
  <si>
    <t xml:space="preserve">Капитальный ремонт наружной канализационной сети, с.п. Мамонтовское,  Ногинск-9 </t>
  </si>
  <si>
    <t>СОФИН.-5%</t>
  </si>
  <si>
    <t>1.2.1.8</t>
  </si>
  <si>
    <t>Капитальный ремонт канализационных сетей п. Новый городк Кубинка -7  Одинцовский м.р. (погашение кредиторской задолженности в сумме 4535,75 т.р.)</t>
  </si>
  <si>
    <t>Капитальный ремонт водопроводных сетей, расположенных на территории военного городка № 19  п. Софрино-1  (перенос инженерия)</t>
  </si>
  <si>
    <t>Капитальный ремонт котельной № 94 по адресу: военный городок № 19 п. Софрино-1   (перенос инженерия)</t>
  </si>
  <si>
    <t>Капитальный ремонт сетей водоотведения (самотечная канализация): по адресу военный городок № 19  п. Софрино-1   (перенос инженерия)</t>
  </si>
  <si>
    <r>
      <t xml:space="preserve">Капитальный ремонт сетей ГВС  по адресу: военный городок № 19 п. Софрино-1 </t>
    </r>
    <r>
      <rPr>
        <b/>
        <sz val="10"/>
        <rFont val="Times New Roman"/>
        <family val="1"/>
        <charset val="204"/>
      </rPr>
      <t xml:space="preserve">  (перенос инженерия)</t>
    </r>
  </si>
  <si>
    <t>УБО=1,4</t>
  </si>
  <si>
    <t>сумма по экспертизе. Письмо 11вх-22213.</t>
  </si>
  <si>
    <t xml:space="preserve">Капитальный ремонт системы питьевого водоснабжения с установкой станций водоподготовки (ПИР), п. Власиха, военный городок № 22/1
(г.Одинцово-10)
</t>
  </si>
  <si>
    <r>
      <t xml:space="preserve">Капитальный ремонт  ВЗУ по адресу: городской округ Балашиха,   мкр.Северный </t>
    </r>
    <r>
      <rPr>
        <b/>
        <sz val="10"/>
        <rFont val="Times New Roman"/>
        <family val="1"/>
        <charset val="204"/>
      </rPr>
      <t>(ПЕРЕНОС ИЗ СТРОЙКИ) (погашение кредиторской задолженности в сумме 3401,32 тыс.руб.)</t>
    </r>
  </si>
  <si>
    <r>
      <t xml:space="preserve">Капитальный ремонт КНС № 1  по адресу: городской округ Балашиха,   мкр.Северный  г.о. Балашиха </t>
    </r>
    <r>
      <rPr>
        <b/>
        <sz val="10"/>
        <rFont val="Times New Roman"/>
        <family val="1"/>
        <charset val="204"/>
      </rPr>
      <t>(ПЕРЕНОС ИЗ СТРОЙКИ) (погашение кредиторской задолженности в сумме 4426,11 тыс.руб.)</t>
    </r>
  </si>
  <si>
    <r>
      <t>Капитальный ремонт КНС № 2 по адресу: городской округ Балашиха,   мкр.Северный  г.о. Балашиха</t>
    </r>
    <r>
      <rPr>
        <b/>
        <sz val="10"/>
        <rFont val="Times New Roman"/>
        <family val="1"/>
        <charset val="204"/>
      </rPr>
      <t xml:space="preserve"> (ПЕРЕНОС ИЗ СТРОЙКИ) (погашение кредиторской задолженности в сумме 1839,31 тыс.руб.)</t>
    </r>
  </si>
  <si>
    <t>Капитальный ремонт сетей водоотведения, п. Власиха, военный городок № 22/1 (погашение кредитиорской задолженности в сумме 1231,44 тыс.руб.)
(г.Одинцово-10)</t>
  </si>
  <si>
    <t>Капитальный ремонт тепловых сетей в Сергиево-Посадском м.р., с.п. Шеметовское, н.п. Башенка, в/г № 210 (НОВЫЙ ОБЪЕКТ)</t>
  </si>
  <si>
    <t>1.2.1.22</t>
  </si>
  <si>
    <t>1.2.1.14</t>
  </si>
  <si>
    <t>городской округ Коломенский</t>
  </si>
  <si>
    <t xml:space="preserve">Строительство БМК, г. Коломна-1, военный городок Сосновый бор,  в/ч 17204 </t>
  </si>
  <si>
    <t xml:space="preserve">Реконструкция очисных сооружений (1 очередь) военный городок Сосновый бор,  в/ч 17204  </t>
  </si>
  <si>
    <t xml:space="preserve">Реконструкция тепловых сетей военный городок Сосновый бор,  в/ч 17204  </t>
  </si>
  <si>
    <t>Мощность - МВт</t>
  </si>
  <si>
    <t>11.2</t>
  </si>
  <si>
    <t>11.3</t>
  </si>
  <si>
    <t>Производительность -  куб.м/сут.</t>
  </si>
  <si>
    <t xml:space="preserve">Капитальный ремонт котельной с. Всеволодово </t>
  </si>
  <si>
    <t>Капитальный ремонт наружных сетей канализации с. Всеволодово</t>
  </si>
  <si>
    <t>Капитальный ремонт напорного коллектора (трубы Д 300мм, длиной 200м) с. Всеволодово</t>
  </si>
  <si>
    <t xml:space="preserve">Капитальный ремонт наружных сетей водоотведения с.п. Аксено-Бутырское, с. Ивашево </t>
  </si>
  <si>
    <t xml:space="preserve">Восстановление работоспособности очисных сооружений канализации (приобретение монтаж и ввод в эксплуатацию модульной станции биологической очистки "Диамант 150") с.п. Аксено-Бутырское, с. Ивашево </t>
  </si>
  <si>
    <t>Капитальный ремонт ВНС №102 пос.Софрино-1 с установкой станции обезжелезивания п.Софрино-1, в/г 19</t>
  </si>
  <si>
    <t>Капитальный ремонт арт.скважины № 1 ВНС в/г № 19 пос.Софрино</t>
  </si>
  <si>
    <t>Капитальный ремонт сетей водопровода пос.Софрино-1, в/г 19</t>
  </si>
  <si>
    <t>Капитальный ремонт наружных водопроводных сетей диам.300мм общей протяженностью 220пм (2 трубопровода на уч-ке от ВНС до здания котельной) п.Софрино-1, в/г 19</t>
  </si>
  <si>
    <t>Доп работы по капитальному ремонту напорной канализации п.Софрино-1, в/г 19</t>
  </si>
  <si>
    <t>Доп работы по капитальному ремонту сетей водоотведения (самотечная канализация) п.Софрино-1, в/г 19</t>
  </si>
  <si>
    <t>Доп работы по капитальному ремонту сетей теплоснабжения (участка №1-№14) п.Софрино-1, в/г 19</t>
  </si>
  <si>
    <t>Доп работы по капитальному ремонту водопроводных сетей п.Софрино-1, в/г 19</t>
  </si>
  <si>
    <t>Доп работы по капитальному ремонту котельной №94 п.Софрино-1, в/г 19</t>
  </si>
  <si>
    <t>Капитальный ремонт сетей теплоснабжения мкр. Северный</t>
  </si>
  <si>
    <t>Капитальный ремонт сетей теплоснабжения мкр. Заря</t>
  </si>
  <si>
    <t>Капитальный ремонт напорного коллектора и КНС п.Новый городок</t>
  </si>
  <si>
    <t>Капитальный ремонт теплотрассы</t>
  </si>
  <si>
    <t>Городской округ Шаховская</t>
  </si>
  <si>
    <t>14.1</t>
  </si>
  <si>
    <t>Благоустройство и установка детских площадок г.п. Монино, ул. Баранова, площадь Ленина; ул. Баранова, напротив д. 7, 9; ул. Генерала Дементьева, двор домов 5, 7; ул. Генерала Дементьева, д.10; ул. Генерала Дементьева, д.12; ул. Дружбы, двор домов 1, 8; ул. Маршала Красовского, д.10,12; ул. Маслова, д. 5; ул. Фалалеева, д.1; ул. Фалалеева, д.3;
ул. Южная, двор домов 3а, 5. (оплата кредиторской  задолженности)</t>
  </si>
  <si>
    <t>2019 год -  ед. котельные,   ед. - сети</t>
  </si>
  <si>
    <t>15.1</t>
  </si>
  <si>
    <t>Капитальный ремонт очистных сооружений д. Осипово Солнечногорский  м.р.</t>
  </si>
  <si>
    <t>Городской округ Королев</t>
  </si>
  <si>
    <t>Реконструкция   тепловых сетей отопления и горячего водоснабжения   (в том числе ПИР) по адресу: городской округ Красногорск, музей-усадьба Архангельское и прилегающая застройка 1)</t>
  </si>
  <si>
    <t>9.6</t>
  </si>
  <si>
    <t>Городское поселение Хотьково Сергиево-Посадского мунинципального района</t>
  </si>
  <si>
    <t>Строительство блочно-модульной котельной для ГКОУ МО "Доверие" по адресу: Московская область, Щелковский район, с/п Медвежье-Озерское, д. Алмазово (в том числе ПИР)</t>
  </si>
  <si>
    <t>Строительство блочно-модульной котельной для Клеменовская участковая больница ГБУЗ МО "Егорьевская ЦРБ" по адресу: д. Овчагино  (в том числе ПИР)</t>
  </si>
  <si>
    <t>Строительство блочно-модульной котельной для ГБУЗ МО "Пушкинская поликлиника микрорайона Клязьма" по адресу: ул. Лермонтовская, д. 27  (в том числе ПИР)</t>
  </si>
  <si>
    <t>Строительство блочно-модульной котельной для ГБУЗ МО "Московский областной противотуберкулезный диспансер "Стационар "Алешино" д. Алешино, г. Пушкино Пушкинский муниципальный район  (в том числе ПИР)</t>
  </si>
  <si>
    <t>Строительство блочно-модульной котельной для ГБСУ СО МО "Островский психоневрологический интернат" по адресу: Ленинский муниципальный район, п/о Молоково, с. Остров  (в том числе ПИР)</t>
  </si>
  <si>
    <t>Строительство блочно-модульной котельной для ГКУ СО МО "Серпуховский (районный) социально-реабилитационный центр для несовершеннолетних" по адресу: Серпуховский муниципальный район, д. Пущино  (в том числе ПИР)</t>
  </si>
  <si>
    <t>Строительство блочно-модульной котельной для ГАУ СО МО "Ступинский комплексный центр социального обслуживания населения" по адресу: Ступинский муниципальный район, с. Липитино, ул. Клубная  (в том числе ПИР)</t>
  </si>
  <si>
    <t>Строительство блочно-модульной котельной для ГБУЗ МО "Психиатрическая больница N 4" по адресу: Рузский муниципальный район, с. Покровское (Рузский городской округ)  (в том числе ПИР)</t>
  </si>
  <si>
    <t>Строительство блочно-модульной котельной для ГБСУ СО МО "Колычевский психоневрологический интернат" и ГБУ СО МО "Егорьевский дом-интернат для престарелых и инвалидов" по адресу: Егорьевский муниципальный район, д. Колычево, ул. З. Самсоновой (городской округ Егорьевск)  (в том числе ПИР)</t>
  </si>
  <si>
    <t>Строительство блочно-модульной котельной для ГБСУ СО МО "Талдомский дом-интернат малой вместимости для граждан пожилого возраста и инвалидов "Березка" по адресу: Талдомский муниципальный район, п. Вербилки, ул. Пушкина, д. 18  (в том числе ПИР)</t>
  </si>
  <si>
    <t>Строительство блочно-модульной котельной для ГБСУ СОН МО "Денежниковский психоневрологический интернат" по адресу: Раменский муниципальный район, п. Денежниково, д. 24  (в том числе ПИР)</t>
  </si>
  <si>
    <t>Строительство блочно-модульной котельной для ГКУЗ МО "Детский бронхолегочный санаторий "Озерский" по адресу: Озерский район, пл. Карла Маркса, д. 11</t>
  </si>
  <si>
    <t>Строительство блочно-модульной котельной для ГКУЗ МО "Детский бронхолегочный санаторий "Озерский" по адресу: Озерский район, ул. Крюкова, д. 26  (в том числе ПИР)</t>
  </si>
  <si>
    <t>Строительство блочно-модульной котельной для ГБУЗ МО "Можайская центральная районная больница" филиал "Клементьевская участковая больница" по адресу: Можайский муниципальный район, Клементьевское сельское поселение, д. Клементьево  (в том числе ПИР)</t>
  </si>
  <si>
    <t>Капитальный ремонт водопроводных сетей по адресу:  городской округ Красногорск, пос. Архангельское 1)</t>
  </si>
  <si>
    <t>Капитальный ремонт канализационных сетей по адресу: городской округ Красногорск, музей-усадьба Архангельское 1)</t>
  </si>
  <si>
    <t>Городской округ Красногорск</t>
  </si>
  <si>
    <t>Приобретение в муниципалшьную собственность котельной "Углич", находящейся по адресу: г. Сергиев Посад, ул. Дружбы, д. 5Б</t>
  </si>
  <si>
    <t>Городское поселение Сергиев Посад Сергиево-Посадского муниципального района</t>
  </si>
  <si>
    <t>Мощность -0,6 МВт</t>
  </si>
  <si>
    <t>Мощность -0,4  МВт</t>
  </si>
  <si>
    <t>Мощность - 0,144 МВт</t>
  </si>
  <si>
    <t>Мощность - 4,31 МВт</t>
  </si>
  <si>
    <t>Мощность -1,12  МВт</t>
  </si>
  <si>
    <t>Мощность - 0,62 МВт</t>
  </si>
  <si>
    <t xml:space="preserve">Мощность - 0,3 </t>
  </si>
  <si>
    <t>Мощность - 1 МВт</t>
  </si>
  <si>
    <t>Мощность - 4 МВт</t>
  </si>
  <si>
    <t>Мощность - 0,4 МВт</t>
  </si>
  <si>
    <t>Мощность - 4,8 МВт</t>
  </si>
  <si>
    <t>Мощность - 0,08 МВт</t>
  </si>
  <si>
    <t>Мощность - 0,35 МВт</t>
  </si>
  <si>
    <r>
      <t xml:space="preserve">Приобретение, монтаж и ввод в эксплуатацию станции водоочистки на водозаборном узле военный городок № 417 по адресу: городской округ Балашиха,   мкр.Северный </t>
    </r>
    <r>
      <rPr>
        <b/>
        <sz val="10"/>
        <rFont val="Times New Roman"/>
        <family val="1"/>
        <charset val="204"/>
      </rPr>
      <t>(ПЕРЕНОС ИЗ СТРОЙКИ) (погашение кредиторской задолженности в сумме 13208,85 тыс.руб.)</t>
    </r>
  </si>
  <si>
    <t>1.1.8.1</t>
  </si>
  <si>
    <t>1.1.9</t>
  </si>
  <si>
    <t>1.1.10</t>
  </si>
  <si>
    <t>1.1.10.1</t>
  </si>
  <si>
    <t>1.2.5</t>
  </si>
  <si>
    <t>Всего 3из них:</t>
  </si>
  <si>
    <t>3 из них:</t>
  </si>
  <si>
    <t>2019 - 2 ед. Котельная+ Сети</t>
  </si>
  <si>
    <t xml:space="preserve">
2019 - 1 ед.  Строит. Басеин ГРБС Минстрой, </t>
  </si>
  <si>
    <t>2018г. 1 ед. ОС  ГРБС МинЖКХ</t>
  </si>
  <si>
    <t>2020г. 1 ед. басеин ГРБС Минстрой</t>
  </si>
  <si>
    <t>2019г. - 4 ед. ВЗУ+Котельная+Сети+ ОС  ГРБС Минжкх</t>
  </si>
  <si>
    <t>МинЖКХ</t>
  </si>
  <si>
    <t>итого</t>
  </si>
  <si>
    <t>2018 - 5 ед. 
2019 год  -  7 ед. 
2020 - 2
ИТОГО - 14</t>
  </si>
  <si>
    <t>2018 - 0 ед., 
2019 - 3 ед., 
2020 - 1 ед.
ИТОГО - 4</t>
  </si>
  <si>
    <t xml:space="preserve">Ввод в эксплуатацию 4 объектов социальной  инфраструктуры 
2018 – 0 ед.; 2019 - 3 ед., 2020  - 1 ед.
</t>
  </si>
  <si>
    <t>Ввод в эксплуатацию 14 объектов инженерной инфраструктуры 
2018 год – 5 ед.; 2019 год - 7 ед.; 2020 год - 2 ед.</t>
  </si>
  <si>
    <t>Капитальный ремонт тепловых сетей и сетей ГВС от ТК 20а до ТК 189 с заменой вводов в ж.д. по ул. Красовского № 13 протяженностью 111 метров. Г.п. Монино (погашение кредиторской задолженности в сумме 9419,79 тыс. руб.)</t>
  </si>
  <si>
    <t>Строительство автоматизированной котельной с переключением существующей нагрузки и увеличением мощности до 60 МВт в пос. Архангельское, городской округ Красногорск ( в том числе ПИР)  1)</t>
  </si>
  <si>
    <t>Поменялось наименование мероприятия</t>
  </si>
  <si>
    <t>УТОЧНИТЬ ПОКАЗАТЕЛЬ В РАСЧЕТЕ КАК БУДИТ СЧИТАТЬСЯ</t>
  </si>
  <si>
    <t>МУН</t>
  </si>
  <si>
    <t>Внеб.</t>
  </si>
  <si>
    <t>2018 год  - 10 ед.</t>
  </si>
  <si>
    <t>2020 - 5ед.</t>
  </si>
  <si>
    <t>Пуск в работу 83 объектов водоснабжения, в том числе:  2018 год -  77 ед., 2019 г. - 6 ед.</t>
  </si>
  <si>
    <t>2018  год - 77 ед.</t>
  </si>
  <si>
    <t>2018 - 6 ед.</t>
  </si>
  <si>
    <t>1.1.</t>
  </si>
  <si>
    <t xml:space="preserve">2018 - 1 ВЗУ </t>
  </si>
  <si>
    <t>2018 - 1 ВЗУ</t>
  </si>
  <si>
    <t>2018  - 1 ВЗУ</t>
  </si>
  <si>
    <t>2018 - 1 станц. обезжелез на ВЗУ</t>
  </si>
  <si>
    <t>2019 - 1 ВЗУ</t>
  </si>
  <si>
    <t>1.4.1</t>
  </si>
  <si>
    <t>1.4.2</t>
  </si>
  <si>
    <t>2018 - 1 станция очистки воды</t>
  </si>
  <si>
    <t>1.5.1</t>
  </si>
  <si>
    <t>1.6.1</t>
  </si>
  <si>
    <t>1.7.1</t>
  </si>
  <si>
    <t>2018 - 1 станция обезжелезивания на  ВЗУ</t>
  </si>
  <si>
    <t>2018 - 1 СТ.ОБЕЗЖЕ на ВЗУ</t>
  </si>
  <si>
    <t>1.10.1</t>
  </si>
  <si>
    <t>1.11.1</t>
  </si>
  <si>
    <t>1.12.1</t>
  </si>
  <si>
    <t>1.13.1</t>
  </si>
  <si>
    <t>городское поселение Солнечногорск</t>
  </si>
  <si>
    <t>Кашира</t>
  </si>
  <si>
    <t>2018 - 4 ВЗУ</t>
  </si>
  <si>
    <t>Перенос утвержденных средств с 2018 на 2019год.</t>
  </si>
  <si>
    <t>2018 - 1 ВЗУ
2019 - 4 ВЗУ</t>
  </si>
  <si>
    <t>Приобретение, монтаж и ввод в эксплуатацию станции водоподготовки на ВЗУ г.п. Белоозерский, ул.Коммунальная, д.2</t>
  </si>
  <si>
    <t>2018 - 3 ВЗУ</t>
  </si>
  <si>
    <t>1.5.2</t>
  </si>
  <si>
    <t>1.5.3</t>
  </si>
  <si>
    <t>1.6.2</t>
  </si>
  <si>
    <t>1.6.3</t>
  </si>
  <si>
    <t>1.7.2</t>
  </si>
  <si>
    <t>1.7.3</t>
  </si>
  <si>
    <t>1.7.4</t>
  </si>
  <si>
    <t>1.8.2</t>
  </si>
  <si>
    <t>1.8.3</t>
  </si>
  <si>
    <t>1.8.4</t>
  </si>
  <si>
    <t>1.11.2</t>
  </si>
  <si>
    <t>1.11.3</t>
  </si>
  <si>
    <t>2018 - 1 ст. обезжелезивания на ВЗУ</t>
  </si>
  <si>
    <t>1.14.1</t>
  </si>
  <si>
    <t>1.14.2</t>
  </si>
  <si>
    <t>1.14.3</t>
  </si>
  <si>
    <t>1.14.4</t>
  </si>
  <si>
    <t>2018 - 6 ВЗУ</t>
  </si>
  <si>
    <t>1.15.1</t>
  </si>
  <si>
    <t>1.15.2</t>
  </si>
  <si>
    <t>1.15.3</t>
  </si>
  <si>
    <t>1.15.4</t>
  </si>
  <si>
    <t>1.15.5</t>
  </si>
  <si>
    <t>1.15.6</t>
  </si>
  <si>
    <t>1.16.1</t>
  </si>
  <si>
    <t>1.16.2</t>
  </si>
  <si>
    <t>1.16.3</t>
  </si>
  <si>
    <t>1.17</t>
  </si>
  <si>
    <t>1.17.1</t>
  </si>
  <si>
    <t>1.17.2</t>
  </si>
  <si>
    <t>1.17.3</t>
  </si>
  <si>
    <t>1.17.4</t>
  </si>
  <si>
    <t>1.17.5</t>
  </si>
  <si>
    <t>1.17.6</t>
  </si>
  <si>
    <t>1.18</t>
  </si>
  <si>
    <t>1.18.1</t>
  </si>
  <si>
    <t>1.18.2</t>
  </si>
  <si>
    <t>1.18.3</t>
  </si>
  <si>
    <t>1.18.4</t>
  </si>
  <si>
    <t>Приобретение, монтаж и ввод в эксплуатацию станции водоподготовки на ВЗУ  д. Жуковка Дмитровский  м.р. г.п. Дмитров</t>
  </si>
  <si>
    <t>1.19</t>
  </si>
  <si>
    <t>1.19.1</t>
  </si>
  <si>
    <t>1.19.2</t>
  </si>
  <si>
    <t>1.19.3</t>
  </si>
  <si>
    <t>1.19.4</t>
  </si>
  <si>
    <t>1.19.5</t>
  </si>
  <si>
    <t>Приобретение, монтаж и ввод в эксплуатацию станции водоподготовки на ВЗУ  п. Мельчевка Дмитровский м.р.(с.п. Куликовское)</t>
  </si>
  <si>
    <t>1.20</t>
  </si>
  <si>
    <t>1.20.1</t>
  </si>
  <si>
    <t>1.21</t>
  </si>
  <si>
    <t>1.21.1</t>
  </si>
  <si>
    <t>1.21.2</t>
  </si>
  <si>
    <t>1.21.3</t>
  </si>
  <si>
    <t>1.21.4</t>
  </si>
  <si>
    <t>1.22</t>
  </si>
  <si>
    <t>1.22.1</t>
  </si>
  <si>
    <t>Приобретение, монтаж и ввод в эксплуатацию станции водоочистки на артезианской скважине № 12 (погашение кредиторской задолженности в сумме 20489,04 тыс. руб.)</t>
  </si>
  <si>
    <t>1.22.2</t>
  </si>
  <si>
    <t>Приобретение, монтаж и ввод в эксплуатацию станции водоочистки на артезианской скважине № 13 (погашение кредиторской задолженности в сумме 20489,04 тыс. руб.)</t>
  </si>
  <si>
    <t>1.22.3</t>
  </si>
  <si>
    <t>Приобретение, монтаж и ввод в эксплуатацию станции водоочистки на артезианской скважине № 14  (погашение кредиторской задолженности в сумме 20489,04 тыс. руб.)</t>
  </si>
  <si>
    <t>1.22.4</t>
  </si>
  <si>
    <t>Приобретение, монтаж и ввод в эксплуатацию станции водоочистки на артезианской скважине № 16  (погашение кредиторской задолженности в сумме 20489,04 тыс. руб.)</t>
  </si>
  <si>
    <t>1.23.1</t>
  </si>
  <si>
    <t>Приобретение, монтаж и ввод в эксплуатацию станции водогоподготовки на ВЗУ № 8 мкр. Железнодорожный , пер. Парковый д. 8В</t>
  </si>
  <si>
    <t>1.26</t>
  </si>
  <si>
    <t>городское поселение Пушкино Пушкинского муниципального района</t>
  </si>
  <si>
    <t>2018 - 1 ВНС, 
1 ВЗУ
2019 - 1 ВНС</t>
  </si>
  <si>
    <t>1.26.3</t>
  </si>
  <si>
    <t xml:space="preserve">Капитальный ремонт   ВЗУ № 4 по адресу: Московская область,  Пушкинский муниципальный район, г.Пушкино, мкр. Новая деревня  </t>
  </si>
  <si>
    <t>Перенос с изменением ввида работ</t>
  </si>
  <si>
    <t>1.27</t>
  </si>
  <si>
    <t>городской округ Фрязино</t>
  </si>
  <si>
    <t>2018 - 1 ВЗУ 
2019 - 1 ВЗУ</t>
  </si>
  <si>
    <t>1.27.1</t>
  </si>
  <si>
    <t xml:space="preserve">Капитальный ремонт с установкой станции водоочистки на ВЗУ №4, г. Фрязино,  Окружной проезд, дом 2, стр. 1 </t>
  </si>
  <si>
    <t>1.27.2</t>
  </si>
  <si>
    <t>Капитальный ремонт с установкой станции водоочистки на ВЗУ №5, г. Фрязино, пл. Введенского, дом 1, стр. 1</t>
  </si>
  <si>
    <t>2018 год  - 77 ед.
2019 год  - 6 ед</t>
  </si>
  <si>
    <r>
      <t>Предоставление иных межбюджетных трансфертов из бюджета Московской области  бюджетам муниципальным образований Московской области на реализацию проектов  государственно-частного партнерства в жилищно-коммунальном хозяйстве в сфере водоочистки</t>
    </r>
    <r>
      <rPr>
        <b/>
        <sz val="10"/>
        <color theme="1"/>
        <rFont val="Times New Roman"/>
        <family val="1"/>
        <charset val="204"/>
      </rPr>
      <t xml:space="preserve"> 1)</t>
    </r>
  </si>
  <si>
    <t>Ввод в эксплуатацию одного очистного сооружения в 2020 году.</t>
  </si>
  <si>
    <t>2017-2021</t>
  </si>
  <si>
    <t>Ввод в эксплуатацию в 2019 году 1 объекта</t>
  </si>
  <si>
    <t xml:space="preserve">Капитальный ремонт  9 объектов, в том числе:  2018 год  - 6 ед. 
2019 год - 3 ед. </t>
  </si>
  <si>
    <t xml:space="preserve">Ввод в эксплуатацию 2 объектов, в том числе:  
2019 год  - 1ед. 
2020 год - 1 ед. </t>
  </si>
  <si>
    <t xml:space="preserve">Капитальный ремонт 4  объектов в 2018 году
</t>
  </si>
  <si>
    <t xml:space="preserve">1) Объем финансирования мероприятий подлежит уточнению по итогам принятия решения об участии Правительства Московской области в концессионных соглашениях в сфере жилищно-коммунального хозяйства. Порядок предоставления и распределение субсидий из бюджета Московской области бюджетам муниципальных образований Московской области на реализацию проектов государственно-частного партнерства в жилищно-коммунальном хозяйстве будет утвержден путем внесения изменений в Программу. </t>
  </si>
  <si>
    <t>1.1.5.2</t>
  </si>
  <si>
    <t>67,7 - МО</t>
  </si>
  <si>
    <t>Строительство очистных сооружений  системы ливневой канализации, выпуск в реку Пахра на территории Подольского муниципального района (в том числе корректировка проекта) 1)</t>
  </si>
  <si>
    <t>2019 - 1 ед. ОС (Подольский м.р.)</t>
  </si>
  <si>
    <t>городской округ Серпухов</t>
  </si>
  <si>
    <t>2021 - 1 ед. ОС (ВОЛГА)</t>
  </si>
  <si>
    <t xml:space="preserve">Реконструкция очисных сооружений  г. Серпухов пер. Безымянный д.1 </t>
  </si>
  <si>
    <t xml:space="preserve">Проектная мощность 180 000 куб.м/сут  </t>
  </si>
  <si>
    <t>Софинансирование - 0,95</t>
  </si>
  <si>
    <t>1.1.9.1</t>
  </si>
  <si>
    <t xml:space="preserve">Реконструкция очисных сооружений  г. Павловский Посад пер. Интернациональный д. 28Б </t>
  </si>
  <si>
    <t>Проектная мощность 150 000,0 куб.м/сут</t>
  </si>
  <si>
    <t>Софинансирование - 0,797</t>
  </si>
  <si>
    <t>городской округ Коломна</t>
  </si>
  <si>
    <t xml:space="preserve">Реконструкция очисных сооружений    Коломенский р-н, с/о Пестриковский </t>
  </si>
  <si>
    <t xml:space="preserve">Проектная мощность 135 000 куб.м/сут. </t>
  </si>
  <si>
    <t>1.1.11</t>
  </si>
  <si>
    <t>1.1.11.1</t>
  </si>
  <si>
    <t xml:space="preserve">Реконструкция очисных сооружений   г.п. Солнечногорск д. Осипово </t>
  </si>
  <si>
    <t>Проектная мощность 27 000 куб.м/сут.</t>
  </si>
  <si>
    <t>1.1.12</t>
  </si>
  <si>
    <t>1.1.12.1</t>
  </si>
  <si>
    <t xml:space="preserve">Реконструкция очисных сооружений  г. Шатура ул. Малькина Грива  </t>
  </si>
  <si>
    <t xml:space="preserve">Проектная мощность 16 600 куб.м/сут. </t>
  </si>
  <si>
    <t>1.1.13</t>
  </si>
  <si>
    <t>Наро-Фоминский городской округ</t>
  </si>
  <si>
    <t>1.1.13.1</t>
  </si>
  <si>
    <t>Реконструкция очисных сооружений Наро-Фоминский  м.р. ул. Профсоюзная</t>
  </si>
  <si>
    <t>1.1.14</t>
  </si>
  <si>
    <t>1.1.14.1</t>
  </si>
  <si>
    <t>Реконструкция очисных сооружений г. Кашира д. Терново 1</t>
  </si>
  <si>
    <t xml:space="preserve">Проектная мощность 40 000 куб.м/сут. </t>
  </si>
  <si>
    <t>1.1.15</t>
  </si>
  <si>
    <t>1.1.15.1</t>
  </si>
  <si>
    <t>Строительство очистных сооружений канализации д. Корпуса Щелковский м.р.  (в том числе ПИР)</t>
  </si>
  <si>
    <t xml:space="preserve">ПИР планируется за счет муниципальных средств </t>
  </si>
  <si>
    <t>1.1.18</t>
  </si>
  <si>
    <t>2018 - 1 ед. коллектор мунобра</t>
  </si>
  <si>
    <t>2.1.5.3</t>
  </si>
  <si>
    <t>Строительство канализационного напорного коллектора 2Д- 315мм протяженностью 2х5300 п.м. и реконструкция КНС с последующим закрытием очистных сооружений г. Климовска (в том числе ПИР)</t>
  </si>
  <si>
    <t xml:space="preserve">15 000 м3/сут. </t>
  </si>
  <si>
    <t>2.1.7.1</t>
  </si>
  <si>
    <t>Реконструкция канализационного коллектора с Д-400 на Д-800мм г.п. Солнечногорск (в том числе ПИР)</t>
  </si>
  <si>
    <t>2.1.8</t>
  </si>
  <si>
    <t xml:space="preserve">
2020 - 1 ед. коллектор</t>
  </si>
  <si>
    <t>2.1.8.1</t>
  </si>
  <si>
    <t>Реконструкция канализационного коллектора в районе Свято-Троицкой Сергиевой Лавры</t>
  </si>
  <si>
    <t>2020 - 4 КНС, 4 Коллектора</t>
  </si>
  <si>
    <t>2019 - 4 ед. коллетора + 1 КНС (Подольск)</t>
  </si>
  <si>
    <t>2019 -1 ед. коллектор</t>
  </si>
  <si>
    <t>2020- 1 ОС</t>
  </si>
  <si>
    <t>Капитальный ремонт КНС 1, КНС 2  пос. Архангельское городской округ Красногорск санаторий Архангельское и прилегающая застройка</t>
  </si>
  <si>
    <t>2018 год  - 6 ед. из них 4 ед. - коллектора+ 2 КНС (Архангельское),
2019 год  - 3 ед. коллектор</t>
  </si>
  <si>
    <t>2019 - 1 ОС</t>
  </si>
  <si>
    <t>2018 - 1 ОС</t>
  </si>
  <si>
    <t xml:space="preserve">Средства Фонда содействия реформированию жилищно-коммунального хозяйства </t>
  </si>
  <si>
    <t>1) Объем финансирования  объекта подлежит уточнению по итогам получения положительного заключения органа экспертизы на проектную документацию и инженерные изыскания, а также  положительного заключения органа экспертизы по проверке достоверности определения сметной стоимости путем внесения изменений в Программу.       
2) Софинансирование за счет средств бюджета Московской области осуществляется в случае предоставления финансовой поддержки за счет средств Фонда содействия реформированию жилищно-коммунального хозяйства на реализацию мероприятия.</t>
  </si>
  <si>
    <t>2021 - 1 ОС (ВОЛГА)</t>
  </si>
  <si>
    <t>Проектная мощность 17 000 куб.м/сут.</t>
  </si>
  <si>
    <t>Субсидии некрммерческим организациям</t>
  </si>
  <si>
    <t>Субсидия государственному бюджетному учреждению Московской области "Управление технического надзора капитального ремонта" на финансовое обеспечение выполнения государственного задания на оказание государственных услуг (выполнение работ)</t>
  </si>
  <si>
    <t>Субсидия государственному автономному образовательному учреждению Московской области "Учебно-курсовой комбинат жилищно-коммунального хозяйства" на финансовое обеспечение выполнения государственного задания на оказание государственных услуг (выполнение работ)</t>
  </si>
  <si>
    <t>0</t>
  </si>
  <si>
    <t>Создание административных комиссий, уполномоченных рассматривать дела об административных правонарушениях в сфере благоуцстройства</t>
  </si>
  <si>
    <t>Министерство строительного комплекса Московской области, Министерство жилищно-коммунального хозяйства Московской области</t>
  </si>
  <si>
    <t>2.2.8</t>
  </si>
  <si>
    <t>2.2.9</t>
  </si>
  <si>
    <t>2.2.10</t>
  </si>
  <si>
    <t>2.2.11</t>
  </si>
  <si>
    <t>2.2.12</t>
  </si>
  <si>
    <t>2.2.13</t>
  </si>
  <si>
    <t>2.2.14</t>
  </si>
  <si>
    <t>2.2.15</t>
  </si>
  <si>
    <t>2.2.16</t>
  </si>
  <si>
    <t>2.2.17</t>
  </si>
  <si>
    <t>всего</t>
  </si>
  <si>
    <t>2.2.2.2</t>
  </si>
  <si>
    <t>2) Мероприятие выполняется в рамках ранее предусмотренных средств</t>
  </si>
  <si>
    <t>Капитальный ремонт межрайонного самотечного коллектора от г. Королев (пл. Валентиновская) до г. Щелково (КНС "Соколовская") Д1500 мм - 1600 п.м. Щелковский муниципальный район (I этап) 2)</t>
  </si>
  <si>
    <t>городское поселение Щелково</t>
  </si>
  <si>
    <t>Мониторинг выполнения работ по созданию и восстановлению ВЗУ, ВНС и станций водоподготовки, выполняемых в рамках реализации инвестиционных программ ресурсонабжающих огранизаций Московской области</t>
  </si>
  <si>
    <t>Строительство очистных сооружений  системы ливневой канализации, выпуск в реку Моча на территории Подольского муниципального района</t>
  </si>
  <si>
    <t>Выполнение государственного задания</t>
  </si>
  <si>
    <t xml:space="preserve">Паспорт  подпрограммы II  "Системы водоотведения" 
</t>
  </si>
  <si>
    <t xml:space="preserve">Рузский городской округ 
</t>
  </si>
  <si>
    <t>Реконструкция канализационной насосной станции № 6 городского поселения Львовский (погашение кредиторской задолженности за предшествующие годы)</t>
  </si>
  <si>
    <t xml:space="preserve">Капитальный ремонт МБДОУ «Детский сад № 54», г. Солнечногорск-25, д. 7, военный городок Ожогино 2а
</t>
  </si>
  <si>
    <t>1.2.2.17</t>
  </si>
  <si>
    <t>Пушкинский муниципальный район</t>
  </si>
  <si>
    <t xml:space="preserve">Капитальный ремонт МБДОУ Детский сад №29 «Сказка» Пушкинского муниципального района, г.п. Софрино,  пос. Софрино-1, военный городок № 19
</t>
  </si>
  <si>
    <t>2.7</t>
  </si>
  <si>
    <t>Предоставление субсидий из бюджета Московской области
бюджетам муниципальных образований Московской области
на приобретение объектов коммунальной инфраструктуры</t>
  </si>
  <si>
    <t xml:space="preserve">Приобретение, монтаж и воод в эксплуатацию станции обезжелезивания Сергеево-Посадский м.р. д. Кузьмино с.п. Шеметовское  </t>
  </si>
  <si>
    <t>2.7.1</t>
  </si>
  <si>
    <t>2.7.1.1</t>
  </si>
  <si>
    <t>Адресный перечень приобретаемых объектов коммунальной инфраструктуры и распределение субсидий муниципальным образованиям Московской области, финансирование которых предусмотрено мероприятием 2.7 "Предоставление субсидий из бюджета Московской области бюджетам муниципальных образований Московской области на приобретение объектов коммунальной инфраструктуры"</t>
  </si>
  <si>
    <t>Распределение субсидий бюджетам муниципальных образований Московской области и адресный перечень объектов муниципальной собственности, на которые предоставляется субсидия бюджетам муниципальных образований Московской области</t>
  </si>
  <si>
    <t>ВСЕГО по мероприятию 1.1:</t>
  </si>
  <si>
    <t>это точно здесь нужно?? Перепроверить к каким обьектам</t>
  </si>
  <si>
    <t>Всего по мероприятию 1.2:</t>
  </si>
  <si>
    <t>проверить нумерацию !!!</t>
  </si>
  <si>
    <t>по факту отдали меньше в прошлом (2017) году перепроверить!!</t>
  </si>
  <si>
    <t>точно 2018???????</t>
  </si>
  <si>
    <t xml:space="preserve">Адресный перечень объектов водоснабжения  муниципальной собственности, финансирование которых предусмотрено мероприятием 1.3 "Создание и восстановление объектов водоснабжения муниципальных образований за счет средств бюджетов муниципальных образований и (или) внебюджетных средств
" подпрограммы I "Чистая вода" государственной программы Московской области "Развитие инженерной инфраструктуры и энергоэффективности» на 2018-2022 годы"
</t>
  </si>
  <si>
    <t>ВСЕГО по мероприятию 1.3</t>
  </si>
  <si>
    <t>Всего по мероприятию 2.1:</t>
  </si>
  <si>
    <t xml:space="preserve">Мониторинг по пуску в работу ВЗУ, ВНС и станций водоподготовки на территории следующих муниципальных образований: Рузского городского округа - 2 ед.;городского округа Ивантеевка - 2 ед.; городского округа Балашиха - 5 ед.; городского округа  Серпухов - 4 ед.; Клинского муниципального района - 1 ед.; Люберецкого муниципального района - 1 ед. Павловский посад - 2 ед. </t>
  </si>
  <si>
    <t>В пределах средств, предусмотренных в инвестиционных программах ресурсоснабжающих организаций</t>
  </si>
  <si>
    <t xml:space="preserve"> Перечень мероприятий подпрограммы I "Чистая вода"</t>
  </si>
  <si>
    <t>Объем финансирования по годам
(тыс. руб.)</t>
  </si>
  <si>
    <t>в новой редакции убрали распределение и перенесли обьекты в орг мероприятие мониторинг!!</t>
  </si>
  <si>
    <t xml:space="preserve">убрали весь внебюджет по Взу в новое мероприятие </t>
  </si>
  <si>
    <t>ПРОВЕРИТЬ НУМЕРАЦИЮ В СВЯЗИ С ИЗМЕНЕНИЯМИ</t>
  </si>
  <si>
    <t xml:space="preserve"> Адресный перечень объектов строительства, реконструкции и капитального ремонта (ремонта)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1.1 "Предоставление субсидий из бюджета Московской области
бюджетам муниципальных образований Московской области на строительство и реконструкцию объектов очистки сточных вод" подпрограммы II "Очистка сточных вод"
государственной программы Московской области "Развитие инженерной инфраструктуры и энергоэффективности» на 2018-2022 годы"
</t>
  </si>
  <si>
    <t xml:space="preserve">Реконструкция/модернизация очистных сооружений  производительностью 4000 куб. м./сутки, расположенных в городском поселении Вербилки Талдомского муниципального района Московской области 
</t>
  </si>
  <si>
    <t>ВСЕГО по мероприятию 1 1:</t>
  </si>
  <si>
    <t>в разрезе ГРБС</t>
  </si>
  <si>
    <t>уточнить к каким пунктам это нужно!!!</t>
  </si>
  <si>
    <t xml:space="preserve">Адресный перечень объектов строительства, реконструкции и капитального ремонта (ремонта)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2.1
«Предоставление субсидий из бюджета Московской области бюджетам муниципальных образований Московской области на строительство (реконструкцию) канализационных коллекторов,  канализационных насосных станций»  подпрограммы II «Системы водоотведения» государственной программы Московской области "Развитие инженерной инфраструктуры и энергоэффективности» на 2018-2022 годы  </t>
  </si>
  <si>
    <t>ВСЕГО по мероприятию 2.1:</t>
  </si>
  <si>
    <r>
      <t xml:space="preserve">Реконструкция КНС "Московская" с увеличением мощности, расположенной по адресу:  г. Фрязино , ул. Московская, д.11 </t>
    </r>
    <r>
      <rPr>
        <vertAlign val="superscript"/>
        <sz val="8"/>
        <color theme="1"/>
        <rFont val="Times New Roman"/>
        <family val="1"/>
        <charset val="204"/>
      </rPr>
      <t>1)</t>
    </r>
  </si>
  <si>
    <r>
      <t>Модернизация КНС "Соколовская" г.Щелково   (I этап), в том числе:</t>
    </r>
    <r>
      <rPr>
        <vertAlign val="superscript"/>
        <sz val="8"/>
        <color theme="1"/>
        <rFont val="Times New Roman"/>
        <family val="1"/>
        <charset val="204"/>
      </rPr>
      <t xml:space="preserve"> 1)</t>
    </r>
  </si>
  <si>
    <t>УТОЧНИТЬ К КАКИМ ОБЬЕКТАМ ЭТО НУЖНА СНОСКА!!!</t>
  </si>
  <si>
    <t>ВСЕГО по мероприятию 1.2:</t>
  </si>
  <si>
    <t>ВСЕГО по мероприятию 2.2:</t>
  </si>
  <si>
    <t>УТОЧНИТЬ К КАКАИМ ОБЬЕКТАМ НУЖНЫ СНОСКИ!!??!</t>
  </si>
  <si>
    <t xml:space="preserve"> Адресный перечень объектов строительтсва, реконтсрукции  и  капитального ремонта (ремонта)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2.3 "Предоставление субсидий государственным унитарным предприятиям Московской области  на осуществление строительства (реконструкции) канализационных коллекторов  и канализационных насосных станций" одпрограммы II "Системы водоотведения" государственной программы Московской области "Развитие инженерной инфраструктуры и энергоэффективности» на 2018-2022 годы"</t>
  </si>
  <si>
    <t>ВСЕГО по мероприятию 2.3:</t>
  </si>
  <si>
    <t>УТОЧНИТЬ К ЧЕМУ ЭТО НЕОБХОДИМО?!!?!?!</t>
  </si>
  <si>
    <t xml:space="preserve"> Адресный перечень объектов капитального ремонта (ремонта)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2.4 "Предоставление субсидий государственным унитарным предприятиям Московской области  на осуществление капитального ремонта канализационных коллекторов   (участков)" подпрограммы II "Системы водоотведения" государственной программы Московской области "Развитие инженерной инфраструктуры и энергоэффективности» на 2018-2022 годы" </t>
  </si>
  <si>
    <r>
      <t xml:space="preserve">Строительство очистных сооружений производительностью 10000 куб.м/сутки в г. Лосино-Петровский </t>
    </r>
    <r>
      <rPr>
        <vertAlign val="superscript"/>
        <sz val="9"/>
        <color theme="1"/>
        <rFont val="Times New Roman"/>
        <family val="1"/>
        <charset val="204"/>
      </rPr>
      <t>1) 2)</t>
    </r>
  </si>
  <si>
    <t xml:space="preserve">  Распределение иных межбюджетных трансфертов бюджетам муниципальным образованиям Московской области и адресный перечень строительства, реконструкции и капитального ремонта (ремонта) муниципальной собственности, финансирование которых предусмотрено мероприятием 1.3 "Мероприятия по модернизации систем коммунальной инфраструктуры, реализуемые при поддержке Фонда содействия реформированию жилищно-коммунального хозяйства (обеспечение мероприятий по одернизации систем коммунальной инфраструктуры)"  II "Системы водоотведения" государственной программы Московской области "Развитие инженерной инфраструктуры и энергоэффективности» на 2018-2022 годы" </t>
  </si>
  <si>
    <t>ВСЕГО по мероприятию 1.3:</t>
  </si>
  <si>
    <t>УТОЧНИТЬ К КАКИМ МЕРОПРИЯТИЯ ЭТО НУЖНО!?!?!?!?!?</t>
  </si>
  <si>
    <t xml:space="preserve">Перечень мероприятий подпрограммы  II  «Системы водоотведения" </t>
  </si>
  <si>
    <t>Приобретение, монтаж, ввод в эксплуатацию блочно-модульной котельной  п. Первомайский Коломенский муниципальный район 2)</t>
  </si>
  <si>
    <t>Приобретение, монтаж, ввод в эксплуатацию блочно-модульной котельной  с. Октябрьское Коломенский муниципальный район 2)</t>
  </si>
  <si>
    <t>Приобретение, монтаж, ввод в эксплуатацию блочно-модульной котельной   д. Сельниково Коломенский муниципальный район 2)</t>
  </si>
  <si>
    <t>Приобретение, монтаж, ввод в эксплуатацию блочно-модульной котельной  с. Пирочи Коломенский муниципальный район 2)</t>
  </si>
  <si>
    <t>Приобретение, монтаж, ввод в эксплуатацию блочно-модульной котельной   пос. Возрождение Коломенский муниципальный район 2)</t>
  </si>
  <si>
    <t>Распределение субсидий бюджетам муниципальных образований Московской области и адресный перечень объектов муниципальной собственности, финансирование которых предусмотрено мероприятием 2.4 «Предоставление субсидий из бюджета Московской области бюджетам муниципальных образований Московской области на капитальный ремонт, приобретение, монтаж и ввод в эксплуатацию объектов коммунальной инфраструктуры» подпрограммы III «Создание условий для обеспечения качественными жилищно-коммунальными услугами»</t>
  </si>
  <si>
    <t>пожарный гидрант проверить по критерям ГП</t>
  </si>
  <si>
    <t>почему то формула округляет странно перепроверить</t>
  </si>
  <si>
    <t>в итоги в перечень мероприятий берет странную цифру тут вроде все правильно</t>
  </si>
  <si>
    <t>ПРИВЕСТИ НУМЕРАЦИЮ В СООТВЕТСТВИЕ!!!!</t>
  </si>
  <si>
    <t>в разрезе грбс</t>
  </si>
  <si>
    <t>Бюджетные инвестиции в обьекты капитального строителсьтва  государственной собственности Московской области</t>
  </si>
  <si>
    <t>ВСЕГО по мероприятию 2.2 :</t>
  </si>
  <si>
    <t>ВСЕГО по мероприятию 2.4:</t>
  </si>
  <si>
    <t xml:space="preserve"> Перечень мероприятий подпрограммы III "Создание условий для обеспечения качественными жилищно-коммунальными услугами"</t>
  </si>
  <si>
    <t>Предоставление иных межбюджетных трансфертов из бюджета Московской области бюджетам муниципальных образований Московской области на реализацию проектов государственно-частного партнерства в сфере теплоснабжения</t>
  </si>
  <si>
    <t>Адресный перечень объектов строительство, реконструкцию  объектов муниципальной собственности и распределение иных межбюджетных трансфертов муниципальным образованиям Московской области, финансирование которых предусмотрено мероприятием 2.3. "Предоставление иных межбюджетных трансфертов из бюджета Московской области бюджетам муниципальных образований Московской области на реализацию проектов государственно-частного партнерства в сфере теплоснабжения"  подпрограммы III "Создание условий для обеспечения качественными жилищно- коммунальными услугами" государственной программы Московской области "Развитие инженерной инфраструктуры и энергоэффективности» на 2018-2022 годы"</t>
  </si>
  <si>
    <t>ВОЕННЫЕ ГОРОДКИ</t>
  </si>
  <si>
    <t xml:space="preserve"> Распределение субсидий бюджетам муниципальных образований Московской области и адресный перечень объектов муниципальной собственности, финансирование которых предусмотрено мероприятием 3.3  «Предоставление субсидий из бюджета Московской области бюджетам муниципальных образований Московской области на капитальные вложения в объекты социальной и инженерной инфраструктуры на территории военных городков, переданных в собственность муниципальных образований Московской области» подпрограммы III «Создание условий для обеспечения качественными жилищно-коммунальными услугами»</t>
  </si>
  <si>
    <t>ВСЕГО по мероприятию 3.3:</t>
  </si>
  <si>
    <t>ВГ КАПВЛОЖЕНИЯ</t>
  </si>
  <si>
    <t>ВГ КАПРЕМОНТ</t>
  </si>
  <si>
    <t>ВГ КАПРЕМОНТ - итого все ГРБС</t>
  </si>
  <si>
    <t xml:space="preserve">3.1 Предоставление субсидий из бюджетаМосковской области бюджетам муниципальных образований Московской области на проведение первоочередных мероприятий по восстановлению  объектов социальной и инженерной инфраструктуры военных городков на территории Московской области, переданных из федеральной собственности </t>
  </si>
  <si>
    <r>
      <t xml:space="preserve">Приобретение, монтаж и ввод в эксплуатацию станции водоочистки  в/г № 41, с.п. Ямкинское, село Воскресенское </t>
    </r>
    <r>
      <rPr>
        <b/>
        <sz val="10"/>
        <rFont val="Times New Roman"/>
        <family val="1"/>
        <charset val="204"/>
      </rPr>
      <t xml:space="preserve"> (НОВЫЙ) (погашение кредиторской задолженности  в сумме 3098,27 тыс.руб.)</t>
    </r>
  </si>
  <si>
    <r>
      <t>Приобретение, монтаж и ввод в эксплуатацию станции водоочистки в в/г № 415, с.п. Аксёно-Бутырское, село Ивашево Ногинского м.р.</t>
    </r>
    <r>
      <rPr>
        <b/>
        <sz val="10"/>
        <rFont val="Times New Roman"/>
        <family val="1"/>
        <charset val="204"/>
      </rPr>
      <t>(НОВЫЙ) (погашение кредиторской задолженности  в сумме 3309,52тыс.руб.)</t>
    </r>
  </si>
  <si>
    <r>
      <t xml:space="preserve">Приобретение, монтаж и ввод в эксплуатацию станции водоочистки  в в/г № 1, с.п. Ямкинское,  село Ямкино  </t>
    </r>
    <r>
      <rPr>
        <b/>
        <sz val="10"/>
        <rFont val="Times New Roman"/>
        <family val="1"/>
        <charset val="204"/>
      </rPr>
      <t>(НОВЫЙ) (погашение кредиторской задолженности  в сумме 2464,54 тыс.руб.)</t>
    </r>
  </si>
  <si>
    <r>
      <t xml:space="preserve">Приобретение, монтаж и ввод в эксплуатацию станции водоочистки  в в/г Ногинск-5, с.п. Степановское, село Всеволодово  </t>
    </r>
    <r>
      <rPr>
        <b/>
        <sz val="10"/>
        <rFont val="Times New Roman"/>
        <family val="1"/>
        <charset val="204"/>
      </rPr>
      <t>(НОВЫЙ) (погашение кредиторской задолженности  в сумме 6682,41 тыс.руб.)</t>
    </r>
  </si>
  <si>
    <r>
      <t>Приобретение, монтаж и ввод в эксплуатацию станции водоочистки в в/г Ногинск-9, с.п. Мамонтовское</t>
    </r>
    <r>
      <rPr>
        <b/>
        <sz val="10"/>
        <rFont val="Times New Roman"/>
        <family val="1"/>
        <charset val="204"/>
      </rPr>
      <t xml:space="preserve">  (НОВЫЙ)  (погашение кредиторской задолженности  в сумме 16 974,0 тыс.руб.)</t>
    </r>
  </si>
  <si>
    <t>Капитальный ремонт напорной канализации, расположенной на территории военного городка № 19 п.Софрино-1 (10% увеличение цены контракта)</t>
  </si>
  <si>
    <t>Капитальный ремонт котельной по адресу: с.п. Медвежье-Озерское, п. Новый городок (в том числе погашение кредиторской задолженности органов местного самоуправления муниципального образования за работы, выполненные в 2016 г. -  11031,70402 тыс. руб.)</t>
  </si>
  <si>
    <t>Капитальный ремонт котельной № 1 по адресу: городского поселения Монино,  военный городок № 21/1,  ул. Авиационная  (перенос инженерия)</t>
  </si>
  <si>
    <t>Капитальный ремонт станции обезжелезивания по адресу: городское поселение Монино, военный городок № 21/1   (перенос инженерия)</t>
  </si>
  <si>
    <t>Капитальный ремонт котельной № 6 Чеховский м.р. п. Чернецкое (в том числе погашение кредиторской задолженности органов местного самоуправления муниципального образования за работы, выполненные в 2016 г. -  1999,77604 тыс. руб.)</t>
  </si>
  <si>
    <t>Капитальный ремонт наружных водопроводных сетей на участке от скважины № 217, № 2, № 1 до емкости, от нсосной до т. ВР1 Ногинск-5   село Всеволодово в/г Ногинск-5 г.о. Электросталь</t>
  </si>
  <si>
    <t>перенесли в ГП КОМФОРТ</t>
  </si>
  <si>
    <t>НЕ СОГЛАСОВАНО НА СОВЕЩАНИИ У СМИРНОВОЙ 22.02</t>
  </si>
  <si>
    <t>Модернизация не менее 8156 м сетей теплоснабжения</t>
  </si>
  <si>
    <t xml:space="preserve">Строительство водопроводной сети (в т.ч. ПИР)  в с.п. Тарасовское Пушкинкий м.р </t>
  </si>
  <si>
    <t>ПЕРЕПРОВЕРИТЬ И СОГЛАСОВАТЬ С АО ФПЛК!!!!!</t>
  </si>
  <si>
    <t xml:space="preserve">Адресный перечень объектов строительства, реконструкции, капитального ремонта объектов государственной собственности Московской области, финансирование которых предусмотрено мероприятием "Строительство, комплексное  техническое  еревооружение и реконструкция объектов электроэнергетики"   подпрограммы V  «Развитие и модернизация электроэнергетики в Московской области»  </t>
  </si>
  <si>
    <t xml:space="preserve">Адресный перечень объектов строительства, реконструкции, капитального ремонта объектов государственной собственности Московской области, финансирование которых предусмотрено мероприятием «Строительство газопроводов в населенных пунктах Московской области» Подпрограмма VI «Развитие газификации в Московской области» государственной программы Московской области «Развитие инженерной инфраструктуры и энергоэффективности»
</t>
  </si>
  <si>
    <t>16.1</t>
  </si>
  <si>
    <t>нераспределенный остаток</t>
  </si>
  <si>
    <t>2.2 Адресный перечень объектов строительства, реконструкции государственной собственности Московской области, финансирование которых предусмотрено мероприятием 2.2
«Бюджетные инвестиции в обьекты капитального строителсьтва  государственной собственности Московской области" подпрограммы III «Создание условий для обеспечения качественными жилищно-коммунальными услугами»</t>
  </si>
  <si>
    <t xml:space="preserve">Капитальный ремонт очисных сооружений (1 очередь) военный городок Сосновый бор,  в/ч 17204  </t>
  </si>
  <si>
    <t>Проектная мощность (кв. метр, погонный метр, место,и т.д.)</t>
  </si>
  <si>
    <t>Проектная мощность (кв. метр, погонный метр, место, и т.д.)</t>
  </si>
  <si>
    <t xml:space="preserve">Годы строительства/ реконструкции/капитального ремо нта </t>
  </si>
  <si>
    <t xml:space="preserve">Адресный перечень объектов строительства (реконструкции) объектов водоснабжения финансирование которых предусмотрено мероприятием                                                                                                                                                                  2.1  "Субсидия  государственным унитарным предприятиям Московской области на осуществление строительства (реконструкции) объектов водоснабжения" подпрограммы I "Чистая вода" государственной программы Московской области "Развитие инженерной инфраструктуры и энергоэффективности» на 2018-2022 годы"
</t>
  </si>
  <si>
    <r>
      <t xml:space="preserve">Реконструкция ВЗУ № 11 со строительством станции обезжелезивания, расположенного по адресу: Московская область, Пушкинский муниципальный район, п. Черкизово, Западный проезд (в том числе ПИР) </t>
    </r>
    <r>
      <rPr>
        <vertAlign val="superscript"/>
        <sz val="9"/>
        <rFont val="Times New Roman"/>
        <family val="1"/>
        <charset val="204"/>
      </rPr>
      <t xml:space="preserve"> 1)</t>
    </r>
  </si>
  <si>
    <t>Мощность/прирост мощности (кв.метр, погонный метр, место, койко-местои т.д.)</t>
  </si>
  <si>
    <t>Пуск в работу 11 объектов водоснабжения, в том числе:  2018 год - 10 ед., 2019 год  - 1 ед.</t>
  </si>
  <si>
    <t>Бюджетные инвестиции в объекты капитального строительства государственной собственности Московской области</t>
  </si>
  <si>
    <t xml:space="preserve"> Адресный перечень объектов строительство, реконструкцию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1.2 "Предоставление иных межбюджетных трансфертов из бюджета Московской области  бюджетам муниципальным образований Московской области на реализацию проектов  государственно-частного партнерства в жилищно-коммунальном хозяйстве в сфере водоочистки" подпрограммы II "Системы водоотведения" государственной программы Московской области "Развитие инженерной инфраструктуры и энергоэффективности» на 2018-2022 годы"</t>
  </si>
  <si>
    <t xml:space="preserve">Адресный перечень объектов строительства, реконструкции, находящихся в государственной собственности Московской области, финансирование которых предусмотрено мероприятием 1.4 «Бюджетные инвестиции в объекты капитального строительства государственной собственности Московской области" подпрограммы II «Системы водоотведения»  государственной программы Московской области "Развитие инженерной инфраструктуры и энергоэффективности» на 2018-2022 годы" </t>
  </si>
  <si>
    <t>2007-2018</t>
  </si>
  <si>
    <t>Капитальный ремонт линий наружного освещения военный городок № 211, г.п. Софрино</t>
  </si>
  <si>
    <t>1.11.4</t>
  </si>
  <si>
    <t>L=900 пог.м</t>
  </si>
  <si>
    <t>2.4.6</t>
  </si>
  <si>
    <t xml:space="preserve">2013-2017
</t>
  </si>
  <si>
    <t>Объем финанси-рования мероприятия в 2017 году (тыс. руб.)</t>
  </si>
  <si>
    <t>Капитальный ремонт электросетевого хозяйства  военный городок 211 с.п. Большерогачевское, с. Рогачеово</t>
  </si>
  <si>
    <t>10/5</t>
  </si>
  <si>
    <t>0/0</t>
  </si>
  <si>
    <t>1/0</t>
  </si>
  <si>
    <t>правила цифры после запятой</t>
  </si>
  <si>
    <t>Городское поселение Щелково Щёлковского муниципального района</t>
  </si>
  <si>
    <t>Ввод в эксплуатацию 15 объектов, в том числе: 
2018 год - 4 ед., 
2019 год – 4 ед.,   
2021 год - 7 ед.</t>
  </si>
  <si>
    <t>Ввод в эксплуатацию одного очистного сооружения в 2019 году</t>
  </si>
  <si>
    <t>Ввод в эксплуатацию 2 объектов, в том числе: 2018 год - 1 ед., 2020 год - 1 ед.</t>
  </si>
  <si>
    <t>Ввод 29 объектов коммунальной инфраструктуры, в том числе:  2018 год. -28 ед.; 2019 год -1 ед.</t>
  </si>
  <si>
    <t>Ввод 17 объектов коммунальной инфраструктуры государственной собственности Московской области в эксплуатацию: в том числе: 2018 год  - 7 ед.;  2019 год -10 ед.</t>
  </si>
  <si>
    <t>9/0</t>
  </si>
  <si>
    <t xml:space="preserve">городской округ Звездный городок </t>
  </si>
  <si>
    <t>городское поселение Свердловское Щелковского муниципального района</t>
  </si>
  <si>
    <t>Исследование уровня освещенности и разработка нормативов освещения территорий муниципальных образований Московской области</t>
  </si>
  <si>
    <t xml:space="preserve">Проведение на территории Московской области Всероссийского Фестиваля Энергосбережения "Вместе Ярче" в формате масштабного общегородского семейного праздника
</t>
  </si>
  <si>
    <t>2018 - 2019</t>
  </si>
  <si>
    <t>Ввод в эксплуатацию одного очистного сооружения в 2021 году.</t>
  </si>
  <si>
    <t>Ввод в эксплуатацию 8 объектов, в том числе:  
2018 год - 4 ед., 
2019 год - 4 ед.</t>
  </si>
  <si>
    <t xml:space="preserve">Реконструкция очисных сооружений г. Можайск; кадастровый номер 50:180030301:314  от 30.12.2014 
</t>
  </si>
  <si>
    <t>Капитальный ремонт дюкерных участков правой и левой  веток в русле реки Медведка 1)</t>
  </si>
  <si>
    <t>1) Мероприятие выполняется в рамках ранее предусмотренных средств</t>
  </si>
  <si>
    <t>Изменения представлены письмом 07.03.2018 № 12исх-2032,2018 без адресного перечня</t>
  </si>
  <si>
    <t>городское поселение Монино Щёлковский муниципальный район</t>
  </si>
  <si>
    <t>получатель МОНИНО</t>
  </si>
  <si>
    <t>1.28</t>
  </si>
  <si>
    <t>1.28.1</t>
  </si>
  <si>
    <r>
      <t xml:space="preserve">ИТОГО  - 102 на 2018-2019: 
</t>
    </r>
    <r>
      <rPr>
        <sz val="10"/>
        <color theme="1"/>
        <rFont val="Calibri"/>
        <family val="2"/>
        <charset val="204"/>
        <scheme val="minor"/>
      </rPr>
      <t xml:space="preserve">2018 г.: 76 (утверждены) + 3 (ДОП ()Воскресенский, Фрязино, Балашиха) + 2 (Переносы - стрешневы горы+ яхрома) + 15 ВЗУ из ИП = </t>
    </r>
    <r>
      <rPr>
        <sz val="10"/>
        <color rgb="FFFF0000"/>
        <rFont val="Calibri"/>
        <family val="2"/>
        <charset val="204"/>
        <scheme val="minor"/>
      </rPr>
      <t xml:space="preserve">96 !!!
</t>
    </r>
    <r>
      <rPr>
        <sz val="10"/>
        <color theme="1"/>
        <rFont val="Calibri"/>
        <family val="2"/>
        <charset val="204"/>
        <scheme val="minor"/>
      </rPr>
      <t>2019 г.: 1 (утв. - Кащира) + 5 доп. (4 Воскресенский + 1 Фрязино)</t>
    </r>
    <r>
      <rPr>
        <sz val="10"/>
        <color rgb="FFFF0000"/>
        <rFont val="Calibri"/>
        <family val="2"/>
        <charset val="204"/>
        <scheme val="minor"/>
      </rPr>
      <t xml:space="preserve"> = 6 !!!
 </t>
    </r>
  </si>
  <si>
    <t xml:space="preserve">2018 - 10 ед. 
2019 - 1 ед.
</t>
  </si>
  <si>
    <t>ПЕРЕНОС - 1 с 2017 на 2018</t>
  </si>
  <si>
    <t>Утверждено + ПЕРЕНОС.
2018 - 1 ед. ОС</t>
  </si>
  <si>
    <t>Утверждено + Перенос
2019- 1 ед. ОС</t>
  </si>
  <si>
    <t>Утвержден + Перенос.
2018 - 1 ед. ОС</t>
  </si>
  <si>
    <t>Утверждено 
2019- 1 ед. ОС</t>
  </si>
  <si>
    <t xml:space="preserve">Утверждено 
2018 - 1 ед. ОС
 </t>
  </si>
  <si>
    <t>УТВЕРЖДЕНО 
2018 - 1 ед. ОС (Минстрой)
2019 - 1 ед. ОС (МинЖКХ)</t>
  </si>
  <si>
    <t>ДОП.
2021 - 1 ед. ОС (ВОЛГА)</t>
  </si>
  <si>
    <t>ДОП. ОБЪЕКТ
2021 - 1 ед. ОС (ВОЛГА)</t>
  </si>
  <si>
    <t>ДОП ПОТРЕБНОСТЬ
2019 - 1 ед. ОС</t>
  </si>
  <si>
    <t>ВСЕГО - 19 !
ИТОГО НА 2018 г. - 6 !!! (в т.ч. 2 - ФОНД ЖКХ (Лосинка+Руза) 
НА 2019 - 4 (утв.+1 за счет средств ОМСУ) + 1 доп. (Щелковский Корпуса, авария) = 5 !!!
НА 2020 - 1 утв. = 1 (ЭЛЕКТРОСТАЛЬ ГЧП) !!! 
НА 2021 - 8 ДОП (7 + МОЖАЙСК) = 8 !!!</t>
  </si>
  <si>
    <t>2018 г. - 6 ед.  (1 ед. Мистрой) 
2019 - 5 ед. ( 1 ед. ОМСУ)
2020- 1 ед. (ГЧП),
2021 - 8 ед. (ОС ВОЛГА+Можайск).
ВСЕГО - 20</t>
  </si>
  <si>
    <t>НА 2018 год 
10 !!! (8утв. Коллекторов + 2 переносы (ВАЛЕНТИНОВСКЯ + МЕДВЕДКА КСМО - УЧТЕНЫ В РЕДАКЦИИ другой ГП)/  5 !!!! (4утв. + 1 перераспределение с ВЗУ. (Красногорск КНС -2)
2019
Утверждено 7 +  1 ДОП. = 8 коллекторы!!!
2021 
УТВ. 1 / 0 коллектор КСМО</t>
  </si>
  <si>
    <t>УТВЕРЖДЕНО + ПЕРЕНОС
2018 - 1 ед.  КНС</t>
  </si>
  <si>
    <t xml:space="preserve">УТВЕРЖДЕНА 
2018 - 1 ед. КНС
</t>
  </si>
  <si>
    <t>УТВЕРЖДЕН 
2019 - 1 ед. коллектор</t>
  </si>
  <si>
    <t>УТВЕРЖДЕНО 2019 - 1 ед. коллектор</t>
  </si>
  <si>
    <t xml:space="preserve">
</t>
  </si>
  <si>
    <t xml:space="preserve">
УТВЕРЖДЕНО
2019 - 1 ед. коллектор</t>
  </si>
  <si>
    <t xml:space="preserve">
ДОП 2019 - 1 ед. коллектор, 
</t>
  </si>
  <si>
    <t>4.3</t>
  </si>
  <si>
    <t>4.4</t>
  </si>
  <si>
    <t xml:space="preserve">Мониторинг заключения соглашений о расщеплении поступающих денежных средств по оплате коммунальных услуг до тарифной составляющей (газовой и электрической) </t>
  </si>
  <si>
    <t>21</t>
  </si>
  <si>
    <t xml:space="preserve">Всего:  
2018 г. - 3 КНС (Фрязино, Раменское, Щелково) + 1 коллектор Подольск (ОМСУ), 
2019 - 4 коллектора (Солнеченогорск, Раменский, Красногорск, 1 Подольск (Минстрой) </t>
  </si>
  <si>
    <t>УТВЕРЖДЕНО 2018 - 2 КНС, 
ВАЖНО !!! 
КНС  - 1 был утвержден в ГП 2018, 
КНС  -  2 добавлен с учетом перераспределния с ВЗУ в объеме 4 , 158 (НЕ ДОП !).ю</t>
  </si>
  <si>
    <t>УТВЕРЖДЕНО 2019 - 2 коллектора</t>
  </si>
  <si>
    <t>УТВЕРЖДЕН 2018 год -1 ед. коллектор</t>
  </si>
  <si>
    <t>УТВЕРЖДЕН 2018 год - 1 ед. коллектор</t>
  </si>
  <si>
    <t>УТВЕРЖДЕН 2019 - 1 ед. коллектор</t>
  </si>
  <si>
    <t xml:space="preserve"> Адресный перечень объектов капитального ремонта (ремонта)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2.2 "Предоставление субсидий из бюджета Московской области бюджетам муниципальных образований Московской области на капитальный ремонт канализационных коллекторов и канализационных насосных станций " подпрограммы II "Системы водоотведения" государственной программы Московской области "Развитие инженерной инфраструктуры и энергоэффективности» на 2018-2022 годы"</t>
  </si>
  <si>
    <t>ДОП 1 коллектор 2019 год</t>
  </si>
  <si>
    <t>удалено</t>
  </si>
  <si>
    <t xml:space="preserve"> Городской окург Чехов</t>
  </si>
  <si>
    <t>Городской округ Коломенский</t>
  </si>
  <si>
    <t>Городское поселение Сергиев-Посад Сергиево-Посадского муниципального района</t>
  </si>
  <si>
    <t>Капитальный ремонт напорного канализационного коллектора диаметром 160 мм, протяженностью 987 п.м. от КНС "Новый городок" до КНС "Кустовая" Щелковсккий м.р.</t>
  </si>
  <si>
    <t>Городской округ Шатура</t>
  </si>
  <si>
    <t>Городское поселение Дмитров Дмитровского муниципального района</t>
  </si>
  <si>
    <t>2018 год - 1 ед. котельные СМР,  3 ед.ПИР котельные за счет средств бюджетов ОМСУ</t>
  </si>
  <si>
    <t>КОТЕЛЬНАЯ</t>
  </si>
  <si>
    <t>СЕТИ</t>
  </si>
  <si>
    <t>2018 год - 1 ед. котельые, 3 ед ЦТП,  4 ед. - сети</t>
  </si>
  <si>
    <t>2018 год всего  27 ед. их них: 13 ед. котельные, 11 ед. сети, 3 ед. ЦТП  (ОТДЕЛЬНО 3 ед. ПИР котельные), 2019 - 1</t>
  </si>
  <si>
    <t>ПИР КОТЕЛЬНАЯ</t>
  </si>
  <si>
    <t>КОТЕЛЬНАя</t>
  </si>
  <si>
    <t>2018 - 4 (МИНЖКХ), 3 (МИНСТРОЙ)
2019 - 10 (МИНЖКХ)</t>
  </si>
  <si>
    <t xml:space="preserve">5 КОТЕЛЬНЫХ </t>
  </si>
  <si>
    <t>Мониторинг, рассмотрение и утверждение инвестиционных программ организаций, осуществляющих регулируемые виды деятельности в сфере теплоснабжения, водоснабжения, водоотведения и очистки сточных вод.</t>
  </si>
  <si>
    <t xml:space="preserve">Основное мероприятие 1 - Создание условий для привлечения внебюджетных источников финансирования мероприятий по строительству, модернизации и реконструкции объектов систем коммунальной инфраструктуры
</t>
  </si>
  <si>
    <t>Рассмотрение и утверждение инвестиционных программ организаций, осуществляющих регулируемые виды деятельности в сфере теплоснабжения, водоснабжения, водоотведения и очистки сточных вод</t>
  </si>
  <si>
    <t>Создание условий для заключения концессионных соглашений в сфере теплоснабжения, водоснабжения, водоотведения и очистки сточных вод</t>
  </si>
  <si>
    <t>Заключение концессионных соглашений в сфере теплоснабжения, водоснабжения, водоотведения и очистки сточных вод.</t>
  </si>
  <si>
    <t xml:space="preserve"> Заключение соглашений о расщеплении поступающих денежных средств по оплате коммунальных услуг до тарифной составляющей (газовой и электрической) </t>
  </si>
  <si>
    <t xml:space="preserve">Целевой показатель 1 - Количество концессионных соглашений, заключенных в сфере жилищно-коммунального хозяйства </t>
  </si>
  <si>
    <t xml:space="preserve">Целевой показатель 4 - Количество соглашений о расщеплении поступающих платежей, заключенных ресурсоснабжающими организациями:
1) до газовой составляющей;
2) до электрической составляющей.
</t>
  </si>
  <si>
    <t>городское поселение Загорянский Щелковского муниципального района</t>
  </si>
  <si>
    <t xml:space="preserve">Городской округ Луховицы
</t>
  </si>
  <si>
    <t>Коломенский городской округ</t>
  </si>
  <si>
    <t xml:space="preserve"> Распределение субсидии бюджетам муниципальных образований Московской области и адресный перечень объектов муниципальной собственности, на которые предоставляются субсидия бюджетам муниципальных образований                                                        Московской области, предусмотренной мероприятием                                                                                                                                                                                                                                                                                                                                                                                                                                           1.1. "Предоставление субсидий из бюджета Московской области бюджетам муниципальных образований Московской области на строительство и реконструкцию объектов водоснабжения"                                                                                                                                подпрограммы I "Чистая вода"
</t>
  </si>
  <si>
    <t>КОТЕЛЬНАЯ (УТВЕРЖДЕНО + ПЕРЕНОС)</t>
  </si>
  <si>
    <t>КОТЕЛЬНАЯ (УТВЕРЖДЕНО)</t>
  </si>
  <si>
    <t>3 ЦТП (ПЕРЕНОС)</t>
  </si>
  <si>
    <t>КОТЕЛЬНАЯ (ПЕРЕНОС)</t>
  </si>
  <si>
    <t>СЕТИ (ПЕРЕНОС)</t>
  </si>
  <si>
    <t>КОТЕЛЬНАЯ (ДОП)</t>
  </si>
  <si>
    <t>СЕТИ (ДОП)</t>
  </si>
  <si>
    <t>ОЧИСТНЫЕ СООРУЖЕНИЯ (ДОП)</t>
  </si>
  <si>
    <t>КОТЕЛЬНАЯ ВЫПОЛНЕНА В 2017 г. !!!!</t>
  </si>
  <si>
    <t>2018 год - 5 ед. КОТЕЛЬНЫХ, 2 ед. сети, 1 ед. ОС
2019 год - 2 ед. котельные,  2 ед. - сети</t>
  </si>
  <si>
    <r>
      <t xml:space="preserve">ИТОГО:
МИНЖКХ 2018 г - 13 .:
Молодежный (1) + Ступино (2) + Власиха (1) = 4 !!!
МИНЖКХ 2019 г.:
Ногинский (1) + Чехов (4) + Коломенский (2) = 7 !!!
МИНЖКХ 2020:
Балашиха (1) + Щелковский (1) = 2 !!!
</t>
    </r>
    <r>
      <rPr>
        <sz val="11"/>
        <color rgb="FFFF0000"/>
        <rFont val="Calibri"/>
        <family val="2"/>
        <charset val="204"/>
      </rPr>
      <t>МИНСТРОЙ - 4: 
2019 = 3
Балашиха (1) + Молодежный (2)
2020 = 1
Щелковский (1)</t>
    </r>
  </si>
  <si>
    <t>2019г. 2 ед. (Дом культуры + ФОК ГРБС Минстрой)</t>
  </si>
  <si>
    <t xml:space="preserve">2018 г. 
УТВЕРЖДЕНО + ПЕРЕНОС  </t>
  </si>
  <si>
    <t>2019г.  
УТВЕРЖДЕНО + ПЕРЕНОС</t>
  </si>
  <si>
    <t>На 2019 г.
УТВЕРЖДЕНО + ПЕРЕНОС</t>
  </si>
  <si>
    <t xml:space="preserve">ИТОГО:
2020 - 1 ед. котельная. 
</t>
  </si>
  <si>
    <t>УТВЕРЖДЕНО + ПЕРЕНОС</t>
  </si>
  <si>
    <t>ИТОГО 
2018г. - 2ед. ОС + Котельная</t>
  </si>
  <si>
    <t>2018 г. - 1
УТВЕРЖДЕНО + ПЕРЕНОС</t>
  </si>
  <si>
    <t>2018 г . - 1
УТВЕРЖДЕНО - 1</t>
  </si>
  <si>
    <t>ИТОГО:
2020 - 1ед. Котельная</t>
  </si>
  <si>
    <t>УТВЕРЖДЕНО + ПЕРЕНОС на 2020</t>
  </si>
  <si>
    <t>ИТОГО
2018 - 1ед. Котельная</t>
  </si>
  <si>
    <t>УТВЕРЖДЕНО + ПЕРЕНОС с 2017 на 2018</t>
  </si>
  <si>
    <t>ИТОГО
2019 - 2 ед.</t>
  </si>
  <si>
    <t>ДОП ЗАЯВКА - 1 на 2019</t>
  </si>
  <si>
    <t>НЕ РЕКОНСТРУКЦИЯ, А КАПИТАЛЬНЫЙ РЕМОНТ, учтено в показателе по капиремонту</t>
  </si>
  <si>
    <r>
      <t xml:space="preserve">МИНЖКХ - 63
2018 г. : Электросталь (2) + Ногинский (13) + Власиха (3) + Пушкинский (19) + Щелковский (5)  + Балашиха (3) + Краснознаменск (6) + Дмиторвский (1) + Чехов (1) + Одинцовский (0) + Сергиево-Посадский (1) + Коломенский (1) = </t>
    </r>
    <r>
      <rPr>
        <sz val="10"/>
        <color rgb="FFFF0000"/>
        <rFont val="Calibri"/>
        <family val="2"/>
        <charset val="204"/>
      </rPr>
      <t>55 !!!</t>
    </r>
    <r>
      <rPr>
        <sz val="10"/>
        <rFont val="Calibri"/>
        <family val="2"/>
      </rPr>
      <t xml:space="preserve">
2019 г.:  Электросталь (3) + Щелковский (2) + Звездный (1) =</t>
    </r>
    <r>
      <rPr>
        <sz val="10"/>
        <color rgb="FFFF0000"/>
        <rFont val="Calibri"/>
        <family val="2"/>
        <charset val="204"/>
      </rPr>
      <t xml:space="preserve"> 6 !!!</t>
    </r>
    <r>
      <rPr>
        <sz val="10"/>
        <rFont val="Calibri"/>
        <family val="2"/>
      </rPr>
      <t xml:space="preserve">
2020 г.: Балашиха (2) = </t>
    </r>
    <r>
      <rPr>
        <sz val="10"/>
        <color rgb="FFFF0000"/>
        <rFont val="Calibri"/>
        <family val="2"/>
        <charset val="204"/>
      </rPr>
      <t>2 !!!</t>
    </r>
    <r>
      <rPr>
        <sz val="10"/>
        <rFont val="Calibri"/>
        <family val="2"/>
      </rPr>
      <t xml:space="preserve">
</t>
    </r>
  </si>
  <si>
    <t>На 2018 г. 
УТВЕРЖДЕН - 1, ДОП - 1. ИТОГО - 2
На 2019 г. 
УТВЕРЖДЕН - 1, ДОП - 2. ИТОГО - 3</t>
  </si>
  <si>
    <t>1 утв.</t>
  </si>
  <si>
    <t>1 доп. Заявка</t>
  </si>
  <si>
    <t>НА 2018 г.
УТВЕРЖДЕНО - 5, ПЕРЕНОС С ОБЪЕКТОМ - 6, ДОП - 2. ИТОГО - 13</t>
  </si>
  <si>
    <t>УТВЕРЖДЕН В ГП</t>
  </si>
  <si>
    <t xml:space="preserve">
УТВЕРЖДЕН В ГП
ВАЖНО !!!
ОБЪЕКТ ВКЛЮЧАЕТ ДВА ОБЪЕКТА - Капитальный ремонт  ВЗУ и наружных водопроводных   в/г Ногинск-9, с.п. Мамонтовское Ногинский м.р.;  Капитальный ремонт наружных КНС и наружных канализационных сетей  в/г Ногинск-9, с.п. Мамонтовское Ногинский м.р. По 38 млн. СЧИТАТЬ КАК ДВА ОБЪЕКТА (В ПОСТАНОВЛЕНИИ ПО ВГ - 2 ОБЪЕКТА)</t>
  </si>
  <si>
    <t>ПЕРЕНОС с объектом</t>
  </si>
  <si>
    <t>ДОП</t>
  </si>
  <si>
    <t>НА 2018 г.
ПЕРЕНОС С ОБЪЕКТОМ - 2 , УТВЕРЖДЕН -1 , ИТОГО - 3</t>
  </si>
  <si>
    <t>ПЕРЕНОС С ОБЪЕКТОМ</t>
  </si>
  <si>
    <t>УТВЕРЖДЕН В ГП + ПЕРЕНОС</t>
  </si>
  <si>
    <t>НА 2018 г.
УТВЕРЖДЕНО - 8, ПЕРЕНОС - 2, ДОП - 9. ИТОГО - 19.</t>
  </si>
  <si>
    <t>УТВЕРЖДЕНО + ПЕРЕНОС (С ОБЪЕКТОМ)</t>
  </si>
  <si>
    <t>ПЕРЕНОС (С ОБЪЕКТОМ)</t>
  </si>
  <si>
    <t>ПЕРЕНОС БЕЗ ОБЪЕКТА. ВЫПОЛНЕНА.</t>
  </si>
  <si>
    <t>УТВЕРЖДЕН</t>
  </si>
  <si>
    <t>УТВЕРЖДЕН + РАЗДЕЛИЛИ НА РЕМОНТ ЭЛЕКТРОЩИТОВОГО КАБЕЛЯ (не считается в показателях)</t>
  </si>
  <si>
    <t>ПЕРЕНОС БЕЗ ОБЪЕКТА (выполнен в 2017)</t>
  </si>
  <si>
    <t>ВАЖНО !!!
В ГП 2018-2022 БЫЛ В СОСТАВЕ ОБЪЕКТА "Капитальный ремонт артскважины № 4 с заменой электропитающего кабеля к скважине г.п. Софрино, пос. Софрино-1 в/г 19". ПРИ КОРРЕКТИРОВКЕ РАЗДЕЛИЛИ НА ДВА ! НО СЧИТАЕТСЯ КАК ОДИН. !!!</t>
  </si>
  <si>
    <t>НА 2018 г. 
ПЕРЕНОС - 1. Итого - 1
НА 2019 г. 
ДОП заявка - 2. Итого - 2</t>
  </si>
  <si>
    <t xml:space="preserve">Доп заявка На 2019 </t>
  </si>
  <si>
    <t>Доп заявка на 2019</t>
  </si>
  <si>
    <t>УТВЕРЖДЕНО - 1, ПЕРЕНОС - 2. Итого - 3</t>
  </si>
  <si>
    <t>ПЕРЕНОС С ОБЪЕКТОМ + ДОП ЗАЯВКА</t>
  </si>
  <si>
    <t>ПЕРЕНОС - 1. ИТОГО - 1</t>
  </si>
  <si>
    <t>ДОП - 1 , ИТОГО - 1</t>
  </si>
  <si>
    <t>ДОП Заявка - 1</t>
  </si>
  <si>
    <t xml:space="preserve">НА 2018 г.
УТВЕРЖДЕНО - 3. Итого - 3
На 2020 г.
Доп заявка - 2 объекта. ИТОГО -2 объекта
</t>
  </si>
  <si>
    <t>УТВ. + ПЕРЕНОС</t>
  </si>
  <si>
    <t>ВЫПОЛЕНЕНО. ПЕРЕНОС БЕЗ ОБЪЕКТОВ</t>
  </si>
  <si>
    <t>ДОП - 1  НА 2020</t>
  </si>
  <si>
    <t>УТВЕРЖДЕНО - 6. ИТОГО - 6</t>
  </si>
  <si>
    <t>УТВЕРЖДЕНО</t>
  </si>
  <si>
    <t>УТВЕРЖДЕНО.</t>
  </si>
  <si>
    <t>УТВЕРЖДЕНА - 1, ИТОГО - 1</t>
  </si>
  <si>
    <t>УТВЕРЖДЕНА - 1</t>
  </si>
  <si>
    <t>УТВЕРЖДЕНО - 1. ИТОГО - 1.</t>
  </si>
  <si>
    <t>1 объект.
УТВЕРЖДЕНО - 1</t>
  </si>
  <si>
    <t>ПЕРЕНОС БЕЗ ОБЪЕКТА. РАБОТЫ ЗАВЕРШЕНЫ В 2017 г. (КРЕДИТОРСКАЯ ЗАДОЛЖЕННОСТЬ)</t>
  </si>
  <si>
    <t>ПЕРЕНОС БЕЗ ОБЪЕКТА (РАБОТЫ ЗАВЕРШЕНЫ)</t>
  </si>
  <si>
    <t>ПЕРЕНОС -1 . ИТОГО - 1.</t>
  </si>
  <si>
    <t>ПЕРЕНОС - 1.</t>
  </si>
  <si>
    <t>ДОП - 1. ИТОГО - 1.</t>
  </si>
  <si>
    <t>ДОП. - 1</t>
  </si>
  <si>
    <t>2018 г. -5 
2019 - 6 
2020 - 4</t>
  </si>
  <si>
    <t>ПЕРЕНОС  ДЕНЕГ (КРЕДИТОРКА). ЗАВЕРШЕН</t>
  </si>
  <si>
    <t>Предоставление субсидий из бюджета
Московской области бюджетам муниципальных образований
Московской области на проведение первоочередных мероприятий по восстановлению  объектов социальной и инженерной инфраструктуры военных городков</t>
  </si>
  <si>
    <t>2018 - 9 объектов
2019 - 3 объекта</t>
  </si>
  <si>
    <r>
      <t xml:space="preserve">ИТОГО:
2018:
55 (Минжкх) + 5 (культура) + 9 (образование) + 14 (энергетика) + 3 (здрав) = </t>
    </r>
    <r>
      <rPr>
        <sz val="12"/>
        <color rgb="FFFF0000"/>
        <rFont val="Times New Roman"/>
        <family val="1"/>
        <charset val="204"/>
      </rPr>
      <t>86 !!!</t>
    </r>
    <r>
      <rPr>
        <sz val="12"/>
        <rFont val="Times New Roman"/>
        <family val="1"/>
        <charset val="204"/>
      </rPr>
      <t xml:space="preserve">
2019 :
6 (Минжкх) + 6 (Культура) + 3 (образование) + 1 (здрав) = </t>
    </r>
    <r>
      <rPr>
        <sz val="12"/>
        <color rgb="FFFF0000"/>
        <rFont val="Times New Roman"/>
        <family val="1"/>
        <charset val="204"/>
      </rPr>
      <t>16 !!!</t>
    </r>
    <r>
      <rPr>
        <sz val="12"/>
        <rFont val="Times New Roman"/>
        <family val="1"/>
        <charset val="204"/>
      </rPr>
      <t xml:space="preserve">
2020 :
2 (Минжкх) + 4 Минкультуры = </t>
    </r>
    <r>
      <rPr>
        <sz val="12"/>
        <color rgb="FFFF0000"/>
        <rFont val="Times New Roman"/>
        <family val="1"/>
        <charset val="204"/>
      </rPr>
      <t>6 !!!</t>
    </r>
  </si>
  <si>
    <t>ПИР - 4130,063</t>
  </si>
  <si>
    <t xml:space="preserve">удалить </t>
  </si>
  <si>
    <t>Предоставление субсидий из бюджета Московской области
бюджетам муниципальных образований Московской области
на  капитальные вложения в объекты социальной и инженерной инфраструктуры на территории военных городков</t>
  </si>
  <si>
    <r>
      <t xml:space="preserve"> </t>
    </r>
    <r>
      <rPr>
        <sz val="14"/>
        <rFont val="Times New Roman"/>
        <family val="1"/>
        <charset val="204"/>
      </rPr>
      <t>Распределение субсидий бюджетам муниципальных образований Московской области и адресный перечень объектов муниципальной собственности, финансирование которых предусмотрено мероприятием</t>
    </r>
    <r>
      <rPr>
        <b/>
        <sz val="14"/>
        <rFont val="Times New Roman"/>
        <family val="1"/>
        <charset val="204"/>
      </rPr>
      <t xml:space="preserve"> 2.1 «Предоставление субсидий из бюджета Московской области бюджетам муниципальных образований Московской области на строительство и реконструкцию объектов коммунальной инфраструктуры» подпрограммы III «Создание условий для обеспечения качественными жилищно- оммунальными услугами» </t>
    </r>
  </si>
  <si>
    <t>Капитальный ремонт котельной, мкр. Юбилейный, ул. Гаражный  тупик, д.4</t>
  </si>
  <si>
    <t>Перенести в Колорменский г.о.</t>
  </si>
  <si>
    <t>2020г. 1 ед. котельная ГРБС Минжкх</t>
  </si>
  <si>
    <t xml:space="preserve">ИТОГО КАП РЕМОНТ + СТРОЙКА:
2018 : 86+4=90 !!!
2019: 27+10=37 !!!
2020: 9+3=12 !!!
</t>
  </si>
  <si>
    <t>Министерство  физической культуры и спорта Московской области</t>
  </si>
  <si>
    <t xml:space="preserve">Капитальный ремонт трибун регбийного поля, военный городок № 21/1 г.п. Монино, ул. Авиационная </t>
  </si>
  <si>
    <t>Капитальный ремонт универсальной спортивной площадки, военный городок № 21/1 г.п. Монино, ул. Авиационная</t>
  </si>
  <si>
    <t>3.1.5</t>
  </si>
  <si>
    <t xml:space="preserve">Приобретение, монтаж, ввод в эксплуатацию блочно-модульной котельной  п. Первомайский Коломенский муниципальный район </t>
  </si>
  <si>
    <t xml:space="preserve">Приобретение, монтаж, ввод в эксплуатацию блочно-модульной котельной  с. Октябрьское Коломенский муниципальный район </t>
  </si>
  <si>
    <t xml:space="preserve">Приобретение, монтаж, ввод в эксплуатацию блочно-модульной котельной   д. Сельниково Коломенский муниципальный район </t>
  </si>
  <si>
    <t xml:space="preserve">Приобретение, монтаж, ввод в эксплуатацию блочно-модульной котельной  с. Пирочи Коломенский муниципальный район </t>
  </si>
  <si>
    <t xml:space="preserve">Приобретение, монтаж, ввод в эксплуатацию блочно-модульной котельной   пос. Возрождение Коломенский муниципальный район </t>
  </si>
  <si>
    <t>2018 - 4 (МИНЖКХ), 2019 - 10 (МИНСТРОЙ -3 , МИНЖКХ-7), 2020 - 3</t>
  </si>
  <si>
    <t>Капитальный ремонт коллекторов и канализационных насосных станций за счет внебюджетных средств и/или средств бюджетов муниципальных образований</t>
  </si>
  <si>
    <t>Органы местного самоуправления муниципальных образований Московской области, ресурсоснабжающие организацири в сфере водоотведения</t>
  </si>
  <si>
    <t>Капитальный ремонт 1 объекта в 2018 году</t>
  </si>
  <si>
    <t>Объект перенесен в адресный перечень  2.5</t>
  </si>
  <si>
    <t>Министерство физической культуры и спорта Московской области</t>
  </si>
  <si>
    <t>Капитальный ремонт 2 объектов в 2018 году</t>
  </si>
  <si>
    <t>Ногинский  муниципальный район</t>
  </si>
  <si>
    <t>Капитальный ремонт очистных сооружений канализации с.п. Ямкинское, д. Авдотьино Ногинский м.р.</t>
  </si>
  <si>
    <t>уровень софин 0,297</t>
  </si>
  <si>
    <t>очистн сооружения</t>
  </si>
  <si>
    <t xml:space="preserve">Распределение субсидии бюджетам муниципальных образований Московской области и адресный перечень объектов муниципальной собственности, на которые предоставляются субсидия бюджетам муниципальных образований  Московской области, предусмотренной мероприятием                                                                                                                                                                                                                                                                                                                                                   1.2."Предоставление субсидий из бюджета Московской области бюджетам муниципальных образований Московской области на  капитальный ремонт, приобретение, монтаж и ввод в эксплуатацию  объектов водоснабжения" подпрограммы I "Чистая вода"государственной программы Московской области "Развитие инженерной инфраструктуры и энергоэффективности» на 2018-2022 годы"
</t>
  </si>
  <si>
    <t>18000 УШЛО В КОМФОРТ</t>
  </si>
  <si>
    <t xml:space="preserve">Субсидия  государственному автономному образовательному учреждению Московской области "Учебно-курсовой комбинат жилищно-коммунального хозяйства"    на иные цели  </t>
  </si>
  <si>
    <t>БАЛАШИХА ПОПРАВЛЕНА В СООТВЕТСТВИИ С ПИСЬМОМ ОТ 19.03</t>
  </si>
  <si>
    <t>Капитальный ремонт здания клуба "Искатель"</t>
  </si>
  <si>
    <t>добавили в соответствии с письмом от 19.03</t>
  </si>
  <si>
    <t>Капитальный ремонт 10 объектов в сфере образования 2018 - 9 ед., 2019 - 4 ед.</t>
  </si>
  <si>
    <t>поправили в соответствии с письмом от 19.03!!!!1</t>
  </si>
  <si>
    <t>новый</t>
  </si>
  <si>
    <t>балашиха уточнить 1 т.р.</t>
  </si>
  <si>
    <t>Строительство блочно-модульной котельной в военном городке № 112 Михнево-3 Ступинский муниципальный район (в том числе ПИР)</t>
  </si>
  <si>
    <r>
      <rPr>
        <sz val="11"/>
        <rFont val="Times New Roman"/>
        <family val="1"/>
        <charset val="204"/>
      </rPr>
      <t xml:space="preserve">Капитальный ремонт самотечного канализационного коллектора от Щёлково-4, Щёлковское шоссе, КК-1901 до Щёлково-3, ул. Гагарина диаметром 800 мм протяженностью 600 п.м.  г.п. Щёлково Щелково 3-4 </t>
    </r>
    <r>
      <rPr>
        <b/>
        <sz val="11"/>
        <rFont val="Times New Roman"/>
        <family val="1"/>
        <charset val="204"/>
      </rPr>
      <t>(НОВЫЙ)</t>
    </r>
  </si>
  <si>
    <t>Талдомский  муниципальный район</t>
  </si>
  <si>
    <t>Строительство дренажной сети (в т.ч. ПИР)  в г. п. Запрудня Талдомский м.р.</t>
  </si>
  <si>
    <t>городское поселение Деденево Дмитровский муниципальный район</t>
  </si>
  <si>
    <t>Строительство блочно-модульной котельной  г.п. Деденево Дмитровский муниципальный район</t>
  </si>
  <si>
    <t>УБРАЛИ ДОБАВИЛИ 1р просто так!!!!!!!</t>
  </si>
  <si>
    <t xml:space="preserve">ДОБАВИЛИ 1 ТЫС РУБЛЕЙ - Чижова  </t>
  </si>
  <si>
    <t>Реконструкция  наружных  водопроводных сетей  (в том числе ПИР) по адресу: г.о. Красногорск, территория музей-усадьбы Архангельское и прилегающая территория 1)</t>
  </si>
  <si>
    <t>Реконструкция  наружных канализационных сетей  (в том числе ПИР) по адресу: г.о. Красногорск, территория музея-усадьбы "Архангельское" и прилегающая территория 1)</t>
  </si>
  <si>
    <t>сельское поселение Большерогачевское Дмитровского муниципального района</t>
  </si>
  <si>
    <t>сельское поселение Якотское Дмитровского муниципального района</t>
  </si>
  <si>
    <t>17.1</t>
  </si>
  <si>
    <t>городской округ Клин</t>
  </si>
  <si>
    <t xml:space="preserve">Строительство дренажной сети (в т.ч. ПИР)  ул. Парковая д. 3 пос. Решетниково ,Клинский район </t>
  </si>
  <si>
    <t>софин -Клин - 0,796</t>
  </si>
  <si>
    <t>до изменений</t>
  </si>
  <si>
    <t>разница до и после</t>
  </si>
  <si>
    <t>было</t>
  </si>
  <si>
    <t>разница</t>
  </si>
  <si>
    <t xml:space="preserve"> подпрограмма I «Чистая вода» 
</t>
  </si>
  <si>
    <t xml:space="preserve"> подпрограмма II  "Системы водоотведения" </t>
  </si>
  <si>
    <t>Было</t>
  </si>
  <si>
    <t xml:space="preserve"> подпрограмма III</t>
  </si>
  <si>
    <t>подпрограммы IV</t>
  </si>
  <si>
    <t xml:space="preserve"> подпрограмма VIII  </t>
  </si>
  <si>
    <t>до</t>
  </si>
  <si>
    <t>в 18году разница</t>
  </si>
  <si>
    <t>Строительство физкультурно-оздоровительного комплекса с универсальным спортивным залом (в том числе ПИР) по адресу п. Молодежный</t>
  </si>
  <si>
    <t>Капитальный ремонт МДОУ детский сад "Юнга"  г. Луховицы-3 в/ч № 73802 Коломенский м.р.</t>
  </si>
  <si>
    <t>Реконструкция с увеличением мощности  ЦТП ПДХ  Архангельское, ЦТП № 4,  с отключением и выводом из эксплуатации ЦТП № 3 с последующим его демонтажем по адресу: пос. Архангельское г.о. Красногорск (в  том числе ПИР) 1)</t>
  </si>
  <si>
    <t>6.5</t>
  </si>
  <si>
    <t xml:space="preserve">Капитальный ремонт ЦТП-15 г.о. Краснознаменск </t>
  </si>
  <si>
    <t xml:space="preserve">Капитальный ремонт наружных сетей ливневой канализации г.о.Краснознаменск </t>
  </si>
  <si>
    <t xml:space="preserve">Капитальный ремонт наружных сетей хозбытовой канализации г.о.Краснознаменск </t>
  </si>
  <si>
    <t xml:space="preserve"> Капитальный ремонт наружных сетей водопровода г.о.Краснознаменск </t>
  </si>
  <si>
    <t xml:space="preserve">Капитальный ремонт КНС-105-бис г.о.Краснознаменск </t>
  </si>
  <si>
    <t xml:space="preserve"> Капитальный ремонт ВНС 3-го подъема в здании ЦТП-15 г.о.Краснознаменск </t>
  </si>
  <si>
    <t xml:space="preserve">Приобритение оборудования для  котельной № 17 в/г 3 27 г.п. Некрасовский мкр. Некрасовский Дмитровский м.р. </t>
  </si>
  <si>
    <t>Капитальный ремонт котельной № 6 (допработы) военный городок № 18, п. Чернецкое, г. Чехов -7, ул. Победы г.о. Чехов</t>
  </si>
  <si>
    <t>2017- 2018</t>
  </si>
  <si>
    <t>Капитальный ремонт наружной водопроводных сетей  мкр. Северный Балашиха г.о.</t>
  </si>
  <si>
    <t>Капитальный ремонт (замену) электропитающего кабеля к скважине № 4 от ВЗУ в/г  19 г.п. Софрино</t>
  </si>
  <si>
    <t>Капитальный ремонт участка водопроводной сети от ВК-1 к многоквартирным домам № 3, 4, 5 и дер.Нововоронино в/г  19 г.п. Софрино</t>
  </si>
  <si>
    <t>Капитальный ремонт подающих трубпроводов холодного водоснабжения на участке от скважины № 2 до наземного резервуара ВЗУ диам.150 мм. протяженностью 600 п/м в/г  19 г.п. Софрино</t>
  </si>
  <si>
    <t xml:space="preserve"> Капитальный ремонт напорного коллектора канализации диамю 200 мм., протяж. 1104 п/м от очистных сооружений ОС-110 до КНС-108 в/г  19 г.п. Софрино</t>
  </si>
  <si>
    <t xml:space="preserve"> Капитальный ремонт напорного коллектора канализации диам. 150 мм. Протяж. 1200 п/м от от КНС-150 до КНС-108 в/г  19 г.п. Софрино</t>
  </si>
  <si>
    <t>Капитальный ремонт артскважины № 4 ВНС в/г  19 г.п. Софрино</t>
  </si>
  <si>
    <t>Капитальный ремонт артскважины № 3 ВНС в/г  19 г.п. Софрино</t>
  </si>
  <si>
    <t>Капитальный ремонт наружных водопроводных и канализационных сетей  в/г Ногинск-9, с.п. Мамонтовское Ногинский м.р.</t>
  </si>
  <si>
    <t>Капитальный ремонт наружных сетей водоотведения в/г 1 с. Ямкино  Ногинский м.р.</t>
  </si>
  <si>
    <t>Капитальный ремонт наружных водопроводных сетей от ВК-3 до жилых домов в/г 415 с.Ивашево  Ногинский м.р.</t>
  </si>
  <si>
    <t>Капитальный ремонт наружных водопроводных сетей от ВК-16 до потребителей в/г 41 с. Воскресенское, с.п. Ямкинское  Ногинский м.р.</t>
  </si>
  <si>
    <t>Строительство очистных сооружений ливневого стока (перекачивающая КНС),  в том числе:   1)</t>
  </si>
  <si>
    <t xml:space="preserve">проектно-изыскательские работы: (в том числе:  погашение кредиторской задолженности) </t>
  </si>
  <si>
    <t xml:space="preserve">Строительство ливневой канализации,  в том числе:  1) </t>
  </si>
  <si>
    <t>Реконструкция канализационных очистных сооружений производительностью 800 куб.м/сут. по адресу: Московская область, Коломенский г о , д. Зарудня, д.118 "Б" в том числе ПИР   1)</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</si>
</sst>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_-* #,##0.00\ _₽_-;\-* #,##0.00\ _₽_-;_-* &quot;-&quot;??\ _₽_-;_-@_-"/>
    <numFmt numFmtId="165" formatCode="0.0"/>
    <numFmt numFmtId="166" formatCode="#,##0.000"/>
    <numFmt numFmtId="167" formatCode="#,##0.00;[Red]\-#,##0.00;&quot;-&quot;;"/>
    <numFmt numFmtId="168" formatCode="_-* #,##0.00_р_._-;\-* #,##0.00_р_._-;_-* \-??_р_._-;_-@_-"/>
    <numFmt numFmtId="169" formatCode="0.00000"/>
    <numFmt numFmtId="170" formatCode="#,##0.00_ ;[Red]\-#,##0.00\ "/>
    <numFmt numFmtId="171" formatCode="#,##0.00\ _₽"/>
    <numFmt numFmtId="172" formatCode="0.0000"/>
    <numFmt numFmtId="173" formatCode="#,##0.0000"/>
  </numFmts>
  <fonts count="152" x14ac:knownFonts="1">
    <font>
      <sz val="11"/>
      <color theme="1"/>
      <name val="Calibri"/>
      <family val="2"/>
      <scheme val="minor"/>
    </font>
    <font>
      <sz val="11"/>
      <color theme="1"/>
      <name val="Calibri"/>
      <family val="2"/>
      <charset val="204"/>
      <scheme val="minor"/>
    </font>
    <font>
      <sz val="11"/>
      <color theme="1"/>
      <name val="Times New Roman"/>
      <family val="1"/>
      <charset val="204"/>
    </font>
    <font>
      <sz val="11"/>
      <name val="Times New Roman"/>
      <family val="1"/>
      <charset val="204"/>
    </font>
    <font>
      <sz val="10"/>
      <color theme="1"/>
      <name val="Times New Roman"/>
      <family val="1"/>
      <charset val="204"/>
    </font>
    <font>
      <sz val="11"/>
      <color rgb="FFFF0000"/>
      <name val="Calibri"/>
      <family val="2"/>
      <scheme val="minor"/>
    </font>
    <font>
      <sz val="12"/>
      <color theme="1"/>
      <name val="Times New Roman"/>
      <family val="1"/>
      <charset val="204"/>
    </font>
    <font>
      <sz val="12"/>
      <name val="Times New Roman"/>
      <family val="1"/>
      <charset val="204"/>
    </font>
    <font>
      <sz val="9"/>
      <name val="Times New Roman"/>
      <family val="1"/>
      <charset val="204"/>
    </font>
    <font>
      <sz val="11"/>
      <name val="Calibri"/>
      <family val="2"/>
      <scheme val="minor"/>
    </font>
    <font>
      <sz val="11"/>
      <color theme="1"/>
      <name val="Calibri"/>
      <family val="2"/>
      <scheme val="minor"/>
    </font>
    <font>
      <sz val="10"/>
      <name val="Times New Roman"/>
      <family val="1"/>
      <charset val="204"/>
    </font>
    <font>
      <sz val="10"/>
      <name val="Calibri"/>
      <family val="2"/>
      <scheme val="minor"/>
    </font>
    <font>
      <sz val="18"/>
      <color theme="1"/>
      <name val="Times New Roman"/>
      <family val="1"/>
      <charset val="204"/>
    </font>
    <font>
      <sz val="14"/>
      <name val="Calibri"/>
      <family val="2"/>
      <scheme val="minor"/>
    </font>
    <font>
      <sz val="14"/>
      <color rgb="FFFF0000"/>
      <name val="Calibri"/>
      <family val="2"/>
      <scheme val="minor"/>
    </font>
    <font>
      <sz val="18"/>
      <color theme="1"/>
      <name val="Calibri"/>
      <family val="2"/>
      <scheme val="minor"/>
    </font>
    <font>
      <sz val="18"/>
      <color rgb="FFFF0000"/>
      <name val="Times New Roman"/>
      <family val="1"/>
      <charset val="204"/>
    </font>
    <font>
      <sz val="10"/>
      <color rgb="FF7030A0"/>
      <name val="Times New Roman"/>
      <family val="1"/>
      <charset val="204"/>
    </font>
    <font>
      <sz val="18"/>
      <name val="Times New Roman"/>
      <family val="1"/>
      <charset val="204"/>
    </font>
    <font>
      <sz val="10"/>
      <color theme="1"/>
      <name val="Calibri"/>
      <family val="2"/>
      <scheme val="minor"/>
    </font>
    <font>
      <sz val="10"/>
      <color rgb="FFFF0000"/>
      <name val="Times New Roman"/>
      <family val="1"/>
      <charset val="204"/>
    </font>
    <font>
      <sz val="11"/>
      <color rgb="FF7030A0"/>
      <name val="Calibri"/>
      <family val="2"/>
      <scheme val="minor"/>
    </font>
    <font>
      <vertAlign val="superscript"/>
      <sz val="10"/>
      <name val="Times New Roman"/>
      <family val="1"/>
      <charset val="204"/>
    </font>
    <font>
      <vertAlign val="superscript"/>
      <sz val="9"/>
      <name val="Times New Roman"/>
      <family val="1"/>
      <charset val="204"/>
    </font>
    <font>
      <vertAlign val="superscript"/>
      <sz val="12"/>
      <name val="Times New Roman"/>
      <family val="1"/>
      <charset val="204"/>
    </font>
    <font>
      <sz val="14"/>
      <name val="Times New Roman"/>
      <family val="1"/>
      <charset val="204"/>
    </font>
    <font>
      <b/>
      <sz val="10"/>
      <name val="Times New Roman"/>
      <family val="1"/>
      <charset val="204"/>
    </font>
    <font>
      <sz val="9"/>
      <name val="Calibri"/>
      <family val="2"/>
      <scheme val="minor"/>
    </font>
    <font>
      <sz val="14"/>
      <color theme="1"/>
      <name val="Times New Roman"/>
      <family val="1"/>
      <charset val="204"/>
    </font>
    <font>
      <sz val="10"/>
      <name val="Arial Cyr"/>
      <charset val="204"/>
    </font>
    <font>
      <sz val="11"/>
      <color rgb="FF000000"/>
      <name val="Calibri"/>
      <family val="2"/>
      <charset val="204"/>
    </font>
    <font>
      <sz val="10"/>
      <color rgb="FFFF0000"/>
      <name val="Calibri"/>
      <family val="2"/>
      <scheme val="minor"/>
    </font>
    <font>
      <b/>
      <sz val="14"/>
      <color rgb="FFFF0000"/>
      <name val="Calibri"/>
      <family val="2"/>
      <charset val="204"/>
      <scheme val="minor"/>
    </font>
    <font>
      <vertAlign val="superscript"/>
      <sz val="11"/>
      <name val="Times New Roman"/>
      <family val="1"/>
      <charset val="204"/>
    </font>
    <font>
      <sz val="28"/>
      <name val="Calibri"/>
      <family val="2"/>
      <scheme val="minor"/>
    </font>
    <font>
      <sz val="8"/>
      <color rgb="FF000000"/>
      <name val="Times New Roman"/>
      <family val="1"/>
      <charset val="204"/>
    </font>
    <font>
      <b/>
      <sz val="11"/>
      <color rgb="FF7030A0"/>
      <name val="Calibri"/>
      <family val="2"/>
      <charset val="204"/>
      <scheme val="minor"/>
    </font>
    <font>
      <b/>
      <sz val="11"/>
      <color rgb="FFFF0000"/>
      <name val="Calibri"/>
      <family val="2"/>
      <charset val="204"/>
      <scheme val="minor"/>
    </font>
    <font>
      <sz val="8"/>
      <name val="Times New Roman"/>
      <family val="1"/>
      <charset val="204"/>
    </font>
    <font>
      <sz val="8"/>
      <color theme="1"/>
      <name val="Times New Roman"/>
      <family val="1"/>
      <charset val="204"/>
    </font>
    <font>
      <sz val="8"/>
      <color rgb="FF7030A0"/>
      <name val="Times New Roman"/>
      <family val="1"/>
      <charset val="204"/>
    </font>
    <font>
      <b/>
      <sz val="8"/>
      <name val="Times New Roman"/>
      <family val="1"/>
      <charset val="204"/>
    </font>
    <font>
      <sz val="8"/>
      <color theme="1"/>
      <name val="Calibri"/>
      <family val="2"/>
      <scheme val="minor"/>
    </font>
    <font>
      <sz val="9"/>
      <color rgb="FFFF0000"/>
      <name val="Times New Roman"/>
      <family val="1"/>
      <charset val="204"/>
    </font>
    <font>
      <b/>
      <sz val="11"/>
      <color rgb="FF7030A0"/>
      <name val="Times New Roman"/>
      <family val="1"/>
      <charset val="204"/>
    </font>
    <font>
      <sz val="8"/>
      <color rgb="FFFF0000"/>
      <name val="Times New Roman"/>
      <family val="1"/>
      <charset val="204"/>
    </font>
    <font>
      <sz val="8"/>
      <color rgb="FFFF0000"/>
      <name val="Calibri"/>
      <family val="2"/>
      <scheme val="minor"/>
    </font>
    <font>
      <sz val="11"/>
      <color rgb="FFFF0000"/>
      <name val="Times New Roman"/>
      <family val="1"/>
      <charset val="204"/>
    </font>
    <font>
      <sz val="9"/>
      <color rgb="FF002060"/>
      <name val="Times New Roman"/>
      <family val="1"/>
      <charset val="204"/>
    </font>
    <font>
      <b/>
      <sz val="9"/>
      <color indexed="81"/>
      <name val="Tahoma"/>
      <family val="2"/>
      <charset val="204"/>
    </font>
    <font>
      <sz val="9"/>
      <color indexed="81"/>
      <name val="Tahoma"/>
      <family val="2"/>
      <charset val="204"/>
    </font>
    <font>
      <sz val="10"/>
      <color rgb="FF0070C0"/>
      <name val="Calibri"/>
      <family val="2"/>
      <scheme val="minor"/>
    </font>
    <font>
      <sz val="11"/>
      <color rgb="FF0070C0"/>
      <name val="Calibri"/>
      <family val="2"/>
      <scheme val="minor"/>
    </font>
    <font>
      <b/>
      <sz val="12"/>
      <color theme="6" tint="-0.499984740745262"/>
      <name val="Calibri"/>
      <family val="2"/>
      <charset val="204"/>
      <scheme val="minor"/>
    </font>
    <font>
      <b/>
      <sz val="10"/>
      <color rgb="FF0070C0"/>
      <name val="Calibri"/>
      <family val="2"/>
      <charset val="204"/>
      <scheme val="minor"/>
    </font>
    <font>
      <sz val="16"/>
      <name val="Times New Roman"/>
      <family val="1"/>
      <charset val="204"/>
    </font>
    <font>
      <b/>
      <sz val="10"/>
      <color theme="1"/>
      <name val="Times New Roman"/>
      <family val="1"/>
      <charset val="204"/>
    </font>
    <font>
      <sz val="18"/>
      <color rgb="FFFF0000"/>
      <name val="Calibri"/>
      <family val="2"/>
      <scheme val="minor"/>
    </font>
    <font>
      <i/>
      <sz val="9"/>
      <color indexed="81"/>
      <name val="Tahoma"/>
      <family val="2"/>
      <charset val="204"/>
    </font>
    <font>
      <b/>
      <sz val="11"/>
      <color indexed="81"/>
      <name val="Times New Roman"/>
      <family val="1"/>
      <charset val="204"/>
    </font>
    <font>
      <sz val="11"/>
      <color indexed="81"/>
      <name val="Times New Roman"/>
      <family val="1"/>
      <charset val="204"/>
    </font>
    <font>
      <i/>
      <sz val="11"/>
      <color indexed="81"/>
      <name val="Times New Roman"/>
      <family val="1"/>
      <charset val="204"/>
    </font>
    <font>
      <b/>
      <sz val="9"/>
      <name val="Times New Roman"/>
      <family val="1"/>
      <charset val="204"/>
    </font>
    <font>
      <sz val="12"/>
      <color theme="1"/>
      <name val="Calibri"/>
      <family val="2"/>
      <scheme val="minor"/>
    </font>
    <font>
      <b/>
      <sz val="11"/>
      <name val="Times New Roman"/>
      <family val="1"/>
      <charset val="204"/>
    </font>
    <font>
      <sz val="9"/>
      <color theme="1"/>
      <name val="Times New Roman"/>
      <family val="1"/>
      <charset val="204"/>
    </font>
    <font>
      <sz val="14"/>
      <color theme="1"/>
      <name val="Calibri"/>
      <family val="2"/>
      <scheme val="minor"/>
    </font>
    <font>
      <b/>
      <sz val="16"/>
      <color theme="1"/>
      <name val="Calibri"/>
      <family val="2"/>
      <charset val="204"/>
      <scheme val="minor"/>
    </font>
    <font>
      <b/>
      <sz val="12"/>
      <color theme="1"/>
      <name val="Calibri"/>
      <family val="2"/>
      <charset val="204"/>
      <scheme val="minor"/>
    </font>
    <font>
      <b/>
      <sz val="14"/>
      <color theme="1"/>
      <name val="Calibri"/>
      <family val="2"/>
      <charset val="204"/>
      <scheme val="minor"/>
    </font>
    <font>
      <sz val="9"/>
      <color theme="1"/>
      <name val="Calibri"/>
      <family val="2"/>
      <scheme val="minor"/>
    </font>
    <font>
      <b/>
      <sz val="9"/>
      <color theme="1"/>
      <name val="Calibri"/>
      <family val="2"/>
      <charset val="204"/>
      <scheme val="minor"/>
    </font>
    <font>
      <sz val="9"/>
      <color rgb="FFFF0000"/>
      <name val="Calibri"/>
      <family val="2"/>
      <scheme val="minor"/>
    </font>
    <font>
      <sz val="9"/>
      <color theme="0" tint="-0.34998626667073579"/>
      <name val="Calibri"/>
      <family val="2"/>
      <scheme val="minor"/>
    </font>
    <font>
      <sz val="9"/>
      <color theme="3" tint="0.79998168889431442"/>
      <name val="Times New Roman"/>
      <family val="1"/>
      <charset val="204"/>
    </font>
    <font>
      <b/>
      <sz val="9"/>
      <name val="Calibri"/>
      <family val="2"/>
      <charset val="204"/>
      <scheme val="minor"/>
    </font>
    <font>
      <b/>
      <sz val="10"/>
      <color rgb="FF7030A0"/>
      <name val="Times New Roman"/>
      <family val="1"/>
      <charset val="204"/>
    </font>
    <font>
      <b/>
      <sz val="12"/>
      <name val="Times New Roman"/>
      <family val="1"/>
      <charset val="204"/>
    </font>
    <font>
      <sz val="8"/>
      <color theme="4" tint="-0.499984740745262"/>
      <name val="Times New Roman"/>
      <family val="1"/>
      <charset val="204"/>
    </font>
    <font>
      <sz val="9"/>
      <color theme="4" tint="-0.499984740745262"/>
      <name val="Times New Roman"/>
      <family val="1"/>
      <charset val="204"/>
    </font>
    <font>
      <vertAlign val="superscript"/>
      <sz val="8"/>
      <color theme="1"/>
      <name val="Times New Roman"/>
      <family val="1"/>
      <charset val="204"/>
    </font>
    <font>
      <b/>
      <sz val="11"/>
      <color theme="1"/>
      <name val="Calibri"/>
      <family val="2"/>
      <scheme val="minor"/>
    </font>
    <font>
      <b/>
      <sz val="11"/>
      <color rgb="FFFF0000"/>
      <name val="Calibri"/>
      <family val="2"/>
      <scheme val="minor"/>
    </font>
    <font>
      <b/>
      <sz val="9"/>
      <color theme="1"/>
      <name val="Times New Roman"/>
      <family val="1"/>
      <charset val="204"/>
    </font>
    <font>
      <b/>
      <sz val="9"/>
      <color theme="1"/>
      <name val="Calibri"/>
      <family val="2"/>
      <scheme val="minor"/>
    </font>
    <font>
      <sz val="20"/>
      <color rgb="FFFF0000"/>
      <name val="Calibri"/>
      <family val="2"/>
      <scheme val="minor"/>
    </font>
    <font>
      <vertAlign val="superscript"/>
      <sz val="9"/>
      <color theme="1"/>
      <name val="Times New Roman"/>
      <family val="1"/>
      <charset val="204"/>
    </font>
    <font>
      <b/>
      <sz val="16"/>
      <color rgb="FFFF0000"/>
      <name val="Calibri"/>
      <family val="2"/>
      <charset val="204"/>
      <scheme val="minor"/>
    </font>
    <font>
      <b/>
      <sz val="14"/>
      <name val="Times New Roman"/>
      <family val="1"/>
      <charset val="204"/>
    </font>
    <font>
      <b/>
      <sz val="20"/>
      <name val="Times New Roman"/>
      <family val="1"/>
      <charset val="204"/>
    </font>
    <font>
      <b/>
      <sz val="11"/>
      <color rgb="FF7030A0"/>
      <name val="Calibri"/>
      <family val="2"/>
      <scheme val="minor"/>
    </font>
    <font>
      <sz val="16"/>
      <color rgb="FFFF0000"/>
      <name val="Calibri"/>
      <family val="2"/>
      <scheme val="minor"/>
    </font>
    <font>
      <b/>
      <sz val="20"/>
      <color rgb="FFFF0000"/>
      <name val="Calibri"/>
      <family val="2"/>
      <scheme val="minor"/>
    </font>
    <font>
      <b/>
      <sz val="16"/>
      <name val="Times New Roman"/>
      <family val="1"/>
      <charset val="204"/>
    </font>
    <font>
      <b/>
      <sz val="10"/>
      <name val="Calibri"/>
      <family val="2"/>
      <scheme val="minor"/>
    </font>
    <font>
      <b/>
      <sz val="26"/>
      <name val="Calibri"/>
      <family val="2"/>
      <charset val="204"/>
      <scheme val="minor"/>
    </font>
    <font>
      <b/>
      <sz val="18"/>
      <name val="Times New Roman"/>
      <family val="1"/>
      <charset val="204"/>
    </font>
    <font>
      <b/>
      <sz val="22"/>
      <name val="Times New Roman"/>
      <family val="1"/>
      <charset val="204"/>
    </font>
    <font>
      <b/>
      <sz val="14"/>
      <name val="Calibri"/>
      <family val="2"/>
      <charset val="204"/>
      <scheme val="minor"/>
    </font>
    <font>
      <b/>
      <sz val="11"/>
      <name val="Calibri"/>
      <family val="2"/>
      <scheme val="minor"/>
    </font>
    <font>
      <sz val="10"/>
      <color theme="4" tint="-0.499984740745262"/>
      <name val="Times New Roman"/>
      <family val="1"/>
      <charset val="204"/>
    </font>
    <font>
      <sz val="10"/>
      <color theme="4" tint="-0.499984740745262"/>
      <name val="Calibri"/>
      <family val="2"/>
      <scheme val="minor"/>
    </font>
    <font>
      <sz val="22"/>
      <color theme="4" tint="-0.499984740745262"/>
      <name val="Calibri"/>
      <family val="2"/>
      <scheme val="minor"/>
    </font>
    <font>
      <b/>
      <sz val="20"/>
      <name val="Calibri"/>
      <family val="2"/>
      <charset val="204"/>
      <scheme val="minor"/>
    </font>
    <font>
      <sz val="11"/>
      <color theme="4" tint="-0.499984740745262"/>
      <name val="Times New Roman"/>
      <family val="1"/>
      <charset val="204"/>
    </font>
    <font>
      <sz val="11"/>
      <color theme="4" tint="0.39997558519241921"/>
      <name val="Times New Roman"/>
      <family val="1"/>
      <charset val="204"/>
    </font>
    <font>
      <sz val="11"/>
      <color theme="4" tint="0.39997558519241921"/>
      <name val="Calibri"/>
      <family val="2"/>
      <scheme val="minor"/>
    </font>
    <font>
      <b/>
      <sz val="11"/>
      <name val="Calibri"/>
      <family val="2"/>
      <charset val="204"/>
      <scheme val="minor"/>
    </font>
    <font>
      <sz val="28"/>
      <color rgb="FFFF0000"/>
      <name val="Calibri"/>
      <family val="2"/>
      <scheme val="minor"/>
    </font>
    <font>
      <b/>
      <sz val="16"/>
      <color theme="1"/>
      <name val="Times New Roman"/>
      <family val="1"/>
      <charset val="204"/>
    </font>
    <font>
      <b/>
      <sz val="11"/>
      <color theme="1"/>
      <name val="Times New Roman"/>
      <family val="1"/>
      <charset val="204"/>
    </font>
    <font>
      <b/>
      <sz val="14"/>
      <color theme="1"/>
      <name val="Times New Roman"/>
      <family val="1"/>
      <charset val="204"/>
    </font>
    <font>
      <sz val="13"/>
      <color theme="1"/>
      <name val="Times New Roman"/>
      <family val="1"/>
      <charset val="204"/>
    </font>
    <font>
      <b/>
      <sz val="18"/>
      <color theme="1"/>
      <name val="Times New Roman"/>
      <family val="1"/>
      <charset val="204"/>
    </font>
    <font>
      <b/>
      <sz val="8"/>
      <color theme="1"/>
      <name val="Times New Roman"/>
      <family val="1"/>
      <charset val="204"/>
    </font>
    <font>
      <b/>
      <sz val="11"/>
      <color theme="1"/>
      <name val="Calibri"/>
      <family val="2"/>
      <charset val="204"/>
      <scheme val="minor"/>
    </font>
    <font>
      <b/>
      <sz val="13"/>
      <color theme="1"/>
      <name val="Times New Roman"/>
      <family val="1"/>
      <charset val="204"/>
    </font>
    <font>
      <b/>
      <sz val="15"/>
      <name val="Times New Roman"/>
      <family val="1"/>
      <charset val="204"/>
    </font>
    <font>
      <sz val="9"/>
      <color theme="7"/>
      <name val="Times New Roman"/>
      <family val="1"/>
      <charset val="204"/>
    </font>
    <font>
      <sz val="9"/>
      <name val="Calibri"/>
      <family val="2"/>
      <charset val="204"/>
      <scheme val="minor"/>
    </font>
    <font>
      <sz val="10"/>
      <name val="Calibri"/>
      <family val="2"/>
      <charset val="204"/>
      <scheme val="minor"/>
    </font>
    <font>
      <b/>
      <sz val="22"/>
      <name val="Calibri"/>
      <family val="2"/>
      <scheme val="minor"/>
    </font>
    <font>
      <sz val="10"/>
      <color rgb="FFFF0000"/>
      <name val="Calibri"/>
      <family val="2"/>
      <charset val="204"/>
      <scheme val="minor"/>
    </font>
    <font>
      <sz val="10"/>
      <color theme="1"/>
      <name val="Calibri"/>
      <family val="2"/>
      <charset val="204"/>
      <scheme val="minor"/>
    </font>
    <font>
      <sz val="11"/>
      <color rgb="FFFFFF00"/>
      <name val="Calibri"/>
      <family val="2"/>
      <scheme val="minor"/>
    </font>
    <font>
      <sz val="9"/>
      <color theme="3" tint="-0.249977111117893"/>
      <name val="Times New Roman"/>
      <family val="1"/>
      <charset val="204"/>
    </font>
    <font>
      <sz val="9"/>
      <color rgb="FFFFFF00"/>
      <name val="Calibri"/>
      <family val="2"/>
      <scheme val="minor"/>
    </font>
    <font>
      <sz val="10"/>
      <color rgb="FFFF0000"/>
      <name val="Times New Roman"/>
      <family val="1"/>
      <charset val="204"/>
    </font>
    <font>
      <sz val="11"/>
      <color theme="1"/>
      <name val="Calibri"/>
      <family val="2"/>
      <charset val="204"/>
      <scheme val="minor"/>
    </font>
    <font>
      <sz val="11"/>
      <color theme="4" tint="-0.499984740745262"/>
      <name val="Times New Roman"/>
      <family val="1"/>
      <charset val="204"/>
    </font>
    <font>
      <b/>
      <sz val="18"/>
      <color rgb="FFFF0000"/>
      <name val="Calibri"/>
      <family val="2"/>
      <scheme val="minor"/>
    </font>
    <font>
      <sz val="11"/>
      <color rgb="FFFF0000"/>
      <name val="Calibri"/>
      <family val="2"/>
      <charset val="204"/>
    </font>
    <font>
      <sz val="12"/>
      <color rgb="FFFF0000"/>
      <name val="Times New Roman"/>
      <family val="1"/>
      <charset val="204"/>
    </font>
    <font>
      <sz val="10"/>
      <color rgb="FFFF0000"/>
      <name val="Calibri"/>
      <family val="2"/>
      <charset val="204"/>
    </font>
    <font>
      <sz val="10"/>
      <name val="Calibri"/>
      <family val="2"/>
    </font>
    <font>
      <sz val="10"/>
      <name val="Times New Roman"/>
      <family val="1"/>
      <charset val="204"/>
    </font>
    <font>
      <sz val="10"/>
      <color rgb="FFFFFF00"/>
      <name val="Calibri"/>
      <family val="2"/>
      <scheme val="minor"/>
    </font>
    <font>
      <b/>
      <sz val="18"/>
      <color rgb="FFFF0000"/>
      <name val="Calibri"/>
      <family val="2"/>
      <charset val="204"/>
      <scheme val="minor"/>
    </font>
    <font>
      <b/>
      <sz val="20"/>
      <color rgb="FFFF0000"/>
      <name val="Calibri"/>
      <family val="2"/>
      <charset val="204"/>
      <scheme val="minor"/>
    </font>
    <font>
      <b/>
      <sz val="9"/>
      <color theme="4" tint="-0.499984740745262"/>
      <name val="Times New Roman"/>
      <family val="1"/>
      <charset val="204"/>
    </font>
    <font>
      <sz val="22"/>
      <name val="Times New Roman"/>
      <family val="1"/>
      <charset val="204"/>
    </font>
    <font>
      <sz val="14"/>
      <color theme="1"/>
      <name val="Calibri"/>
      <family val="2"/>
      <charset val="204"/>
      <scheme val="minor"/>
    </font>
    <font>
      <b/>
      <sz val="10"/>
      <name val="Times New Roman"/>
      <family val="1"/>
      <charset val="204"/>
    </font>
    <font>
      <sz val="11"/>
      <color theme="1"/>
      <name val="Calibri"/>
      <family val="2"/>
      <charset val="204"/>
      <scheme val="minor"/>
    </font>
    <font>
      <b/>
      <sz val="13"/>
      <color rgb="FF7030A0"/>
      <name val="Times New Roman"/>
      <family val="1"/>
      <charset val="204"/>
    </font>
    <font>
      <b/>
      <sz val="13"/>
      <name val="Times New Roman"/>
      <family val="1"/>
      <charset val="204"/>
    </font>
    <font>
      <i/>
      <sz val="12"/>
      <name val="Times New Roman"/>
      <family val="1"/>
      <charset val="204"/>
    </font>
    <font>
      <b/>
      <sz val="16"/>
      <color rgb="FFFF0000"/>
      <name val="Times New Roman"/>
      <family val="1"/>
      <charset val="204"/>
    </font>
    <font>
      <sz val="13"/>
      <name val="Times New Roman"/>
      <family val="1"/>
      <charset val="204"/>
    </font>
    <font>
      <sz val="14"/>
      <color rgb="FF7030A0"/>
      <name val="Calibri"/>
      <family val="2"/>
      <scheme val="minor"/>
    </font>
    <font>
      <sz val="18"/>
      <color rgb="FF7030A0"/>
      <name val="Calibri"/>
      <family val="2"/>
      <scheme val="minor"/>
    </font>
  </fonts>
  <fills count="30">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CFFFF"/>
        <bgColor indexed="64"/>
      </patternFill>
    </fill>
    <fill>
      <patternFill patternType="solid">
        <fgColor rgb="FFFFC000"/>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0"/>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FFA3A3"/>
        <bgColor indexed="64"/>
      </patternFill>
    </fill>
    <fill>
      <patternFill patternType="solid">
        <fgColor theme="9" tint="0.59999389629810485"/>
        <bgColor indexed="64"/>
      </patternFill>
    </fill>
    <fill>
      <patternFill patternType="solid">
        <fgColor rgb="FFFFFFCC"/>
        <bgColor indexed="64"/>
      </patternFill>
    </fill>
    <fill>
      <patternFill patternType="solid">
        <fgColor rgb="FFE3F3D1"/>
        <bgColor indexed="64"/>
      </patternFill>
    </fill>
    <fill>
      <patternFill patternType="solid">
        <fgColor rgb="FFCDFFCD"/>
        <bgColor indexed="64"/>
      </patternFill>
    </fill>
    <fill>
      <patternFill patternType="solid">
        <fgColor rgb="FFD1FFD1"/>
        <bgColor indexed="64"/>
      </patternFill>
    </fill>
    <fill>
      <patternFill patternType="solid">
        <fgColor rgb="FFFDE9D9"/>
        <bgColor indexed="64"/>
      </patternFill>
    </fill>
    <fill>
      <patternFill patternType="solid">
        <fgColor rgb="FFEDF3E1"/>
        <bgColor indexed="64"/>
      </patternFill>
    </fill>
    <fill>
      <patternFill patternType="solid">
        <fgColor rgb="FFA7FFA7"/>
        <bgColor indexed="64"/>
      </patternFill>
    </fill>
    <fill>
      <patternFill patternType="solid">
        <fgColor rgb="FF92D050"/>
        <bgColor indexed="64"/>
      </patternFill>
    </fill>
    <fill>
      <patternFill patternType="solid">
        <fgColor rgb="FFFFC1FF"/>
        <bgColor indexed="64"/>
      </patternFill>
    </fill>
    <fill>
      <patternFill patternType="solid">
        <fgColor rgb="FFFF99FF"/>
        <bgColor indexed="64"/>
      </patternFill>
    </fill>
    <fill>
      <patternFill patternType="solid">
        <fgColor rgb="FF99FF33"/>
        <bgColor indexed="64"/>
      </patternFill>
    </fill>
    <fill>
      <patternFill patternType="solid">
        <fgColor rgb="FF00B050"/>
        <bgColor indexed="64"/>
      </patternFill>
    </fill>
    <fill>
      <patternFill patternType="solid">
        <fgColor rgb="FFEFFFEF"/>
        <bgColor indexed="64"/>
      </patternFill>
    </fill>
    <fill>
      <patternFill patternType="solid">
        <fgColor rgb="FFFFFF9F"/>
        <bgColor indexed="64"/>
      </patternFill>
    </fill>
    <fill>
      <patternFill patternType="solid">
        <fgColor rgb="FF00FFCC"/>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5">
    <xf numFmtId="0" fontId="0" fillId="0" borderId="0"/>
    <xf numFmtId="164" fontId="10" fillId="0" borderId="0" applyFont="0" applyFill="0" applyBorder="0" applyAlignment="0" applyProtection="0"/>
    <xf numFmtId="0" fontId="30" fillId="0" borderId="0"/>
    <xf numFmtId="168" fontId="31" fillId="0" borderId="0"/>
    <xf numFmtId="164" fontId="10" fillId="0" borderId="0" applyFont="0" applyFill="0" applyBorder="0" applyAlignment="0" applyProtection="0"/>
  </cellStyleXfs>
  <cellXfs count="2629">
    <xf numFmtId="0" fontId="0" fillId="0" borderId="0" xfId="0"/>
    <xf numFmtId="0" fontId="0" fillId="0" borderId="0" xfId="0" applyFill="1"/>
    <xf numFmtId="0" fontId="2" fillId="0" borderId="0" xfId="0" applyFont="1"/>
    <xf numFmtId="0" fontId="4" fillId="0" borderId="0" xfId="0" applyFont="1" applyFill="1"/>
    <xf numFmtId="0" fontId="0" fillId="0" borderId="0" xfId="0" applyFill="1" applyBorder="1"/>
    <xf numFmtId="2" fontId="0" fillId="0" borderId="0" xfId="0" applyNumberFormat="1" applyFill="1" applyBorder="1"/>
    <xf numFmtId="0" fontId="9" fillId="0" borderId="0" xfId="0" applyFont="1" applyFill="1"/>
    <xf numFmtId="0" fontId="0" fillId="0" borderId="0" xfId="0" applyBorder="1"/>
    <xf numFmtId="49" fontId="3" fillId="0" borderId="0" xfId="0" applyNumberFormat="1" applyFont="1" applyFill="1" applyBorder="1" applyAlignment="1">
      <alignment horizontal="left" vertical="top"/>
    </xf>
    <xf numFmtId="49" fontId="3" fillId="0" borderId="0" xfId="0" applyNumberFormat="1" applyFont="1" applyFill="1" applyBorder="1" applyAlignment="1">
      <alignment horizontal="left" vertical="top" wrapText="1"/>
    </xf>
    <xf numFmtId="0" fontId="11" fillId="0" borderId="0" xfId="0" applyFont="1" applyFill="1" applyBorder="1" applyAlignment="1">
      <alignment horizontal="left" vertical="top"/>
    </xf>
    <xf numFmtId="0" fontId="0" fillId="0" borderId="0" xfId="0" applyFill="1" applyAlignment="1">
      <alignment horizontal="center"/>
    </xf>
    <xf numFmtId="4" fontId="11" fillId="0" borderId="0" xfId="0" applyNumberFormat="1" applyFont="1" applyFill="1" applyBorder="1" applyAlignment="1">
      <alignment horizontal="left" vertical="top" wrapText="1"/>
    </xf>
    <xf numFmtId="4" fontId="11" fillId="0" borderId="0" xfId="0" applyNumberFormat="1" applyFont="1" applyFill="1" applyBorder="1" applyAlignment="1">
      <alignment horizontal="left" vertical="top"/>
    </xf>
    <xf numFmtId="2" fontId="11" fillId="0" borderId="0" xfId="0" applyNumberFormat="1" applyFont="1" applyFill="1" applyBorder="1" applyAlignment="1">
      <alignment horizontal="left" vertical="top"/>
    </xf>
    <xf numFmtId="0" fontId="12" fillId="0" borderId="0" xfId="0" applyFont="1" applyFill="1" applyBorder="1" applyAlignment="1">
      <alignment horizontal="left" vertical="top"/>
    </xf>
    <xf numFmtId="0" fontId="9" fillId="0" borderId="0" xfId="0" applyFont="1" applyFill="1" applyAlignment="1"/>
    <xf numFmtId="0" fontId="0" fillId="2" borderId="0" xfId="0" applyFill="1"/>
    <xf numFmtId="0" fontId="16" fillId="3" borderId="0" xfId="0" applyFont="1" applyFill="1" applyBorder="1" applyAlignment="1">
      <alignment horizontal="center" vertical="center"/>
    </xf>
    <xf numFmtId="0" fontId="11" fillId="0" borderId="0" xfId="0" applyFont="1" applyFill="1"/>
    <xf numFmtId="0" fontId="9" fillId="0" borderId="0" xfId="0" applyFont="1" applyFill="1" applyAlignment="1">
      <alignment horizontal="left"/>
    </xf>
    <xf numFmtId="4" fontId="12" fillId="0" borderId="0" xfId="0" applyNumberFormat="1" applyFont="1" applyFill="1" applyAlignment="1">
      <alignment horizontal="left"/>
    </xf>
    <xf numFmtId="0" fontId="3" fillId="0" borderId="0" xfId="0" applyFont="1" applyFill="1" applyBorder="1" applyAlignment="1">
      <alignment horizontal="left" vertical="center" wrapText="1"/>
    </xf>
    <xf numFmtId="2" fontId="3" fillId="0" borderId="0" xfId="0" applyNumberFormat="1" applyFont="1" applyFill="1" applyBorder="1" applyAlignment="1">
      <alignment horizontal="left" vertical="center" wrapText="1"/>
    </xf>
    <xf numFmtId="4" fontId="3" fillId="0" borderId="0" xfId="0" applyNumberFormat="1" applyFont="1" applyFill="1" applyBorder="1" applyAlignment="1">
      <alignment horizontal="left" vertical="center" wrapText="1"/>
    </xf>
    <xf numFmtId="2" fontId="3" fillId="0" borderId="0" xfId="0" applyNumberFormat="1" applyFont="1" applyFill="1" applyBorder="1" applyAlignment="1">
      <alignment horizontal="left" vertical="center"/>
    </xf>
    <xf numFmtId="4" fontId="3" fillId="0" borderId="0" xfId="0" applyNumberFormat="1" applyFont="1" applyFill="1" applyBorder="1" applyAlignment="1">
      <alignment horizontal="left" vertical="center"/>
    </xf>
    <xf numFmtId="49" fontId="3" fillId="0" borderId="0" xfId="0" applyNumberFormat="1" applyFont="1" applyFill="1" applyBorder="1" applyAlignment="1">
      <alignment horizontal="left" vertical="center"/>
    </xf>
    <xf numFmtId="0" fontId="3" fillId="0" borderId="0" xfId="0" applyNumberFormat="1" applyFont="1" applyFill="1" applyBorder="1" applyAlignment="1">
      <alignment horizontal="left" vertical="center"/>
    </xf>
    <xf numFmtId="0" fontId="5" fillId="0" borderId="0" xfId="0" applyFont="1" applyFill="1" applyBorder="1"/>
    <xf numFmtId="4" fontId="0" fillId="0" borderId="0" xfId="0" applyNumberFormat="1" applyFill="1" applyBorder="1"/>
    <xf numFmtId="0" fontId="4" fillId="0" borderId="0" xfId="0" applyFont="1" applyFill="1" applyBorder="1" applyAlignment="1"/>
    <xf numFmtId="0" fontId="19" fillId="0" borderId="0" xfId="0" applyFont="1" applyFill="1" applyBorder="1" applyAlignment="1">
      <alignment horizontal="center" vertical="center"/>
    </xf>
    <xf numFmtId="0" fontId="11" fillId="0" borderId="0" xfId="0" applyFont="1" applyFill="1" applyBorder="1"/>
    <xf numFmtId="0" fontId="11" fillId="0" borderId="0" xfId="0" applyFont="1" applyFill="1" applyBorder="1" applyAlignment="1"/>
    <xf numFmtId="0" fontId="4" fillId="0" borderId="0" xfId="0" applyFont="1" applyFill="1" applyBorder="1"/>
    <xf numFmtId="0" fontId="0" fillId="5" borderId="0" xfId="0" applyFill="1"/>
    <xf numFmtId="0" fontId="2" fillId="0" borderId="0" xfId="0" applyFont="1" applyFill="1"/>
    <xf numFmtId="0" fontId="13" fillId="0" borderId="0" xfId="0" applyFont="1" applyFill="1" applyBorder="1" applyAlignment="1">
      <alignment horizontal="center" vertical="center"/>
    </xf>
    <xf numFmtId="0" fontId="16" fillId="0" borderId="0" xfId="0" applyFont="1" applyFill="1" applyBorder="1" applyAlignment="1">
      <alignment horizontal="center" vertical="center"/>
    </xf>
    <xf numFmtId="0" fontId="5" fillId="6" borderId="0" xfId="0" applyFont="1" applyFill="1"/>
    <xf numFmtId="0" fontId="9" fillId="0" borderId="0" xfId="0" applyFont="1" applyFill="1" applyBorder="1"/>
    <xf numFmtId="0" fontId="12" fillId="0" borderId="0" xfId="0" applyFont="1" applyFill="1" applyAlignment="1">
      <alignment horizontal="left"/>
    </xf>
    <xf numFmtId="2" fontId="9" fillId="0" borderId="0" xfId="0" applyNumberFormat="1" applyFont="1" applyFill="1" applyBorder="1" applyAlignment="1">
      <alignment horizontal="left"/>
    </xf>
    <xf numFmtId="0" fontId="9" fillId="0" borderId="0" xfId="0" applyFont="1" applyFill="1" applyBorder="1" applyAlignment="1">
      <alignment horizontal="left"/>
    </xf>
    <xf numFmtId="0" fontId="0" fillId="0" borderId="0" xfId="0" applyAlignment="1"/>
    <xf numFmtId="0" fontId="9" fillId="2" borderId="0" xfId="0" applyFont="1" applyFill="1"/>
    <xf numFmtId="0" fontId="5" fillId="0" borderId="0" xfId="0" applyFont="1" applyFill="1"/>
    <xf numFmtId="3" fontId="14" fillId="0" borderId="0" xfId="0" applyNumberFormat="1" applyFont="1" applyFill="1" applyAlignment="1"/>
    <xf numFmtId="2" fontId="11" fillId="0" borderId="0" xfId="0" applyNumberFormat="1" applyFont="1" applyFill="1" applyBorder="1" applyAlignment="1">
      <alignment horizontal="left" vertical="top" wrapText="1"/>
    </xf>
    <xf numFmtId="0" fontId="12" fillId="0" borderId="0" xfId="0" applyFont="1" applyFill="1" applyBorder="1" applyAlignment="1">
      <alignment horizontal="left" vertical="top" wrapText="1"/>
    </xf>
    <xf numFmtId="49" fontId="11" fillId="0" borderId="0" xfId="0" applyNumberFormat="1" applyFont="1" applyFill="1" applyBorder="1" applyAlignment="1">
      <alignment horizontal="left" vertical="top"/>
    </xf>
    <xf numFmtId="0" fontId="6" fillId="0" borderId="0" xfId="0" applyFont="1" applyAlignment="1">
      <alignment horizontal="justify" vertical="center"/>
    </xf>
    <xf numFmtId="0" fontId="0" fillId="10" borderId="0" xfId="0" applyFill="1"/>
    <xf numFmtId="0" fontId="3" fillId="0" borderId="1" xfId="0" applyFont="1" applyFill="1" applyBorder="1" applyAlignment="1">
      <alignment horizontal="center" vertical="center"/>
    </xf>
    <xf numFmtId="0" fontId="3" fillId="0" borderId="1" xfId="0" applyFont="1" applyFill="1" applyBorder="1" applyAlignment="1">
      <alignment horizontal="left" vertical="center"/>
    </xf>
    <xf numFmtId="0" fontId="2" fillId="9" borderId="0" xfId="0" applyFont="1" applyFill="1"/>
    <xf numFmtId="165" fontId="3" fillId="0" borderId="1" xfId="3" applyNumberFormat="1" applyFont="1" applyFill="1" applyBorder="1" applyAlignment="1">
      <alignment horizontal="center" vertical="center" wrapText="1"/>
    </xf>
    <xf numFmtId="2" fontId="11" fillId="0" borderId="0" xfId="0" applyNumberFormat="1" applyFont="1" applyFill="1" applyBorder="1" applyAlignment="1">
      <alignment horizontal="center" vertical="top" wrapText="1"/>
    </xf>
    <xf numFmtId="4" fontId="11" fillId="0" borderId="0" xfId="0" applyNumberFormat="1" applyFont="1" applyFill="1" applyBorder="1" applyAlignment="1">
      <alignment horizontal="center" vertical="top" wrapText="1"/>
    </xf>
    <xf numFmtId="4" fontId="11" fillId="0" borderId="0" xfId="0" applyNumberFormat="1" applyFont="1" applyFill="1" applyBorder="1" applyAlignment="1">
      <alignment horizontal="center" vertical="top"/>
    </xf>
    <xf numFmtId="2" fontId="11" fillId="0" borderId="0" xfId="0" applyNumberFormat="1" applyFont="1" applyFill="1" applyBorder="1" applyAlignment="1">
      <alignment horizontal="center" vertical="top"/>
    </xf>
    <xf numFmtId="2" fontId="3" fillId="0" borderId="0" xfId="0" applyNumberFormat="1" applyFont="1" applyFill="1" applyBorder="1" applyAlignment="1">
      <alignment horizontal="center" vertical="center" wrapText="1"/>
    </xf>
    <xf numFmtId="4" fontId="3" fillId="0" borderId="0" xfId="0" applyNumberFormat="1" applyFont="1" applyFill="1" applyBorder="1" applyAlignment="1">
      <alignment horizontal="center" vertical="center" wrapText="1"/>
    </xf>
    <xf numFmtId="2" fontId="3" fillId="0" borderId="0" xfId="0" applyNumberFormat="1" applyFont="1" applyFill="1" applyBorder="1" applyAlignment="1">
      <alignment horizontal="center" vertical="center"/>
    </xf>
    <xf numFmtId="4" fontId="3" fillId="0" borderId="0" xfId="0" applyNumberFormat="1" applyFont="1" applyFill="1" applyBorder="1" applyAlignment="1">
      <alignment horizontal="center" vertical="center"/>
    </xf>
    <xf numFmtId="2" fontId="9" fillId="0" borderId="0" xfId="0" applyNumberFormat="1" applyFont="1" applyFill="1" applyBorder="1" applyAlignment="1">
      <alignment horizontal="center"/>
    </xf>
    <xf numFmtId="0" fontId="9" fillId="0" borderId="0" xfId="0" applyFont="1" applyFill="1" applyBorder="1" applyAlignment="1">
      <alignment horizontal="center"/>
    </xf>
    <xf numFmtId="0" fontId="9" fillId="0" borderId="0" xfId="0" applyFont="1" applyFill="1" applyAlignment="1">
      <alignment horizontal="center"/>
    </xf>
    <xf numFmtId="4" fontId="11" fillId="0" borderId="1" xfId="0" applyNumberFormat="1" applyFont="1" applyFill="1" applyBorder="1" applyAlignment="1">
      <alignment horizontal="left" vertical="top"/>
    </xf>
    <xf numFmtId="2" fontId="11" fillId="0" borderId="1" xfId="0" applyNumberFormat="1" applyFont="1" applyFill="1" applyBorder="1" applyAlignment="1">
      <alignment horizontal="left" vertical="top" wrapText="1"/>
    </xf>
    <xf numFmtId="4" fontId="11" fillId="0" borderId="1" xfId="0" applyNumberFormat="1" applyFont="1" applyFill="1" applyBorder="1" applyAlignment="1">
      <alignment vertical="top" wrapText="1"/>
    </xf>
    <xf numFmtId="0" fontId="0" fillId="0" borderId="1" xfId="0" applyFill="1" applyBorder="1"/>
    <xf numFmtId="0" fontId="0" fillId="2" borderId="1" xfId="0" applyFill="1" applyBorder="1"/>
    <xf numFmtId="0" fontId="5" fillId="6" borderId="1" xfId="0" applyFont="1" applyFill="1" applyBorder="1"/>
    <xf numFmtId="0" fontId="0" fillId="5" borderId="1" xfId="0" applyFill="1" applyBorder="1"/>
    <xf numFmtId="4" fontId="3" fillId="0" borderId="1" xfId="0" applyNumberFormat="1" applyFont="1" applyFill="1" applyBorder="1" applyAlignment="1">
      <alignment horizontal="center" vertical="top"/>
    </xf>
    <xf numFmtId="1" fontId="11" fillId="0" borderId="13" xfId="0" applyNumberFormat="1" applyFont="1" applyFill="1" applyBorder="1" applyAlignment="1">
      <alignment horizontal="center"/>
    </xf>
    <xf numFmtId="0" fontId="2" fillId="0" borderId="1" xfId="0" applyFont="1" applyFill="1" applyBorder="1" applyAlignment="1">
      <alignment horizontal="left"/>
    </xf>
    <xf numFmtId="0" fontId="20" fillId="0" borderId="1" xfId="0" applyFont="1" applyFill="1" applyBorder="1"/>
    <xf numFmtId="3" fontId="12" fillId="0" borderId="1" xfId="0" applyNumberFormat="1" applyFont="1" applyFill="1" applyBorder="1" applyAlignment="1"/>
    <xf numFmtId="0" fontId="20" fillId="0" borderId="1" xfId="0" applyFont="1" applyBorder="1"/>
    <xf numFmtId="0" fontId="20" fillId="2" borderId="1" xfId="0" applyFont="1" applyFill="1" applyBorder="1"/>
    <xf numFmtId="49" fontId="12" fillId="0" borderId="0" xfId="0" applyNumberFormat="1" applyFont="1" applyFill="1" applyAlignment="1">
      <alignment horizontal="left"/>
    </xf>
    <xf numFmtId="0" fontId="0" fillId="4" borderId="0" xfId="0" applyFill="1" applyAlignment="1">
      <alignment horizontal="center"/>
    </xf>
    <xf numFmtId="4" fontId="4" fillId="0" borderId="0" xfId="0" applyNumberFormat="1" applyFont="1" applyFill="1" applyBorder="1" applyAlignment="1">
      <alignment horizontal="left" vertical="top" wrapText="1"/>
    </xf>
    <xf numFmtId="0" fontId="5" fillId="0" borderId="0" xfId="0" applyFont="1" applyFill="1" applyAlignment="1">
      <alignment horizontal="center"/>
    </xf>
    <xf numFmtId="2" fontId="5" fillId="0" borderId="0" xfId="0" applyNumberFormat="1" applyFont="1" applyFill="1" applyBorder="1"/>
    <xf numFmtId="0" fontId="5" fillId="0" borderId="0" xfId="0" applyFont="1"/>
    <xf numFmtId="49" fontId="3" fillId="0" borderId="1" xfId="0" applyNumberFormat="1" applyFont="1" applyFill="1" applyBorder="1" applyAlignment="1">
      <alignment horizontal="center" vertical="center"/>
    </xf>
    <xf numFmtId="49" fontId="8" fillId="0" borderId="1" xfId="0" applyNumberFormat="1" applyFont="1" applyFill="1" applyBorder="1" applyAlignment="1">
      <alignment horizontal="center" vertical="center"/>
    </xf>
    <xf numFmtId="0" fontId="0" fillId="0" borderId="15" xfId="0" applyFill="1" applyBorder="1"/>
    <xf numFmtId="4" fontId="9" fillId="0" borderId="0" xfId="0" applyNumberFormat="1" applyFont="1" applyFill="1"/>
    <xf numFmtId="0" fontId="22" fillId="0" borderId="0" xfId="0" applyFont="1" applyFill="1"/>
    <xf numFmtId="4" fontId="12" fillId="0" borderId="13" xfId="0" applyNumberFormat="1" applyFont="1" applyFill="1" applyBorder="1" applyAlignment="1">
      <alignment horizontal="left"/>
    </xf>
    <xf numFmtId="2" fontId="8" fillId="0" borderId="4" xfId="0" applyNumberFormat="1" applyFont="1" applyFill="1" applyBorder="1" applyAlignment="1">
      <alignment horizontal="left" vertical="top" wrapText="1"/>
    </xf>
    <xf numFmtId="4" fontId="7" fillId="0" borderId="1" xfId="0" applyNumberFormat="1" applyFont="1" applyFill="1" applyBorder="1" applyAlignment="1">
      <alignment horizontal="left" vertical="top"/>
    </xf>
    <xf numFmtId="4" fontId="12" fillId="0" borderId="0" xfId="0" applyNumberFormat="1" applyFont="1" applyFill="1" applyBorder="1" applyAlignment="1">
      <alignment horizontal="left"/>
    </xf>
    <xf numFmtId="0" fontId="12" fillId="0" borderId="0" xfId="0" applyFont="1" applyFill="1" applyBorder="1" applyAlignment="1">
      <alignment horizontal="left"/>
    </xf>
    <xf numFmtId="0" fontId="20" fillId="0" borderId="0" xfId="0" applyFont="1"/>
    <xf numFmtId="0" fontId="0" fillId="0" borderId="0" xfId="0" applyFont="1"/>
    <xf numFmtId="0" fontId="0" fillId="0" borderId="0" xfId="0" applyFont="1" applyAlignment="1">
      <alignment horizontal="center"/>
    </xf>
    <xf numFmtId="0" fontId="0" fillId="0" borderId="0" xfId="0" applyAlignment="1">
      <alignment vertical="center"/>
    </xf>
    <xf numFmtId="4" fontId="0" fillId="0" borderId="0" xfId="0" applyNumberFormat="1"/>
    <xf numFmtId="4" fontId="0" fillId="2" borderId="0" xfId="0" applyNumberFormat="1" applyFill="1"/>
    <xf numFmtId="4" fontId="0" fillId="0" borderId="0" xfId="0" applyNumberFormat="1" applyFill="1"/>
    <xf numFmtId="2" fontId="11" fillId="0" borderId="1" xfId="0" applyNumberFormat="1" applyFont="1" applyFill="1" applyBorder="1" applyAlignment="1">
      <alignment horizontal="left" vertical="top"/>
    </xf>
    <xf numFmtId="0" fontId="13" fillId="2" borderId="0" xfId="0" applyFont="1" applyFill="1" applyBorder="1" applyAlignment="1">
      <alignment horizontal="center" vertical="center"/>
    </xf>
    <xf numFmtId="0" fontId="4" fillId="2" borderId="0" xfId="0" applyFont="1" applyFill="1" applyBorder="1"/>
    <xf numFmtId="0" fontId="4" fillId="2" borderId="0" xfId="0" applyFont="1" applyFill="1" applyBorder="1" applyAlignment="1"/>
    <xf numFmtId="0" fontId="4" fillId="2" borderId="0" xfId="0" applyFont="1" applyFill="1"/>
    <xf numFmtId="0" fontId="17" fillId="2" borderId="0" xfId="0" applyFont="1" applyFill="1" applyBorder="1" applyAlignment="1"/>
    <xf numFmtId="4" fontId="17" fillId="2" borderId="0" xfId="0" applyNumberFormat="1" applyFont="1" applyFill="1" applyBorder="1" applyAlignment="1"/>
    <xf numFmtId="0" fontId="3" fillId="0" borderId="1" xfId="0" applyFont="1" applyFill="1" applyBorder="1"/>
    <xf numFmtId="0" fontId="3" fillId="0" borderId="1" xfId="0" applyFont="1" applyFill="1" applyBorder="1" applyAlignment="1">
      <alignment horizontal="center"/>
    </xf>
    <xf numFmtId="0" fontId="3" fillId="0" borderId="1" xfId="0" applyFont="1" applyFill="1" applyBorder="1" applyAlignment="1">
      <alignment horizontal="center" vertical="top"/>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center" vertical="center"/>
    </xf>
    <xf numFmtId="49" fontId="11" fillId="0" borderId="0" xfId="0" applyNumberFormat="1" applyFont="1" applyFill="1" applyBorder="1" applyAlignment="1">
      <alignment horizontal="left" vertical="top"/>
    </xf>
    <xf numFmtId="49" fontId="11" fillId="0" borderId="0" xfId="0" applyNumberFormat="1" applyFont="1" applyFill="1" applyBorder="1" applyAlignment="1">
      <alignment horizontal="left" vertical="top" wrapText="1"/>
    </xf>
    <xf numFmtId="0" fontId="11" fillId="0" borderId="0" xfId="0" applyFont="1" applyFill="1" applyBorder="1" applyAlignment="1">
      <alignment horizontal="left" vertical="top" wrapText="1"/>
    </xf>
    <xf numFmtId="2" fontId="11" fillId="0" borderId="0" xfId="0" applyNumberFormat="1" applyFont="1" applyFill="1" applyBorder="1" applyAlignment="1">
      <alignment horizontal="left" vertical="top" wrapText="1"/>
    </xf>
    <xf numFmtId="0" fontId="12" fillId="0" borderId="0" xfId="0" applyFont="1" applyFill="1" applyBorder="1" applyAlignment="1">
      <alignment horizontal="left" vertical="top" wrapText="1"/>
    </xf>
    <xf numFmtId="0" fontId="11" fillId="0" borderId="1" xfId="0" applyFont="1" applyFill="1" applyBorder="1" applyAlignment="1">
      <alignment horizontal="left" vertical="center"/>
    </xf>
    <xf numFmtId="4" fontId="11" fillId="0"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top" wrapText="1"/>
    </xf>
    <xf numFmtId="4" fontId="0" fillId="0" borderId="1" xfId="0" applyNumberFormat="1" applyFill="1" applyBorder="1"/>
    <xf numFmtId="4" fontId="5" fillId="0" borderId="1" xfId="0" applyNumberFormat="1" applyFont="1" applyFill="1" applyBorder="1"/>
    <xf numFmtId="4" fontId="37" fillId="0" borderId="1" xfId="0" applyNumberFormat="1" applyFont="1" applyFill="1" applyBorder="1"/>
    <xf numFmtId="4" fontId="13" fillId="2" borderId="0" xfId="0" applyNumberFormat="1" applyFont="1" applyFill="1" applyBorder="1" applyAlignment="1">
      <alignment horizontal="center" vertical="center"/>
    </xf>
    <xf numFmtId="4" fontId="38" fillId="7" borderId="1" xfId="0" applyNumberFormat="1" applyFont="1" applyFill="1" applyBorder="1"/>
    <xf numFmtId="4" fontId="21" fillId="0" borderId="1" xfId="0" applyNumberFormat="1" applyFont="1" applyFill="1" applyBorder="1" applyAlignment="1">
      <alignment horizontal="left" vertical="top" wrapText="1"/>
    </xf>
    <xf numFmtId="4" fontId="37" fillId="5" borderId="1" xfId="0" applyNumberFormat="1" applyFont="1" applyFill="1" applyBorder="1"/>
    <xf numFmtId="0" fontId="3" fillId="0" borderId="1" xfId="0" applyFont="1" applyFill="1" applyBorder="1" applyAlignment="1">
      <alignment horizontal="left" vertical="top" wrapText="1"/>
    </xf>
    <xf numFmtId="169" fontId="0" fillId="0" borderId="0" xfId="0" applyNumberFormat="1" applyFill="1" applyBorder="1"/>
    <xf numFmtId="0" fontId="2" fillId="0" borderId="1" xfId="0" applyFont="1" applyFill="1" applyBorder="1"/>
    <xf numFmtId="0" fontId="2" fillId="0" borderId="1" xfId="0" applyFont="1" applyFill="1" applyBorder="1" applyAlignment="1">
      <alignment vertical="center" wrapText="1"/>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49"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6" fillId="0" borderId="1" xfId="0" applyFont="1" applyFill="1" applyBorder="1" applyAlignment="1">
      <alignment horizontal="center" vertical="center" wrapText="1"/>
    </xf>
    <xf numFmtId="165" fontId="3" fillId="0" borderId="1" xfId="0" applyNumberFormat="1" applyFont="1" applyFill="1" applyBorder="1" applyAlignment="1">
      <alignment horizontal="center" vertical="center" wrapText="1"/>
    </xf>
    <xf numFmtId="49" fontId="6" fillId="0" borderId="1" xfId="0" applyNumberFormat="1" applyFont="1" applyFill="1" applyBorder="1" applyAlignment="1">
      <alignment horizontal="center" vertical="center" wrapText="1"/>
    </xf>
    <xf numFmtId="1" fontId="3" fillId="0" borderId="1" xfId="0" applyNumberFormat="1" applyFont="1" applyFill="1" applyBorder="1" applyAlignment="1">
      <alignment horizontal="center" vertical="center" wrapText="1"/>
    </xf>
    <xf numFmtId="49" fontId="6" fillId="0" borderId="2" xfId="0" applyNumberFormat="1" applyFont="1" applyFill="1" applyBorder="1" applyAlignment="1">
      <alignment horizontal="center" vertical="center" wrapText="1"/>
    </xf>
    <xf numFmtId="0" fontId="2" fillId="0" borderId="2" xfId="0" applyFont="1" applyFill="1" applyBorder="1" applyAlignment="1">
      <alignment vertical="center" wrapText="1"/>
    </xf>
    <xf numFmtId="0" fontId="2" fillId="0" borderId="2" xfId="0" applyFont="1" applyFill="1" applyBorder="1" applyAlignment="1">
      <alignment horizontal="center" vertical="center" wrapText="1"/>
    </xf>
    <xf numFmtId="0" fontId="3" fillId="0" borderId="1" xfId="0" applyFont="1" applyFill="1" applyBorder="1" applyAlignment="1">
      <alignment horizontal="center" vertical="top" wrapText="1"/>
    </xf>
    <xf numFmtId="0" fontId="11" fillId="0" borderId="2" xfId="0" applyFont="1" applyFill="1" applyBorder="1" applyAlignment="1">
      <alignment horizontal="left" vertical="top"/>
    </xf>
    <xf numFmtId="0" fontId="3" fillId="0" borderId="1" xfId="0" applyFont="1" applyFill="1" applyBorder="1" applyAlignment="1">
      <alignment vertical="top" wrapText="1"/>
    </xf>
    <xf numFmtId="3" fontId="8" fillId="0" borderId="1" xfId="0" applyNumberFormat="1" applyFont="1" applyFill="1" applyBorder="1" applyAlignment="1">
      <alignment horizontal="center" vertical="center"/>
    </xf>
    <xf numFmtId="49" fontId="8" fillId="0" borderId="0" xfId="0" applyNumberFormat="1" applyFont="1" applyFill="1" applyBorder="1" applyAlignment="1">
      <alignment horizontal="left" vertical="top"/>
    </xf>
    <xf numFmtId="4" fontId="8" fillId="0" borderId="0" xfId="0" applyNumberFormat="1" applyFont="1" applyFill="1" applyBorder="1" applyAlignment="1">
      <alignment horizontal="center" vertical="top" wrapText="1"/>
    </xf>
    <xf numFmtId="1" fontId="8" fillId="0" borderId="1" xfId="0" applyNumberFormat="1" applyFont="1" applyFill="1" applyBorder="1" applyAlignment="1">
      <alignment horizontal="center"/>
    </xf>
    <xf numFmtId="3" fontId="8" fillId="0" borderId="13" xfId="0" applyNumberFormat="1" applyFont="1" applyFill="1" applyBorder="1" applyAlignment="1">
      <alignment horizontal="center"/>
    </xf>
    <xf numFmtId="0" fontId="28" fillId="0" borderId="1" xfId="0" applyFont="1" applyFill="1" applyBorder="1" applyAlignment="1"/>
    <xf numFmtId="4" fontId="8" fillId="0" borderId="1" xfId="0" applyNumberFormat="1" applyFont="1" applyFill="1" applyBorder="1" applyAlignment="1">
      <alignment wrapText="1"/>
    </xf>
    <xf numFmtId="1" fontId="8" fillId="0" borderId="1" xfId="0" applyNumberFormat="1" applyFont="1" applyFill="1" applyBorder="1" applyAlignment="1">
      <alignment horizontal="center" vertical="center"/>
    </xf>
    <xf numFmtId="3" fontId="28" fillId="0" borderId="1" xfId="0" applyNumberFormat="1" applyFont="1" applyFill="1" applyBorder="1" applyAlignment="1"/>
    <xf numFmtId="4" fontId="39" fillId="0" borderId="1" xfId="0" applyNumberFormat="1" applyFont="1" applyFill="1" applyBorder="1" applyAlignment="1">
      <alignment horizontal="left" vertical="top"/>
    </xf>
    <xf numFmtId="4" fontId="40" fillId="0" borderId="1" xfId="0" applyNumberFormat="1" applyFont="1" applyFill="1" applyBorder="1" applyAlignment="1">
      <alignment horizontal="left" vertical="top" wrapText="1"/>
    </xf>
    <xf numFmtId="0" fontId="39" fillId="0" borderId="13" xfId="0" applyFont="1" applyFill="1" applyBorder="1" applyAlignment="1">
      <alignment horizontal="left" vertical="top" wrapText="1"/>
    </xf>
    <xf numFmtId="49" fontId="39" fillId="0" borderId="13" xfId="0" applyNumberFormat="1" applyFont="1" applyFill="1" applyBorder="1" applyAlignment="1">
      <alignment horizontal="left" vertical="top" wrapText="1"/>
    </xf>
    <xf numFmtId="0" fontId="40" fillId="0" borderId="1" xfId="0" applyFont="1" applyBorder="1" applyAlignment="1">
      <alignment vertical="center" wrapText="1"/>
    </xf>
    <xf numFmtId="0" fontId="40" fillId="0" borderId="1" xfId="0" applyFont="1" applyBorder="1" applyAlignment="1">
      <alignment horizontal="center" vertical="center" wrapText="1"/>
    </xf>
    <xf numFmtId="4" fontId="40" fillId="0" borderId="1" xfId="0" applyNumberFormat="1" applyFont="1" applyBorder="1" applyAlignment="1">
      <alignment horizontal="center" vertical="center" wrapText="1"/>
    </xf>
    <xf numFmtId="0" fontId="0" fillId="0" borderId="0" xfId="0" applyFont="1" applyFill="1"/>
    <xf numFmtId="0" fontId="40" fillId="0" borderId="1" xfId="0" applyFont="1" applyFill="1" applyBorder="1" applyAlignment="1">
      <alignment horizontal="center" vertical="center" wrapText="1"/>
    </xf>
    <xf numFmtId="0" fontId="40" fillId="0" borderId="1" xfId="0" applyFont="1" applyFill="1" applyBorder="1" applyAlignment="1">
      <alignment vertical="center" wrapText="1"/>
    </xf>
    <xf numFmtId="4" fontId="40" fillId="0" borderId="1" xfId="0" applyNumberFormat="1" applyFont="1" applyFill="1" applyBorder="1" applyAlignment="1">
      <alignment horizontal="center" vertical="center" wrapText="1"/>
    </xf>
    <xf numFmtId="0" fontId="40" fillId="0" borderId="1" xfId="0" applyFont="1" applyFill="1" applyBorder="1" applyAlignment="1">
      <alignment horizontal="center" vertical="top" wrapText="1"/>
    </xf>
    <xf numFmtId="0" fontId="40" fillId="0" borderId="13" xfId="0" applyFont="1" applyFill="1" applyBorder="1" applyAlignment="1">
      <alignment vertical="center" wrapText="1"/>
    </xf>
    <xf numFmtId="0" fontId="40" fillId="0" borderId="13" xfId="0" applyFont="1" applyFill="1" applyBorder="1" applyAlignment="1">
      <alignment vertical="top" wrapText="1"/>
    </xf>
    <xf numFmtId="4" fontId="40" fillId="0" borderId="1" xfId="0" applyNumberFormat="1" applyFont="1" applyFill="1" applyBorder="1" applyAlignment="1">
      <alignment horizontal="right" vertical="center" wrapText="1"/>
    </xf>
    <xf numFmtId="0" fontId="40" fillId="0" borderId="1" xfId="0" applyFont="1" applyFill="1" applyBorder="1" applyAlignment="1">
      <alignment horizontal="left" vertical="top" wrapText="1"/>
    </xf>
    <xf numFmtId="49" fontId="40" fillId="0" borderId="1" xfId="0" applyNumberFormat="1" applyFont="1" applyBorder="1" applyAlignment="1">
      <alignment horizontal="center" vertical="center" wrapText="1"/>
    </xf>
    <xf numFmtId="0" fontId="40" fillId="10" borderId="1" xfId="0" applyFont="1" applyFill="1" applyBorder="1" applyAlignment="1">
      <alignment horizontal="left" vertical="top" wrapText="1"/>
    </xf>
    <xf numFmtId="4" fontId="40" fillId="10" borderId="1" xfId="0" applyNumberFormat="1" applyFont="1" applyFill="1" applyBorder="1" applyAlignment="1">
      <alignment horizontal="left" vertical="top" wrapText="1"/>
    </xf>
    <xf numFmtId="0" fontId="40" fillId="0" borderId="1" xfId="0" applyFont="1" applyBorder="1" applyAlignment="1">
      <alignment horizontal="left" vertical="top" wrapText="1"/>
    </xf>
    <xf numFmtId="4" fontId="40" fillId="0" borderId="1" xfId="0" applyNumberFormat="1" applyFont="1" applyBorder="1" applyAlignment="1">
      <alignment horizontal="left" vertical="top" wrapText="1"/>
    </xf>
    <xf numFmtId="0" fontId="40" fillId="0" borderId="2" xfId="0" applyFont="1" applyBorder="1" applyAlignment="1">
      <alignment horizontal="left" vertical="top" wrapText="1"/>
    </xf>
    <xf numFmtId="4" fontId="40" fillId="0" borderId="2" xfId="0" applyNumberFormat="1" applyFont="1" applyBorder="1" applyAlignment="1">
      <alignment horizontal="left" vertical="top" wrapText="1"/>
    </xf>
    <xf numFmtId="4" fontId="40" fillId="10" borderId="2" xfId="0" applyNumberFormat="1" applyFont="1" applyFill="1" applyBorder="1" applyAlignment="1">
      <alignment horizontal="left" vertical="top" wrapText="1"/>
    </xf>
    <xf numFmtId="0" fontId="43" fillId="0" borderId="1" xfId="0" applyFont="1" applyBorder="1" applyAlignment="1">
      <alignment horizontal="left" vertical="top"/>
    </xf>
    <xf numFmtId="0" fontId="40" fillId="0" borderId="2" xfId="0" applyFont="1" applyBorder="1" applyAlignment="1">
      <alignment horizontal="center" vertical="center" wrapText="1"/>
    </xf>
    <xf numFmtId="0" fontId="40" fillId="0" borderId="4" xfId="0" applyFont="1" applyBorder="1" applyAlignment="1">
      <alignment horizontal="center" vertical="center" wrapText="1"/>
    </xf>
    <xf numFmtId="49" fontId="11" fillId="0" borderId="1" xfId="0" applyNumberFormat="1" applyFont="1" applyFill="1" applyBorder="1" applyAlignment="1">
      <alignment horizontal="center"/>
    </xf>
    <xf numFmtId="49" fontId="12" fillId="0" borderId="0" xfId="0" applyNumberFormat="1" applyFont="1" applyFill="1" applyBorder="1" applyAlignment="1">
      <alignment horizontal="left"/>
    </xf>
    <xf numFmtId="3" fontId="12" fillId="0" borderId="1" xfId="0" applyNumberFormat="1" applyFont="1" applyFill="1" applyBorder="1" applyAlignment="1">
      <alignment horizontal="left"/>
    </xf>
    <xf numFmtId="0" fontId="9" fillId="0" borderId="1" xfId="0" applyFont="1" applyFill="1" applyBorder="1"/>
    <xf numFmtId="3" fontId="7" fillId="0" borderId="1" xfId="0" applyNumberFormat="1" applyFont="1" applyFill="1" applyBorder="1" applyAlignment="1">
      <alignment horizontal="left" vertical="top" wrapText="1"/>
    </xf>
    <xf numFmtId="0" fontId="9" fillId="4" borderId="0" xfId="0" applyFont="1" applyFill="1"/>
    <xf numFmtId="49" fontId="11" fillId="0" borderId="0" xfId="0" applyNumberFormat="1" applyFont="1" applyFill="1" applyBorder="1" applyAlignment="1">
      <alignment horizontal="center" vertical="center"/>
    </xf>
    <xf numFmtId="0" fontId="11" fillId="0" borderId="13" xfId="0" applyFont="1" applyFill="1" applyBorder="1" applyAlignment="1">
      <alignment horizontal="left" vertical="top" wrapText="1"/>
    </xf>
    <xf numFmtId="0" fontId="2" fillId="0" borderId="1" xfId="0" applyFont="1" applyFill="1" applyBorder="1" applyAlignment="1">
      <alignment horizontal="left" vertical="top" wrapText="1"/>
    </xf>
    <xf numFmtId="4" fontId="3" fillId="2" borderId="1" xfId="0" applyNumberFormat="1" applyFont="1" applyFill="1" applyBorder="1" applyAlignment="1">
      <alignment horizontal="center" vertical="top"/>
    </xf>
    <xf numFmtId="4" fontId="2" fillId="0" borderId="1" xfId="0" applyNumberFormat="1" applyFont="1" applyFill="1" applyBorder="1" applyAlignment="1">
      <alignment horizontal="left" vertical="top" wrapText="1"/>
    </xf>
    <xf numFmtId="167" fontId="2" fillId="0" borderId="1" xfId="0" applyNumberFormat="1" applyFont="1" applyFill="1" applyBorder="1" applyAlignment="1">
      <alignment horizontal="left" vertical="top" wrapText="1"/>
    </xf>
    <xf numFmtId="167" fontId="3" fillId="0" borderId="1" xfId="2" applyNumberFormat="1" applyFont="1" applyFill="1" applyBorder="1" applyAlignment="1">
      <alignment horizontal="left" vertical="top" wrapText="1"/>
    </xf>
    <xf numFmtId="1" fontId="11" fillId="0" borderId="1" xfId="0" applyNumberFormat="1" applyFont="1" applyFill="1" applyBorder="1" applyAlignment="1">
      <alignment horizontal="center" vertical="center"/>
    </xf>
    <xf numFmtId="1" fontId="11" fillId="0" borderId="13" xfId="0" applyNumberFormat="1" applyFont="1" applyFill="1" applyBorder="1" applyAlignment="1">
      <alignment horizontal="center" vertical="center"/>
    </xf>
    <xf numFmtId="49" fontId="11" fillId="2" borderId="1" xfId="0" applyNumberFormat="1" applyFont="1" applyFill="1" applyBorder="1" applyAlignment="1">
      <alignment horizontal="left" vertical="top"/>
    </xf>
    <xf numFmtId="49" fontId="11" fillId="2" borderId="2" xfId="0" applyNumberFormat="1" applyFont="1" applyFill="1" applyBorder="1" applyAlignment="1">
      <alignment horizontal="left" vertical="top"/>
    </xf>
    <xf numFmtId="4" fontId="14" fillId="0" borderId="0" xfId="0" applyNumberFormat="1" applyFont="1" applyFill="1" applyAlignment="1">
      <alignment horizontal="left"/>
    </xf>
    <xf numFmtId="4" fontId="15" fillId="0" borderId="0" xfId="0" applyNumberFormat="1" applyFont="1" applyFill="1" applyAlignment="1">
      <alignment horizontal="left"/>
    </xf>
    <xf numFmtId="0" fontId="3" fillId="0" borderId="1" xfId="0" applyFont="1" applyFill="1" applyBorder="1" applyAlignment="1">
      <alignment horizontal="left" vertical="center"/>
    </xf>
    <xf numFmtId="0" fontId="2" fillId="0" borderId="2" xfId="0" applyFont="1" applyFill="1" applyBorder="1" applyAlignment="1">
      <alignment horizontal="left" vertical="center" wrapText="1"/>
    </xf>
    <xf numFmtId="3" fontId="14" fillId="0" borderId="0" xfId="0" applyNumberFormat="1" applyFont="1" applyFill="1" applyAlignment="1">
      <alignment horizontal="left"/>
    </xf>
    <xf numFmtId="0" fontId="20" fillId="0" borderId="2" xfId="0" applyFont="1" applyFill="1" applyBorder="1"/>
    <xf numFmtId="0" fontId="20" fillId="0" borderId="1" xfId="0" applyFont="1" applyFill="1" applyBorder="1" applyAlignment="1">
      <alignment horizontal="center"/>
    </xf>
    <xf numFmtId="0" fontId="32" fillId="0" borderId="1" xfId="0" applyFont="1" applyFill="1" applyBorder="1"/>
    <xf numFmtId="0" fontId="32" fillId="0" borderId="0" xfId="0" applyFont="1" applyFill="1" applyBorder="1"/>
    <xf numFmtId="0" fontId="5" fillId="2" borderId="1" xfId="0" applyFont="1" applyFill="1" applyBorder="1"/>
    <xf numFmtId="0" fontId="5" fillId="2" borderId="0" xfId="0" applyFont="1" applyFill="1"/>
    <xf numFmtId="0" fontId="5" fillId="0" borderId="15" xfId="0" applyFont="1" applyFill="1" applyBorder="1"/>
    <xf numFmtId="3" fontId="8" fillId="0" borderId="1" xfId="0" applyNumberFormat="1" applyFont="1" applyFill="1" applyBorder="1" applyAlignment="1">
      <alignment horizontal="center"/>
    </xf>
    <xf numFmtId="0" fontId="5" fillId="0" borderId="1" xfId="0" applyFont="1" applyFill="1" applyBorder="1"/>
    <xf numFmtId="0" fontId="0" fillId="0" borderId="0" xfId="0" applyFill="1" applyAlignment="1">
      <alignment horizontal="left"/>
    </xf>
    <xf numFmtId="0" fontId="0" fillId="5" borderId="15" xfId="0" applyFill="1" applyBorder="1"/>
    <xf numFmtId="166" fontId="3" fillId="0" borderId="1" xfId="0" applyNumberFormat="1" applyFont="1" applyFill="1" applyBorder="1" applyAlignment="1">
      <alignment horizontal="center" vertical="center"/>
    </xf>
    <xf numFmtId="4" fontId="11" fillId="0" borderId="1" xfId="0" applyNumberFormat="1" applyFont="1" applyFill="1" applyBorder="1" applyAlignment="1">
      <alignment horizontal="center" vertical="top" wrapText="1"/>
    </xf>
    <xf numFmtId="1" fontId="11" fillId="0" borderId="1" xfId="0" applyNumberFormat="1" applyFont="1" applyFill="1" applyBorder="1" applyAlignment="1">
      <alignment horizontal="center"/>
    </xf>
    <xf numFmtId="0" fontId="7" fillId="0" borderId="1" xfId="0" applyFont="1" applyBorder="1" applyAlignment="1">
      <alignment horizontal="left" vertical="center" wrapText="1"/>
    </xf>
    <xf numFmtId="0" fontId="2" fillId="0" borderId="1" xfId="0" applyFont="1" applyBorder="1" applyAlignment="1">
      <alignment vertical="center" wrapText="1"/>
    </xf>
    <xf numFmtId="171" fontId="2" fillId="0" borderId="1" xfId="0" applyNumberFormat="1" applyFont="1" applyBorder="1" applyAlignment="1">
      <alignment vertical="center" wrapText="1"/>
    </xf>
    <xf numFmtId="0" fontId="2" fillId="0" borderId="1" xfId="0" applyFont="1" applyFill="1" applyBorder="1" applyAlignment="1">
      <alignment horizontal="left" vertical="top" wrapText="1"/>
    </xf>
    <xf numFmtId="49" fontId="3" fillId="0" borderId="1" xfId="0" applyNumberFormat="1" applyFont="1" applyFill="1" applyBorder="1" applyAlignment="1">
      <alignment horizontal="left" vertical="top" wrapText="1"/>
    </xf>
    <xf numFmtId="4" fontId="2" fillId="0" borderId="2" xfId="0" applyNumberFormat="1" applyFont="1" applyFill="1" applyBorder="1" applyAlignment="1">
      <alignment horizontal="left" vertical="top" wrapText="1"/>
    </xf>
    <xf numFmtId="0" fontId="2" fillId="0" borderId="2" xfId="0" applyFont="1" applyFill="1" applyBorder="1" applyAlignment="1">
      <alignment horizontal="left" vertical="top" wrapText="1"/>
    </xf>
    <xf numFmtId="171" fontId="2" fillId="0" borderId="1" xfId="0" applyNumberFormat="1" applyFont="1" applyFill="1" applyBorder="1" applyAlignment="1">
      <alignment vertical="center" wrapText="1"/>
    </xf>
    <xf numFmtId="4" fontId="33" fillId="7" borderId="0" xfId="0" applyNumberFormat="1" applyFont="1" applyFill="1"/>
    <xf numFmtId="170" fontId="2" fillId="0" borderId="1" xfId="0" applyNumberFormat="1" applyFont="1" applyFill="1" applyBorder="1" applyAlignment="1">
      <alignment horizontal="left" vertical="top" wrapText="1"/>
    </xf>
    <xf numFmtId="2" fontId="2" fillId="0" borderId="1" xfId="0" applyNumberFormat="1" applyFont="1" applyFill="1" applyBorder="1" applyAlignment="1">
      <alignment horizontal="left" vertical="top" wrapText="1"/>
    </xf>
    <xf numFmtId="49" fontId="2" fillId="0" borderId="1" xfId="0" applyNumberFormat="1" applyFont="1" applyFill="1" applyBorder="1" applyAlignment="1">
      <alignment horizontal="left" vertical="top" wrapText="1"/>
    </xf>
    <xf numFmtId="49" fontId="2" fillId="0" borderId="2" xfId="0" applyNumberFormat="1" applyFont="1" applyFill="1" applyBorder="1" applyAlignment="1">
      <alignment horizontal="left" vertical="top" wrapText="1"/>
    </xf>
    <xf numFmtId="0" fontId="0" fillId="0" borderId="0" xfId="0" applyAlignment="1">
      <alignment horizontal="left"/>
    </xf>
    <xf numFmtId="170" fontId="0" fillId="0" borderId="0" xfId="0" applyNumberFormat="1"/>
    <xf numFmtId="4" fontId="45" fillId="0" borderId="1" xfId="0" applyNumberFormat="1" applyFont="1" applyFill="1" applyBorder="1" applyAlignment="1">
      <alignment horizontal="center" vertical="top"/>
    </xf>
    <xf numFmtId="0" fontId="2" fillId="2" borderId="1" xfId="0" applyFont="1" applyFill="1" applyBorder="1" applyAlignment="1">
      <alignment vertical="center" wrapText="1"/>
    </xf>
    <xf numFmtId="0" fontId="3" fillId="2" borderId="1" xfId="0" applyFont="1" applyFill="1" applyBorder="1" applyAlignment="1">
      <alignment horizontal="left" vertical="center"/>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49" fontId="46" fillId="0" borderId="1" xfId="0" applyNumberFormat="1" applyFont="1" applyBorder="1" applyAlignment="1">
      <alignment horizontal="center" vertical="center" wrapText="1"/>
    </xf>
    <xf numFmtId="0" fontId="46" fillId="0" borderId="1" xfId="0" applyFont="1" applyBorder="1" applyAlignment="1">
      <alignment horizontal="left" vertical="top" wrapText="1"/>
    </xf>
    <xf numFmtId="0" fontId="47" fillId="0" borderId="1" xfId="0" applyFont="1" applyBorder="1" applyAlignment="1">
      <alignment horizontal="left" vertical="top"/>
    </xf>
    <xf numFmtId="0" fontId="3" fillId="2" borderId="1" xfId="0" applyFont="1" applyFill="1" applyBorder="1" applyAlignment="1">
      <alignment horizontal="center" vertical="center"/>
    </xf>
    <xf numFmtId="0" fontId="3" fillId="7" borderId="1" xfId="0" applyFont="1" applyFill="1" applyBorder="1" applyAlignment="1">
      <alignment horizontal="left" vertical="top" wrapText="1"/>
    </xf>
    <xf numFmtId="0" fontId="0" fillId="9" borderId="0" xfId="0" applyFill="1" applyAlignment="1">
      <alignment horizontal="center"/>
    </xf>
    <xf numFmtId="0" fontId="40" fillId="4" borderId="1" xfId="0" applyFont="1" applyFill="1" applyBorder="1" applyAlignment="1">
      <alignment horizontal="left" vertical="top" wrapText="1"/>
    </xf>
    <xf numFmtId="4" fontId="40" fillId="4" borderId="1" xfId="0" applyNumberFormat="1" applyFont="1" applyFill="1" applyBorder="1" applyAlignment="1">
      <alignment horizontal="left" vertical="top" wrapText="1"/>
    </xf>
    <xf numFmtId="0" fontId="0" fillId="4" borderId="0" xfId="0" applyFill="1" applyAlignment="1">
      <alignment vertical="center"/>
    </xf>
    <xf numFmtId="0" fontId="0" fillId="4" borderId="0" xfId="0" applyFill="1"/>
    <xf numFmtId="0" fontId="40" fillId="4" borderId="1" xfId="0" applyFont="1" applyFill="1" applyBorder="1" applyAlignment="1">
      <alignment vertical="center" wrapText="1"/>
    </xf>
    <xf numFmtId="4" fontId="40" fillId="4" borderId="1" xfId="0" applyNumberFormat="1" applyFont="1" applyFill="1" applyBorder="1" applyAlignment="1">
      <alignment horizontal="center" vertical="center" wrapText="1"/>
    </xf>
    <xf numFmtId="0" fontId="40" fillId="4" borderId="2" xfId="0" applyFont="1" applyFill="1" applyBorder="1" applyAlignment="1">
      <alignment vertical="center" wrapText="1"/>
    </xf>
    <xf numFmtId="4" fontId="40" fillId="4" borderId="2" xfId="0" applyNumberFormat="1" applyFont="1" applyFill="1" applyBorder="1" applyAlignment="1">
      <alignment horizontal="center" vertical="center" wrapText="1"/>
    </xf>
    <xf numFmtId="172" fontId="22" fillId="0" borderId="0" xfId="0" applyNumberFormat="1" applyFont="1" applyFill="1"/>
    <xf numFmtId="2" fontId="22" fillId="0" borderId="0" xfId="0" applyNumberFormat="1" applyFont="1" applyFill="1"/>
    <xf numFmtId="0" fontId="15" fillId="0" borderId="0" xfId="0" applyFont="1" applyFill="1"/>
    <xf numFmtId="49" fontId="9" fillId="0" borderId="0" xfId="0" applyNumberFormat="1" applyFont="1" applyFill="1" applyAlignment="1">
      <alignment horizontal="center" vertical="center"/>
    </xf>
    <xf numFmtId="166" fontId="8" fillId="0" borderId="1" xfId="0" applyNumberFormat="1" applyFont="1" applyFill="1" applyBorder="1" applyAlignment="1">
      <alignment horizontal="left" vertical="top" wrapText="1"/>
    </xf>
    <xf numFmtId="0" fontId="48" fillId="0" borderId="1" xfId="0" applyFont="1" applyFill="1" applyBorder="1" applyAlignment="1">
      <alignment horizontal="left" vertical="top" wrapText="1"/>
    </xf>
    <xf numFmtId="172" fontId="15" fillId="0" borderId="1" xfId="0" applyNumberFormat="1" applyFont="1" applyFill="1" applyBorder="1"/>
    <xf numFmtId="4" fontId="3" fillId="2" borderId="1" xfId="0" applyNumberFormat="1" applyFont="1" applyFill="1" applyBorder="1" applyAlignment="1">
      <alignment horizontal="center" vertical="center"/>
    </xf>
    <xf numFmtId="0" fontId="5" fillId="2" borderId="0" xfId="0" applyFont="1" applyFill="1" applyBorder="1"/>
    <xf numFmtId="0" fontId="0" fillId="2" borderId="0" xfId="0" applyFill="1" applyBorder="1"/>
    <xf numFmtId="0" fontId="52" fillId="0" borderId="0" xfId="0" applyFont="1" applyFill="1"/>
    <xf numFmtId="0" fontId="53" fillId="0" borderId="0" xfId="0" applyFont="1" applyFill="1"/>
    <xf numFmtId="0" fontId="11" fillId="0" borderId="1" xfId="0" applyFont="1" applyFill="1" applyBorder="1" applyAlignment="1">
      <alignment vertical="top" wrapText="1"/>
    </xf>
    <xf numFmtId="4" fontId="11" fillId="0" borderId="2" xfId="0" applyNumberFormat="1" applyFont="1" applyFill="1" applyBorder="1" applyAlignment="1">
      <alignment vertical="top" wrapText="1"/>
    </xf>
    <xf numFmtId="4" fontId="11" fillId="0" borderId="3" xfId="0" applyNumberFormat="1" applyFont="1" applyFill="1" applyBorder="1" applyAlignment="1">
      <alignment vertical="top" wrapText="1"/>
    </xf>
    <xf numFmtId="4" fontId="11" fillId="0" borderId="4" xfId="0" applyNumberFormat="1" applyFont="1" applyFill="1" applyBorder="1" applyAlignment="1">
      <alignment vertical="top" wrapText="1"/>
    </xf>
    <xf numFmtId="1" fontId="11" fillId="0" borderId="3" xfId="0" applyNumberFormat="1" applyFont="1" applyFill="1" applyBorder="1" applyAlignment="1">
      <alignment horizontal="center" vertical="center" wrapText="1"/>
    </xf>
    <xf numFmtId="1" fontId="11" fillId="0" borderId="4" xfId="0" applyNumberFormat="1" applyFont="1" applyFill="1" applyBorder="1" applyAlignment="1">
      <alignment horizontal="center" vertical="center" wrapText="1"/>
    </xf>
    <xf numFmtId="4" fontId="11" fillId="0" borderId="13" xfId="0" applyNumberFormat="1" applyFont="1" applyFill="1" applyBorder="1" applyAlignment="1">
      <alignment vertical="top" wrapText="1"/>
    </xf>
    <xf numFmtId="0" fontId="0" fillId="0" borderId="0" xfId="0" applyFill="1" applyAlignment="1">
      <alignment horizontal="center" vertical="center"/>
    </xf>
    <xf numFmtId="49" fontId="0" fillId="0" borderId="0" xfId="0" applyNumberFormat="1" applyFill="1" applyAlignment="1">
      <alignment horizontal="right"/>
    </xf>
    <xf numFmtId="0" fontId="48" fillId="0" borderId="1" xfId="0" applyFont="1" applyFill="1" applyBorder="1" applyAlignment="1">
      <alignment vertical="top" wrapText="1"/>
    </xf>
    <xf numFmtId="0" fontId="16" fillId="0" borderId="0" xfId="0" applyFont="1" applyFill="1"/>
    <xf numFmtId="0" fontId="58" fillId="0" borderId="0" xfId="0" applyFont="1" applyFill="1"/>
    <xf numFmtId="0" fontId="3" fillId="0" borderId="1" xfId="0" applyFont="1" applyFill="1" applyBorder="1" applyAlignment="1">
      <alignment horizontal="center" vertical="top" wrapText="1"/>
    </xf>
    <xf numFmtId="0" fontId="3" fillId="0" borderId="1" xfId="0" applyFont="1" applyFill="1" applyBorder="1" applyAlignment="1">
      <alignment horizontal="left" vertical="top"/>
    </xf>
    <xf numFmtId="4" fontId="8" fillId="0" borderId="1" xfId="0" applyNumberFormat="1" applyFont="1" applyFill="1" applyBorder="1" applyAlignment="1">
      <alignment horizontal="center" vertical="center"/>
    </xf>
    <xf numFmtId="49" fontId="11" fillId="0" borderId="0" xfId="0" applyNumberFormat="1" applyFont="1" applyFill="1" applyBorder="1" applyAlignment="1">
      <alignment horizontal="left" vertical="top"/>
    </xf>
    <xf numFmtId="0" fontId="11" fillId="0" borderId="0" xfId="0" applyFont="1" applyFill="1" applyBorder="1" applyAlignment="1">
      <alignment horizontal="left" vertical="top" wrapText="1"/>
    </xf>
    <xf numFmtId="0" fontId="11" fillId="0" borderId="0" xfId="0" applyFont="1" applyFill="1" applyBorder="1" applyAlignment="1">
      <alignment horizontal="center" vertical="top" wrapText="1"/>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left" vertical="top" wrapText="1"/>
    </xf>
    <xf numFmtId="4" fontId="8" fillId="0" borderId="1" xfId="0" applyNumberFormat="1" applyFont="1" applyFill="1" applyBorder="1" applyAlignment="1">
      <alignment horizontal="center" vertical="top" wrapText="1"/>
    </xf>
    <xf numFmtId="0" fontId="28" fillId="0" borderId="1" xfId="0" applyFont="1" applyFill="1" applyBorder="1" applyAlignment="1">
      <alignment horizontal="center"/>
    </xf>
    <xf numFmtId="3" fontId="8" fillId="0" borderId="13" xfId="0" applyNumberFormat="1" applyFont="1" applyFill="1" applyBorder="1" applyAlignment="1">
      <alignment horizontal="center" vertical="top" wrapText="1"/>
    </xf>
    <xf numFmtId="3" fontId="8" fillId="0" borderId="13" xfId="0" applyNumberFormat="1" applyFont="1" applyFill="1" applyBorder="1" applyAlignment="1">
      <alignment horizontal="left" vertical="top" wrapText="1"/>
    </xf>
    <xf numFmtId="49" fontId="8" fillId="0" borderId="1" xfId="0" applyNumberFormat="1" applyFont="1" applyFill="1" applyBorder="1" applyAlignment="1">
      <alignment horizontal="center" vertical="center" wrapText="1"/>
    </xf>
    <xf numFmtId="4" fontId="8" fillId="0" borderId="1" xfId="0" applyNumberFormat="1" applyFont="1" applyFill="1" applyBorder="1" applyAlignment="1">
      <alignment horizontal="left" vertical="top" wrapText="1"/>
    </xf>
    <xf numFmtId="0" fontId="44" fillId="0" borderId="0" xfId="0" applyFont="1" applyFill="1" applyAlignment="1">
      <alignment horizontal="left" wrapText="1"/>
    </xf>
    <xf numFmtId="3" fontId="8" fillId="0" borderId="5" xfId="0" applyNumberFormat="1" applyFont="1" applyFill="1" applyBorder="1" applyAlignment="1">
      <alignment horizontal="left" vertical="top" wrapText="1"/>
    </xf>
    <xf numFmtId="49" fontId="11" fillId="0" borderId="1" xfId="0" applyNumberFormat="1" applyFont="1" applyFill="1" applyBorder="1" applyAlignment="1">
      <alignment horizontal="left" vertical="top"/>
    </xf>
    <xf numFmtId="0" fontId="11" fillId="0" borderId="2" xfId="0" applyFont="1" applyFill="1" applyBorder="1" applyAlignment="1">
      <alignment horizontal="left" vertical="top" wrapText="1"/>
    </xf>
    <xf numFmtId="0" fontId="11" fillId="0" borderId="4" xfId="0" applyFont="1" applyFill="1" applyBorder="1" applyAlignment="1">
      <alignment horizontal="left" vertical="top" wrapText="1"/>
    </xf>
    <xf numFmtId="0" fontId="11" fillId="0" borderId="1" xfId="0" applyFont="1" applyFill="1" applyBorder="1" applyAlignment="1">
      <alignment horizontal="left" vertical="top"/>
    </xf>
    <xf numFmtId="0" fontId="11" fillId="2" borderId="1" xfId="0" applyFont="1" applyFill="1" applyBorder="1" applyAlignment="1">
      <alignment horizontal="left" vertical="top" wrapText="1"/>
    </xf>
    <xf numFmtId="0" fontId="21" fillId="0" borderId="0" xfId="0" applyFont="1" applyFill="1" applyAlignment="1">
      <alignment horizontal="left" wrapText="1"/>
    </xf>
    <xf numFmtId="4" fontId="11" fillId="0" borderId="1" xfId="0" applyNumberFormat="1" applyFont="1" applyFill="1" applyBorder="1" applyAlignment="1">
      <alignment horizontal="center" vertical="top" wrapText="1"/>
    </xf>
    <xf numFmtId="4" fontId="3" fillId="0" borderId="1" xfId="0" applyNumberFormat="1" applyFont="1" applyFill="1" applyBorder="1" applyAlignment="1">
      <alignment horizontal="center" vertical="center"/>
    </xf>
    <xf numFmtId="4" fontId="21" fillId="0" borderId="1" xfId="0" applyNumberFormat="1" applyFont="1" applyFill="1" applyBorder="1" applyAlignment="1">
      <alignment horizontal="left" vertical="top" wrapText="1"/>
    </xf>
    <xf numFmtId="49" fontId="11" fillId="0" borderId="2" xfId="0" applyNumberFormat="1" applyFont="1" applyFill="1" applyBorder="1" applyAlignment="1">
      <alignment horizontal="left" vertical="top"/>
    </xf>
    <xf numFmtId="0" fontId="26" fillId="0" borderId="1" xfId="0" applyFont="1" applyFill="1" applyBorder="1" applyAlignment="1">
      <alignment horizontal="center" vertical="top" wrapText="1"/>
    </xf>
    <xf numFmtId="4" fontId="5" fillId="2" borderId="0" xfId="0" applyNumberFormat="1" applyFont="1" applyFill="1"/>
    <xf numFmtId="4" fontId="5" fillId="0" borderId="0" xfId="0" applyNumberFormat="1" applyFont="1" applyFill="1"/>
    <xf numFmtId="3" fontId="0" fillId="0" borderId="0" xfId="0" applyNumberFormat="1" applyFill="1"/>
    <xf numFmtId="0" fontId="0" fillId="0" borderId="0" xfId="0" applyFill="1" applyAlignment="1">
      <alignment vertical="center"/>
    </xf>
    <xf numFmtId="4" fontId="5" fillId="0" borderId="0" xfId="0" applyNumberFormat="1" applyFont="1" applyFill="1" applyBorder="1"/>
    <xf numFmtId="0" fontId="33" fillId="0" borderId="0" xfId="0" applyFont="1" applyFill="1" applyBorder="1"/>
    <xf numFmtId="1" fontId="11" fillId="0" borderId="0" xfId="0" applyNumberFormat="1" applyFont="1" applyFill="1" applyBorder="1" applyAlignment="1">
      <alignment horizontal="center"/>
    </xf>
    <xf numFmtId="4" fontId="39" fillId="10" borderId="1" xfId="0" applyNumberFormat="1" applyFont="1" applyFill="1" applyBorder="1" applyAlignment="1">
      <alignment horizontal="left" vertical="top"/>
    </xf>
    <xf numFmtId="4" fontId="5" fillId="6" borderId="0" xfId="0" applyNumberFormat="1" applyFont="1" applyFill="1"/>
    <xf numFmtId="0" fontId="5" fillId="6" borderId="0" xfId="0" applyFont="1" applyFill="1" applyBorder="1"/>
    <xf numFmtId="0" fontId="0" fillId="5" borderId="0" xfId="0" applyFill="1" applyBorder="1"/>
    <xf numFmtId="4" fontId="0" fillId="5" borderId="0" xfId="0" applyNumberFormat="1" applyFill="1"/>
    <xf numFmtId="1" fontId="11" fillId="0" borderId="0" xfId="0" applyNumberFormat="1" applyFont="1" applyFill="1" applyBorder="1" applyAlignment="1">
      <alignment horizontal="left" vertical="top" wrapText="1"/>
    </xf>
    <xf numFmtId="2" fontId="3" fillId="0" borderId="0" xfId="0" applyNumberFormat="1" applyFont="1" applyFill="1" applyBorder="1" applyAlignment="1">
      <alignment horizontal="left" vertical="top" wrapText="1"/>
    </xf>
    <xf numFmtId="2" fontId="3" fillId="0" borderId="0" xfId="0" applyNumberFormat="1" applyFont="1" applyFill="1" applyBorder="1" applyAlignment="1">
      <alignment horizontal="center" vertical="top" wrapText="1"/>
    </xf>
    <xf numFmtId="1" fontId="8" fillId="10" borderId="1" xfId="0" applyNumberFormat="1" applyFont="1" applyFill="1" applyBorder="1" applyAlignment="1">
      <alignment horizontal="center" vertical="center"/>
    </xf>
    <xf numFmtId="1" fontId="8" fillId="10" borderId="1" xfId="0" applyNumberFormat="1" applyFont="1" applyFill="1" applyBorder="1" applyAlignment="1">
      <alignment horizontal="center"/>
    </xf>
    <xf numFmtId="3" fontId="8" fillId="10" borderId="13" xfId="0" applyNumberFormat="1" applyFont="1" applyFill="1" applyBorder="1" applyAlignment="1">
      <alignment horizontal="center"/>
    </xf>
    <xf numFmtId="2" fontId="8" fillId="0" borderId="0" xfId="0" applyNumberFormat="1" applyFont="1" applyFill="1" applyBorder="1" applyAlignment="1">
      <alignment horizontal="left" vertical="top" wrapText="1"/>
    </xf>
    <xf numFmtId="4" fontId="8" fillId="0" borderId="1" xfId="0" applyNumberFormat="1" applyFont="1" applyFill="1" applyBorder="1" applyAlignment="1">
      <alignment horizontal="left" vertical="top" wrapText="1"/>
    </xf>
    <xf numFmtId="0" fontId="0" fillId="10" borderId="1" xfId="0" applyFill="1" applyBorder="1"/>
    <xf numFmtId="0" fontId="3" fillId="0" borderId="0" xfId="0" applyFont="1" applyFill="1" applyBorder="1" applyAlignment="1">
      <alignment horizontal="left" vertical="top" wrapText="1"/>
    </xf>
    <xf numFmtId="0" fontId="11" fillId="0" borderId="0" xfId="0" applyFont="1" applyFill="1" applyBorder="1" applyAlignment="1">
      <alignment horizontal="center" vertical="top" wrapText="1"/>
    </xf>
    <xf numFmtId="49" fontId="11" fillId="0" borderId="0" xfId="0" applyNumberFormat="1" applyFont="1" applyFill="1" applyBorder="1" applyAlignment="1">
      <alignment horizontal="left" vertical="top" wrapText="1"/>
    </xf>
    <xf numFmtId="0" fontId="8" fillId="0" borderId="1" xfId="0" applyFont="1" applyFill="1" applyBorder="1" applyAlignment="1">
      <alignment horizontal="left" vertical="top" wrapText="1"/>
    </xf>
    <xf numFmtId="0" fontId="8" fillId="0" borderId="1" xfId="0" applyFont="1" applyFill="1" applyBorder="1" applyAlignment="1">
      <alignment horizontal="center" vertical="center"/>
    </xf>
    <xf numFmtId="0" fontId="8" fillId="0" borderId="1" xfId="0" applyFont="1" applyFill="1" applyBorder="1" applyAlignment="1">
      <alignment horizontal="left" vertical="top"/>
    </xf>
    <xf numFmtId="0" fontId="8" fillId="0" borderId="1" xfId="0" applyFont="1" applyFill="1" applyBorder="1" applyAlignment="1">
      <alignment horizontal="left" vertical="center"/>
    </xf>
    <xf numFmtId="4" fontId="8" fillId="0" borderId="1" xfId="0" applyNumberFormat="1" applyFont="1" applyFill="1" applyBorder="1" applyAlignment="1">
      <alignment horizontal="center" vertical="center" wrapText="1"/>
    </xf>
    <xf numFmtId="49" fontId="8" fillId="0" borderId="1" xfId="0" applyNumberFormat="1" applyFont="1" applyFill="1" applyBorder="1" applyAlignment="1">
      <alignment horizontal="center" vertical="center" wrapText="1"/>
    </xf>
    <xf numFmtId="4" fontId="8" fillId="0" borderId="1" xfId="0" applyNumberFormat="1" applyFont="1" applyFill="1" applyBorder="1" applyAlignment="1">
      <alignment horizontal="left" vertical="top" wrapText="1"/>
    </xf>
    <xf numFmtId="4" fontId="8" fillId="0" borderId="1" xfId="0" applyNumberFormat="1" applyFont="1" applyFill="1" applyBorder="1" applyAlignment="1">
      <alignment horizontal="center" vertical="top" wrapText="1"/>
    </xf>
    <xf numFmtId="3" fontId="11" fillId="8" borderId="1" xfId="0" applyNumberFormat="1" applyFont="1" applyFill="1" applyBorder="1" applyAlignment="1">
      <alignment horizontal="left" vertical="top" wrapText="1"/>
    </xf>
    <xf numFmtId="0" fontId="28" fillId="0" borderId="1" xfId="0" applyFont="1" applyFill="1" applyBorder="1" applyAlignment="1">
      <alignment horizontal="center"/>
    </xf>
    <xf numFmtId="3" fontId="8" fillId="0" borderId="3" xfId="0" applyNumberFormat="1" applyFont="1" applyFill="1" applyBorder="1" applyAlignment="1">
      <alignment horizontal="left" vertical="top" wrapText="1"/>
    </xf>
    <xf numFmtId="4" fontId="8" fillId="2" borderId="1" xfId="0" applyNumberFormat="1" applyFont="1" applyFill="1" applyBorder="1" applyAlignment="1">
      <alignment horizontal="center" vertical="top" wrapText="1"/>
    </xf>
    <xf numFmtId="3" fontId="12" fillId="0" borderId="1" xfId="0" applyNumberFormat="1" applyFont="1" applyFill="1" applyBorder="1" applyAlignment="1">
      <alignment horizontal="center"/>
    </xf>
    <xf numFmtId="0" fontId="8" fillId="0" borderId="0" xfId="0" applyFont="1" applyFill="1" applyBorder="1" applyAlignment="1">
      <alignment horizontal="left" vertical="top" wrapText="1"/>
    </xf>
    <xf numFmtId="0" fontId="44" fillId="0" borderId="0" xfId="0" applyFont="1" applyFill="1" applyBorder="1" applyAlignment="1">
      <alignment horizontal="left" wrapText="1"/>
    </xf>
    <xf numFmtId="0" fontId="8" fillId="2" borderId="11" xfId="0" applyFont="1" applyFill="1" applyBorder="1" applyAlignment="1">
      <alignment horizontal="left" vertical="top" wrapText="1"/>
    </xf>
    <xf numFmtId="3" fontId="8" fillId="0" borderId="5" xfId="0" applyNumberFormat="1" applyFont="1" applyFill="1" applyBorder="1" applyAlignment="1">
      <alignment horizontal="center" vertical="top" wrapText="1"/>
    </xf>
    <xf numFmtId="0" fontId="11" fillId="0" borderId="1" xfId="0" applyFont="1" applyFill="1" applyBorder="1" applyAlignment="1">
      <alignment horizontal="left" vertical="top" wrapText="1"/>
    </xf>
    <xf numFmtId="0" fontId="11" fillId="0" borderId="1" xfId="0" applyFont="1" applyFill="1" applyBorder="1" applyAlignment="1">
      <alignment horizontal="center" vertical="top" wrapText="1"/>
    </xf>
    <xf numFmtId="4" fontId="11" fillId="0" borderId="1" xfId="0" applyNumberFormat="1" applyFont="1" applyFill="1" applyBorder="1" applyAlignment="1">
      <alignment horizontal="center" vertical="center" wrapText="1"/>
    </xf>
    <xf numFmtId="4" fontId="11" fillId="0" borderId="1" xfId="0" applyNumberFormat="1" applyFont="1" applyFill="1" applyBorder="1" applyAlignment="1">
      <alignment horizontal="center" vertical="center"/>
    </xf>
    <xf numFmtId="4" fontId="11" fillId="0" borderId="1" xfId="0" applyNumberFormat="1" applyFont="1" applyFill="1" applyBorder="1" applyAlignment="1">
      <alignment horizontal="center" vertical="top"/>
    </xf>
    <xf numFmtId="0" fontId="11" fillId="0" borderId="9" xfId="0" applyFont="1" applyFill="1" applyBorder="1" applyAlignment="1">
      <alignment horizontal="left" vertical="top" wrapText="1"/>
    </xf>
    <xf numFmtId="0" fontId="11" fillId="0" borderId="12" xfId="0" applyFont="1" applyFill="1" applyBorder="1" applyAlignment="1">
      <alignment horizontal="left" vertical="top" wrapText="1"/>
    </xf>
    <xf numFmtId="4" fontId="39" fillId="0" borderId="1" xfId="0" applyNumberFormat="1" applyFont="1" applyFill="1" applyBorder="1" applyAlignment="1">
      <alignment horizontal="left" vertical="top" wrapText="1"/>
    </xf>
    <xf numFmtId="0" fontId="39" fillId="0" borderId="1" xfId="0" applyFont="1" applyFill="1" applyBorder="1" applyAlignment="1">
      <alignment horizontal="left" vertical="top" wrapText="1"/>
    </xf>
    <xf numFmtId="4" fontId="11" fillId="0" borderId="4" xfId="0" applyNumberFormat="1" applyFont="1" applyFill="1" applyBorder="1" applyAlignment="1">
      <alignment horizontal="left" vertical="top" wrapText="1"/>
    </xf>
    <xf numFmtId="4" fontId="11" fillId="0"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top" wrapText="1"/>
    </xf>
    <xf numFmtId="4" fontId="39" fillId="0" borderId="1" xfId="0" applyNumberFormat="1" applyFont="1" applyFill="1" applyBorder="1" applyAlignment="1">
      <alignment vertical="top" wrapText="1"/>
    </xf>
    <xf numFmtId="49" fontId="11" fillId="0" borderId="0" xfId="0" applyNumberFormat="1" applyFont="1" applyFill="1" applyBorder="1" applyAlignment="1">
      <alignment horizontal="left" vertical="center" wrapText="1"/>
    </xf>
    <xf numFmtId="49" fontId="11" fillId="0" borderId="1" xfId="0" applyNumberFormat="1" applyFont="1" applyFill="1" applyBorder="1" applyAlignment="1">
      <alignment horizontal="left" vertical="top" wrapText="1"/>
    </xf>
    <xf numFmtId="4" fontId="39" fillId="10" borderId="1" xfId="0" applyNumberFormat="1" applyFont="1" applyFill="1" applyBorder="1" applyAlignment="1">
      <alignment horizontal="center" vertical="top" wrapText="1"/>
    </xf>
    <xf numFmtId="4" fontId="39" fillId="0" borderId="13" xfId="0" applyNumberFormat="1" applyFont="1" applyFill="1" applyBorder="1" applyAlignment="1">
      <alignment horizontal="center" vertical="top" wrapText="1"/>
    </xf>
    <xf numFmtId="4" fontId="11" fillId="10" borderId="1" xfId="0" applyNumberFormat="1" applyFont="1" applyFill="1" applyBorder="1" applyAlignment="1">
      <alignment horizontal="left" vertical="top" wrapText="1"/>
    </xf>
    <xf numFmtId="49" fontId="11" fillId="0" borderId="8" xfId="0" applyNumberFormat="1" applyFont="1" applyFill="1" applyBorder="1" applyAlignment="1">
      <alignment horizontal="left" vertical="top" wrapText="1"/>
    </xf>
    <xf numFmtId="0" fontId="3" fillId="10" borderId="0" xfId="0" applyFont="1" applyFill="1" applyBorder="1" applyAlignment="1">
      <alignment horizontal="left" vertical="top" wrapText="1"/>
    </xf>
    <xf numFmtId="49" fontId="8" fillId="0" borderId="1" xfId="0" applyNumberFormat="1" applyFont="1" applyFill="1" applyBorder="1" applyAlignment="1">
      <alignment horizontal="left" vertical="top" wrapText="1"/>
    </xf>
    <xf numFmtId="0" fontId="40" fillId="0" borderId="1" xfId="0" applyFont="1" applyFill="1" applyBorder="1" applyAlignment="1">
      <alignment horizontal="left" vertical="top" wrapText="1"/>
    </xf>
    <xf numFmtId="0" fontId="0" fillId="10" borderId="0" xfId="0" applyFill="1" applyBorder="1"/>
    <xf numFmtId="0" fontId="3" fillId="0" borderId="0" xfId="0" applyFont="1" applyFill="1" applyBorder="1" applyAlignment="1">
      <alignment horizontal="left" vertical="top" wrapText="1"/>
    </xf>
    <xf numFmtId="0" fontId="3" fillId="0" borderId="12" xfId="0" applyFont="1" applyFill="1" applyBorder="1" applyAlignment="1">
      <alignment horizontal="left" vertical="top" wrapText="1"/>
    </xf>
    <xf numFmtId="0" fontId="8" fillId="0" borderId="1" xfId="0" applyFont="1" applyFill="1" applyBorder="1" applyAlignment="1">
      <alignment horizontal="left" vertical="top" wrapText="1"/>
    </xf>
    <xf numFmtId="0" fontId="8" fillId="0" borderId="2" xfId="0" applyFont="1" applyFill="1" applyBorder="1" applyAlignment="1">
      <alignment horizontal="left" vertical="top" wrapText="1"/>
    </xf>
    <xf numFmtId="0" fontId="8" fillId="0" borderId="4" xfId="0" applyFont="1" applyFill="1" applyBorder="1" applyAlignment="1">
      <alignment horizontal="left" vertical="top" wrapText="1"/>
    </xf>
    <xf numFmtId="0" fontId="8" fillId="0" borderId="1" xfId="0" applyFont="1" applyFill="1" applyBorder="1" applyAlignment="1">
      <alignment horizontal="left" vertical="top"/>
    </xf>
    <xf numFmtId="49" fontId="11" fillId="0" borderId="0" xfId="0" applyNumberFormat="1" applyFont="1" applyFill="1" applyBorder="1" applyAlignment="1">
      <alignment horizontal="left" vertical="top" wrapText="1"/>
    </xf>
    <xf numFmtId="0" fontId="11" fillId="0" borderId="0" xfId="0" applyFont="1" applyFill="1" applyBorder="1" applyAlignment="1">
      <alignment horizontal="left" vertical="top" wrapText="1"/>
    </xf>
    <xf numFmtId="0" fontId="11" fillId="0" borderId="0" xfId="0" applyFont="1" applyFill="1" applyBorder="1" applyAlignment="1">
      <alignment horizontal="center" vertical="top" wrapText="1"/>
    </xf>
    <xf numFmtId="4" fontId="8" fillId="0" borderId="1" xfId="0" applyNumberFormat="1" applyFont="1" applyFill="1" applyBorder="1" applyAlignment="1">
      <alignment horizontal="center" vertical="top" wrapText="1"/>
    </xf>
    <xf numFmtId="4" fontId="11" fillId="2" borderId="1" xfId="0" applyNumberFormat="1" applyFont="1" applyFill="1" applyBorder="1" applyAlignment="1">
      <alignment horizontal="left" vertical="top" wrapText="1"/>
    </xf>
    <xf numFmtId="3" fontId="11" fillId="0"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center" wrapText="1"/>
    </xf>
    <xf numFmtId="0" fontId="11" fillId="0" borderId="1" xfId="0" applyFont="1" applyFill="1" applyBorder="1" applyAlignment="1">
      <alignment horizontal="left" vertical="top" wrapText="1"/>
    </xf>
    <xf numFmtId="0" fontId="3" fillId="0" borderId="1" xfId="0" applyFont="1" applyFill="1" applyBorder="1" applyAlignment="1">
      <alignment horizontal="left" vertical="top" wrapText="1"/>
    </xf>
    <xf numFmtId="0" fontId="11" fillId="0" borderId="1" xfId="0" applyFont="1" applyFill="1" applyBorder="1" applyAlignment="1">
      <alignment horizontal="center" vertical="top" wrapText="1"/>
    </xf>
    <xf numFmtId="4" fontId="21" fillId="0" borderId="2" xfId="0" applyNumberFormat="1" applyFont="1" applyFill="1" applyBorder="1" applyAlignment="1">
      <alignment horizontal="center" vertical="top" wrapText="1"/>
    </xf>
    <xf numFmtId="4" fontId="11" fillId="0" borderId="1" xfId="0" applyNumberFormat="1" applyFont="1" applyFill="1" applyBorder="1" applyAlignment="1">
      <alignment horizontal="left" vertical="top" wrapText="1"/>
    </xf>
    <xf numFmtId="49" fontId="11" fillId="0" borderId="1" xfId="0" applyNumberFormat="1" applyFont="1" applyFill="1" applyBorder="1" applyAlignment="1">
      <alignment horizontal="left" vertical="top" wrapText="1"/>
    </xf>
    <xf numFmtId="2" fontId="8" fillId="0" borderId="1" xfId="0" applyNumberFormat="1" applyFont="1" applyFill="1" applyBorder="1" applyAlignment="1">
      <alignment horizontal="center" vertical="top" wrapText="1"/>
    </xf>
    <xf numFmtId="0" fontId="3" fillId="0" borderId="0" xfId="0" applyFont="1" applyFill="1" applyBorder="1" applyAlignment="1">
      <alignment horizontal="center" vertical="top" wrapText="1"/>
    </xf>
    <xf numFmtId="3" fontId="11" fillId="0" borderId="3" xfId="0" applyNumberFormat="1" applyFont="1" applyFill="1" applyBorder="1" applyAlignment="1">
      <alignment horizontal="center" vertical="top" wrapText="1"/>
    </xf>
    <xf numFmtId="4" fontId="11" fillId="0" borderId="13" xfId="0" applyNumberFormat="1" applyFont="1" applyFill="1" applyBorder="1" applyAlignment="1">
      <alignment horizontal="left" vertical="top" wrapText="1"/>
    </xf>
    <xf numFmtId="49" fontId="11" fillId="0" borderId="1" xfId="0" applyNumberFormat="1" applyFont="1" applyFill="1" applyBorder="1" applyAlignment="1">
      <alignment vertical="top" wrapText="1"/>
    </xf>
    <xf numFmtId="49" fontId="11" fillId="0" borderId="1" xfId="0" applyNumberFormat="1" applyFont="1" applyFill="1" applyBorder="1" applyAlignment="1">
      <alignment horizontal="center" vertical="center"/>
    </xf>
    <xf numFmtId="4" fontId="11" fillId="0" borderId="5" xfId="0" applyNumberFormat="1" applyFont="1" applyFill="1" applyBorder="1" applyAlignment="1">
      <alignment horizontal="left" vertical="top" wrapText="1"/>
    </xf>
    <xf numFmtId="4" fontId="11" fillId="0" borderId="7" xfId="0" applyNumberFormat="1" applyFont="1" applyFill="1" applyBorder="1" applyAlignment="1">
      <alignment horizontal="left" vertical="top" wrapText="1"/>
    </xf>
    <xf numFmtId="4" fontId="11" fillId="0" borderId="9" xfId="0" applyNumberFormat="1" applyFont="1" applyFill="1" applyBorder="1" applyAlignment="1">
      <alignment horizontal="left" vertical="top" wrapText="1"/>
    </xf>
    <xf numFmtId="0" fontId="11" fillId="0" borderId="0" xfId="0" applyFont="1" applyFill="1" applyAlignment="1">
      <alignment horizontal="left" wrapText="1"/>
    </xf>
    <xf numFmtId="0" fontId="11" fillId="0" borderId="6" xfId="0" applyFont="1" applyFill="1" applyBorder="1" applyAlignment="1">
      <alignment vertical="top" wrapText="1"/>
    </xf>
    <xf numFmtId="0" fontId="11" fillId="0" borderId="8" xfId="0" applyFont="1" applyFill="1" applyBorder="1" applyAlignment="1">
      <alignment vertical="top" wrapText="1"/>
    </xf>
    <xf numFmtId="0" fontId="11" fillId="0" borderId="10" xfId="0" applyFont="1" applyFill="1" applyBorder="1" applyAlignment="1">
      <alignment vertical="top" wrapText="1"/>
    </xf>
    <xf numFmtId="4" fontId="3" fillId="0" borderId="1" xfId="0" applyNumberFormat="1" applyFont="1" applyFill="1" applyBorder="1" applyAlignment="1">
      <alignment horizontal="left" vertical="top" wrapText="1"/>
    </xf>
    <xf numFmtId="49" fontId="11" fillId="0" borderId="8" xfId="0" applyNumberFormat="1" applyFont="1" applyFill="1" applyBorder="1" applyAlignment="1">
      <alignment horizontal="left" vertical="top" wrapText="1"/>
    </xf>
    <xf numFmtId="4" fontId="12" fillId="0" borderId="3" xfId="0" applyNumberFormat="1" applyFont="1" applyFill="1" applyBorder="1" applyAlignment="1">
      <alignment horizontal="center"/>
    </xf>
    <xf numFmtId="4" fontId="8" fillId="0" borderId="1" xfId="0" applyNumberFormat="1" applyFont="1" applyFill="1" applyBorder="1" applyAlignment="1">
      <alignment horizontal="left" vertical="top"/>
    </xf>
    <xf numFmtId="2" fontId="0" fillId="0" borderId="0" xfId="0" applyNumberFormat="1" applyFill="1"/>
    <xf numFmtId="4" fontId="8" fillId="0" borderId="10" xfId="0" applyNumberFormat="1" applyFont="1" applyFill="1" applyBorder="1" applyAlignment="1">
      <alignment horizontal="center" vertical="top" wrapText="1"/>
    </xf>
    <xf numFmtId="1" fontId="8" fillId="0" borderId="1" xfId="0" applyNumberFormat="1" applyFont="1" applyFill="1" applyBorder="1" applyAlignment="1">
      <alignment horizontal="left"/>
    </xf>
    <xf numFmtId="0" fontId="8" fillId="0" borderId="1" xfId="0" applyFont="1" applyFill="1" applyBorder="1" applyAlignment="1">
      <alignment horizontal="left" vertical="center" wrapText="1"/>
    </xf>
    <xf numFmtId="49" fontId="8" fillId="0" borderId="1" xfId="0" applyNumberFormat="1" applyFont="1" applyFill="1" applyBorder="1" applyAlignment="1">
      <alignment horizontal="left" vertical="center" wrapText="1"/>
    </xf>
    <xf numFmtId="0" fontId="8" fillId="0" borderId="0" xfId="0" applyFont="1" applyFill="1" applyBorder="1" applyAlignment="1">
      <alignment horizontal="center" vertical="top" wrapText="1"/>
    </xf>
    <xf numFmtId="0" fontId="0" fillId="0" borderId="0" xfId="0" applyFill="1" applyAlignment="1">
      <alignment wrapText="1"/>
    </xf>
    <xf numFmtId="2" fontId="28" fillId="0" borderId="1" xfId="0" applyNumberFormat="1" applyFont="1" applyFill="1" applyBorder="1" applyAlignment="1">
      <alignment horizontal="center"/>
    </xf>
    <xf numFmtId="0" fontId="0" fillId="0" borderId="0" xfId="0" applyFill="1" applyAlignment="1">
      <alignment vertical="top"/>
    </xf>
    <xf numFmtId="0" fontId="66" fillId="0" borderId="1" xfId="0" applyFont="1" applyFill="1" applyBorder="1" applyAlignment="1">
      <alignment vertical="top" wrapText="1"/>
    </xf>
    <xf numFmtId="0" fontId="66" fillId="0" borderId="1" xfId="0" applyFont="1" applyFill="1" applyBorder="1" applyAlignment="1">
      <alignment horizontal="left" vertical="top" wrapText="1"/>
    </xf>
    <xf numFmtId="0" fontId="0" fillId="0" borderId="0" xfId="0" applyFont="1" applyFill="1" applyBorder="1"/>
    <xf numFmtId="0" fontId="28" fillId="0" borderId="0" xfId="0" applyFont="1" applyFill="1" applyBorder="1" applyAlignment="1">
      <alignment horizontal="center" wrapText="1"/>
    </xf>
    <xf numFmtId="0" fontId="28" fillId="0" borderId="8" xfId="0" applyFont="1" applyFill="1" applyBorder="1" applyAlignment="1">
      <alignment horizontal="center" wrapText="1"/>
    </xf>
    <xf numFmtId="0" fontId="64" fillId="0" borderId="1" xfId="0" applyFont="1" applyFill="1" applyBorder="1" applyAlignment="1">
      <alignment vertical="center" wrapText="1"/>
    </xf>
    <xf numFmtId="0" fontId="0" fillId="0" borderId="1" xfId="0" applyFont="1" applyFill="1" applyBorder="1"/>
    <xf numFmtId="0" fontId="67" fillId="0" borderId="1" xfId="0" applyFont="1" applyFill="1" applyBorder="1"/>
    <xf numFmtId="0" fontId="68" fillId="0" borderId="1" xfId="0" applyFont="1" applyFill="1" applyBorder="1"/>
    <xf numFmtId="49" fontId="8" fillId="0" borderId="0" xfId="0" applyNumberFormat="1" applyFont="1" applyFill="1" applyBorder="1" applyAlignment="1">
      <alignment horizontal="center" vertical="center"/>
    </xf>
    <xf numFmtId="0" fontId="4" fillId="12" borderId="1" xfId="0" applyFont="1" applyFill="1" applyBorder="1" applyAlignment="1">
      <alignment horizontal="left" vertical="top" wrapText="1"/>
    </xf>
    <xf numFmtId="0" fontId="71" fillId="0" borderId="0" xfId="0" applyFont="1" applyFill="1"/>
    <xf numFmtId="0" fontId="71" fillId="0" borderId="0" xfId="0" applyFont="1" applyFill="1" applyAlignment="1">
      <alignment horizontal="center"/>
    </xf>
    <xf numFmtId="4" fontId="72" fillId="0" borderId="0" xfId="0" applyNumberFormat="1" applyFont="1" applyFill="1" applyAlignment="1">
      <alignment horizontal="center" vertical="center"/>
    </xf>
    <xf numFmtId="0" fontId="73" fillId="0" borderId="0" xfId="0" applyFont="1" applyFill="1" applyAlignment="1">
      <alignment horizontal="center"/>
    </xf>
    <xf numFmtId="4" fontId="71" fillId="0" borderId="0" xfId="0" applyNumberFormat="1" applyFont="1" applyFill="1" applyAlignment="1">
      <alignment horizontal="center"/>
    </xf>
    <xf numFmtId="4" fontId="71" fillId="0" borderId="0" xfId="0" applyNumberFormat="1" applyFont="1" applyFill="1" applyBorder="1" applyAlignment="1">
      <alignment horizontal="center"/>
    </xf>
    <xf numFmtId="0" fontId="71" fillId="0" borderId="0" xfId="0" applyFont="1" applyFill="1" applyBorder="1"/>
    <xf numFmtId="0" fontId="73" fillId="0" borderId="0" xfId="0" applyFont="1" applyFill="1" applyBorder="1"/>
    <xf numFmtId="4" fontId="71" fillId="0" borderId="0" xfId="0" applyNumberFormat="1" applyFont="1" applyFill="1" applyBorder="1"/>
    <xf numFmtId="0" fontId="28" fillId="0" borderId="0" xfId="0" applyFont="1" applyFill="1" applyBorder="1"/>
    <xf numFmtId="0" fontId="8" fillId="0" borderId="0" xfId="0" applyFont="1" applyFill="1" applyBorder="1" applyAlignment="1">
      <alignment horizontal="left" vertical="top"/>
    </xf>
    <xf numFmtId="2" fontId="8" fillId="0" borderId="0" xfId="0" applyNumberFormat="1" applyFont="1" applyFill="1" applyBorder="1" applyAlignment="1">
      <alignment horizontal="center" vertical="top" wrapText="1"/>
    </xf>
    <xf numFmtId="2" fontId="8" fillId="0" borderId="0" xfId="0" applyNumberFormat="1" applyFont="1" applyFill="1" applyBorder="1" applyAlignment="1">
      <alignment horizontal="left" vertical="top"/>
    </xf>
    <xf numFmtId="1" fontId="8" fillId="0" borderId="0" xfId="0" applyNumberFormat="1" applyFont="1" applyFill="1" applyBorder="1" applyAlignment="1">
      <alignment horizontal="left" vertical="top"/>
    </xf>
    <xf numFmtId="2" fontId="8" fillId="0" borderId="0" xfId="0" applyNumberFormat="1" applyFont="1" applyFill="1" applyBorder="1" applyAlignment="1">
      <alignment horizontal="center" vertical="top"/>
    </xf>
    <xf numFmtId="4" fontId="8" fillId="0" borderId="0" xfId="0" applyNumberFormat="1" applyFont="1" applyFill="1" applyBorder="1" applyAlignment="1">
      <alignment horizontal="center" vertical="top"/>
    </xf>
    <xf numFmtId="0" fontId="28" fillId="0" borderId="0" xfId="0" applyFont="1" applyFill="1" applyBorder="1" applyAlignment="1">
      <alignment horizontal="left" vertical="top"/>
    </xf>
    <xf numFmtId="0" fontId="8" fillId="0" borderId="0" xfId="0" applyFont="1" applyFill="1" applyBorder="1" applyAlignment="1">
      <alignment horizontal="left" vertical="center" wrapText="1"/>
    </xf>
    <xf numFmtId="2" fontId="8" fillId="0" borderId="0" xfId="0" applyNumberFormat="1" applyFont="1" applyFill="1" applyBorder="1" applyAlignment="1">
      <alignment horizontal="left" vertical="center" wrapText="1"/>
    </xf>
    <xf numFmtId="2" fontId="8" fillId="0" borderId="0" xfId="0" applyNumberFormat="1" applyFont="1" applyFill="1" applyBorder="1" applyAlignment="1">
      <alignment horizontal="center" vertical="center" wrapText="1"/>
    </xf>
    <xf numFmtId="4" fontId="8" fillId="0" borderId="0" xfId="0" applyNumberFormat="1" applyFont="1" applyFill="1" applyBorder="1" applyAlignment="1">
      <alignment horizontal="center" vertical="center" wrapText="1"/>
    </xf>
    <xf numFmtId="2" fontId="8" fillId="0" borderId="0" xfId="0" applyNumberFormat="1" applyFont="1" applyFill="1" applyBorder="1" applyAlignment="1">
      <alignment horizontal="left" vertical="center"/>
    </xf>
    <xf numFmtId="2" fontId="8" fillId="0" borderId="0" xfId="0" applyNumberFormat="1" applyFont="1" applyFill="1" applyBorder="1" applyAlignment="1">
      <alignment horizontal="center" vertical="center"/>
    </xf>
    <xf numFmtId="4" fontId="8" fillId="0" borderId="0" xfId="0" applyNumberFormat="1" applyFont="1" applyFill="1" applyBorder="1" applyAlignment="1">
      <alignment horizontal="center" vertical="center"/>
    </xf>
    <xf numFmtId="49" fontId="8" fillId="0" borderId="0" xfId="0" applyNumberFormat="1" applyFont="1" applyFill="1" applyBorder="1" applyAlignment="1">
      <alignment horizontal="left" vertical="center"/>
    </xf>
    <xf numFmtId="49"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center"/>
    </xf>
    <xf numFmtId="2" fontId="71" fillId="0" borderId="0" xfId="0" applyNumberFormat="1" applyFont="1" applyFill="1" applyBorder="1"/>
    <xf numFmtId="2" fontId="28" fillId="0" borderId="0" xfId="0" applyNumberFormat="1" applyFont="1" applyFill="1" applyBorder="1" applyAlignment="1">
      <alignment horizontal="left"/>
    </xf>
    <xf numFmtId="2" fontId="28" fillId="0" borderId="0" xfId="0" applyNumberFormat="1" applyFont="1" applyFill="1" applyBorder="1" applyAlignment="1">
      <alignment horizontal="center"/>
    </xf>
    <xf numFmtId="0" fontId="28" fillId="0" borderId="0" xfId="0" applyFont="1" applyFill="1" applyBorder="1" applyAlignment="1">
      <alignment horizontal="left"/>
    </xf>
    <xf numFmtId="0" fontId="28" fillId="0" borderId="0" xfId="0" applyFont="1" applyFill="1" applyBorder="1" applyAlignment="1">
      <alignment horizontal="center"/>
    </xf>
    <xf numFmtId="0" fontId="71" fillId="0" borderId="0" xfId="0" applyFont="1"/>
    <xf numFmtId="0" fontId="28" fillId="0" borderId="0" xfId="0" applyFont="1" applyFill="1" applyAlignment="1">
      <alignment horizontal="left"/>
    </xf>
    <xf numFmtId="0" fontId="28" fillId="0" borderId="0" xfId="0" applyFont="1" applyFill="1" applyAlignment="1">
      <alignment horizontal="center"/>
    </xf>
    <xf numFmtId="49" fontId="63" fillId="0" borderId="1" xfId="0" applyNumberFormat="1" applyFont="1" applyFill="1" applyBorder="1" applyAlignment="1">
      <alignment horizontal="center" vertical="center" wrapText="1"/>
    </xf>
    <xf numFmtId="49" fontId="63" fillId="0" borderId="1" xfId="0" applyNumberFormat="1" applyFont="1" applyFill="1" applyBorder="1" applyAlignment="1">
      <alignment horizontal="center" vertical="center"/>
    </xf>
    <xf numFmtId="0" fontId="69" fillId="0" borderId="1" xfId="0" applyFont="1" applyFill="1" applyBorder="1"/>
    <xf numFmtId="0" fontId="69" fillId="0" borderId="0" xfId="0" applyFont="1" applyFill="1"/>
    <xf numFmtId="0" fontId="69" fillId="0" borderId="0" xfId="0" applyFont="1"/>
    <xf numFmtId="0" fontId="28" fillId="13" borderId="0" xfId="0" applyFont="1" applyFill="1" applyBorder="1"/>
    <xf numFmtId="0" fontId="74" fillId="13" borderId="0" xfId="0" applyFont="1" applyFill="1" applyBorder="1"/>
    <xf numFmtId="0" fontId="75" fillId="13" borderId="1" xfId="0" applyFont="1" applyFill="1" applyBorder="1" applyAlignment="1">
      <alignment vertical="top" wrapText="1"/>
    </xf>
    <xf numFmtId="0" fontId="75" fillId="13" borderId="1" xfId="0" applyFont="1" applyFill="1" applyBorder="1" applyAlignment="1">
      <alignment horizontal="left" vertical="top" wrapText="1"/>
    </xf>
    <xf numFmtId="4" fontId="75" fillId="13" borderId="1" xfId="0" applyNumberFormat="1" applyFont="1" applyFill="1" applyBorder="1" applyAlignment="1">
      <alignment horizontal="center" vertical="top" wrapText="1"/>
    </xf>
    <xf numFmtId="0" fontId="76" fillId="0" borderId="0" xfId="0" applyFont="1" applyFill="1" applyBorder="1"/>
    <xf numFmtId="0" fontId="72" fillId="0" borderId="0" xfId="0" applyFont="1" applyFill="1" applyBorder="1"/>
    <xf numFmtId="0" fontId="11" fillId="0" borderId="13" xfId="0" applyFont="1" applyFill="1" applyBorder="1" applyAlignment="1">
      <alignment horizontal="left" vertical="top" wrapText="1"/>
    </xf>
    <xf numFmtId="4" fontId="77" fillId="0" borderId="1" xfId="0" applyNumberFormat="1" applyFont="1" applyFill="1" applyBorder="1" applyAlignment="1">
      <alignment horizontal="center" vertical="top"/>
    </xf>
    <xf numFmtId="0" fontId="27" fillId="0" borderId="1" xfId="0" applyFont="1" applyFill="1" applyBorder="1" applyAlignment="1">
      <alignment horizontal="center" vertical="top"/>
    </xf>
    <xf numFmtId="4" fontId="63" fillId="0" borderId="1" xfId="0" applyNumberFormat="1" applyFont="1" applyFill="1" applyBorder="1" applyAlignment="1">
      <alignment horizontal="center" vertical="top" wrapText="1"/>
    </xf>
    <xf numFmtId="4" fontId="0" fillId="10" borderId="0" xfId="0" applyNumberFormat="1" applyFill="1"/>
    <xf numFmtId="4" fontId="3" fillId="10" borderId="0" xfId="0" applyNumberFormat="1" applyFont="1" applyFill="1" applyBorder="1" applyAlignment="1">
      <alignment horizontal="center" vertical="top" wrapText="1"/>
    </xf>
    <xf numFmtId="4" fontId="9" fillId="10" borderId="0" xfId="0" applyNumberFormat="1" applyFont="1" applyFill="1"/>
    <xf numFmtId="0" fontId="9" fillId="10" borderId="0" xfId="0" applyFont="1" applyFill="1"/>
    <xf numFmtId="4" fontId="11" fillId="10" borderId="0" xfId="0" applyNumberFormat="1" applyFont="1" applyFill="1" applyBorder="1" applyAlignment="1">
      <alignment horizontal="center" vertical="top" wrapText="1"/>
    </xf>
    <xf numFmtId="1" fontId="11" fillId="10" borderId="0" xfId="0" applyNumberFormat="1" applyFont="1" applyFill="1" applyBorder="1" applyAlignment="1">
      <alignment horizontal="center"/>
    </xf>
    <xf numFmtId="1" fontId="11" fillId="10" borderId="0" xfId="0" applyNumberFormat="1" applyFont="1" applyFill="1" applyBorder="1" applyAlignment="1">
      <alignment horizontal="center" wrapText="1"/>
    </xf>
    <xf numFmtId="4" fontId="5" fillId="10" borderId="0" xfId="0" applyNumberFormat="1" applyFont="1" applyFill="1"/>
    <xf numFmtId="4" fontId="39" fillId="10" borderId="13" xfId="0" applyNumberFormat="1" applyFont="1" applyFill="1" applyBorder="1" applyAlignment="1">
      <alignment horizontal="left" vertical="top" wrapText="1"/>
    </xf>
    <xf numFmtId="4" fontId="11" fillId="10" borderId="0" xfId="0" applyNumberFormat="1" applyFont="1" applyFill="1" applyBorder="1" applyAlignment="1">
      <alignment horizontal="left" vertical="top" wrapText="1"/>
    </xf>
    <xf numFmtId="0" fontId="5" fillId="10" borderId="0" xfId="0" applyFont="1" applyFill="1"/>
    <xf numFmtId="4" fontId="21" fillId="10" borderId="0" xfId="0" applyNumberFormat="1" applyFont="1" applyFill="1" applyBorder="1" applyAlignment="1">
      <alignment horizontal="center" vertical="top" wrapText="1"/>
    </xf>
    <xf numFmtId="4" fontId="41" fillId="10" borderId="13" xfId="0" applyNumberFormat="1" applyFont="1" applyFill="1" applyBorder="1" applyAlignment="1">
      <alignment horizontal="center" vertical="top" wrapText="1"/>
    </xf>
    <xf numFmtId="0" fontId="5" fillId="10" borderId="1" xfId="0" applyFont="1" applyFill="1" applyBorder="1"/>
    <xf numFmtId="0" fontId="5" fillId="10" borderId="0" xfId="0" applyFont="1" applyFill="1" applyBorder="1"/>
    <xf numFmtId="4" fontId="5" fillId="10" borderId="1" xfId="0" applyNumberFormat="1" applyFont="1" applyFill="1" applyBorder="1"/>
    <xf numFmtId="4" fontId="5" fillId="10" borderId="0" xfId="0" applyNumberFormat="1" applyFont="1" applyFill="1" applyBorder="1"/>
    <xf numFmtId="4" fontId="40" fillId="12" borderId="1" xfId="0" applyNumberFormat="1" applyFont="1" applyFill="1" applyBorder="1" applyAlignment="1">
      <alignment horizontal="left" vertical="top" wrapText="1"/>
    </xf>
    <xf numFmtId="0" fontId="15" fillId="6" borderId="1" xfId="0" applyFont="1" applyFill="1" applyBorder="1"/>
    <xf numFmtId="0" fontId="4" fillId="0" borderId="0" xfId="0" applyFont="1" applyFill="1" applyAlignment="1">
      <alignment horizontal="left" wrapText="1"/>
    </xf>
    <xf numFmtId="0" fontId="8" fillId="12" borderId="1" xfId="0" applyFont="1" applyFill="1" applyBorder="1" applyAlignment="1">
      <alignment horizontal="center" vertical="center" wrapText="1"/>
    </xf>
    <xf numFmtId="2" fontId="40" fillId="0" borderId="1" xfId="0" applyNumberFormat="1" applyFont="1" applyFill="1" applyBorder="1" applyAlignment="1">
      <alignment horizontal="left" vertical="top" wrapText="1"/>
    </xf>
    <xf numFmtId="4" fontId="40" fillId="0" borderId="1" xfId="0" applyNumberFormat="1" applyFont="1" applyFill="1" applyBorder="1" applyAlignment="1">
      <alignment horizontal="left" vertical="top"/>
    </xf>
    <xf numFmtId="0" fontId="11" fillId="0" borderId="0" xfId="0" applyFont="1" applyFill="1" applyBorder="1" applyAlignment="1">
      <alignment horizontal="left" wrapText="1"/>
    </xf>
    <xf numFmtId="0" fontId="0" fillId="0" borderId="1" xfId="0" applyFill="1" applyBorder="1" applyAlignment="1">
      <alignment horizontal="center" vertical="center"/>
    </xf>
    <xf numFmtId="4" fontId="27" fillId="0" borderId="0" xfId="0" applyNumberFormat="1" applyFont="1" applyFill="1" applyBorder="1" applyAlignment="1">
      <alignment horizontal="left" vertical="top" wrapText="1"/>
    </xf>
    <xf numFmtId="0" fontId="82" fillId="0" borderId="1" xfId="0" applyFont="1" applyFill="1" applyBorder="1"/>
    <xf numFmtId="0" fontId="82" fillId="0" borderId="0" xfId="0" applyFont="1" applyFill="1" applyBorder="1"/>
    <xf numFmtId="4" fontId="82" fillId="0" borderId="0" xfId="0" applyNumberFormat="1" applyFont="1" applyFill="1"/>
    <xf numFmtId="0" fontId="82" fillId="0" borderId="0" xfId="0" applyFont="1" applyFill="1"/>
    <xf numFmtId="1" fontId="63" fillId="0" borderId="1" xfId="0" applyNumberFormat="1" applyFont="1" applyFill="1" applyBorder="1" applyAlignment="1">
      <alignment horizontal="center" vertical="center"/>
    </xf>
    <xf numFmtId="1" fontId="63" fillId="0" borderId="1" xfId="0" applyNumberFormat="1" applyFont="1" applyFill="1" applyBorder="1" applyAlignment="1">
      <alignment horizontal="center"/>
    </xf>
    <xf numFmtId="3" fontId="63" fillId="0" borderId="13" xfId="0" applyNumberFormat="1" applyFont="1" applyFill="1" applyBorder="1" applyAlignment="1">
      <alignment horizontal="center"/>
    </xf>
    <xf numFmtId="4" fontId="83" fillId="0" borderId="0" xfId="0" applyNumberFormat="1" applyFont="1" applyFill="1"/>
    <xf numFmtId="0" fontId="83" fillId="0" borderId="0" xfId="0" applyFont="1" applyFill="1"/>
    <xf numFmtId="4" fontId="39" fillId="0" borderId="1" xfId="0" applyNumberFormat="1" applyFont="1" applyFill="1" applyBorder="1" applyAlignment="1">
      <alignment horizontal="center" vertical="center"/>
    </xf>
    <xf numFmtId="4" fontId="39" fillId="0" borderId="1" xfId="0" applyNumberFormat="1" applyFont="1" applyFill="1" applyBorder="1" applyAlignment="1">
      <alignment horizontal="center" vertical="center" wrapText="1"/>
    </xf>
    <xf numFmtId="4" fontId="0" fillId="0" borderId="0" xfId="0" applyNumberFormat="1" applyFont="1" applyFill="1"/>
    <xf numFmtId="4" fontId="4" fillId="0" borderId="1" xfId="0" applyNumberFormat="1" applyFont="1" applyFill="1" applyBorder="1" applyAlignment="1">
      <alignment vertical="top" wrapText="1"/>
    </xf>
    <xf numFmtId="4" fontId="4" fillId="0" borderId="0" xfId="0" applyNumberFormat="1" applyFont="1" applyFill="1" applyBorder="1" applyAlignment="1">
      <alignment horizontal="center" vertical="top" wrapText="1"/>
    </xf>
    <xf numFmtId="4" fontId="84" fillId="0" borderId="1" xfId="0" applyNumberFormat="1" applyFont="1" applyFill="1" applyBorder="1" applyAlignment="1">
      <alignment horizontal="center" vertical="top" wrapText="1"/>
    </xf>
    <xf numFmtId="1" fontId="84" fillId="0" borderId="1" xfId="0" applyNumberFormat="1" applyFont="1" applyFill="1" applyBorder="1" applyAlignment="1">
      <alignment horizontal="center" vertical="center"/>
    </xf>
    <xf numFmtId="1" fontId="84" fillId="0" borderId="1" xfId="0" applyNumberFormat="1" applyFont="1" applyFill="1" applyBorder="1" applyAlignment="1">
      <alignment horizontal="center"/>
    </xf>
    <xf numFmtId="3" fontId="84" fillId="0" borderId="13" xfId="0" applyNumberFormat="1" applyFont="1" applyFill="1" applyBorder="1" applyAlignment="1">
      <alignment horizontal="center"/>
    </xf>
    <xf numFmtId="4" fontId="84" fillId="0" borderId="1" xfId="0" applyNumberFormat="1" applyFont="1" applyFill="1" applyBorder="1" applyAlignment="1">
      <alignment vertical="top" wrapText="1"/>
    </xf>
    <xf numFmtId="4" fontId="84" fillId="0" borderId="0" xfId="0" applyNumberFormat="1" applyFont="1" applyFill="1" applyBorder="1" applyAlignment="1">
      <alignment horizontal="center" vertical="top" wrapText="1"/>
    </xf>
    <xf numFmtId="4" fontId="85" fillId="0" borderId="0" xfId="0" applyNumberFormat="1" applyFont="1" applyFill="1"/>
    <xf numFmtId="0" fontId="85" fillId="0" borderId="0" xfId="0" applyFont="1" applyFill="1"/>
    <xf numFmtId="4" fontId="66" fillId="0" borderId="1" xfId="0" applyNumberFormat="1" applyFont="1" applyFill="1" applyBorder="1" applyAlignment="1">
      <alignment vertical="top"/>
    </xf>
    <xf numFmtId="4" fontId="66" fillId="0" borderId="0" xfId="0" applyNumberFormat="1" applyFont="1" applyFill="1" applyBorder="1" applyAlignment="1">
      <alignment horizontal="center" vertical="top" wrapText="1"/>
    </xf>
    <xf numFmtId="4" fontId="71" fillId="0" borderId="0" xfId="0" applyNumberFormat="1" applyFont="1" applyFill="1"/>
    <xf numFmtId="4" fontId="66" fillId="0" borderId="1" xfId="0" applyNumberFormat="1" applyFont="1" applyFill="1" applyBorder="1" applyAlignment="1">
      <alignment vertical="top" wrapText="1"/>
    </xf>
    <xf numFmtId="4" fontId="66" fillId="0" borderId="15" xfId="0" applyNumberFormat="1" applyFont="1" applyFill="1" applyBorder="1" applyAlignment="1">
      <alignment horizontal="center" vertical="top" wrapText="1"/>
    </xf>
    <xf numFmtId="4" fontId="71" fillId="0" borderId="15" xfId="0" applyNumberFormat="1" applyFont="1" applyFill="1" applyBorder="1"/>
    <xf numFmtId="4" fontId="66" fillId="0" borderId="15" xfId="0" applyNumberFormat="1" applyFont="1" applyFill="1" applyBorder="1" applyAlignment="1">
      <alignment horizontal="left" vertical="top" wrapText="1"/>
    </xf>
    <xf numFmtId="4" fontId="66" fillId="0" borderId="0" xfId="0" applyNumberFormat="1" applyFont="1" applyFill="1" applyBorder="1" applyAlignment="1">
      <alignment horizontal="left" vertical="top" wrapText="1"/>
    </xf>
    <xf numFmtId="4" fontId="66" fillId="0" borderId="1" xfId="0" applyNumberFormat="1" applyFont="1" applyFill="1" applyBorder="1" applyAlignment="1">
      <alignment horizontal="left" vertical="top" wrapText="1"/>
    </xf>
    <xf numFmtId="4" fontId="66" fillId="0" borderId="1" xfId="0" applyNumberFormat="1" applyFont="1" applyFill="1" applyBorder="1" applyAlignment="1">
      <alignment horizontal="left" vertical="top"/>
    </xf>
    <xf numFmtId="49" fontId="66" fillId="0" borderId="1" xfId="0" applyNumberFormat="1" applyFont="1" applyFill="1" applyBorder="1" applyAlignment="1">
      <alignment vertical="top" wrapText="1"/>
    </xf>
    <xf numFmtId="0" fontId="66" fillId="0" borderId="1" xfId="0" applyNumberFormat="1" applyFont="1" applyFill="1" applyBorder="1" applyAlignment="1">
      <alignment vertical="top" wrapText="1"/>
    </xf>
    <xf numFmtId="0" fontId="71" fillId="0" borderId="1" xfId="0" applyFont="1" applyFill="1" applyBorder="1"/>
    <xf numFmtId="4" fontId="11" fillId="0" borderId="14" xfId="0" applyNumberFormat="1" applyFont="1" applyFill="1" applyBorder="1" applyAlignment="1">
      <alignment horizontal="left" vertical="top" wrapText="1"/>
    </xf>
    <xf numFmtId="0" fontId="11" fillId="0" borderId="14" xfId="0" applyFont="1" applyFill="1" applyBorder="1" applyAlignment="1">
      <alignment horizontal="left" vertical="top" wrapText="1"/>
    </xf>
    <xf numFmtId="4" fontId="11" fillId="0" borderId="10" xfId="0" applyNumberFormat="1" applyFont="1" applyFill="1" applyBorder="1" applyAlignment="1">
      <alignment horizontal="left" vertical="top" wrapText="1"/>
    </xf>
    <xf numFmtId="0" fontId="0" fillId="2" borderId="1" xfId="0" applyFont="1" applyFill="1" applyBorder="1"/>
    <xf numFmtId="0" fontId="0" fillId="2" borderId="0" xfId="0" applyFont="1" applyFill="1" applyBorder="1"/>
    <xf numFmtId="0" fontId="82" fillId="0" borderId="0" xfId="0" applyFont="1"/>
    <xf numFmtId="0" fontId="4" fillId="0" borderId="1" xfId="0" applyFont="1" applyFill="1" applyBorder="1" applyAlignment="1">
      <alignment horizontal="left" wrapText="1"/>
    </xf>
    <xf numFmtId="4" fontId="4" fillId="8" borderId="0" xfId="0" applyNumberFormat="1" applyFont="1" applyFill="1" applyBorder="1" applyAlignment="1">
      <alignment horizontal="left" vertical="top" wrapText="1"/>
    </xf>
    <xf numFmtId="49" fontId="40" fillId="0" borderId="1" xfId="0" applyNumberFormat="1" applyFont="1" applyFill="1" applyBorder="1" applyAlignment="1">
      <alignment horizontal="left" vertical="top" wrapText="1"/>
    </xf>
    <xf numFmtId="0" fontId="40" fillId="0" borderId="1" xfId="0" applyNumberFormat="1" applyFont="1" applyFill="1" applyBorder="1" applyAlignment="1">
      <alignment horizontal="left" vertical="top" wrapText="1"/>
    </xf>
    <xf numFmtId="0" fontId="86" fillId="0" borderId="0" xfId="0" applyFont="1" applyFill="1" applyBorder="1" applyAlignment="1">
      <alignment vertical="center"/>
    </xf>
    <xf numFmtId="0" fontId="40" fillId="12" borderId="1" xfId="0" applyFont="1" applyFill="1" applyBorder="1" applyAlignment="1">
      <alignment horizontal="left" vertical="top" wrapText="1"/>
    </xf>
    <xf numFmtId="3" fontId="84" fillId="0" borderId="1" xfId="0" applyNumberFormat="1" applyFont="1" applyFill="1" applyBorder="1" applyAlignment="1">
      <alignment horizontal="center"/>
    </xf>
    <xf numFmtId="0" fontId="4" fillId="0" borderId="0" xfId="0" applyFont="1" applyFill="1" applyBorder="1" applyAlignment="1">
      <alignment horizontal="left" wrapText="1"/>
    </xf>
    <xf numFmtId="0" fontId="0" fillId="0" borderId="3" xfId="0" applyFont="1" applyFill="1" applyBorder="1"/>
    <xf numFmtId="2" fontId="66" fillId="0" borderId="1" xfId="0" applyNumberFormat="1" applyFont="1" applyFill="1" applyBorder="1" applyAlignment="1">
      <alignment horizontal="center" vertical="top" wrapText="1"/>
    </xf>
    <xf numFmtId="2" fontId="66" fillId="0" borderId="3" xfId="0" applyNumberFormat="1" applyFont="1" applyFill="1" applyBorder="1" applyAlignment="1">
      <alignment horizontal="left" vertical="top" wrapText="1"/>
    </xf>
    <xf numFmtId="2" fontId="66" fillId="0" borderId="0" xfId="0" applyNumberFormat="1" applyFont="1" applyFill="1" applyBorder="1" applyAlignment="1">
      <alignment horizontal="left" vertical="top" wrapText="1"/>
    </xf>
    <xf numFmtId="4" fontId="20" fillId="0" borderId="2" xfId="0" applyNumberFormat="1" applyFont="1" applyFill="1" applyBorder="1" applyAlignment="1">
      <alignment horizontal="left"/>
    </xf>
    <xf numFmtId="4" fontId="66" fillId="0" borderId="2" xfId="0" applyNumberFormat="1" applyFont="1" applyFill="1" applyBorder="1" applyAlignment="1">
      <alignment horizontal="left" vertical="top"/>
    </xf>
    <xf numFmtId="4" fontId="20" fillId="0" borderId="0" xfId="0" applyNumberFormat="1" applyFont="1" applyFill="1" applyAlignment="1">
      <alignment horizontal="left"/>
    </xf>
    <xf numFmtId="4" fontId="20" fillId="0" borderId="3" xfId="0" applyNumberFormat="1" applyFont="1" applyFill="1" applyBorder="1" applyAlignment="1">
      <alignment horizontal="left"/>
    </xf>
    <xf numFmtId="4" fontId="20" fillId="0" borderId="1" xfId="0" applyNumberFormat="1" applyFont="1" applyFill="1" applyBorder="1" applyAlignment="1">
      <alignment horizontal="left"/>
    </xf>
    <xf numFmtId="4" fontId="4" fillId="0" borderId="0" xfId="0" applyNumberFormat="1" applyFont="1" applyFill="1" applyBorder="1" applyAlignment="1">
      <alignment horizontal="center" vertical="top"/>
    </xf>
    <xf numFmtId="4" fontId="20" fillId="0" borderId="4" xfId="0" applyNumberFormat="1" applyFont="1" applyFill="1" applyBorder="1" applyAlignment="1">
      <alignment horizontal="left"/>
    </xf>
    <xf numFmtId="4" fontId="4" fillId="0" borderId="15" xfId="0" applyNumberFormat="1" applyFont="1" applyFill="1" applyBorder="1" applyAlignment="1">
      <alignment horizontal="center" vertical="top"/>
    </xf>
    <xf numFmtId="0" fontId="0" fillId="0" borderId="15" xfId="0" applyFont="1" applyFill="1" applyBorder="1"/>
    <xf numFmtId="0" fontId="66" fillId="0" borderId="0" xfId="0" applyNumberFormat="1" applyFont="1" applyFill="1" applyBorder="1" applyAlignment="1">
      <alignment horizontal="left" vertical="top" wrapText="1"/>
    </xf>
    <xf numFmtId="4" fontId="66" fillId="12" borderId="1" xfId="0" applyNumberFormat="1" applyFont="1" applyFill="1" applyBorder="1" applyAlignment="1">
      <alignment horizontal="left" vertical="top" wrapText="1"/>
    </xf>
    <xf numFmtId="0" fontId="88" fillId="0" borderId="1" xfId="0" applyFont="1" applyFill="1" applyBorder="1"/>
    <xf numFmtId="2" fontId="63" fillId="0" borderId="3" xfId="0" applyNumberFormat="1" applyFont="1" applyFill="1" applyBorder="1" applyAlignment="1">
      <alignment horizontal="left" vertical="top" wrapText="1"/>
    </xf>
    <xf numFmtId="2" fontId="63" fillId="0" borderId="0" xfId="0" applyNumberFormat="1" applyFont="1" applyFill="1" applyBorder="1" applyAlignment="1">
      <alignment horizontal="left" vertical="top" wrapText="1"/>
    </xf>
    <xf numFmtId="0" fontId="27" fillId="0" borderId="1" xfId="0" applyFont="1" applyFill="1" applyBorder="1" applyAlignment="1">
      <alignment horizontal="center" vertical="center" wrapText="1"/>
    </xf>
    <xf numFmtId="49" fontId="27" fillId="0" borderId="1" xfId="0" applyNumberFormat="1" applyFont="1" applyFill="1" applyBorder="1" applyAlignment="1">
      <alignment horizontal="center" vertical="center" wrapText="1"/>
    </xf>
    <xf numFmtId="49" fontId="27" fillId="0" borderId="1" xfId="0" applyNumberFormat="1" applyFont="1" applyFill="1" applyBorder="1" applyAlignment="1">
      <alignment horizontal="center" vertical="center"/>
    </xf>
    <xf numFmtId="0" fontId="27" fillId="0" borderId="1" xfId="0" applyFont="1" applyFill="1" applyBorder="1" applyAlignment="1">
      <alignment horizontal="center" vertical="center"/>
    </xf>
    <xf numFmtId="3" fontId="27" fillId="0" borderId="1" xfId="0" applyNumberFormat="1" applyFont="1" applyFill="1" applyBorder="1" applyAlignment="1">
      <alignment horizontal="center" vertical="center"/>
    </xf>
    <xf numFmtId="0" fontId="83" fillId="0" borderId="0" xfId="0" applyFont="1" applyFill="1" applyAlignment="1">
      <alignment horizontal="center"/>
    </xf>
    <xf numFmtId="0" fontId="82" fillId="0" borderId="0" xfId="0" applyFont="1" applyFill="1" applyAlignment="1">
      <alignment horizontal="center"/>
    </xf>
    <xf numFmtId="0" fontId="65" fillId="0" borderId="1" xfId="0" applyFont="1" applyFill="1" applyBorder="1" applyAlignment="1">
      <alignment horizontal="left" vertical="top"/>
    </xf>
    <xf numFmtId="0" fontId="65" fillId="0" borderId="1" xfId="0" applyFont="1" applyFill="1" applyBorder="1" applyAlignment="1">
      <alignment horizontal="center" vertical="top" wrapText="1"/>
    </xf>
    <xf numFmtId="4" fontId="65" fillId="0" borderId="1" xfId="0" applyNumberFormat="1" applyFont="1" applyFill="1" applyBorder="1" applyAlignment="1">
      <alignment horizontal="center" vertical="top"/>
    </xf>
    <xf numFmtId="3" fontId="63" fillId="0" borderId="1" xfId="0" applyNumberFormat="1" applyFont="1" applyFill="1" applyBorder="1" applyAlignment="1">
      <alignment horizontal="center"/>
    </xf>
    <xf numFmtId="1" fontId="27" fillId="0" borderId="1" xfId="0" applyNumberFormat="1" applyFont="1" applyFill="1" applyBorder="1" applyAlignment="1">
      <alignment horizontal="center"/>
    </xf>
    <xf numFmtId="0" fontId="11" fillId="0" borderId="1" xfId="0" applyFont="1" applyFill="1" applyBorder="1" applyAlignment="1">
      <alignment horizontal="center" wrapText="1"/>
    </xf>
    <xf numFmtId="3" fontId="63" fillId="0" borderId="1" xfId="0" applyNumberFormat="1" applyFont="1" applyFill="1" applyBorder="1" applyAlignment="1">
      <alignment horizontal="center" vertical="center"/>
    </xf>
    <xf numFmtId="1" fontId="27" fillId="0" borderId="1" xfId="0" applyNumberFormat="1" applyFont="1" applyFill="1" applyBorder="1" applyAlignment="1">
      <alignment horizontal="center" vertical="center"/>
    </xf>
    <xf numFmtId="0" fontId="82" fillId="0" borderId="1" xfId="0" applyFont="1" applyFill="1" applyBorder="1" applyAlignment="1">
      <alignment horizontal="center" vertical="center"/>
    </xf>
    <xf numFmtId="0" fontId="82" fillId="0" borderId="0" xfId="0" applyFont="1" applyFill="1" applyAlignment="1">
      <alignment horizontal="center" vertical="center"/>
    </xf>
    <xf numFmtId="4" fontId="11" fillId="0" borderId="1" xfId="0" applyNumberFormat="1" applyFont="1" applyFill="1" applyBorder="1" applyAlignment="1">
      <alignment horizontal="left" vertical="center" wrapText="1"/>
    </xf>
    <xf numFmtId="4" fontId="11" fillId="0" borderId="1" xfId="0" applyNumberFormat="1" applyFont="1" applyFill="1" applyBorder="1" applyAlignment="1">
      <alignment horizontal="left" vertical="center"/>
    </xf>
    <xf numFmtId="0" fontId="22" fillId="0" borderId="1" xfId="0" applyFont="1" applyFill="1" applyBorder="1"/>
    <xf numFmtId="0" fontId="22" fillId="0" borderId="15" xfId="0" applyFont="1" applyFill="1" applyBorder="1"/>
    <xf numFmtId="0" fontId="22" fillId="0" borderId="0" xfId="0" applyFont="1" applyFill="1" applyBorder="1"/>
    <xf numFmtId="0" fontId="53" fillId="0" borderId="0" xfId="0" applyFont="1" applyFill="1" applyAlignment="1">
      <alignment wrapText="1"/>
    </xf>
    <xf numFmtId="0" fontId="11" fillId="0" borderId="8" xfId="0" applyFont="1" applyFill="1" applyBorder="1" applyAlignment="1">
      <alignment horizontal="center" wrapText="1"/>
    </xf>
    <xf numFmtId="0" fontId="91" fillId="0" borderId="1" xfId="0" applyFont="1" applyFill="1" applyBorder="1"/>
    <xf numFmtId="0" fontId="91" fillId="0" borderId="0" xfId="0" applyFont="1" applyFill="1"/>
    <xf numFmtId="3" fontId="63" fillId="0" borderId="13" xfId="0" applyNumberFormat="1" applyFont="1" applyFill="1" applyBorder="1" applyAlignment="1">
      <alignment horizontal="center" vertical="center"/>
    </xf>
    <xf numFmtId="0" fontId="91" fillId="0" borderId="1" xfId="0" applyFont="1" applyFill="1" applyBorder="1" applyAlignment="1">
      <alignment horizontal="center" vertical="center"/>
    </xf>
    <xf numFmtId="0" fontId="91" fillId="0" borderId="0" xfId="0" applyFont="1" applyFill="1" applyAlignment="1">
      <alignment horizontal="center" vertical="center"/>
    </xf>
    <xf numFmtId="4" fontId="27" fillId="0" borderId="1" xfId="0" applyNumberFormat="1" applyFont="1" applyFill="1" applyBorder="1" applyAlignment="1">
      <alignment vertical="top" wrapText="1"/>
    </xf>
    <xf numFmtId="0" fontId="58" fillId="0" borderId="0" xfId="0" applyFont="1" applyFill="1" applyBorder="1"/>
    <xf numFmtId="0" fontId="0" fillId="0" borderId="0" xfId="0" applyFill="1" applyBorder="1" applyAlignment="1">
      <alignment wrapText="1"/>
    </xf>
    <xf numFmtId="0" fontId="92" fillId="0" borderId="0" xfId="0" applyFont="1" applyFill="1"/>
    <xf numFmtId="0" fontId="93" fillId="0" borderId="1" xfId="0" applyFont="1" applyFill="1" applyBorder="1"/>
    <xf numFmtId="2" fontId="11" fillId="0" borderId="12" xfId="0" applyNumberFormat="1" applyFont="1" applyFill="1" applyBorder="1" applyAlignment="1">
      <alignment horizontal="left" vertical="top" wrapText="1"/>
    </xf>
    <xf numFmtId="4" fontId="11" fillId="0" borderId="12" xfId="0" applyNumberFormat="1" applyFont="1" applyFill="1" applyBorder="1" applyAlignment="1">
      <alignment horizontal="left" vertical="top" wrapText="1"/>
    </xf>
    <xf numFmtId="4" fontId="11" fillId="0" borderId="0" xfId="0" applyNumberFormat="1" applyFont="1" applyFill="1" applyBorder="1" applyAlignment="1">
      <alignment vertical="top" wrapText="1"/>
    </xf>
    <xf numFmtId="4" fontId="12" fillId="0" borderId="1" xfId="0" applyNumberFormat="1" applyFont="1" applyFill="1" applyBorder="1" applyAlignment="1">
      <alignment horizontal="left"/>
    </xf>
    <xf numFmtId="0" fontId="11" fillId="12" borderId="0" xfId="0" applyFont="1" applyFill="1" applyAlignment="1">
      <alignment horizontal="left" wrapText="1"/>
    </xf>
    <xf numFmtId="4" fontId="12" fillId="0" borderId="3" xfId="0" applyNumberFormat="1" applyFont="1" applyFill="1" applyBorder="1" applyAlignment="1"/>
    <xf numFmtId="4" fontId="27" fillId="0" borderId="5" xfId="0" applyNumberFormat="1" applyFont="1" applyFill="1" applyBorder="1" applyAlignment="1">
      <alignment horizontal="left" vertical="top" wrapText="1"/>
    </xf>
    <xf numFmtId="4" fontId="27" fillId="0" borderId="1" xfId="0" applyNumberFormat="1" applyFont="1" applyFill="1" applyBorder="1" applyAlignment="1">
      <alignment horizontal="center" vertical="top" wrapText="1"/>
    </xf>
    <xf numFmtId="4" fontId="27" fillId="0" borderId="7" xfId="0" applyNumberFormat="1" applyFont="1" applyFill="1" applyBorder="1" applyAlignment="1">
      <alignment horizontal="left" vertical="top" wrapText="1"/>
    </xf>
    <xf numFmtId="1" fontId="27" fillId="0" borderId="13" xfId="0" applyNumberFormat="1" applyFont="1" applyFill="1" applyBorder="1" applyAlignment="1">
      <alignment horizontal="center" vertical="center"/>
    </xf>
    <xf numFmtId="4" fontId="27" fillId="0" borderId="9" xfId="0" applyNumberFormat="1" applyFont="1" applyFill="1" applyBorder="1" applyAlignment="1">
      <alignment horizontal="center" vertical="center" wrapText="1"/>
    </xf>
    <xf numFmtId="49" fontId="65" fillId="0" borderId="1" xfId="0" applyNumberFormat="1" applyFont="1" applyFill="1" applyBorder="1" applyAlignment="1">
      <alignment horizontal="center" vertical="center" wrapText="1"/>
    </xf>
    <xf numFmtId="49" fontId="65" fillId="0" borderId="1" xfId="0" applyNumberFormat="1" applyFont="1" applyFill="1" applyBorder="1" applyAlignment="1">
      <alignment horizontal="center" vertical="center"/>
    </xf>
    <xf numFmtId="0" fontId="65" fillId="0" borderId="1" xfId="0" applyFont="1" applyFill="1" applyBorder="1" applyAlignment="1">
      <alignment horizontal="center" vertical="center"/>
    </xf>
    <xf numFmtId="3" fontId="65" fillId="0" borderId="1" xfId="0" applyNumberFormat="1" applyFont="1" applyFill="1" applyBorder="1" applyAlignment="1">
      <alignment horizontal="center" vertical="center"/>
    </xf>
    <xf numFmtId="0" fontId="11" fillId="0" borderId="1" xfId="0" applyFont="1" applyFill="1" applyBorder="1" applyAlignment="1">
      <alignment vertical="center" wrapText="1"/>
    </xf>
    <xf numFmtId="4" fontId="3" fillId="0" borderId="12" xfId="0" applyNumberFormat="1" applyFont="1" applyFill="1" applyBorder="1" applyAlignment="1">
      <alignment horizontal="left" vertical="top" wrapText="1"/>
    </xf>
    <xf numFmtId="4" fontId="11" fillId="0" borderId="12" xfId="0" applyNumberFormat="1" applyFont="1" applyFill="1" applyBorder="1" applyAlignment="1">
      <alignment horizontal="left" vertical="top"/>
    </xf>
    <xf numFmtId="4" fontId="95" fillId="0" borderId="1" xfId="0" applyNumberFormat="1" applyFont="1" applyFill="1" applyBorder="1" applyAlignment="1"/>
    <xf numFmtId="3" fontId="27" fillId="0" borderId="13" xfId="0" applyNumberFormat="1" applyFont="1" applyFill="1" applyBorder="1" applyAlignment="1">
      <alignment horizontal="center"/>
    </xf>
    <xf numFmtId="4" fontId="11" fillId="0" borderId="13" xfId="0" applyNumberFormat="1" applyFont="1" applyFill="1" applyBorder="1" applyAlignment="1">
      <alignment horizontal="center" vertical="top" wrapText="1"/>
    </xf>
    <xf numFmtId="4" fontId="11" fillId="0" borderId="1" xfId="0" applyNumberFormat="1" applyFont="1" applyFill="1" applyBorder="1" applyAlignment="1">
      <alignment horizontal="center" wrapText="1"/>
    </xf>
    <xf numFmtId="4" fontId="11" fillId="0" borderId="15" xfId="0" applyNumberFormat="1" applyFont="1" applyFill="1" applyBorder="1" applyAlignment="1">
      <alignment horizontal="left" vertical="top"/>
    </xf>
    <xf numFmtId="0" fontId="11" fillId="0" borderId="15" xfId="0" applyFont="1" applyFill="1" applyBorder="1" applyAlignment="1">
      <alignment vertical="top" wrapText="1"/>
    </xf>
    <xf numFmtId="0" fontId="11" fillId="0" borderId="0" xfId="0" applyFont="1" applyFill="1" applyBorder="1" applyAlignment="1">
      <alignment horizontal="center" wrapText="1"/>
    </xf>
    <xf numFmtId="4" fontId="3" fillId="0" borderId="0" xfId="0" applyNumberFormat="1" applyFont="1" applyFill="1" applyBorder="1" applyAlignment="1">
      <alignment horizontal="center" vertical="top" wrapText="1"/>
    </xf>
    <xf numFmtId="4" fontId="3" fillId="0" borderId="0" xfId="0" applyNumberFormat="1" applyFont="1" applyFill="1" applyBorder="1" applyAlignment="1">
      <alignment horizontal="left" vertical="top" wrapText="1"/>
    </xf>
    <xf numFmtId="49" fontId="96" fillId="0" borderId="1" xfId="0" applyNumberFormat="1" applyFont="1" applyFill="1" applyBorder="1" applyAlignment="1">
      <alignment horizontal="center" vertical="center"/>
    </xf>
    <xf numFmtId="49" fontId="99" fillId="0" borderId="1" xfId="0" applyNumberFormat="1" applyFont="1" applyFill="1" applyBorder="1" applyAlignment="1">
      <alignment horizontal="center" vertical="center"/>
    </xf>
    <xf numFmtId="0" fontId="9" fillId="0" borderId="1" xfId="0" applyFont="1" applyFill="1" applyBorder="1" applyAlignment="1">
      <alignment horizontal="center" vertical="center"/>
    </xf>
    <xf numFmtId="0" fontId="9" fillId="0" borderId="0" xfId="0" applyFont="1" applyFill="1" applyAlignment="1">
      <alignment horizontal="center" vertical="center"/>
    </xf>
    <xf numFmtId="0" fontId="9" fillId="0" borderId="0" xfId="0" applyFont="1" applyAlignment="1">
      <alignment horizontal="center" vertical="center"/>
    </xf>
    <xf numFmtId="0" fontId="11" fillId="0" borderId="1" xfId="0" applyNumberFormat="1" applyFont="1" applyFill="1" applyBorder="1" applyAlignment="1">
      <alignment horizontal="left" vertical="top"/>
    </xf>
    <xf numFmtId="0" fontId="12" fillId="0" borderId="15" xfId="0" applyFont="1" applyFill="1" applyBorder="1"/>
    <xf numFmtId="0" fontId="12" fillId="0" borderId="0" xfId="0" applyFont="1" applyFill="1"/>
    <xf numFmtId="10" fontId="11" fillId="0" borderId="1" xfId="0" applyNumberFormat="1" applyFont="1" applyFill="1" applyBorder="1" applyAlignment="1">
      <alignment wrapText="1"/>
    </xf>
    <xf numFmtId="0" fontId="12" fillId="0" borderId="6" xfId="0" applyFont="1" applyFill="1" applyBorder="1"/>
    <xf numFmtId="0" fontId="12" fillId="0" borderId="0" xfId="0" applyFont="1" applyFill="1" applyBorder="1"/>
    <xf numFmtId="0" fontId="12" fillId="0" borderId="10" xfId="0" applyFont="1" applyFill="1" applyBorder="1"/>
    <xf numFmtId="0" fontId="11" fillId="11" borderId="1" xfId="0" applyFont="1" applyFill="1" applyBorder="1" applyAlignment="1">
      <alignment horizontal="left" vertical="top" wrapText="1"/>
    </xf>
    <xf numFmtId="4" fontId="11" fillId="11" borderId="1" xfId="0" applyNumberFormat="1" applyFont="1" applyFill="1" applyBorder="1" applyAlignment="1">
      <alignment horizontal="left" vertical="top" wrapText="1"/>
    </xf>
    <xf numFmtId="0" fontId="12" fillId="11" borderId="15" xfId="0" applyFont="1" applyFill="1" applyBorder="1"/>
    <xf numFmtId="0" fontId="12" fillId="11" borderId="0" xfId="0" applyFont="1" applyFill="1"/>
    <xf numFmtId="4" fontId="11" fillId="11" borderId="1" xfId="0" applyNumberFormat="1" applyFont="1" applyFill="1" applyBorder="1" applyAlignment="1">
      <alignment horizontal="left" vertical="top"/>
    </xf>
    <xf numFmtId="4" fontId="11" fillId="11" borderId="1" xfId="0" applyNumberFormat="1" applyFont="1" applyFill="1" applyBorder="1" applyAlignment="1">
      <alignment horizontal="center" vertical="center"/>
    </xf>
    <xf numFmtId="4" fontId="12" fillId="11" borderId="1" xfId="0" applyNumberFormat="1" applyFont="1" applyFill="1" applyBorder="1" applyAlignment="1">
      <alignment horizontal="left"/>
    </xf>
    <xf numFmtId="4" fontId="95" fillId="0" borderId="1" xfId="0" applyNumberFormat="1" applyFont="1" applyFill="1" applyBorder="1" applyAlignment="1">
      <alignment horizontal="left"/>
    </xf>
    <xf numFmtId="4" fontId="78" fillId="0" borderId="1" xfId="0" applyNumberFormat="1" applyFont="1" applyFill="1" applyBorder="1" applyAlignment="1">
      <alignment horizontal="left" vertical="top"/>
    </xf>
    <xf numFmtId="4" fontId="78" fillId="0" borderId="15" xfId="0" applyNumberFormat="1" applyFont="1" applyFill="1" applyBorder="1" applyAlignment="1">
      <alignment horizontal="left" vertical="top"/>
    </xf>
    <xf numFmtId="0" fontId="100" fillId="0" borderId="0" xfId="0" applyFont="1" applyFill="1"/>
    <xf numFmtId="0" fontId="100" fillId="4" borderId="0" xfId="0" applyFont="1" applyFill="1"/>
    <xf numFmtId="0" fontId="100" fillId="0" borderId="15" xfId="0" applyFont="1" applyFill="1" applyBorder="1"/>
    <xf numFmtId="0" fontId="11" fillId="15" borderId="1" xfId="0" applyFont="1" applyFill="1" applyBorder="1" applyAlignment="1">
      <alignment horizontal="left" vertical="top" wrapText="1"/>
    </xf>
    <xf numFmtId="4" fontId="11" fillId="15" borderId="1" xfId="0" applyNumberFormat="1" applyFont="1" applyFill="1" applyBorder="1" applyAlignment="1">
      <alignment horizontal="left" vertical="top" wrapText="1"/>
    </xf>
    <xf numFmtId="3" fontId="11" fillId="15" borderId="1" xfId="0" applyNumberFormat="1" applyFont="1" applyFill="1" applyBorder="1" applyAlignment="1">
      <alignment horizontal="left" vertical="top" wrapText="1"/>
    </xf>
    <xf numFmtId="4" fontId="12" fillId="15" borderId="1" xfId="0" applyNumberFormat="1" applyFont="1" applyFill="1" applyBorder="1" applyAlignment="1">
      <alignment horizontal="left"/>
    </xf>
    <xf numFmtId="0" fontId="12" fillId="15" borderId="15" xfId="0" applyFont="1" applyFill="1" applyBorder="1"/>
    <xf numFmtId="0" fontId="12" fillId="15" borderId="0" xfId="0" applyFont="1" applyFill="1"/>
    <xf numFmtId="4" fontId="11" fillId="15" borderId="1" xfId="0" applyNumberFormat="1" applyFont="1" applyFill="1" applyBorder="1" applyAlignment="1">
      <alignment horizontal="left" vertical="top"/>
    </xf>
    <xf numFmtId="3" fontId="11" fillId="15" borderId="1" xfId="0" applyNumberFormat="1" applyFont="1" applyFill="1" applyBorder="1" applyAlignment="1">
      <alignment horizontal="center" vertical="top" wrapText="1"/>
    </xf>
    <xf numFmtId="4" fontId="11" fillId="15" borderId="1" xfId="0" applyNumberFormat="1" applyFont="1" applyFill="1" applyBorder="1" applyAlignment="1">
      <alignment horizontal="center" vertical="top"/>
    </xf>
    <xf numFmtId="4" fontId="11" fillId="15" borderId="15" xfId="0" applyNumberFormat="1" applyFont="1" applyFill="1" applyBorder="1" applyAlignment="1">
      <alignment horizontal="left" vertical="top"/>
    </xf>
    <xf numFmtId="3" fontId="11" fillId="11" borderId="1" xfId="0" applyNumberFormat="1" applyFont="1" applyFill="1" applyBorder="1" applyAlignment="1">
      <alignment horizontal="left" vertical="top" wrapText="1"/>
    </xf>
    <xf numFmtId="3" fontId="11" fillId="15" borderId="1" xfId="0" applyNumberFormat="1" applyFont="1" applyFill="1" applyBorder="1" applyAlignment="1">
      <alignment horizontal="left" vertical="top"/>
    </xf>
    <xf numFmtId="3" fontId="11" fillId="15" borderId="15" xfId="0" applyNumberFormat="1" applyFont="1" applyFill="1" applyBorder="1" applyAlignment="1">
      <alignment horizontal="left" vertical="top"/>
    </xf>
    <xf numFmtId="0" fontId="9" fillId="2" borderId="10" xfId="0" applyFont="1" applyFill="1" applyBorder="1"/>
    <xf numFmtId="0" fontId="101" fillId="0" borderId="1" xfId="0" applyFont="1" applyFill="1" applyBorder="1" applyAlignment="1">
      <alignment horizontal="left" vertical="top" wrapText="1"/>
    </xf>
    <xf numFmtId="4" fontId="101" fillId="0" borderId="1" xfId="0" applyNumberFormat="1" applyFont="1" applyFill="1" applyBorder="1" applyAlignment="1">
      <alignment horizontal="left" vertical="top"/>
    </xf>
    <xf numFmtId="10" fontId="101" fillId="0" borderId="1" xfId="0" applyNumberFormat="1" applyFont="1" applyFill="1" applyBorder="1" applyAlignment="1">
      <alignment wrapText="1"/>
    </xf>
    <xf numFmtId="4" fontId="102" fillId="0" borderId="1" xfId="0" applyNumberFormat="1" applyFont="1" applyFill="1" applyBorder="1" applyAlignment="1">
      <alignment horizontal="left"/>
    </xf>
    <xf numFmtId="0" fontId="102" fillId="0" borderId="0" xfId="0" applyFont="1" applyFill="1"/>
    <xf numFmtId="49" fontId="11" fillId="0" borderId="1" xfId="0" applyNumberFormat="1" applyFont="1" applyFill="1" applyBorder="1" applyAlignment="1">
      <alignment vertical="center"/>
    </xf>
    <xf numFmtId="0" fontId="11" fillId="11" borderId="1" xfId="0" applyFont="1" applyFill="1" applyBorder="1" applyAlignment="1">
      <alignment horizontal="center" vertical="center" wrapText="1"/>
    </xf>
    <xf numFmtId="4" fontId="12" fillId="11" borderId="1" xfId="0" applyNumberFormat="1" applyFont="1" applyFill="1" applyBorder="1" applyAlignment="1">
      <alignment horizontal="center" vertical="center"/>
    </xf>
    <xf numFmtId="0" fontId="12" fillId="11" borderId="15" xfId="0" applyFont="1" applyFill="1" applyBorder="1" applyAlignment="1">
      <alignment horizontal="center" vertical="center"/>
    </xf>
    <xf numFmtId="0" fontId="12" fillId="11" borderId="0" xfId="0" applyFont="1" applyFill="1" applyAlignment="1">
      <alignment horizontal="center" vertical="center"/>
    </xf>
    <xf numFmtId="4" fontId="11" fillId="11" borderId="1" xfId="0" applyNumberFormat="1" applyFont="1" applyFill="1" applyBorder="1" applyAlignment="1">
      <alignment horizontal="left" vertical="center" wrapText="1"/>
    </xf>
    <xf numFmtId="3" fontId="11" fillId="11" borderId="1" xfId="0" applyNumberFormat="1" applyFont="1" applyFill="1" applyBorder="1" applyAlignment="1">
      <alignment horizontal="left" vertical="center" wrapText="1"/>
    </xf>
    <xf numFmtId="4" fontId="11" fillId="11" borderId="1" xfId="0" applyNumberFormat="1" applyFont="1" applyFill="1" applyBorder="1" applyAlignment="1">
      <alignment horizontal="left" vertical="center"/>
    </xf>
    <xf numFmtId="4" fontId="12" fillId="11" borderId="1" xfId="0" applyNumberFormat="1" applyFont="1" applyFill="1" applyBorder="1" applyAlignment="1">
      <alignment horizontal="left" vertical="center"/>
    </xf>
    <xf numFmtId="0" fontId="106" fillId="0" borderId="0" xfId="0" applyFont="1" applyFill="1" applyBorder="1" applyAlignment="1">
      <alignment horizontal="left" vertical="top" wrapText="1"/>
    </xf>
    <xf numFmtId="4" fontId="107" fillId="0" borderId="0" xfId="0" applyNumberFormat="1" applyFont="1" applyFill="1"/>
    <xf numFmtId="0" fontId="107" fillId="0" borderId="0" xfId="0" applyFont="1" applyFill="1"/>
    <xf numFmtId="0" fontId="107" fillId="0" borderId="0" xfId="0" applyFont="1" applyFill="1" applyBorder="1"/>
    <xf numFmtId="2" fontId="106" fillId="0" borderId="0" xfId="0" applyNumberFormat="1" applyFont="1" applyFill="1" applyBorder="1" applyAlignment="1">
      <alignment horizontal="left" vertical="top" wrapText="1"/>
    </xf>
    <xf numFmtId="3" fontId="12" fillId="11" borderId="1" xfId="0" applyNumberFormat="1" applyFont="1" applyFill="1" applyBorder="1" applyAlignment="1">
      <alignment horizontal="left"/>
    </xf>
    <xf numFmtId="0" fontId="35" fillId="0" borderId="12" xfId="0" applyFont="1" applyFill="1" applyBorder="1" applyAlignment="1">
      <alignment vertical="center" wrapText="1"/>
    </xf>
    <xf numFmtId="0" fontId="35" fillId="0" borderId="10" xfId="0" applyFont="1" applyFill="1" applyBorder="1" applyAlignment="1">
      <alignment vertical="center" wrapText="1"/>
    </xf>
    <xf numFmtId="3" fontId="11" fillId="0" borderId="1" xfId="0" applyNumberFormat="1" applyFont="1" applyFill="1" applyBorder="1" applyAlignment="1">
      <alignment horizontal="center"/>
    </xf>
    <xf numFmtId="0" fontId="35" fillId="0" borderId="0" xfId="0" applyFont="1" applyFill="1" applyBorder="1" applyAlignment="1">
      <alignment vertical="center" wrapText="1"/>
    </xf>
    <xf numFmtId="0" fontId="9" fillId="0" borderId="1" xfId="0" applyFont="1" applyFill="1" applyBorder="1" applyAlignment="1">
      <alignment horizontal="center"/>
    </xf>
    <xf numFmtId="3" fontId="12" fillId="15" borderId="1" xfId="0" applyNumberFormat="1" applyFont="1" applyFill="1" applyBorder="1" applyAlignment="1">
      <alignment horizontal="left"/>
    </xf>
    <xf numFmtId="0" fontId="11" fillId="15" borderId="1" xfId="0" applyFont="1" applyFill="1" applyBorder="1" applyAlignment="1">
      <alignment horizontal="center" vertical="top" wrapText="1"/>
    </xf>
    <xf numFmtId="0" fontId="11" fillId="11" borderId="13" xfId="0" applyFont="1" applyFill="1" applyBorder="1" applyAlignment="1">
      <alignment horizontal="left" vertical="top" wrapText="1"/>
    </xf>
    <xf numFmtId="0" fontId="11" fillId="15" borderId="13" xfId="0" applyFont="1" applyFill="1" applyBorder="1" applyAlignment="1">
      <alignment horizontal="left" vertical="top" wrapText="1"/>
    </xf>
    <xf numFmtId="3" fontId="12" fillId="11" borderId="15" xfId="0" applyNumberFormat="1" applyFont="1" applyFill="1" applyBorder="1" applyAlignment="1">
      <alignment horizontal="left"/>
    </xf>
    <xf numFmtId="4" fontId="11" fillId="11" borderId="15" xfId="0" applyNumberFormat="1" applyFont="1" applyFill="1" applyBorder="1" applyAlignment="1">
      <alignment horizontal="left" vertical="top"/>
    </xf>
    <xf numFmtId="4" fontId="12" fillId="11" borderId="15" xfId="0" applyNumberFormat="1" applyFont="1" applyFill="1" applyBorder="1" applyAlignment="1">
      <alignment horizontal="left"/>
    </xf>
    <xf numFmtId="4" fontId="12" fillId="15" borderId="15" xfId="0" applyNumberFormat="1" applyFont="1" applyFill="1" applyBorder="1" applyAlignment="1">
      <alignment horizontal="left"/>
    </xf>
    <xf numFmtId="4" fontId="12" fillId="0" borderId="15" xfId="0" applyNumberFormat="1" applyFont="1" applyFill="1" applyBorder="1" applyAlignment="1">
      <alignment horizontal="left"/>
    </xf>
    <xf numFmtId="3" fontId="12" fillId="0" borderId="15" xfId="0" applyNumberFormat="1" applyFont="1" applyFill="1" applyBorder="1" applyAlignment="1">
      <alignment horizontal="left"/>
    </xf>
    <xf numFmtId="3" fontId="12" fillId="15" borderId="15" xfId="0" applyNumberFormat="1" applyFont="1" applyFill="1" applyBorder="1" applyAlignment="1">
      <alignment horizontal="left"/>
    </xf>
    <xf numFmtId="0" fontId="108" fillId="0" borderId="1" xfId="0" applyFont="1" applyFill="1" applyBorder="1" applyAlignment="1">
      <alignment horizontal="center" vertical="center" wrapText="1"/>
    </xf>
    <xf numFmtId="0" fontId="35" fillId="0" borderId="1" xfId="0" applyFont="1" applyFill="1" applyBorder="1" applyAlignment="1">
      <alignment vertical="center" wrapText="1"/>
    </xf>
    <xf numFmtId="0" fontId="104" fillId="0" borderId="9" xfId="0" applyFont="1" applyFill="1" applyBorder="1" applyAlignment="1">
      <alignment horizontal="center" vertical="center" wrapText="1"/>
    </xf>
    <xf numFmtId="0" fontId="104" fillId="0" borderId="12" xfId="0" applyFont="1" applyFill="1" applyBorder="1" applyAlignment="1">
      <alignment horizontal="center" vertical="center" wrapText="1"/>
    </xf>
    <xf numFmtId="0" fontId="113" fillId="0" borderId="1" xfId="0" applyFont="1" applyBorder="1" applyAlignment="1">
      <alignment vertical="center" wrapText="1"/>
    </xf>
    <xf numFmtId="0" fontId="113" fillId="0" borderId="1" xfId="0" applyFont="1" applyBorder="1" applyAlignment="1">
      <alignment horizontal="center" vertical="center" wrapText="1"/>
    </xf>
    <xf numFmtId="4" fontId="113" fillId="0" borderId="1" xfId="0" applyNumberFormat="1" applyFont="1" applyBorder="1" applyAlignment="1">
      <alignment horizontal="right" vertical="center" wrapText="1"/>
    </xf>
    <xf numFmtId="0" fontId="4" fillId="0" borderId="1" xfId="0" applyFont="1" applyBorder="1" applyAlignment="1">
      <alignment vertical="center" wrapText="1"/>
    </xf>
    <xf numFmtId="0" fontId="115" fillId="0" borderId="1" xfId="0" applyFont="1" applyBorder="1" applyAlignment="1">
      <alignment horizontal="center" vertical="center" wrapText="1"/>
    </xf>
    <xf numFmtId="4" fontId="7" fillId="0" borderId="1" xfId="0" applyNumberFormat="1" applyFont="1" applyBorder="1" applyAlignment="1">
      <alignment horizontal="left" vertical="center" wrapText="1"/>
    </xf>
    <xf numFmtId="4" fontId="7" fillId="0" borderId="1" xfId="0" applyNumberFormat="1" applyFont="1" applyBorder="1" applyAlignment="1">
      <alignment horizontal="left"/>
    </xf>
    <xf numFmtId="4" fontId="7" fillId="0" borderId="1" xfId="0" applyNumberFormat="1" applyFont="1" applyFill="1" applyBorder="1" applyAlignment="1">
      <alignment horizontal="left" vertical="center" wrapText="1"/>
    </xf>
    <xf numFmtId="2" fontId="7" fillId="0" borderId="1" xfId="0" applyNumberFormat="1" applyFont="1" applyFill="1" applyBorder="1" applyAlignment="1">
      <alignment horizontal="left" vertical="center" wrapText="1"/>
    </xf>
    <xf numFmtId="4" fontId="11" fillId="0" borderId="1" xfId="0" applyNumberFormat="1" applyFont="1" applyFill="1" applyBorder="1" applyAlignment="1">
      <alignment horizontal="center" vertical="top" wrapText="1"/>
    </xf>
    <xf numFmtId="4" fontId="27" fillId="0" borderId="1" xfId="0" applyNumberFormat="1" applyFont="1" applyFill="1" applyBorder="1" applyAlignment="1">
      <alignment horizontal="center" vertical="top" wrapText="1"/>
    </xf>
    <xf numFmtId="49" fontId="27" fillId="0" borderId="1" xfId="0" applyNumberFormat="1" applyFont="1" applyFill="1" applyBorder="1" applyAlignment="1">
      <alignment horizontal="center" vertical="center" wrapText="1"/>
    </xf>
    <xf numFmtId="0" fontId="2" fillId="0" borderId="1" xfId="0" applyFont="1" applyBorder="1" applyAlignment="1">
      <alignment vertical="center" wrapText="1"/>
    </xf>
    <xf numFmtId="49" fontId="0" fillId="0" borderId="0" xfId="0" applyNumberFormat="1"/>
    <xf numFmtId="49" fontId="0" fillId="0" borderId="0" xfId="0" applyNumberFormat="1" applyAlignment="1">
      <alignment vertical="center" wrapText="1"/>
    </xf>
    <xf numFmtId="49" fontId="116" fillId="0" borderId="0" xfId="0" applyNumberFormat="1" applyFont="1"/>
    <xf numFmtId="49" fontId="116" fillId="0" borderId="0" xfId="0" applyNumberFormat="1" applyFont="1" applyAlignment="1">
      <alignment vertical="center" wrapText="1"/>
    </xf>
    <xf numFmtId="0" fontId="116" fillId="0" borderId="0" xfId="0" applyFont="1"/>
    <xf numFmtId="49" fontId="116" fillId="0" borderId="1" xfId="0" applyNumberFormat="1" applyFont="1" applyBorder="1"/>
    <xf numFmtId="49" fontId="116" fillId="0" borderId="1" xfId="0" applyNumberFormat="1" applyFont="1" applyBorder="1" applyAlignment="1">
      <alignment vertical="center" wrapText="1"/>
    </xf>
    <xf numFmtId="49" fontId="0" fillId="0" borderId="1" xfId="0" applyNumberFormat="1" applyBorder="1"/>
    <xf numFmtId="49" fontId="0" fillId="0" borderId="1" xfId="0" applyNumberFormat="1" applyBorder="1" applyAlignment="1">
      <alignment vertical="center" wrapText="1"/>
    </xf>
    <xf numFmtId="4" fontId="0" fillId="0" borderId="0" xfId="0" applyNumberFormat="1" applyAlignment="1">
      <alignment horizontal="left" wrapText="1"/>
    </xf>
    <xf numFmtId="49" fontId="0" fillId="0" borderId="0" xfId="0" applyNumberFormat="1" applyAlignment="1">
      <alignment horizontal="left"/>
    </xf>
    <xf numFmtId="49" fontId="116" fillId="0" borderId="1" xfId="0" applyNumberFormat="1" applyFont="1" applyBorder="1" applyAlignment="1">
      <alignment horizontal="left"/>
    </xf>
    <xf numFmtId="4" fontId="0" fillId="0" borderId="0" xfId="0" applyNumberFormat="1" applyAlignment="1">
      <alignment horizontal="left"/>
    </xf>
    <xf numFmtId="4" fontId="0" fillId="0" borderId="1" xfId="0" applyNumberFormat="1" applyBorder="1" applyAlignment="1">
      <alignment horizontal="center" vertical="center"/>
    </xf>
    <xf numFmtId="4" fontId="0" fillId="0" borderId="1" xfId="0" applyNumberFormat="1" applyBorder="1" applyAlignment="1">
      <alignment horizontal="center" vertical="center" wrapText="1"/>
    </xf>
    <xf numFmtId="4" fontId="0" fillId="0" borderId="0" xfId="0" applyNumberFormat="1" applyAlignment="1">
      <alignment horizontal="center" vertical="center"/>
    </xf>
    <xf numFmtId="49" fontId="0" fillId="0" borderId="0" xfId="0" applyNumberFormat="1" applyAlignment="1">
      <alignment horizontal="left" vertical="center" wrapText="1"/>
    </xf>
    <xf numFmtId="49" fontId="116" fillId="0" borderId="1" xfId="0" applyNumberFormat="1" applyFont="1" applyBorder="1" applyAlignment="1">
      <alignment horizontal="left" vertical="center" wrapText="1"/>
    </xf>
    <xf numFmtId="49" fontId="0" fillId="0" borderId="1" xfId="0" applyNumberFormat="1" applyBorder="1" applyAlignment="1">
      <alignment horizontal="left" vertical="center" wrapText="1"/>
    </xf>
    <xf numFmtId="0" fontId="0" fillId="0" borderId="0" xfId="0" applyAlignment="1">
      <alignment horizontal="left" vertical="center" wrapText="1"/>
    </xf>
    <xf numFmtId="49" fontId="0" fillId="15" borderId="1" xfId="0" applyNumberFormat="1" applyFill="1" applyBorder="1"/>
    <xf numFmtId="49" fontId="0" fillId="15" borderId="1" xfId="0" applyNumberFormat="1" applyFill="1" applyBorder="1" applyAlignment="1">
      <alignment vertical="center" wrapText="1"/>
    </xf>
    <xf numFmtId="49" fontId="0" fillId="15" borderId="1" xfId="0" applyNumberFormat="1" applyFill="1" applyBorder="1" applyAlignment="1">
      <alignment horizontal="left" vertical="center" wrapText="1"/>
    </xf>
    <xf numFmtId="4" fontId="0" fillId="15" borderId="1" xfId="0" applyNumberFormat="1" applyFill="1" applyBorder="1" applyAlignment="1">
      <alignment horizontal="center" vertical="center"/>
    </xf>
    <xf numFmtId="4" fontId="0" fillId="15" borderId="1" xfId="0" applyNumberFormat="1" applyFill="1" applyBorder="1" applyAlignment="1">
      <alignment horizontal="center" vertical="center" wrapText="1"/>
    </xf>
    <xf numFmtId="0" fontId="0" fillId="15" borderId="0" xfId="0" applyFill="1"/>
    <xf numFmtId="0" fontId="57" fillId="10" borderId="0" xfId="0" applyFont="1" applyFill="1" applyAlignment="1">
      <alignment horizontal="justify" vertical="center"/>
    </xf>
    <xf numFmtId="0" fontId="82" fillId="10" borderId="0" xfId="0" applyFont="1" applyFill="1"/>
    <xf numFmtId="0" fontId="115" fillId="0" borderId="1" xfId="0" applyFont="1" applyFill="1" applyBorder="1" applyAlignment="1">
      <alignment horizontal="center" vertical="center" wrapText="1"/>
    </xf>
    <xf numFmtId="49" fontId="27" fillId="0" borderId="1" xfId="0" applyNumberFormat="1" applyFont="1" applyFill="1" applyBorder="1" applyAlignment="1">
      <alignment horizontal="center"/>
    </xf>
    <xf numFmtId="0" fontId="113" fillId="0" borderId="13" xfId="0" applyFont="1" applyBorder="1" applyAlignment="1">
      <alignment vertical="center" wrapText="1"/>
    </xf>
    <xf numFmtId="4" fontId="113" fillId="0" borderId="1" xfId="0" applyNumberFormat="1" applyFont="1" applyBorder="1" applyAlignment="1">
      <alignment horizontal="center" vertical="center" wrapText="1"/>
    </xf>
    <xf numFmtId="0" fontId="117" fillId="0" borderId="1" xfId="0" applyFont="1" applyBorder="1" applyAlignment="1">
      <alignment horizontal="center" vertical="center" wrapText="1"/>
    </xf>
    <xf numFmtId="0" fontId="115" fillId="0" borderId="2" xfId="0" applyFont="1" applyFill="1" applyBorder="1" applyAlignment="1">
      <alignment horizontal="center" vertical="center" wrapText="1"/>
    </xf>
    <xf numFmtId="4" fontId="26" fillId="0" borderId="1" xfId="0" applyNumberFormat="1" applyFont="1" applyFill="1" applyBorder="1" applyAlignment="1">
      <alignment horizontal="center" vertical="center" wrapText="1"/>
    </xf>
    <xf numFmtId="0" fontId="89" fillId="0" borderId="1" xfId="0" applyFont="1" applyFill="1" applyBorder="1" applyAlignment="1">
      <alignment horizontal="center" vertical="center"/>
    </xf>
    <xf numFmtId="0" fontId="114" fillId="3" borderId="0" xfId="0" applyFont="1" applyFill="1" applyBorder="1" applyAlignment="1">
      <alignment horizontal="center" vertical="center"/>
    </xf>
    <xf numFmtId="0" fontId="57" fillId="0" borderId="0" xfId="0" applyFont="1" applyBorder="1"/>
    <xf numFmtId="0" fontId="57" fillId="0" borderId="0" xfId="0" applyFont="1" applyFill="1" applyBorder="1" applyAlignment="1"/>
    <xf numFmtId="0" fontId="57" fillId="0" borderId="0" xfId="0" applyFont="1" applyBorder="1" applyAlignment="1"/>
    <xf numFmtId="0" fontId="57" fillId="0" borderId="0" xfId="0" applyFont="1"/>
    <xf numFmtId="0" fontId="114" fillId="0" borderId="0" xfId="0" applyFont="1" applyFill="1" applyBorder="1" applyAlignment="1">
      <alignment horizontal="center" vertical="center"/>
    </xf>
    <xf numFmtId="0" fontId="57" fillId="0" borderId="0" xfId="0" applyFont="1" applyFill="1" applyBorder="1" applyAlignment="1">
      <alignment horizontal="center"/>
    </xf>
    <xf numFmtId="0" fontId="57" fillId="0" borderId="0" xfId="0" applyFont="1" applyFill="1" applyAlignment="1">
      <alignment horizontal="center"/>
    </xf>
    <xf numFmtId="0" fontId="27" fillId="0" borderId="13" xfId="0" applyFont="1" applyFill="1" applyBorder="1" applyAlignment="1">
      <alignment horizontal="center" vertical="center"/>
    </xf>
    <xf numFmtId="4" fontId="11" fillId="2" borderId="1" xfId="0" applyNumberFormat="1" applyFont="1" applyFill="1" applyBorder="1" applyAlignment="1">
      <alignment horizontal="center" vertical="top"/>
    </xf>
    <xf numFmtId="4" fontId="11" fillId="2" borderId="1" xfId="0" applyNumberFormat="1" applyFont="1" applyFill="1" applyBorder="1" applyAlignment="1">
      <alignment horizontal="center" vertical="top" wrapText="1"/>
    </xf>
    <xf numFmtId="49" fontId="0" fillId="12" borderId="1" xfId="0" applyNumberFormat="1" applyFill="1" applyBorder="1"/>
    <xf numFmtId="49" fontId="0" fillId="12" borderId="1" xfId="0" applyNumberFormat="1" applyFill="1" applyBorder="1" applyAlignment="1">
      <alignment vertical="center" wrapText="1"/>
    </xf>
    <xf numFmtId="49" fontId="0" fillId="12" borderId="1" xfId="0" applyNumberFormat="1" applyFill="1" applyBorder="1" applyAlignment="1">
      <alignment horizontal="left" vertical="center" wrapText="1"/>
    </xf>
    <xf numFmtId="4" fontId="0" fillId="12" borderId="1" xfId="0" applyNumberFormat="1" applyFill="1" applyBorder="1" applyAlignment="1">
      <alignment horizontal="center" vertical="center"/>
    </xf>
    <xf numFmtId="4" fontId="0" fillId="12" borderId="1" xfId="0" applyNumberFormat="1" applyFill="1" applyBorder="1" applyAlignment="1">
      <alignment horizontal="center" vertical="center" wrapText="1"/>
    </xf>
    <xf numFmtId="0" fontId="0" fillId="12" borderId="0" xfId="0" applyFill="1"/>
    <xf numFmtId="4" fontId="116" fillId="14" borderId="1" xfId="0" applyNumberFormat="1" applyFont="1" applyFill="1" applyBorder="1" applyAlignment="1">
      <alignment horizontal="center" vertical="center" wrapText="1"/>
    </xf>
    <xf numFmtId="0" fontId="116" fillId="14" borderId="0" xfId="0" applyFont="1" applyFill="1"/>
    <xf numFmtId="4" fontId="116" fillId="0" borderId="1" xfId="0" applyNumberFormat="1" applyFont="1" applyBorder="1" applyAlignment="1">
      <alignment horizontal="center" vertical="center"/>
    </xf>
    <xf numFmtId="4" fontId="116" fillId="0" borderId="1" xfId="0" applyNumberFormat="1" applyFont="1" applyBorder="1" applyAlignment="1">
      <alignment horizontal="center" vertical="center" wrapText="1"/>
    </xf>
    <xf numFmtId="49" fontId="116" fillId="11" borderId="1" xfId="0" applyNumberFormat="1" applyFont="1" applyFill="1" applyBorder="1"/>
    <xf numFmtId="49" fontId="116" fillId="11" borderId="1" xfId="0" applyNumberFormat="1" applyFont="1" applyFill="1" applyBorder="1" applyAlignment="1">
      <alignment horizontal="left" vertical="center" wrapText="1"/>
    </xf>
    <xf numFmtId="4" fontId="116" fillId="11" borderId="1" xfId="0" applyNumberFormat="1" applyFont="1" applyFill="1" applyBorder="1" applyAlignment="1">
      <alignment horizontal="center" vertical="center"/>
    </xf>
    <xf numFmtId="4" fontId="116" fillId="11" borderId="1" xfId="0" applyNumberFormat="1" applyFont="1" applyFill="1" applyBorder="1" applyAlignment="1">
      <alignment horizontal="center" vertical="center" wrapText="1"/>
    </xf>
    <xf numFmtId="0" fontId="116" fillId="11" borderId="0" xfId="0" applyFont="1" applyFill="1"/>
    <xf numFmtId="49" fontId="116" fillId="0" borderId="0" xfId="0" applyNumberFormat="1" applyFont="1" applyAlignment="1">
      <alignment horizontal="left" vertical="center" wrapText="1"/>
    </xf>
    <xf numFmtId="49" fontId="116" fillId="0" borderId="0" xfId="0" applyNumberFormat="1" applyFont="1" applyAlignment="1">
      <alignment horizontal="left"/>
    </xf>
    <xf numFmtId="49" fontId="0" fillId="11" borderId="1" xfId="0" applyNumberFormat="1" applyFill="1" applyBorder="1"/>
    <xf numFmtId="49" fontId="0" fillId="11" borderId="1" xfId="0" applyNumberFormat="1" applyFill="1" applyBorder="1" applyAlignment="1">
      <alignment horizontal="left" vertical="center" wrapText="1"/>
    </xf>
    <xf numFmtId="4" fontId="0" fillId="11" borderId="1" xfId="0" applyNumberFormat="1" applyFill="1" applyBorder="1" applyAlignment="1">
      <alignment horizontal="center" vertical="center"/>
    </xf>
    <xf numFmtId="4" fontId="0" fillId="11" borderId="1" xfId="0" applyNumberFormat="1" applyFill="1" applyBorder="1" applyAlignment="1">
      <alignment horizontal="center" vertical="center" wrapText="1"/>
    </xf>
    <xf numFmtId="4" fontId="9" fillId="11" borderId="1" xfId="0" applyNumberFormat="1" applyFont="1" applyFill="1" applyBorder="1" applyAlignment="1">
      <alignment horizontal="center" vertical="center"/>
    </xf>
    <xf numFmtId="1" fontId="116" fillId="0" borderId="1" xfId="0" applyNumberFormat="1" applyFont="1" applyBorder="1" applyAlignment="1">
      <alignment horizontal="center" vertical="center" wrapText="1"/>
    </xf>
    <xf numFmtId="0" fontId="8" fillId="0" borderId="1" xfId="0" applyFont="1" applyFill="1" applyBorder="1" applyAlignment="1">
      <alignment horizontal="left" vertical="top" wrapText="1"/>
    </xf>
    <xf numFmtId="0" fontId="8" fillId="0" borderId="2" xfId="0" applyFont="1" applyFill="1" applyBorder="1" applyAlignment="1">
      <alignment horizontal="left" vertical="top" wrapText="1"/>
    </xf>
    <xf numFmtId="0" fontId="8" fillId="0" borderId="11" xfId="0" applyFont="1" applyFill="1" applyBorder="1" applyAlignment="1">
      <alignment horizontal="left" vertical="top" wrapText="1"/>
    </xf>
    <xf numFmtId="0" fontId="8" fillId="0" borderId="6" xfId="0" applyFont="1" applyFill="1" applyBorder="1" applyAlignment="1">
      <alignment horizontal="left" vertical="top" wrapText="1"/>
    </xf>
    <xf numFmtId="0" fontId="8" fillId="0" borderId="1" xfId="0" applyFont="1" applyFill="1" applyBorder="1" applyAlignment="1">
      <alignment horizontal="center" vertical="top" wrapText="1"/>
    </xf>
    <xf numFmtId="49" fontId="11" fillId="0" borderId="0" xfId="0" applyNumberFormat="1" applyFont="1" applyFill="1" applyBorder="1" applyAlignment="1">
      <alignment horizontal="left" vertical="top" wrapText="1"/>
    </xf>
    <xf numFmtId="49" fontId="11" fillId="0" borderId="1" xfId="0" applyNumberFormat="1" applyFont="1" applyFill="1" applyBorder="1" applyAlignment="1">
      <alignment horizontal="left" vertical="top" wrapText="1"/>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left" vertical="top" wrapText="1"/>
    </xf>
    <xf numFmtId="0" fontId="11" fillId="0" borderId="0" xfId="0" applyFont="1" applyFill="1" applyBorder="1" applyAlignment="1">
      <alignment horizontal="left" vertical="top" wrapText="1"/>
    </xf>
    <xf numFmtId="4" fontId="63" fillId="10" borderId="1" xfId="0" applyNumberFormat="1" applyFont="1" applyFill="1" applyBorder="1" applyAlignment="1">
      <alignment horizontal="center" vertical="top" wrapText="1"/>
    </xf>
    <xf numFmtId="0" fontId="11" fillId="0" borderId="0" xfId="0" applyFont="1" applyFill="1" applyAlignment="1">
      <alignment horizontal="left" wrapText="1"/>
    </xf>
    <xf numFmtId="49" fontId="39" fillId="10" borderId="1" xfId="0" applyNumberFormat="1" applyFont="1" applyFill="1" applyBorder="1" applyAlignment="1">
      <alignment horizontal="left" vertical="top" wrapText="1"/>
    </xf>
    <xf numFmtId="0" fontId="39" fillId="10" borderId="1" xfId="0" applyFont="1" applyFill="1" applyBorder="1" applyAlignment="1">
      <alignment horizontal="left" vertical="top" wrapText="1"/>
    </xf>
    <xf numFmtId="4" fontId="39" fillId="10" borderId="1" xfId="0" applyNumberFormat="1" applyFont="1" applyFill="1" applyBorder="1" applyAlignment="1">
      <alignment horizontal="left" vertical="top" wrapText="1"/>
    </xf>
    <xf numFmtId="4" fontId="39" fillId="10" borderId="2" xfId="0" applyNumberFormat="1" applyFont="1" applyFill="1" applyBorder="1" applyAlignment="1">
      <alignment horizontal="left" vertical="top" wrapText="1"/>
    </xf>
    <xf numFmtId="4" fontId="63" fillId="0" borderId="1" xfId="0" applyNumberFormat="1" applyFont="1" applyFill="1" applyBorder="1" applyAlignment="1">
      <alignment horizontal="center" vertical="top" wrapText="1"/>
    </xf>
    <xf numFmtId="1" fontId="39" fillId="0" borderId="3" xfId="0" applyNumberFormat="1" applyFont="1" applyFill="1" applyBorder="1" applyAlignment="1">
      <alignment horizontal="center" vertical="top" wrapText="1"/>
    </xf>
    <xf numFmtId="49" fontId="39" fillId="0" borderId="1" xfId="0" applyNumberFormat="1" applyFont="1" applyFill="1" applyBorder="1" applyAlignment="1">
      <alignment horizontal="left" vertical="top" wrapText="1"/>
    </xf>
    <xf numFmtId="0" fontId="39" fillId="0" borderId="1" xfId="0" applyFont="1" applyFill="1" applyBorder="1" applyAlignment="1">
      <alignment horizontal="left" vertical="top" wrapText="1"/>
    </xf>
    <xf numFmtId="4" fontId="39" fillId="0" borderId="7" xfId="0" applyNumberFormat="1" applyFont="1" applyFill="1" applyBorder="1" applyAlignment="1">
      <alignment horizontal="left" vertical="top" wrapText="1"/>
    </xf>
    <xf numFmtId="2" fontId="39" fillId="0" borderId="3" xfId="0" applyNumberFormat="1" applyFont="1" applyFill="1" applyBorder="1" applyAlignment="1">
      <alignment horizontal="left" vertical="top" wrapText="1"/>
    </xf>
    <xf numFmtId="0" fontId="40" fillId="0" borderId="1" xfId="0" applyFont="1" applyFill="1" applyBorder="1" applyAlignment="1">
      <alignment horizontal="left" vertical="top" wrapText="1"/>
    </xf>
    <xf numFmtId="4" fontId="39" fillId="0" borderId="1" xfId="0" applyNumberFormat="1" applyFont="1" applyFill="1" applyBorder="1" applyAlignment="1">
      <alignment horizontal="left" vertical="top" wrapText="1"/>
    </xf>
    <xf numFmtId="4" fontId="40" fillId="0" borderId="1" xfId="0" applyNumberFormat="1" applyFont="1" applyFill="1" applyBorder="1" applyAlignment="1">
      <alignment horizontal="left" vertical="top" wrapText="1"/>
    </xf>
    <xf numFmtId="0" fontId="39" fillId="0" borderId="1" xfId="0" applyNumberFormat="1" applyFont="1" applyFill="1" applyBorder="1" applyAlignment="1">
      <alignment horizontal="left" vertical="top" wrapText="1"/>
    </xf>
    <xf numFmtId="2" fontId="8" fillId="0" borderId="1" xfId="0" applyNumberFormat="1" applyFont="1" applyFill="1" applyBorder="1" applyAlignment="1">
      <alignment horizontal="center" vertical="top" wrapText="1"/>
    </xf>
    <xf numFmtId="4" fontId="11"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0" fontId="11" fillId="15" borderId="1" xfId="0" applyFont="1" applyFill="1" applyBorder="1" applyAlignment="1">
      <alignment horizontal="left" vertical="top" wrapText="1"/>
    </xf>
    <xf numFmtId="4" fontId="11" fillId="2" borderId="1" xfId="0" applyNumberFormat="1" applyFont="1" applyFill="1" applyBorder="1" applyAlignment="1">
      <alignment horizontal="left" vertical="top" wrapText="1"/>
    </xf>
    <xf numFmtId="0" fontId="48" fillId="0" borderId="1" xfId="0"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1" xfId="0" applyFont="1" applyFill="1" applyBorder="1" applyAlignment="1">
      <alignment horizontal="left" vertical="center" wrapText="1"/>
    </xf>
    <xf numFmtId="0" fontId="3" fillId="0" borderId="1" xfId="0" applyFont="1" applyFill="1" applyBorder="1" applyAlignment="1">
      <alignment horizontal="center" vertical="top" wrapText="1"/>
    </xf>
    <xf numFmtId="0" fontId="3" fillId="0" borderId="1" xfId="0" applyFont="1" applyFill="1" applyBorder="1" applyAlignment="1">
      <alignment horizontal="left" vertical="top"/>
    </xf>
    <xf numFmtId="0" fontId="8" fillId="0" borderId="1" xfId="0" applyFont="1" applyFill="1" applyBorder="1" applyAlignment="1">
      <alignment horizontal="left" vertical="top" wrapText="1"/>
    </xf>
    <xf numFmtId="49" fontId="8" fillId="0" borderId="1" xfId="0" applyNumberFormat="1" applyFont="1" applyFill="1" applyBorder="1" applyAlignment="1">
      <alignment horizontal="center" vertical="center" wrapText="1"/>
    </xf>
    <xf numFmtId="4" fontId="8" fillId="0" borderId="1" xfId="0" applyNumberFormat="1" applyFont="1" applyFill="1" applyBorder="1" applyAlignment="1">
      <alignment horizontal="left" vertical="top" wrapText="1"/>
    </xf>
    <xf numFmtId="4" fontId="8" fillId="0" borderId="1" xfId="0" applyNumberFormat="1" applyFont="1" applyFill="1" applyBorder="1" applyAlignment="1">
      <alignment horizontal="center" vertical="top" wrapText="1"/>
    </xf>
    <xf numFmtId="3" fontId="8" fillId="0" borderId="1" xfId="0" applyNumberFormat="1" applyFont="1" applyFill="1" applyBorder="1" applyAlignment="1">
      <alignment horizontal="left" vertical="top" wrapText="1"/>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left" vertical="top" wrapText="1"/>
    </xf>
    <xf numFmtId="3" fontId="8" fillId="0" borderId="1" xfId="0" applyNumberFormat="1" applyFont="1" applyFill="1" applyBorder="1" applyAlignment="1">
      <alignment horizontal="center" vertical="top" wrapText="1"/>
    </xf>
    <xf numFmtId="49" fontId="8" fillId="0" borderId="1" xfId="0" applyNumberFormat="1" applyFont="1" applyFill="1" applyBorder="1" applyAlignment="1">
      <alignment horizontal="left" vertical="top" wrapText="1"/>
    </xf>
    <xf numFmtId="0" fontId="11" fillId="0" borderId="0" xfId="0" applyFont="1" applyFill="1" applyBorder="1" applyAlignment="1">
      <alignment horizontal="left" vertical="top" wrapText="1"/>
    </xf>
    <xf numFmtId="2" fontId="11" fillId="0" borderId="0" xfId="0" applyNumberFormat="1" applyFont="1" applyFill="1" applyBorder="1" applyAlignment="1">
      <alignment horizontal="left" vertical="top" wrapText="1"/>
    </xf>
    <xf numFmtId="0" fontId="11" fillId="0" borderId="1" xfId="0" applyFont="1" applyFill="1" applyBorder="1" applyAlignment="1">
      <alignment horizontal="left" vertical="top"/>
    </xf>
    <xf numFmtId="0" fontId="11" fillId="0" borderId="1" xfId="0" applyFont="1" applyFill="1" applyBorder="1" applyAlignment="1">
      <alignment horizontal="left" vertical="center"/>
    </xf>
    <xf numFmtId="2" fontId="3" fillId="0" borderId="1" xfId="0" applyNumberFormat="1" applyFont="1" applyFill="1" applyBorder="1" applyAlignment="1">
      <alignment horizontal="left" vertical="top" wrapText="1"/>
    </xf>
    <xf numFmtId="0" fontId="3" fillId="0" borderId="1" xfId="0" applyFont="1" applyFill="1" applyBorder="1" applyAlignment="1">
      <alignment horizontal="left" vertical="top" wrapText="1"/>
    </xf>
    <xf numFmtId="0" fontId="11" fillId="0" borderId="1" xfId="0" applyFont="1" applyFill="1" applyBorder="1" applyAlignment="1">
      <alignment vertical="top" wrapText="1"/>
    </xf>
    <xf numFmtId="4" fontId="3" fillId="0" borderId="1" xfId="0" applyNumberFormat="1" applyFont="1" applyFill="1" applyBorder="1" applyAlignment="1">
      <alignment horizontal="center" vertical="top" wrapText="1"/>
    </xf>
    <xf numFmtId="4" fontId="3" fillId="0"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center" wrapText="1"/>
    </xf>
    <xf numFmtId="0" fontId="46" fillId="0" borderId="1" xfId="0" applyFont="1" applyFill="1" applyBorder="1" applyAlignment="1">
      <alignment horizontal="left" vertical="top" wrapText="1"/>
    </xf>
    <xf numFmtId="4" fontId="46" fillId="0" borderId="1" xfId="0" applyNumberFormat="1" applyFont="1" applyFill="1" applyBorder="1" applyAlignment="1">
      <alignment horizontal="left" vertical="top" wrapText="1"/>
    </xf>
    <xf numFmtId="4" fontId="46" fillId="0" borderId="1" xfId="0" applyNumberFormat="1" applyFont="1" applyFill="1" applyBorder="1" applyAlignment="1">
      <alignment horizontal="left" vertical="top"/>
    </xf>
    <xf numFmtId="4" fontId="66" fillId="6" borderId="1" xfId="0" applyNumberFormat="1" applyFont="1" applyFill="1" applyBorder="1" applyAlignment="1">
      <alignment vertical="top" wrapText="1"/>
    </xf>
    <xf numFmtId="4" fontId="39" fillId="6" borderId="1" xfId="0" applyNumberFormat="1" applyFont="1" applyFill="1" applyBorder="1" applyAlignment="1">
      <alignment horizontal="left" vertical="top" wrapText="1"/>
    </xf>
    <xf numFmtId="0" fontId="39" fillId="6" borderId="1" xfId="0" applyFont="1" applyFill="1" applyBorder="1" applyAlignment="1">
      <alignment horizontal="left" vertical="top" wrapText="1"/>
    </xf>
    <xf numFmtId="4" fontId="39" fillId="6" borderId="1" xfId="0" applyNumberFormat="1" applyFont="1" applyFill="1" applyBorder="1" applyAlignment="1">
      <alignment horizontal="center" vertical="center" wrapText="1"/>
    </xf>
    <xf numFmtId="4" fontId="42" fillId="6" borderId="13" xfId="0" applyNumberFormat="1" applyFont="1" applyFill="1" applyBorder="1" applyAlignment="1">
      <alignment horizontal="left" vertical="top" wrapText="1"/>
    </xf>
    <xf numFmtId="49" fontId="39" fillId="6" borderId="1" xfId="0" applyNumberFormat="1" applyFont="1" applyFill="1" applyBorder="1" applyAlignment="1">
      <alignment horizontal="left" vertical="top" wrapText="1"/>
    </xf>
    <xf numFmtId="0" fontId="66" fillId="6" borderId="1" xfId="0" applyFont="1" applyFill="1" applyBorder="1" applyAlignment="1">
      <alignment vertical="top" wrapText="1"/>
    </xf>
    <xf numFmtId="164" fontId="16" fillId="2" borderId="0" xfId="4" applyFont="1" applyFill="1" applyBorder="1"/>
    <xf numFmtId="164" fontId="5" fillId="2" borderId="0" xfId="0" applyNumberFormat="1" applyFont="1" applyFill="1"/>
    <xf numFmtId="4" fontId="11" fillId="17" borderId="1" xfId="0" applyNumberFormat="1" applyFont="1" applyFill="1" applyBorder="1" applyAlignment="1">
      <alignment horizontal="left" vertical="top" wrapText="1"/>
    </xf>
    <xf numFmtId="0" fontId="11" fillId="17" borderId="1" xfId="0" applyFont="1" applyFill="1" applyBorder="1" applyAlignment="1">
      <alignment horizontal="left" vertical="top" wrapText="1"/>
    </xf>
    <xf numFmtId="4" fontId="11" fillId="17" borderId="1" xfId="0" applyNumberFormat="1" applyFont="1" applyFill="1" applyBorder="1" applyAlignment="1">
      <alignment horizontal="left" vertical="center" wrapText="1"/>
    </xf>
    <xf numFmtId="4" fontId="11" fillId="17" borderId="1" xfId="0" applyNumberFormat="1" applyFont="1" applyFill="1" applyBorder="1" applyAlignment="1">
      <alignment vertical="top" wrapText="1"/>
    </xf>
    <xf numFmtId="0" fontId="0" fillId="17" borderId="1" xfId="0" applyFill="1" applyBorder="1"/>
    <xf numFmtId="49" fontId="11" fillId="17" borderId="1" xfId="0" applyNumberFormat="1" applyFont="1" applyFill="1" applyBorder="1" applyAlignment="1">
      <alignment horizontal="left" vertical="top" wrapText="1"/>
    </xf>
    <xf numFmtId="0" fontId="8" fillId="0" borderId="1" xfId="0" applyFont="1" applyFill="1" applyBorder="1" applyAlignment="1">
      <alignment vertical="top" wrapText="1"/>
    </xf>
    <xf numFmtId="4" fontId="48" fillId="0" borderId="1" xfId="0" applyNumberFormat="1" applyFont="1" applyFill="1" applyBorder="1" applyAlignment="1">
      <alignment horizontal="left" vertical="top" wrapText="1"/>
    </xf>
    <xf numFmtId="4" fontId="21" fillId="0" borderId="1" xfId="0" applyNumberFormat="1" applyFont="1" applyFill="1" applyBorder="1" applyAlignment="1">
      <alignment horizontal="left" vertical="top"/>
    </xf>
    <xf numFmtId="0" fontId="8" fillId="0" borderId="5" xfId="0" applyNumberFormat="1" applyFont="1" applyFill="1" applyBorder="1" applyAlignment="1">
      <alignment horizontal="left" vertical="top"/>
    </xf>
    <xf numFmtId="2" fontId="8" fillId="0" borderId="2" xfId="0" applyNumberFormat="1" applyFont="1" applyFill="1" applyBorder="1" applyAlignment="1">
      <alignment horizontal="left" vertical="top" wrapText="1"/>
    </xf>
    <xf numFmtId="4" fontId="11" fillId="6" borderId="1" xfId="0" applyNumberFormat="1" applyFont="1" applyFill="1" applyBorder="1" applyAlignment="1">
      <alignment horizontal="left" vertical="top" wrapText="1"/>
    </xf>
    <xf numFmtId="0" fontId="8" fillId="6" borderId="1" xfId="0" applyFont="1" applyFill="1" applyBorder="1" applyAlignment="1">
      <alignment horizontal="left" vertical="top" wrapText="1"/>
    </xf>
    <xf numFmtId="0" fontId="21" fillId="0" borderId="1" xfId="0" applyFont="1" applyFill="1" applyBorder="1" applyAlignment="1">
      <alignment horizontal="left" vertical="top" wrapText="1"/>
    </xf>
    <xf numFmtId="4" fontId="39" fillId="2" borderId="1" xfId="0" applyNumberFormat="1" applyFont="1" applyFill="1" applyBorder="1" applyAlignment="1">
      <alignment horizontal="left" vertical="top" wrapText="1"/>
    </xf>
    <xf numFmtId="0" fontId="11" fillId="6" borderId="1" xfId="0" applyFont="1" applyFill="1" applyBorder="1" applyAlignment="1">
      <alignment horizontal="left" vertical="top" wrapText="1"/>
    </xf>
    <xf numFmtId="49" fontId="11" fillId="6" borderId="1" xfId="0" applyNumberFormat="1" applyFont="1" applyFill="1" applyBorder="1" applyAlignment="1">
      <alignment horizontal="left" vertical="top" wrapText="1"/>
    </xf>
    <xf numFmtId="4" fontId="11" fillId="6" borderId="1" xfId="0" applyNumberFormat="1" applyFont="1" applyFill="1" applyBorder="1" applyAlignment="1">
      <alignment vertical="top" wrapText="1"/>
    </xf>
    <xf numFmtId="4" fontId="12" fillId="6" borderId="1" xfId="0" applyNumberFormat="1" applyFont="1" applyFill="1" applyBorder="1" applyAlignment="1">
      <alignment horizontal="left"/>
    </xf>
    <xf numFmtId="0" fontId="11" fillId="6" borderId="1" xfId="0" applyFont="1" applyFill="1" applyBorder="1" applyAlignment="1">
      <alignment horizontal="center" wrapText="1"/>
    </xf>
    <xf numFmtId="4" fontId="11" fillId="6" borderId="1" xfId="0" applyNumberFormat="1" applyFont="1" applyFill="1" applyBorder="1" applyAlignment="1">
      <alignment horizontal="center" vertical="top" wrapText="1"/>
    </xf>
    <xf numFmtId="0" fontId="11" fillId="6" borderId="1" xfId="0" applyFont="1" applyFill="1" applyBorder="1" applyAlignment="1">
      <alignment vertical="center" wrapText="1"/>
    </xf>
    <xf numFmtId="1" fontId="11" fillId="6" borderId="1" xfId="0" applyNumberFormat="1" applyFont="1" applyFill="1" applyBorder="1" applyAlignment="1">
      <alignment horizontal="center" vertical="center"/>
    </xf>
    <xf numFmtId="4" fontId="11" fillId="6" borderId="1" xfId="0" applyNumberFormat="1" applyFont="1" applyFill="1" applyBorder="1" applyAlignment="1"/>
    <xf numFmtId="0" fontId="7" fillId="6" borderId="1" xfId="0" applyFont="1" applyFill="1" applyBorder="1" applyAlignment="1">
      <alignment horizontal="left" vertical="top" wrapText="1"/>
    </xf>
    <xf numFmtId="2" fontId="27" fillId="6" borderId="1" xfId="0" applyNumberFormat="1" applyFont="1" applyFill="1" applyBorder="1" applyAlignment="1">
      <alignment horizontal="left" vertical="top" wrapText="1"/>
    </xf>
    <xf numFmtId="4" fontId="12" fillId="11" borderId="15" xfId="0" applyNumberFormat="1" applyFont="1" applyFill="1" applyBorder="1"/>
    <xf numFmtId="4" fontId="3" fillId="0" borderId="1" xfId="0" applyNumberFormat="1" applyFont="1" applyFill="1" applyBorder="1" applyAlignment="1">
      <alignment horizontal="center" vertical="center" wrapText="1"/>
    </xf>
    <xf numFmtId="4" fontId="3" fillId="0" borderId="2" xfId="0" applyNumberFormat="1" applyFont="1" applyFill="1" applyBorder="1" applyAlignment="1">
      <alignment horizontal="left" vertical="top" wrapText="1"/>
    </xf>
    <xf numFmtId="4" fontId="3" fillId="0" borderId="1" xfId="0" applyNumberFormat="1" applyFont="1" applyFill="1" applyBorder="1" applyAlignment="1">
      <alignment horizontal="left" vertical="top"/>
    </xf>
    <xf numFmtId="173" fontId="3" fillId="0" borderId="1" xfId="0" applyNumberFormat="1" applyFont="1" applyFill="1" applyBorder="1" applyAlignment="1">
      <alignment horizontal="left" vertical="top" wrapText="1"/>
    </xf>
    <xf numFmtId="1" fontId="3" fillId="0" borderId="1" xfId="0" applyNumberFormat="1" applyFont="1" applyFill="1" applyBorder="1" applyAlignment="1">
      <alignment horizontal="left" vertical="top"/>
    </xf>
    <xf numFmtId="49" fontId="3" fillId="0" borderId="1" xfId="0" applyNumberFormat="1" applyFont="1" applyFill="1" applyBorder="1" applyAlignment="1">
      <alignment horizontal="left" vertical="top"/>
    </xf>
    <xf numFmtId="0" fontId="3" fillId="0" borderId="1" xfId="0" applyFont="1" applyFill="1" applyBorder="1" applyAlignment="1">
      <alignment vertical="top"/>
    </xf>
    <xf numFmtId="4" fontId="79" fillId="0" borderId="1" xfId="0" applyNumberFormat="1" applyFont="1" applyFill="1" applyBorder="1" applyAlignment="1">
      <alignment horizontal="left" vertical="top" wrapText="1"/>
    </xf>
    <xf numFmtId="4" fontId="66" fillId="0" borderId="1" xfId="0" applyNumberFormat="1" applyFont="1" applyFill="1" applyBorder="1" applyAlignment="1">
      <alignment horizontal="center" vertical="center" wrapText="1"/>
    </xf>
    <xf numFmtId="4" fontId="66" fillId="2" borderId="1" xfId="0" applyNumberFormat="1" applyFont="1" applyFill="1" applyBorder="1" applyAlignment="1">
      <alignment horizontal="center" vertical="center" wrapText="1"/>
    </xf>
    <xf numFmtId="49" fontId="8" fillId="0" borderId="1" xfId="0" applyNumberFormat="1" applyFont="1" applyFill="1" applyBorder="1" applyAlignment="1">
      <alignment horizontal="left" vertical="center" wrapText="1"/>
    </xf>
    <xf numFmtId="4" fontId="119" fillId="0" borderId="1" xfId="0" applyNumberFormat="1" applyFont="1" applyFill="1" applyBorder="1" applyAlignment="1">
      <alignment horizontal="center" vertical="center" wrapText="1"/>
    </xf>
    <xf numFmtId="4" fontId="66" fillId="6" borderId="1" xfId="0" applyNumberFormat="1" applyFont="1" applyFill="1" applyBorder="1" applyAlignment="1">
      <alignment horizontal="center" vertical="center" wrapText="1"/>
    </xf>
    <xf numFmtId="4" fontId="8" fillId="6" borderId="1" xfId="0" applyNumberFormat="1" applyFont="1" applyFill="1" applyBorder="1" applyAlignment="1">
      <alignment horizontal="center" vertical="center" wrapText="1"/>
    </xf>
    <xf numFmtId="0" fontId="8" fillId="0" borderId="1" xfId="0" applyFont="1" applyFill="1" applyBorder="1" applyAlignment="1">
      <alignment horizontal="left" vertical="top" wrapText="1"/>
    </xf>
    <xf numFmtId="4" fontId="8" fillId="0" borderId="1" xfId="0" applyNumberFormat="1" applyFont="1" applyFill="1" applyBorder="1" applyAlignment="1">
      <alignment horizontal="left" vertical="top" wrapText="1"/>
    </xf>
    <xf numFmtId="0" fontId="28" fillId="0" borderId="1" xfId="0" applyFont="1" applyFill="1" applyBorder="1" applyAlignment="1">
      <alignment horizontal="center"/>
    </xf>
    <xf numFmtId="3" fontId="12" fillId="0" borderId="1" xfId="0" applyNumberFormat="1" applyFont="1" applyFill="1" applyBorder="1" applyAlignment="1">
      <alignment horizontal="center"/>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left" vertical="top" wrapText="1"/>
    </xf>
    <xf numFmtId="4" fontId="11" fillId="10" borderId="1" xfId="0" applyNumberFormat="1" applyFont="1" applyFill="1" applyBorder="1" applyAlignment="1">
      <alignment horizontal="center" vertical="top" wrapText="1"/>
    </xf>
    <xf numFmtId="4" fontId="11" fillId="17" borderId="1" xfId="0" applyNumberFormat="1" applyFont="1" applyFill="1" applyBorder="1" applyAlignment="1">
      <alignment horizontal="center" vertical="center" wrapText="1"/>
    </xf>
    <xf numFmtId="0" fontId="4" fillId="0" borderId="1" xfId="0" applyFont="1" applyFill="1" applyBorder="1" applyAlignment="1">
      <alignment horizontal="left" vertical="top"/>
    </xf>
    <xf numFmtId="0" fontId="4" fillId="0" borderId="1" xfId="0" applyFont="1" applyFill="1" applyBorder="1" applyAlignment="1">
      <alignment horizontal="left" vertical="top" wrapText="1"/>
    </xf>
    <xf numFmtId="4" fontId="11" fillId="16" borderId="1" xfId="0" applyNumberFormat="1" applyFont="1" applyFill="1" applyBorder="1" applyAlignment="1">
      <alignment horizontal="center" vertical="center" wrapText="1"/>
    </xf>
    <xf numFmtId="4" fontId="11" fillId="16" borderId="1" xfId="0" applyNumberFormat="1" applyFont="1" applyFill="1" applyBorder="1" applyAlignment="1">
      <alignment horizontal="center" vertical="center"/>
    </xf>
    <xf numFmtId="4" fontId="4" fillId="0" borderId="1" xfId="0" applyNumberFormat="1" applyFont="1" applyFill="1" applyBorder="1" applyAlignment="1">
      <alignment horizontal="center" vertical="center"/>
    </xf>
    <xf numFmtId="4" fontId="3" fillId="16" borderId="1" xfId="0" applyNumberFormat="1" applyFont="1" applyFill="1" applyBorder="1" applyAlignment="1">
      <alignment horizontal="left" vertical="top" wrapText="1"/>
    </xf>
    <xf numFmtId="4" fontId="3" fillId="16" borderId="1" xfId="0" applyNumberFormat="1" applyFont="1" applyFill="1" applyBorder="1" applyAlignment="1">
      <alignment horizontal="center" vertical="center" wrapText="1"/>
    </xf>
    <xf numFmtId="0" fontId="109" fillId="0" borderId="0" xfId="0" applyFont="1" applyFill="1" applyBorder="1"/>
    <xf numFmtId="49" fontId="3" fillId="0" borderId="15" xfId="0" applyNumberFormat="1" applyFont="1" applyFill="1" applyBorder="1" applyAlignment="1">
      <alignment horizontal="left" vertical="top"/>
    </xf>
    <xf numFmtId="4" fontId="3" fillId="16" borderId="1" xfId="0" applyNumberFormat="1" applyFont="1" applyFill="1" applyBorder="1" applyAlignment="1">
      <alignment horizontal="center" vertical="top" wrapText="1"/>
    </xf>
    <xf numFmtId="49" fontId="3" fillId="0" borderId="1" xfId="0" applyNumberFormat="1" applyFont="1" applyFill="1" applyBorder="1" applyAlignment="1">
      <alignment vertical="top" wrapText="1"/>
    </xf>
    <xf numFmtId="4" fontId="11" fillId="16" borderId="1" xfId="0" applyNumberFormat="1" applyFont="1" applyFill="1" applyBorder="1" applyAlignment="1">
      <alignment horizontal="left" vertical="top" wrapText="1"/>
    </xf>
    <xf numFmtId="0" fontId="5" fillId="0" borderId="0" xfId="0" applyFont="1" applyFill="1" applyBorder="1" applyAlignment="1">
      <alignment wrapText="1"/>
    </xf>
    <xf numFmtId="4" fontId="3" fillId="16" borderId="1" xfId="0" applyNumberFormat="1" applyFont="1" applyFill="1" applyBorder="1" applyAlignment="1">
      <alignment horizontal="left" vertical="top"/>
    </xf>
    <xf numFmtId="1" fontId="8" fillId="0" borderId="1" xfId="0" applyNumberFormat="1" applyFont="1" applyFill="1" applyBorder="1" applyAlignment="1">
      <alignment horizontal="left" vertical="center"/>
    </xf>
    <xf numFmtId="3" fontId="8" fillId="0" borderId="13" xfId="0" applyNumberFormat="1" applyFont="1" applyFill="1" applyBorder="1" applyAlignment="1">
      <alignment horizontal="center" vertical="center"/>
    </xf>
    <xf numFmtId="0" fontId="20" fillId="0" borderId="1" xfId="0" applyFont="1" applyFill="1" applyBorder="1" applyAlignment="1">
      <alignment horizontal="center" vertical="center"/>
    </xf>
    <xf numFmtId="4" fontId="49" fillId="16" borderId="1" xfId="0" applyNumberFormat="1" applyFont="1" applyFill="1" applyBorder="1" applyAlignment="1">
      <alignment horizontal="center" vertical="top" wrapText="1"/>
    </xf>
    <xf numFmtId="4" fontId="8" fillId="16" borderId="1" xfId="0" applyNumberFormat="1" applyFont="1" applyFill="1" applyBorder="1" applyAlignment="1">
      <alignment horizontal="center" vertical="top" wrapText="1"/>
    </xf>
    <xf numFmtId="4" fontId="8" fillId="6" borderId="1" xfId="0" applyNumberFormat="1" applyFont="1" applyFill="1" applyBorder="1" applyAlignment="1">
      <alignment horizontal="left" vertical="top" wrapText="1"/>
    </xf>
    <xf numFmtId="0" fontId="20" fillId="0" borderId="1" xfId="0" applyFont="1" applyFill="1" applyBorder="1" applyAlignment="1">
      <alignment vertical="center"/>
    </xf>
    <xf numFmtId="4" fontId="4" fillId="8" borderId="13" xfId="0" applyNumberFormat="1" applyFont="1" applyFill="1" applyBorder="1" applyAlignment="1">
      <alignment horizontal="left" vertical="top" wrapText="1"/>
    </xf>
    <xf numFmtId="4" fontId="11" fillId="2" borderId="1" xfId="0" applyNumberFormat="1" applyFont="1" applyFill="1" applyBorder="1" applyAlignment="1">
      <alignment horizontal="left" vertical="top" wrapText="1"/>
    </xf>
    <xf numFmtId="4" fontId="11" fillId="2" borderId="1" xfId="0" applyNumberFormat="1" applyFont="1" applyFill="1" applyBorder="1" applyAlignment="1">
      <alignment horizontal="center" vertical="center" wrapText="1"/>
    </xf>
    <xf numFmtId="0" fontId="39" fillId="2" borderId="1" xfId="0" applyFont="1" applyFill="1" applyBorder="1" applyAlignment="1">
      <alignment horizontal="left" vertical="top" wrapText="1"/>
    </xf>
    <xf numFmtId="4" fontId="8" fillId="2" borderId="1" xfId="0" applyNumberFormat="1" applyFont="1" applyFill="1" applyBorder="1" applyAlignment="1">
      <alignment horizontal="left" vertical="top" wrapText="1"/>
    </xf>
    <xf numFmtId="0" fontId="11" fillId="10" borderId="1" xfId="0" applyFont="1" applyFill="1" applyBorder="1" applyAlignment="1">
      <alignment horizontal="left" vertical="top" wrapText="1"/>
    </xf>
    <xf numFmtId="4" fontId="11" fillId="10" borderId="1" xfId="0" applyNumberFormat="1" applyFont="1" applyFill="1" applyBorder="1" applyAlignment="1">
      <alignment horizontal="center" vertical="top"/>
    </xf>
    <xf numFmtId="0" fontId="11" fillId="10" borderId="1" xfId="0" applyFont="1" applyFill="1" applyBorder="1" applyAlignment="1">
      <alignment vertical="top" wrapText="1"/>
    </xf>
    <xf numFmtId="167" fontId="11" fillId="10" borderId="1" xfId="0" applyNumberFormat="1" applyFont="1" applyFill="1" applyBorder="1" applyAlignment="1">
      <alignment horizontal="center" vertical="top" wrapText="1"/>
    </xf>
    <xf numFmtId="167" fontId="11" fillId="10" borderId="1" xfId="2" applyNumberFormat="1" applyFont="1" applyFill="1" applyBorder="1" applyAlignment="1">
      <alignment horizontal="center" vertical="top" wrapText="1"/>
    </xf>
    <xf numFmtId="170" fontId="11" fillId="10" borderId="1" xfId="0" applyNumberFormat="1" applyFont="1" applyFill="1" applyBorder="1" applyAlignment="1">
      <alignment horizontal="center" vertical="top" wrapText="1"/>
    </xf>
    <xf numFmtId="0" fontId="11" fillId="10" borderId="2" xfId="0" applyFont="1" applyFill="1" applyBorder="1" applyAlignment="1">
      <alignment horizontal="center" vertical="top" wrapText="1"/>
    </xf>
    <xf numFmtId="49" fontId="11" fillId="10" borderId="1" xfId="0" applyNumberFormat="1" applyFont="1" applyFill="1" applyBorder="1" applyAlignment="1">
      <alignment horizontal="center" vertical="top" wrapText="1"/>
    </xf>
    <xf numFmtId="0" fontId="11" fillId="10" borderId="2" xfId="0" applyFont="1" applyFill="1" applyBorder="1" applyAlignment="1">
      <alignment horizontal="left" vertical="top" wrapText="1"/>
    </xf>
    <xf numFmtId="0" fontId="11" fillId="10" borderId="5" xfId="0" applyFont="1" applyFill="1" applyBorder="1" applyAlignment="1">
      <alignment horizontal="left" vertical="top" wrapText="1"/>
    </xf>
    <xf numFmtId="0" fontId="11" fillId="10" borderId="13" xfId="0" applyFont="1" applyFill="1" applyBorder="1" applyAlignment="1">
      <alignment horizontal="left" vertical="top" wrapText="1"/>
    </xf>
    <xf numFmtId="0" fontId="8" fillId="10" borderId="1" xfId="0" applyFont="1" applyFill="1" applyBorder="1" applyAlignment="1">
      <alignment vertical="center" wrapText="1"/>
    </xf>
    <xf numFmtId="4" fontId="11" fillId="10" borderId="2" xfId="0" applyNumberFormat="1" applyFont="1" applyFill="1" applyBorder="1" applyAlignment="1">
      <alignment horizontal="center" vertical="top"/>
    </xf>
    <xf numFmtId="4" fontId="11" fillId="10" borderId="2" xfId="0" applyNumberFormat="1" applyFont="1" applyFill="1" applyBorder="1" applyAlignment="1">
      <alignment horizontal="center" vertical="top" wrapText="1"/>
    </xf>
    <xf numFmtId="0" fontId="8" fillId="10" borderId="2" xfId="0" applyFont="1" applyFill="1" applyBorder="1" applyAlignment="1">
      <alignment vertical="center" wrapText="1"/>
    </xf>
    <xf numFmtId="4" fontId="11" fillId="2" borderId="1" xfId="0" applyNumberFormat="1" applyFont="1" applyFill="1" applyBorder="1" applyAlignment="1">
      <alignment horizontal="left" vertical="top"/>
    </xf>
    <xf numFmtId="1" fontId="11" fillId="2" borderId="1" xfId="0" applyNumberFormat="1" applyFont="1" applyFill="1" applyBorder="1" applyAlignment="1">
      <alignment vertical="top"/>
    </xf>
    <xf numFmtId="4" fontId="40" fillId="2" borderId="1" xfId="0" applyNumberFormat="1" applyFont="1" applyFill="1" applyBorder="1" applyAlignment="1">
      <alignment horizontal="left" vertical="top" wrapText="1"/>
    </xf>
    <xf numFmtId="0" fontId="11" fillId="2" borderId="1" xfId="0" applyFont="1" applyFill="1" applyBorder="1" applyAlignment="1">
      <alignment vertical="top" wrapText="1"/>
    </xf>
    <xf numFmtId="4" fontId="46" fillId="2" borderId="1" xfId="0" applyNumberFormat="1" applyFont="1" applyFill="1" applyBorder="1" applyAlignment="1">
      <alignment horizontal="left" vertical="top" wrapText="1"/>
    </xf>
    <xf numFmtId="0" fontId="11" fillId="15" borderId="1" xfId="0" applyFont="1" applyFill="1" applyBorder="1" applyAlignment="1">
      <alignment horizontal="left" vertical="top" wrapText="1"/>
    </xf>
    <xf numFmtId="0" fontId="11" fillId="15" borderId="1" xfId="0" applyFont="1" applyFill="1" applyBorder="1" applyAlignment="1">
      <alignment horizontal="left" vertical="top" wrapText="1"/>
    </xf>
    <xf numFmtId="0" fontId="8" fillId="0" borderId="1" xfId="0" applyFont="1" applyFill="1" applyBorder="1" applyAlignment="1">
      <alignment horizontal="left" vertical="top" wrapText="1"/>
    </xf>
    <xf numFmtId="4" fontId="8" fillId="2" borderId="1" xfId="0" applyNumberFormat="1" applyFont="1" applyFill="1" applyBorder="1" applyAlignment="1">
      <alignment horizontal="left" vertical="top" wrapText="1"/>
    </xf>
    <xf numFmtId="4" fontId="11" fillId="2" borderId="1" xfId="0" applyNumberFormat="1" applyFont="1" applyFill="1" applyBorder="1" applyAlignment="1">
      <alignment horizontal="left" vertical="top" wrapText="1"/>
    </xf>
    <xf numFmtId="4" fontId="11" fillId="0" borderId="15" xfId="0" applyNumberFormat="1" applyFont="1" applyFill="1" applyBorder="1" applyAlignment="1">
      <alignment horizontal="center" vertical="top" wrapText="1"/>
    </xf>
    <xf numFmtId="0" fontId="3" fillId="0" borderId="1" xfId="0" applyFont="1" applyFill="1" applyBorder="1" applyAlignment="1">
      <alignment horizontal="left" vertical="center" wrapText="1"/>
    </xf>
    <xf numFmtId="4" fontId="11" fillId="0" borderId="1" xfId="0" applyNumberFormat="1" applyFont="1" applyFill="1" applyBorder="1" applyAlignment="1">
      <alignment horizontal="left" vertical="top" wrapText="1"/>
    </xf>
    <xf numFmtId="4" fontId="66" fillId="0" borderId="1" xfId="0" applyNumberFormat="1" applyFont="1" applyFill="1" applyBorder="1" applyAlignment="1">
      <alignment horizontal="center" vertical="center"/>
    </xf>
    <xf numFmtId="4" fontId="66" fillId="0" borderId="1" xfId="0" applyNumberFormat="1" applyFont="1" applyFill="1" applyBorder="1" applyAlignment="1">
      <alignment horizontal="left" vertical="top" wrapText="1"/>
    </xf>
    <xf numFmtId="2" fontId="8" fillId="0" borderId="1" xfId="0" applyNumberFormat="1" applyFont="1" applyFill="1" applyBorder="1" applyAlignment="1">
      <alignment horizontal="center" vertical="top" wrapText="1"/>
    </xf>
    <xf numFmtId="0" fontId="11" fillId="0" borderId="1" xfId="0" applyFont="1" applyFill="1" applyBorder="1" applyAlignment="1">
      <alignment horizontal="center" vertical="center" wrapText="1"/>
    </xf>
    <xf numFmtId="0" fontId="11" fillId="6" borderId="1" xfId="0" applyFont="1" applyFill="1" applyBorder="1" applyAlignment="1">
      <alignment horizontal="left" vertical="top" wrapText="1"/>
    </xf>
    <xf numFmtId="0" fontId="11" fillId="6" borderId="1" xfId="0" applyFont="1" applyFill="1" applyBorder="1" applyAlignment="1">
      <alignment horizontal="center" vertical="center" wrapText="1"/>
    </xf>
    <xf numFmtId="4" fontId="11" fillId="0" borderId="1" xfId="0" applyNumberFormat="1" applyFont="1" applyFill="1" applyBorder="1" applyAlignment="1">
      <alignment horizontal="center" vertical="center" wrapText="1"/>
    </xf>
    <xf numFmtId="0" fontId="7" fillId="0" borderId="11" xfId="0" applyFont="1" applyFill="1" applyBorder="1" applyAlignment="1">
      <alignment horizontal="left" vertical="top" wrapText="1"/>
    </xf>
    <xf numFmtId="49" fontId="3" fillId="2" borderId="1" xfId="0" applyNumberFormat="1" applyFont="1" applyFill="1" applyBorder="1" applyAlignment="1">
      <alignment horizontal="center" vertical="center"/>
    </xf>
    <xf numFmtId="4" fontId="40" fillId="12" borderId="1" xfId="0" applyNumberFormat="1" applyFont="1" applyFill="1" applyBorder="1" applyAlignment="1">
      <alignment horizontal="left" vertical="center" wrapText="1"/>
    </xf>
    <xf numFmtId="0" fontId="40" fillId="12" borderId="1" xfId="0" applyFont="1" applyFill="1" applyBorder="1" applyAlignment="1">
      <alignment horizontal="left" vertical="center" wrapText="1"/>
    </xf>
    <xf numFmtId="0" fontId="0" fillId="0" borderId="1" xfId="0" applyFont="1" applyFill="1" applyBorder="1" applyAlignment="1">
      <alignment vertical="center"/>
    </xf>
    <xf numFmtId="0" fontId="0" fillId="0" borderId="0" xfId="0" applyFont="1" applyFill="1" applyBorder="1" applyAlignment="1">
      <alignment vertical="center"/>
    </xf>
    <xf numFmtId="4" fontId="0" fillId="0" borderId="0" xfId="0" applyNumberFormat="1" applyFont="1" applyFill="1" applyAlignment="1">
      <alignment vertical="center"/>
    </xf>
    <xf numFmtId="0" fontId="0" fillId="0" borderId="0" xfId="0" applyFont="1" applyFill="1" applyAlignment="1">
      <alignment vertical="center"/>
    </xf>
    <xf numFmtId="0" fontId="0" fillId="0" borderId="0" xfId="0" applyFont="1" applyAlignment="1">
      <alignment vertical="center"/>
    </xf>
    <xf numFmtId="49" fontId="79" fillId="0" borderId="1" xfId="0" applyNumberFormat="1" applyFont="1" applyFill="1" applyBorder="1" applyAlignment="1">
      <alignment horizontal="center" vertical="center" wrapText="1"/>
    </xf>
    <xf numFmtId="4" fontId="79" fillId="2" borderId="1" xfId="0" applyNumberFormat="1" applyFont="1" applyFill="1" applyBorder="1" applyAlignment="1">
      <alignment horizontal="left" vertical="center" wrapText="1"/>
    </xf>
    <xf numFmtId="4" fontId="79" fillId="0" borderId="1" xfId="0" applyNumberFormat="1" applyFont="1" applyFill="1" applyBorder="1" applyAlignment="1">
      <alignment horizontal="left" vertical="center" wrapText="1"/>
    </xf>
    <xf numFmtId="49" fontId="39" fillId="0" borderId="1" xfId="0" applyNumberFormat="1" applyFont="1" applyFill="1" applyBorder="1" applyAlignment="1">
      <alignment horizontal="left" vertical="center" wrapText="1"/>
    </xf>
    <xf numFmtId="4" fontId="39" fillId="0" borderId="1" xfId="0" applyNumberFormat="1" applyFont="1" applyFill="1" applyBorder="1" applyAlignment="1">
      <alignment horizontal="left" vertical="center" wrapText="1"/>
    </xf>
    <xf numFmtId="4" fontId="46" fillId="2" borderId="1" xfId="0" applyNumberFormat="1" applyFont="1" applyFill="1" applyBorder="1" applyAlignment="1">
      <alignment horizontal="center" vertical="center" wrapText="1"/>
    </xf>
    <xf numFmtId="4" fontId="39" fillId="2" borderId="1" xfId="0" applyNumberFormat="1" applyFont="1" applyFill="1" applyBorder="1" applyAlignment="1">
      <alignment horizontal="center" vertical="center" wrapText="1"/>
    </xf>
    <xf numFmtId="4" fontId="8" fillId="2" borderId="1" xfId="0" applyNumberFormat="1" applyFont="1" applyFill="1" applyBorder="1" applyAlignment="1">
      <alignment horizontal="center" vertical="center" wrapText="1"/>
    </xf>
    <xf numFmtId="0" fontId="4" fillId="20" borderId="1" xfId="0" applyFont="1" applyFill="1" applyBorder="1" applyAlignment="1">
      <alignment horizontal="left" vertical="top" wrapText="1"/>
    </xf>
    <xf numFmtId="4" fontId="66" fillId="20" borderId="1" xfId="0" applyNumberFormat="1" applyFont="1" applyFill="1" applyBorder="1" applyAlignment="1">
      <alignment horizontal="left" vertical="top" wrapText="1"/>
    </xf>
    <xf numFmtId="0" fontId="66" fillId="20" borderId="1" xfId="0" applyFont="1" applyFill="1" applyBorder="1" applyAlignment="1">
      <alignment horizontal="left" vertical="top" wrapText="1"/>
    </xf>
    <xf numFmtId="4" fontId="66" fillId="12" borderId="1" xfId="0" applyNumberFormat="1" applyFont="1" applyFill="1" applyBorder="1" applyAlignment="1">
      <alignment horizontal="center" vertical="center" wrapText="1"/>
    </xf>
    <xf numFmtId="4" fontId="11" fillId="6" borderId="1" xfId="0" applyNumberFormat="1" applyFont="1" applyFill="1" applyBorder="1" applyAlignment="1">
      <alignment horizontal="left" vertical="center" wrapText="1"/>
    </xf>
    <xf numFmtId="4" fontId="12" fillId="6" borderId="1" xfId="0" applyNumberFormat="1" applyFont="1" applyFill="1" applyBorder="1" applyAlignment="1">
      <alignment horizontal="center" vertical="center"/>
    </xf>
    <xf numFmtId="4" fontId="12" fillId="0" borderId="1" xfId="0" applyNumberFormat="1" applyFont="1" applyFill="1" applyBorder="1" applyAlignment="1">
      <alignment horizontal="center" vertical="center"/>
    </xf>
    <xf numFmtId="2" fontId="3" fillId="6" borderId="1" xfId="0" applyNumberFormat="1" applyFont="1" applyFill="1" applyBorder="1" applyAlignment="1">
      <alignment horizontal="center" vertical="center" wrapText="1"/>
    </xf>
    <xf numFmtId="2" fontId="3" fillId="0" borderId="1" xfId="0" applyNumberFormat="1" applyFont="1" applyFill="1" applyBorder="1" applyAlignment="1">
      <alignment horizontal="center" vertical="center" wrapText="1"/>
    </xf>
    <xf numFmtId="4" fontId="11" fillId="6" borderId="1" xfId="0" applyNumberFormat="1" applyFont="1" applyFill="1" applyBorder="1" applyAlignment="1">
      <alignment horizontal="center" vertical="center" wrapText="1"/>
    </xf>
    <xf numFmtId="0" fontId="11" fillId="6" borderId="1" xfId="0" applyFont="1" applyFill="1" applyBorder="1" applyAlignment="1">
      <alignment horizontal="left" vertical="center" wrapText="1"/>
    </xf>
    <xf numFmtId="4" fontId="11" fillId="6" borderId="1" xfId="0" applyNumberFormat="1" applyFont="1" applyFill="1" applyBorder="1" applyAlignment="1">
      <alignment vertical="center" wrapText="1"/>
    </xf>
    <xf numFmtId="0" fontId="0" fillId="0" borderId="1" xfId="0" applyFill="1" applyBorder="1" applyAlignment="1">
      <alignment vertical="center"/>
    </xf>
    <xf numFmtId="49" fontId="11" fillId="17" borderId="1" xfId="0" applyNumberFormat="1" applyFont="1" applyFill="1" applyBorder="1" applyAlignment="1">
      <alignment horizontal="left" vertical="center" wrapText="1"/>
    </xf>
    <xf numFmtId="49" fontId="11" fillId="0" borderId="2" xfId="0" applyNumberFormat="1" applyFont="1" applyFill="1" applyBorder="1" applyAlignment="1">
      <alignment horizontal="left" vertical="center" wrapText="1"/>
    </xf>
    <xf numFmtId="3" fontId="11" fillId="11" borderId="1" xfId="0" applyNumberFormat="1" applyFont="1" applyFill="1" applyBorder="1" applyAlignment="1">
      <alignment horizontal="center" vertical="center" wrapText="1"/>
    </xf>
    <xf numFmtId="4" fontId="11" fillId="19" borderId="1" xfId="0" applyNumberFormat="1" applyFont="1" applyFill="1" applyBorder="1" applyAlignment="1">
      <alignment horizontal="left" vertical="center"/>
    </xf>
    <xf numFmtId="4" fontId="11" fillId="2" borderId="1" xfId="0" applyNumberFormat="1" applyFont="1" applyFill="1" applyBorder="1" applyAlignment="1">
      <alignment horizontal="left" vertical="center"/>
    </xf>
    <xf numFmtId="4" fontId="66" fillId="0"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0" fontId="11" fillId="10" borderId="1" xfId="0" applyFont="1" applyFill="1" applyBorder="1" applyAlignment="1">
      <alignment horizontal="left" vertical="top" wrapText="1"/>
    </xf>
    <xf numFmtId="49" fontId="39" fillId="10" borderId="1" xfId="0" applyNumberFormat="1" applyFont="1" applyFill="1" applyBorder="1" applyAlignment="1">
      <alignment horizontal="left" vertical="center" wrapText="1"/>
    </xf>
    <xf numFmtId="0" fontId="39" fillId="10" borderId="1" xfId="0" applyNumberFormat="1" applyFont="1" applyFill="1" applyBorder="1" applyAlignment="1">
      <alignment horizontal="left" vertical="center" wrapText="1"/>
    </xf>
    <xf numFmtId="4" fontId="39" fillId="10" borderId="1" xfId="0" applyNumberFormat="1" applyFont="1" applyFill="1" applyBorder="1" applyAlignment="1">
      <alignment horizontal="left" vertical="center"/>
    </xf>
    <xf numFmtId="4" fontId="39" fillId="2" borderId="1" xfId="0" applyNumberFormat="1" applyFont="1" applyFill="1" applyBorder="1" applyAlignment="1">
      <alignment horizontal="left" vertical="center" wrapText="1"/>
    </xf>
    <xf numFmtId="4" fontId="39" fillId="10" borderId="1" xfId="0" applyNumberFormat="1" applyFont="1" applyFill="1" applyBorder="1" applyAlignment="1">
      <alignment horizontal="left" vertical="center" wrapText="1"/>
    </xf>
    <xf numFmtId="4" fontId="39" fillId="10" borderId="13" xfId="0" applyNumberFormat="1" applyFont="1" applyFill="1" applyBorder="1" applyAlignment="1">
      <alignment horizontal="center" vertical="center" wrapText="1"/>
    </xf>
    <xf numFmtId="4" fontId="11" fillId="10" borderId="1" xfId="0" applyNumberFormat="1" applyFont="1" applyFill="1" applyBorder="1" applyAlignment="1">
      <alignment horizontal="center" vertical="center" wrapText="1"/>
    </xf>
    <xf numFmtId="4" fontId="11" fillId="10" borderId="0" xfId="0" applyNumberFormat="1" applyFont="1" applyFill="1" applyBorder="1" applyAlignment="1">
      <alignment horizontal="center" vertical="center" wrapText="1"/>
    </xf>
    <xf numFmtId="4" fontId="0" fillId="10" borderId="0" xfId="0" applyNumberFormat="1" applyFill="1" applyAlignment="1">
      <alignment vertical="center"/>
    </xf>
    <xf numFmtId="0" fontId="0" fillId="10" borderId="0" xfId="0" applyFill="1" applyAlignment="1">
      <alignment vertical="center"/>
    </xf>
    <xf numFmtId="0" fontId="5" fillId="10" borderId="0" xfId="0" applyFont="1" applyFill="1" applyAlignment="1">
      <alignment vertical="center"/>
    </xf>
    <xf numFmtId="0" fontId="3" fillId="0" borderId="0" xfId="0" applyFont="1" applyFill="1" applyBorder="1" applyAlignment="1">
      <alignment horizontal="left" vertical="top" wrapText="1"/>
    </xf>
    <xf numFmtId="4" fontId="8" fillId="0" borderId="1" xfId="0" applyNumberFormat="1" applyFont="1" applyFill="1" applyBorder="1" applyAlignment="1">
      <alignment horizontal="left" vertical="top" wrapText="1"/>
    </xf>
    <xf numFmtId="0" fontId="39" fillId="10" borderId="9" xfId="0" applyFont="1" applyFill="1" applyBorder="1" applyAlignment="1">
      <alignment horizontal="left" vertical="top" wrapText="1"/>
    </xf>
    <xf numFmtId="4" fontId="39" fillId="10" borderId="1" xfId="0" applyNumberFormat="1" applyFont="1" applyFill="1" applyBorder="1" applyAlignment="1">
      <alignment horizontal="left" vertical="top" wrapText="1"/>
    </xf>
    <xf numFmtId="0" fontId="39" fillId="10" borderId="4" xfId="0" applyFont="1" applyFill="1" applyBorder="1" applyAlignment="1">
      <alignment horizontal="center" vertical="top" wrapText="1"/>
    </xf>
    <xf numFmtId="1" fontId="39" fillId="10" borderId="9" xfId="0" applyNumberFormat="1" applyFont="1" applyFill="1" applyBorder="1" applyAlignment="1">
      <alignment horizontal="center"/>
    </xf>
    <xf numFmtId="49" fontId="39" fillId="10" borderId="4" xfId="0" applyNumberFormat="1" applyFont="1" applyFill="1" applyBorder="1" applyAlignment="1">
      <alignment horizontal="left" vertical="top" wrapText="1"/>
    </xf>
    <xf numFmtId="0" fontId="39" fillId="10" borderId="4" xfId="0" applyFont="1" applyFill="1" applyBorder="1" applyAlignment="1">
      <alignment horizontal="left" vertical="top" wrapText="1"/>
    </xf>
    <xf numFmtId="49" fontId="40" fillId="10" borderId="4" xfId="0" applyNumberFormat="1" applyFont="1" applyFill="1" applyBorder="1" applyAlignment="1">
      <alignment horizontal="left" vertical="top" wrapText="1"/>
    </xf>
    <xf numFmtId="1" fontId="11" fillId="10" borderId="4" xfId="0" applyNumberFormat="1" applyFont="1" applyFill="1" applyBorder="1" applyAlignment="1">
      <alignment horizontal="center" vertical="center" wrapText="1"/>
    </xf>
    <xf numFmtId="0" fontId="39" fillId="0" borderId="7" xfId="0" applyFont="1" applyFill="1" applyBorder="1" applyAlignment="1">
      <alignment horizontal="left" vertical="top" wrapText="1"/>
    </xf>
    <xf numFmtId="0" fontId="39" fillId="0" borderId="3" xfId="0" applyFont="1" applyFill="1" applyBorder="1" applyAlignment="1">
      <alignment horizontal="center" vertical="top" wrapText="1"/>
    </xf>
    <xf numFmtId="4" fontId="39" fillId="0" borderId="1" xfId="0" applyNumberFormat="1" applyFont="1" applyFill="1" applyBorder="1" applyAlignment="1">
      <alignment horizontal="left" vertical="top" wrapText="1"/>
    </xf>
    <xf numFmtId="0" fontId="3" fillId="0" borderId="3" xfId="0" applyFont="1" applyFill="1" applyBorder="1" applyAlignment="1">
      <alignment horizontal="left" vertical="top" wrapText="1"/>
    </xf>
    <xf numFmtId="4" fontId="11" fillId="2" borderId="1" xfId="0" applyNumberFormat="1" applyFont="1" applyFill="1" applyBorder="1" applyAlignment="1">
      <alignment horizontal="left" vertical="top" wrapText="1"/>
    </xf>
    <xf numFmtId="0" fontId="2" fillId="2" borderId="1" xfId="0" applyFont="1" applyFill="1" applyBorder="1" applyAlignment="1">
      <alignment horizontal="left" vertical="top" wrapText="1"/>
    </xf>
    <xf numFmtId="0" fontId="8" fillId="0" borderId="1" xfId="0" applyFont="1" applyFill="1" applyBorder="1" applyAlignment="1">
      <alignment horizontal="left" vertical="top" wrapText="1"/>
    </xf>
    <xf numFmtId="0" fontId="8" fillId="2" borderId="1" xfId="0" applyFont="1" applyFill="1" applyBorder="1" applyAlignment="1">
      <alignment horizontal="left" vertical="top" wrapText="1"/>
    </xf>
    <xf numFmtId="3" fontId="8" fillId="0" borderId="2" xfId="0" applyNumberFormat="1" applyFont="1" applyFill="1" applyBorder="1" applyAlignment="1">
      <alignment horizontal="left" vertical="top" wrapText="1"/>
    </xf>
    <xf numFmtId="3" fontId="8" fillId="0" borderId="4" xfId="0" applyNumberFormat="1" applyFont="1" applyFill="1" applyBorder="1" applyAlignment="1">
      <alignment horizontal="left" vertical="top" wrapText="1"/>
    </xf>
    <xf numFmtId="49" fontId="8" fillId="0" borderId="1" xfId="0" applyNumberFormat="1" applyFont="1" applyFill="1" applyBorder="1" applyAlignment="1">
      <alignment horizontal="center" vertical="center" wrapText="1"/>
    </xf>
    <xf numFmtId="4" fontId="8" fillId="0" borderId="1" xfId="0" applyNumberFormat="1" applyFont="1" applyFill="1" applyBorder="1" applyAlignment="1">
      <alignment horizontal="left" vertical="top" wrapText="1"/>
    </xf>
    <xf numFmtId="4" fontId="8" fillId="0" borderId="1" xfId="0" applyNumberFormat="1" applyFont="1" applyFill="1" applyBorder="1" applyAlignment="1">
      <alignment horizontal="center" vertical="top" wrapText="1"/>
    </xf>
    <xf numFmtId="3" fontId="8" fillId="0" borderId="13" xfId="0" applyNumberFormat="1" applyFont="1" applyFill="1" applyBorder="1" applyAlignment="1">
      <alignment horizontal="center" vertical="top" wrapText="1"/>
    </xf>
    <xf numFmtId="0" fontId="8" fillId="0" borderId="1" xfId="0" applyFont="1" applyFill="1" applyBorder="1" applyAlignment="1">
      <alignment horizontal="center" vertical="top" wrapText="1"/>
    </xf>
    <xf numFmtId="3" fontId="8" fillId="0" borderId="3" xfId="0" applyNumberFormat="1" applyFont="1" applyFill="1" applyBorder="1" applyAlignment="1">
      <alignment horizontal="left" vertical="top" wrapText="1"/>
    </xf>
    <xf numFmtId="3" fontId="11" fillId="0" borderId="1" xfId="0" applyNumberFormat="1" applyFont="1" applyFill="1" applyBorder="1" applyAlignment="1">
      <alignment horizontal="center" vertical="top" wrapText="1"/>
    </xf>
    <xf numFmtId="3" fontId="8" fillId="0" borderId="1" xfId="0" applyNumberFormat="1" applyFont="1" applyFill="1" applyBorder="1" applyAlignment="1">
      <alignment horizontal="center" vertical="top" wrapText="1"/>
    </xf>
    <xf numFmtId="0" fontId="4" fillId="0" borderId="0" xfId="0" applyFont="1" applyFill="1" applyBorder="1" applyAlignment="1">
      <alignment horizontal="left" wrapText="1"/>
    </xf>
    <xf numFmtId="4" fontId="11" fillId="2" borderId="1" xfId="0" applyNumberFormat="1" applyFont="1" applyFill="1" applyBorder="1" applyAlignment="1">
      <alignment horizontal="left" vertical="center" wrapText="1"/>
    </xf>
    <xf numFmtId="4" fontId="66" fillId="2" borderId="1" xfId="0" applyNumberFormat="1" applyFont="1" applyFill="1" applyBorder="1" applyAlignment="1">
      <alignment vertical="top"/>
    </xf>
    <xf numFmtId="49" fontId="39" fillId="0" borderId="2" xfId="0" applyNumberFormat="1" applyFont="1" applyFill="1" applyBorder="1" applyAlignment="1">
      <alignment horizontal="left" vertical="top"/>
    </xf>
    <xf numFmtId="4" fontId="32" fillId="0" borderId="0" xfId="0" applyNumberFormat="1" applyFont="1" applyFill="1" applyAlignment="1">
      <alignment horizontal="left"/>
    </xf>
    <xf numFmtId="1" fontId="21" fillId="0" borderId="7" xfId="0" applyNumberFormat="1" applyFont="1" applyFill="1" applyBorder="1" applyAlignment="1">
      <alignment horizontal="center"/>
    </xf>
    <xf numFmtId="4" fontId="3" fillId="2" borderId="1" xfId="0" applyNumberFormat="1" applyFont="1" applyFill="1" applyBorder="1" applyAlignment="1">
      <alignment horizontal="left" vertical="top"/>
    </xf>
    <xf numFmtId="3" fontId="11" fillId="0" borderId="1" xfId="0" applyNumberFormat="1" applyFont="1" applyFill="1" applyBorder="1" applyAlignment="1">
      <alignment horizontal="center" vertical="top" wrapText="1"/>
    </xf>
    <xf numFmtId="4" fontId="11" fillId="0"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top" wrapText="1"/>
    </xf>
    <xf numFmtId="0" fontId="11" fillId="0" borderId="1" xfId="0" applyFont="1" applyFill="1" applyBorder="1" applyAlignment="1">
      <alignment horizontal="center" vertical="top" wrapText="1"/>
    </xf>
    <xf numFmtId="0" fontId="3" fillId="10" borderId="1" xfId="0" applyFont="1" applyFill="1" applyBorder="1" applyAlignment="1">
      <alignment horizontal="left" vertical="top" wrapText="1"/>
    </xf>
    <xf numFmtId="1" fontId="11" fillId="10" borderId="1" xfId="0" applyNumberFormat="1" applyFont="1" applyFill="1" applyBorder="1" applyAlignment="1">
      <alignment horizontal="center" wrapText="1"/>
    </xf>
    <xf numFmtId="0" fontId="3" fillId="10" borderId="2" xfId="0" applyFont="1" applyFill="1" applyBorder="1" applyAlignment="1">
      <alignment horizontal="left" vertical="top" wrapText="1"/>
    </xf>
    <xf numFmtId="0" fontId="3" fillId="10" borderId="3" xfId="0" applyFont="1" applyFill="1" applyBorder="1" applyAlignment="1">
      <alignment horizontal="left" vertical="top" wrapText="1"/>
    </xf>
    <xf numFmtId="0" fontId="3" fillId="10" borderId="4" xfId="0" applyFont="1" applyFill="1" applyBorder="1" applyAlignment="1">
      <alignment horizontal="left" vertical="top" wrapText="1"/>
    </xf>
    <xf numFmtId="4" fontId="21" fillId="2" borderId="2" xfId="0" applyNumberFormat="1" applyFont="1" applyFill="1" applyBorder="1" applyAlignment="1">
      <alignment horizontal="center" vertical="top" wrapText="1"/>
    </xf>
    <xf numFmtId="4" fontId="21" fillId="2" borderId="3" xfId="0" applyNumberFormat="1" applyFont="1" applyFill="1" applyBorder="1" applyAlignment="1">
      <alignment horizontal="center" vertical="top" wrapText="1"/>
    </xf>
    <xf numFmtId="4" fontId="21" fillId="2" borderId="4" xfId="0" applyNumberFormat="1" applyFont="1" applyFill="1" applyBorder="1" applyAlignment="1">
      <alignment horizontal="center" vertical="top" wrapText="1"/>
    </xf>
    <xf numFmtId="1" fontId="11" fillId="0" borderId="1" xfId="0" applyNumberFormat="1" applyFont="1" applyFill="1" applyBorder="1" applyAlignment="1">
      <alignment horizontal="center"/>
    </xf>
    <xf numFmtId="1" fontId="11" fillId="0" borderId="1" xfId="0" applyNumberFormat="1" applyFont="1" applyFill="1" applyBorder="1" applyAlignment="1">
      <alignment horizontal="left" vertical="top" wrapText="1"/>
    </xf>
    <xf numFmtId="2" fontId="3" fillId="0" borderId="1" xfId="0" applyNumberFormat="1" applyFont="1" applyFill="1" applyBorder="1" applyAlignment="1">
      <alignment horizontal="left" vertical="top" wrapText="1"/>
    </xf>
    <xf numFmtId="2" fontId="3" fillId="0" borderId="1" xfId="0" applyNumberFormat="1" applyFont="1" applyFill="1" applyBorder="1" applyAlignment="1">
      <alignment horizontal="center" vertical="top" wrapText="1"/>
    </xf>
    <xf numFmtId="4" fontId="11" fillId="0" borderId="2" xfId="0" applyNumberFormat="1" applyFont="1" applyFill="1" applyBorder="1" applyAlignment="1">
      <alignment horizontal="center" vertical="top" wrapText="1"/>
    </xf>
    <xf numFmtId="4" fontId="11" fillId="0" borderId="3" xfId="0" applyNumberFormat="1" applyFont="1" applyFill="1" applyBorder="1" applyAlignment="1">
      <alignment horizontal="center" vertical="top" wrapText="1"/>
    </xf>
    <xf numFmtId="4" fontId="11" fillId="0" borderId="4" xfId="0" applyNumberFormat="1" applyFont="1" applyFill="1" applyBorder="1" applyAlignment="1">
      <alignment horizontal="center" vertical="top" wrapText="1"/>
    </xf>
    <xf numFmtId="2" fontId="106" fillId="0" borderId="1" xfId="0" applyNumberFormat="1" applyFont="1" applyFill="1" applyBorder="1" applyAlignment="1">
      <alignment horizontal="left" vertical="top" wrapText="1"/>
    </xf>
    <xf numFmtId="4" fontId="40" fillId="0" borderId="1" xfId="0" applyNumberFormat="1" applyFont="1" applyFill="1" applyBorder="1" applyAlignment="1">
      <alignment horizontal="left" vertical="top" wrapText="1"/>
    </xf>
    <xf numFmtId="0" fontId="11" fillId="15" borderId="1" xfId="0" applyFont="1" applyFill="1" applyBorder="1" applyAlignment="1">
      <alignment horizontal="left" vertical="top" wrapText="1"/>
    </xf>
    <xf numFmtId="0" fontId="21" fillId="0" borderId="1" xfId="0" applyFont="1" applyFill="1" applyBorder="1" applyAlignment="1">
      <alignment horizontal="left" vertical="top" wrapText="1"/>
    </xf>
    <xf numFmtId="4" fontId="11" fillId="2" borderId="1" xfId="0" applyNumberFormat="1" applyFont="1" applyFill="1" applyBorder="1" applyAlignment="1">
      <alignment horizontal="left" vertical="top" wrapText="1"/>
    </xf>
    <xf numFmtId="4" fontId="21" fillId="2" borderId="1" xfId="0" applyNumberFormat="1" applyFont="1" applyFill="1" applyBorder="1" applyAlignment="1">
      <alignment horizontal="left" vertical="top" wrapText="1"/>
    </xf>
    <xf numFmtId="4" fontId="2" fillId="2" borderId="1" xfId="0" applyNumberFormat="1" applyFont="1" applyFill="1" applyBorder="1" applyAlignment="1">
      <alignment horizontal="left" vertical="top" wrapText="1"/>
    </xf>
    <xf numFmtId="170" fontId="2" fillId="2" borderId="1" xfId="0" applyNumberFormat="1" applyFont="1" applyFill="1" applyBorder="1" applyAlignment="1">
      <alignment horizontal="left" vertical="top" wrapText="1"/>
    </xf>
    <xf numFmtId="0" fontId="120" fillId="0" borderId="1" xfId="0" applyFont="1" applyFill="1" applyBorder="1" applyAlignment="1">
      <alignment horizontal="center" vertical="top"/>
    </xf>
    <xf numFmtId="0" fontId="120" fillId="0" borderId="1" xfId="0" applyNumberFormat="1" applyFont="1" applyFill="1" applyBorder="1" applyAlignment="1">
      <alignment horizontal="center" vertical="top"/>
    </xf>
    <xf numFmtId="49" fontId="120" fillId="0" borderId="2" xfId="0" applyNumberFormat="1" applyFont="1" applyFill="1" applyBorder="1" applyAlignment="1">
      <alignment horizontal="center" vertical="center"/>
    </xf>
    <xf numFmtId="3" fontId="120" fillId="0" borderId="1" xfId="0" applyNumberFormat="1" applyFont="1" applyFill="1" applyBorder="1" applyAlignment="1">
      <alignment horizontal="center" vertical="top"/>
    </xf>
    <xf numFmtId="3" fontId="121" fillId="0" borderId="1" xfId="0" applyNumberFormat="1" applyFont="1" applyFill="1" applyBorder="1" applyAlignment="1">
      <alignment horizontal="center" vertical="top"/>
    </xf>
    <xf numFmtId="4" fontId="8" fillId="15" borderId="1" xfId="0" applyNumberFormat="1" applyFont="1" applyFill="1" applyBorder="1" applyAlignment="1">
      <alignment horizontal="left" vertical="top" wrapText="1"/>
    </xf>
    <xf numFmtId="4" fontId="44" fillId="0" borderId="1" xfId="0" applyNumberFormat="1" applyFont="1" applyFill="1" applyBorder="1" applyAlignment="1">
      <alignment horizontal="left" vertical="top" wrapText="1"/>
    </xf>
    <xf numFmtId="4" fontId="44" fillId="15" borderId="1" xfId="0" applyNumberFormat="1" applyFont="1" applyFill="1" applyBorder="1" applyAlignment="1">
      <alignment horizontal="left" vertical="top" wrapText="1"/>
    </xf>
    <xf numFmtId="3" fontId="122" fillId="0" borderId="1" xfId="0" applyNumberFormat="1" applyFont="1" applyFill="1" applyBorder="1" applyAlignment="1">
      <alignment horizontal="center" vertical="center" wrapText="1"/>
    </xf>
    <xf numFmtId="0" fontId="8" fillId="0" borderId="1" xfId="0" applyFont="1" applyFill="1" applyBorder="1" applyAlignment="1">
      <alignment horizontal="left" vertical="top" wrapText="1"/>
    </xf>
    <xf numFmtId="0" fontId="8" fillId="0" borderId="4" xfId="0" applyFont="1" applyFill="1" applyBorder="1" applyAlignment="1">
      <alignment horizontal="left" vertical="top" wrapText="1"/>
    </xf>
    <xf numFmtId="0" fontId="8" fillId="2" borderId="1" xfId="0" applyFont="1" applyFill="1" applyBorder="1" applyAlignment="1">
      <alignment horizontal="left" vertical="top" wrapText="1"/>
    </xf>
    <xf numFmtId="4" fontId="8" fillId="0" borderId="1" xfId="0" applyNumberFormat="1" applyFont="1" applyFill="1" applyBorder="1" applyAlignment="1">
      <alignment horizontal="left" vertical="top" wrapText="1"/>
    </xf>
    <xf numFmtId="4" fontId="8" fillId="0" borderId="1" xfId="0" applyNumberFormat="1" applyFont="1" applyFill="1" applyBorder="1" applyAlignment="1">
      <alignment horizontal="center" vertical="top" wrapText="1"/>
    </xf>
    <xf numFmtId="0" fontId="8" fillId="0" borderId="1" xfId="0" applyFont="1" applyFill="1" applyBorder="1" applyAlignment="1">
      <alignment horizontal="center" vertical="top" wrapText="1"/>
    </xf>
    <xf numFmtId="0" fontId="28" fillId="0" borderId="1" xfId="0" applyFont="1" applyFill="1" applyBorder="1" applyAlignment="1">
      <alignment horizontal="center"/>
    </xf>
    <xf numFmtId="3" fontId="8" fillId="0" borderId="3" xfId="0" applyNumberFormat="1" applyFont="1" applyFill="1" applyBorder="1" applyAlignment="1">
      <alignment horizontal="left" vertical="top" wrapText="1"/>
    </xf>
    <xf numFmtId="3" fontId="11" fillId="0" borderId="15" xfId="0" applyNumberFormat="1" applyFont="1" applyFill="1" applyBorder="1" applyAlignment="1">
      <alignment horizontal="left" vertical="top" wrapText="1"/>
    </xf>
    <xf numFmtId="49" fontId="28" fillId="0" borderId="1" xfId="0" applyNumberFormat="1" applyFont="1" applyFill="1" applyBorder="1" applyAlignment="1">
      <alignment horizontal="center" vertical="center"/>
    </xf>
    <xf numFmtId="3" fontId="28" fillId="0" borderId="1" xfId="0" applyNumberFormat="1" applyFont="1" applyFill="1" applyBorder="1" applyAlignment="1">
      <alignment horizontal="center"/>
    </xf>
    <xf numFmtId="3" fontId="12" fillId="0" borderId="2" xfId="0" applyNumberFormat="1" applyFont="1" applyFill="1" applyBorder="1" applyAlignment="1">
      <alignment horizontal="center"/>
    </xf>
    <xf numFmtId="3" fontId="12" fillId="0" borderId="4" xfId="0" applyNumberFormat="1" applyFont="1" applyFill="1" applyBorder="1" applyAlignment="1">
      <alignment horizontal="center"/>
    </xf>
    <xf numFmtId="4" fontId="8" fillId="2" borderId="1" xfId="0" applyNumberFormat="1" applyFont="1" applyFill="1" applyBorder="1" applyAlignment="1">
      <alignment horizontal="left" vertical="top" wrapText="1"/>
    </xf>
    <xf numFmtId="0" fontId="11" fillId="0" borderId="15" xfId="0" applyFont="1" applyFill="1" applyBorder="1" applyAlignment="1">
      <alignment horizontal="left" vertical="top" wrapText="1"/>
    </xf>
    <xf numFmtId="49" fontId="39" fillId="2" borderId="1" xfId="0" applyNumberFormat="1" applyFont="1" applyFill="1" applyBorder="1" applyAlignment="1">
      <alignment horizontal="left" vertical="top" wrapText="1"/>
    </xf>
    <xf numFmtId="49" fontId="39" fillId="0" borderId="7" xfId="0" applyNumberFormat="1" applyFont="1" applyFill="1" applyBorder="1" applyAlignment="1">
      <alignment horizontal="left" vertical="top" wrapText="1"/>
    </xf>
    <xf numFmtId="49" fontId="39" fillId="0" borderId="0" xfId="0" applyNumberFormat="1" applyFont="1" applyFill="1" applyBorder="1" applyAlignment="1">
      <alignment horizontal="left" vertical="top" wrapText="1"/>
    </xf>
    <xf numFmtId="49" fontId="39" fillId="0" borderId="10" xfId="0" applyNumberFormat="1" applyFont="1" applyFill="1" applyBorder="1" applyAlignment="1">
      <alignment horizontal="left" vertical="top" wrapText="1"/>
    </xf>
    <xf numFmtId="49" fontId="3" fillId="0" borderId="3" xfId="0" applyNumberFormat="1" applyFont="1" applyFill="1" applyBorder="1" applyAlignment="1">
      <alignment horizontal="left" vertical="top"/>
    </xf>
    <xf numFmtId="0" fontId="3" fillId="0" borderId="3" xfId="0" applyFont="1" applyFill="1" applyBorder="1" applyAlignment="1">
      <alignment horizontal="left" vertical="top" wrapText="1"/>
    </xf>
    <xf numFmtId="0" fontId="3" fillId="0" borderId="5" xfId="0" applyFont="1" applyFill="1" applyBorder="1" applyAlignment="1">
      <alignment horizontal="center" vertical="top" wrapText="1"/>
    </xf>
    <xf numFmtId="0" fontId="3" fillId="0" borderId="11" xfId="0" applyFont="1" applyFill="1" applyBorder="1" applyAlignment="1">
      <alignment horizontal="center" vertical="top" wrapText="1"/>
    </xf>
    <xf numFmtId="0" fontId="3" fillId="0" borderId="6" xfId="0" applyFont="1" applyFill="1" applyBorder="1" applyAlignment="1">
      <alignment horizontal="center" vertical="top" wrapText="1"/>
    </xf>
    <xf numFmtId="4" fontId="11" fillId="0" borderId="13" xfId="0" applyNumberFormat="1" applyFont="1" applyFill="1" applyBorder="1" applyAlignment="1">
      <alignment horizontal="left" vertical="top" wrapText="1"/>
    </xf>
    <xf numFmtId="4" fontId="11" fillId="0" borderId="15" xfId="0" applyNumberFormat="1" applyFont="1" applyFill="1" applyBorder="1" applyAlignment="1">
      <alignment horizontal="left" vertical="top" wrapText="1"/>
    </xf>
    <xf numFmtId="4" fontId="12" fillId="0" borderId="5" xfId="0" applyNumberFormat="1" applyFont="1" applyFill="1" applyBorder="1" applyAlignment="1">
      <alignment horizontal="left" wrapText="1"/>
    </xf>
    <xf numFmtId="4" fontId="12" fillId="0" borderId="7" xfId="0" applyNumberFormat="1" applyFont="1" applyFill="1" applyBorder="1" applyAlignment="1">
      <alignment horizontal="left" wrapText="1"/>
    </xf>
    <xf numFmtId="4" fontId="12" fillId="0" borderId="9" xfId="0" applyNumberFormat="1" applyFont="1" applyFill="1" applyBorder="1" applyAlignment="1">
      <alignment horizontal="left" wrapText="1"/>
    </xf>
    <xf numFmtId="0" fontId="123" fillId="0" borderId="1" xfId="0" applyFont="1" applyFill="1" applyBorder="1" applyAlignment="1">
      <alignment wrapText="1"/>
    </xf>
    <xf numFmtId="3" fontId="11" fillId="0" borderId="2" xfId="0" applyNumberFormat="1" applyFont="1" applyFill="1" applyBorder="1" applyAlignment="1">
      <alignment horizontal="left" vertical="top" wrapText="1"/>
    </xf>
    <xf numFmtId="0" fontId="33" fillId="0" borderId="1" xfId="0" applyFont="1" applyFill="1" applyBorder="1" applyAlignment="1">
      <alignment wrapText="1"/>
    </xf>
    <xf numFmtId="0" fontId="125" fillId="10" borderId="0" xfId="0" applyFont="1" applyFill="1"/>
    <xf numFmtId="0" fontId="22" fillId="10" borderId="0" xfId="0" applyFont="1" applyFill="1"/>
    <xf numFmtId="0" fontId="0" fillId="5" borderId="4" xfId="0" applyFill="1" applyBorder="1" applyAlignment="1">
      <alignment horizontal="center"/>
    </xf>
    <xf numFmtId="0" fontId="15" fillId="10" borderId="2" xfId="0" applyFont="1" applyFill="1" applyBorder="1" applyAlignment="1">
      <alignment horizontal="center" wrapText="1"/>
    </xf>
    <xf numFmtId="0" fontId="125" fillId="0" borderId="0" xfId="0" applyFont="1" applyFill="1"/>
    <xf numFmtId="10" fontId="11" fillId="15" borderId="1" xfId="0" applyNumberFormat="1" applyFont="1" applyFill="1" applyBorder="1" applyAlignment="1">
      <alignment wrapText="1"/>
    </xf>
    <xf numFmtId="0" fontId="127" fillId="0" borderId="0" xfId="0" applyFont="1" applyFill="1"/>
    <xf numFmtId="0" fontId="21" fillId="2" borderId="1" xfId="0" applyFont="1" applyFill="1" applyBorder="1" applyAlignment="1">
      <alignment horizontal="left" vertical="top" wrapText="1"/>
    </xf>
    <xf numFmtId="4" fontId="8" fillId="0" borderId="1" xfId="0" applyNumberFormat="1" applyFont="1" applyFill="1" applyBorder="1" applyAlignment="1">
      <alignment horizontal="left" wrapText="1"/>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left" vertical="top" wrapText="1"/>
    </xf>
    <xf numFmtId="49" fontId="11" fillId="12" borderId="1" xfId="0" applyNumberFormat="1" applyFont="1" applyFill="1" applyBorder="1" applyAlignment="1">
      <alignment horizontal="left" vertical="top"/>
    </xf>
    <xf numFmtId="0" fontId="7" fillId="0" borderId="1" xfId="0" applyFont="1" applyFill="1" applyBorder="1" applyAlignment="1">
      <alignment horizontal="left" vertical="top" wrapText="1"/>
    </xf>
    <xf numFmtId="4" fontId="39" fillId="10" borderId="1" xfId="0" applyNumberFormat="1" applyFont="1" applyFill="1" applyBorder="1" applyAlignment="1">
      <alignment horizontal="left" vertical="top" wrapText="1"/>
    </xf>
    <xf numFmtId="4" fontId="39" fillId="10" borderId="9" xfId="0" applyNumberFormat="1" applyFont="1" applyFill="1" applyBorder="1" applyAlignment="1">
      <alignment horizontal="center" vertical="top" wrapText="1"/>
    </xf>
    <xf numFmtId="0" fontId="39" fillId="0" borderId="9" xfId="0" applyFont="1" applyFill="1" applyBorder="1" applyAlignment="1">
      <alignment horizontal="left" vertical="top" wrapText="1"/>
    </xf>
    <xf numFmtId="0" fontId="39" fillId="0" borderId="12" xfId="0" applyFont="1" applyFill="1" applyBorder="1" applyAlignment="1">
      <alignment horizontal="left" vertical="top" wrapText="1"/>
    </xf>
    <xf numFmtId="0" fontId="39" fillId="0" borderId="10" xfId="0" applyFont="1" applyFill="1" applyBorder="1" applyAlignment="1">
      <alignment horizontal="left" vertical="top" wrapText="1"/>
    </xf>
    <xf numFmtId="4" fontId="39" fillId="10" borderId="13" xfId="0" applyNumberFormat="1" applyFont="1" applyFill="1" applyBorder="1" applyAlignment="1">
      <alignment horizontal="center" vertical="top" wrapText="1"/>
    </xf>
    <xf numFmtId="4" fontId="39" fillId="0"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49" fontId="39" fillId="2" borderId="1" xfId="0" applyNumberFormat="1" applyFont="1" applyFill="1" applyBorder="1" applyAlignment="1">
      <alignment horizontal="left" vertical="top" wrapText="1"/>
    </xf>
    <xf numFmtId="4" fontId="40" fillId="0" borderId="1" xfId="0" applyNumberFormat="1" applyFont="1" applyFill="1" applyBorder="1" applyAlignment="1">
      <alignment horizontal="left" vertical="top" wrapText="1"/>
    </xf>
    <xf numFmtId="49" fontId="11" fillId="2"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center" wrapText="1"/>
    </xf>
    <xf numFmtId="4" fontId="128" fillId="2" borderId="1" xfId="0" applyNumberFormat="1" applyFont="1" applyFill="1" applyBorder="1" applyAlignment="1">
      <alignment horizontal="left" vertical="top" wrapText="1"/>
    </xf>
    <xf numFmtId="0" fontId="0" fillId="2" borderId="1" xfId="0" applyFill="1" applyBorder="1" applyAlignment="1">
      <alignment horizontal="center"/>
    </xf>
    <xf numFmtId="0" fontId="129" fillId="0" borderId="1" xfId="0" applyFont="1" applyFill="1" applyBorder="1"/>
    <xf numFmtId="0" fontId="0" fillId="0" borderId="1" xfId="0" applyFill="1" applyBorder="1" applyAlignment="1">
      <alignment vertical="top" wrapText="1"/>
    </xf>
    <xf numFmtId="0" fontId="22" fillId="0" borderId="1" xfId="0" applyFont="1" applyBorder="1"/>
    <xf numFmtId="4" fontId="11" fillId="22" borderId="1" xfId="0" applyNumberFormat="1" applyFont="1" applyFill="1" applyBorder="1" applyAlignment="1">
      <alignment horizontal="center" vertical="top" wrapText="1"/>
    </xf>
    <xf numFmtId="4" fontId="11" fillId="22" borderId="1" xfId="0" applyNumberFormat="1" applyFont="1" applyFill="1" applyBorder="1" applyAlignment="1">
      <alignment horizontal="center" vertical="top"/>
    </xf>
    <xf numFmtId="0" fontId="11" fillId="2" borderId="4" xfId="0" applyFont="1" applyFill="1" applyBorder="1" applyAlignment="1">
      <alignment vertical="top" wrapText="1"/>
    </xf>
    <xf numFmtId="0" fontId="130" fillId="0" borderId="2" xfId="0" applyFont="1" applyFill="1" applyBorder="1" applyAlignment="1">
      <alignment horizontal="left" vertical="center" wrapText="1"/>
    </xf>
    <xf numFmtId="0" fontId="130" fillId="0" borderId="3" xfId="0" applyFont="1" applyFill="1" applyBorder="1" applyAlignment="1">
      <alignment horizontal="left" vertical="center" wrapText="1"/>
    </xf>
    <xf numFmtId="0" fontId="130" fillId="0" borderId="4" xfId="0" applyFont="1" applyFill="1" applyBorder="1" applyAlignment="1">
      <alignment horizontal="left" vertical="center" wrapText="1"/>
    </xf>
    <xf numFmtId="0" fontId="5" fillId="0" borderId="0" xfId="0" applyFont="1" applyFill="1" applyBorder="1" applyAlignment="1">
      <alignment horizontal="center" vertical="center" wrapText="1"/>
    </xf>
    <xf numFmtId="4" fontId="8" fillId="2" borderId="1" xfId="0" applyNumberFormat="1" applyFont="1" applyFill="1" applyBorder="1" applyAlignment="1">
      <alignment vertical="top" wrapText="1"/>
    </xf>
    <xf numFmtId="4" fontId="131" fillId="0" borderId="7" xfId="0" applyNumberFormat="1" applyFont="1" applyFill="1" applyBorder="1" applyAlignment="1">
      <alignment horizontal="center" wrapText="1"/>
    </xf>
    <xf numFmtId="0" fontId="0" fillId="0" borderId="0" xfId="0" applyFill="1" applyAlignment="1">
      <alignment vertical="top" wrapText="1"/>
    </xf>
    <xf numFmtId="4" fontId="12" fillId="0" borderId="13" xfId="0" applyNumberFormat="1" applyFont="1" applyFill="1" applyBorder="1" applyAlignment="1">
      <alignment horizontal="left" wrapText="1"/>
    </xf>
    <xf numFmtId="4" fontId="12" fillId="0" borderId="13" xfId="0" applyNumberFormat="1" applyFont="1" applyFill="1" applyBorder="1" applyAlignment="1">
      <alignment horizontal="left" vertical="center" wrapText="1"/>
    </xf>
    <xf numFmtId="4" fontId="12" fillId="0" borderId="5" xfId="0" applyNumberFormat="1" applyFont="1" applyFill="1" applyBorder="1" applyAlignment="1">
      <alignment horizontal="center" wrapText="1"/>
    </xf>
    <xf numFmtId="4" fontId="12" fillId="0" borderId="7" xfId="0" applyNumberFormat="1" applyFont="1" applyFill="1" applyBorder="1" applyAlignment="1">
      <alignment horizontal="center" wrapText="1"/>
    </xf>
    <xf numFmtId="4" fontId="12" fillId="0" borderId="9" xfId="0" applyNumberFormat="1" applyFont="1" applyFill="1" applyBorder="1" applyAlignment="1">
      <alignment horizontal="center" wrapText="1"/>
    </xf>
    <xf numFmtId="0" fontId="125" fillId="0" borderId="1" xfId="0" applyFont="1" applyFill="1" applyBorder="1" applyAlignment="1">
      <alignment wrapText="1"/>
    </xf>
    <xf numFmtId="3" fontId="11" fillId="0" borderId="1" xfId="0" applyNumberFormat="1" applyFont="1" applyFill="1" applyBorder="1" applyAlignment="1">
      <alignment horizontal="left" vertical="top"/>
    </xf>
    <xf numFmtId="3" fontId="11" fillId="0" borderId="1" xfId="0" applyNumberFormat="1" applyFont="1" applyFill="1" applyBorder="1" applyAlignment="1">
      <alignment horizontal="right" vertical="top"/>
    </xf>
    <xf numFmtId="3" fontId="11" fillId="0" borderId="0" xfId="0" applyNumberFormat="1" applyFont="1" applyFill="1" applyBorder="1" applyAlignment="1">
      <alignment horizontal="right" vertical="top"/>
    </xf>
    <xf numFmtId="0" fontId="12" fillId="11" borderId="15" xfId="0" applyFont="1" applyFill="1" applyBorder="1" applyAlignment="1">
      <alignment vertical="top" wrapText="1"/>
    </xf>
    <xf numFmtId="0" fontId="12" fillId="15" borderId="2" xfId="0" applyFont="1" applyFill="1" applyBorder="1" applyAlignment="1">
      <alignment vertical="top" wrapText="1"/>
    </xf>
    <xf numFmtId="0" fontId="129" fillId="0" borderId="3" xfId="0" applyFont="1" applyFill="1" applyBorder="1" applyAlignment="1">
      <alignment vertical="top" wrapText="1"/>
    </xf>
    <xf numFmtId="0" fontId="129" fillId="0" borderId="4" xfId="0" applyFont="1" applyFill="1" applyBorder="1" applyAlignment="1">
      <alignment vertical="top" wrapText="1"/>
    </xf>
    <xf numFmtId="0" fontId="12" fillId="0" borderId="15" xfId="0" applyFont="1" applyFill="1" applyBorder="1" applyAlignment="1">
      <alignment vertical="top" wrapText="1"/>
    </xf>
    <xf numFmtId="4" fontId="136" fillId="0" borderId="15" xfId="0" applyNumberFormat="1" applyFont="1" applyFill="1" applyBorder="1" applyAlignment="1">
      <alignment horizontal="left" vertical="top" wrapText="1"/>
    </xf>
    <xf numFmtId="0" fontId="136" fillId="0" borderId="15" xfId="0" applyFont="1" applyFill="1" applyBorder="1" applyAlignment="1">
      <alignment horizontal="left" vertical="top" wrapText="1"/>
    </xf>
    <xf numFmtId="0" fontId="121" fillId="0" borderId="15" xfId="0" applyFont="1" applyFill="1" applyBorder="1" applyAlignment="1">
      <alignment vertical="top" wrapText="1"/>
    </xf>
    <xf numFmtId="0" fontId="136" fillId="0" borderId="8" xfId="0" applyFont="1" applyFill="1" applyBorder="1" applyAlignment="1">
      <alignment vertical="top" wrapText="1"/>
    </xf>
    <xf numFmtId="0" fontId="102" fillId="0" borderId="15" xfId="0" applyFont="1" applyFill="1" applyBorder="1" applyAlignment="1">
      <alignment vertical="top" wrapText="1"/>
    </xf>
    <xf numFmtId="0" fontId="103" fillId="0" borderId="15" xfId="0" applyFont="1" applyFill="1" applyBorder="1" applyAlignment="1">
      <alignment vertical="top" wrapText="1"/>
    </xf>
    <xf numFmtId="0" fontId="12" fillId="0" borderId="2" xfId="0" applyFont="1" applyFill="1" applyBorder="1" applyAlignment="1">
      <alignment vertical="top" wrapText="1"/>
    </xf>
    <xf numFmtId="0" fontId="129" fillId="0" borderId="3" xfId="0" applyNumberFormat="1" applyFont="1" applyFill="1" applyBorder="1" applyAlignment="1">
      <alignment vertical="top" wrapText="1"/>
    </xf>
    <xf numFmtId="0" fontId="12" fillId="0" borderId="15" xfId="0" applyNumberFormat="1" applyFont="1" applyFill="1" applyBorder="1" applyAlignment="1">
      <alignment vertical="top" wrapText="1"/>
    </xf>
    <xf numFmtId="3" fontId="11" fillId="15" borderId="2" xfId="0" applyNumberFormat="1" applyFont="1" applyFill="1" applyBorder="1" applyAlignment="1">
      <alignment vertical="top" wrapText="1"/>
    </xf>
    <xf numFmtId="0" fontId="12" fillId="15" borderId="2" xfId="0" applyFont="1" applyFill="1" applyBorder="1"/>
    <xf numFmtId="0" fontId="129" fillId="0" borderId="3" xfId="0" applyFont="1" applyFill="1" applyBorder="1"/>
    <xf numFmtId="0" fontId="129" fillId="0" borderId="4" xfId="0" applyFont="1" applyFill="1" applyBorder="1"/>
    <xf numFmtId="3" fontId="11" fillId="15" borderId="2" xfId="0" applyNumberFormat="1" applyFont="1" applyFill="1" applyBorder="1" applyAlignment="1">
      <alignment vertical="top"/>
    </xf>
    <xf numFmtId="0" fontId="129" fillId="0" borderId="3" xfId="0" applyNumberFormat="1" applyFont="1" applyFill="1" applyBorder="1" applyAlignment="1">
      <alignment vertical="top"/>
    </xf>
    <xf numFmtId="0" fontId="32" fillId="11" borderId="15" xfId="0" applyFont="1" applyFill="1" applyBorder="1" applyAlignment="1">
      <alignment horizontal="center" vertical="center" wrapText="1"/>
    </xf>
    <xf numFmtId="0" fontId="32" fillId="11" borderId="15" xfId="0" applyFont="1" applyFill="1" applyBorder="1" applyAlignment="1">
      <alignment vertical="top" wrapText="1"/>
    </xf>
    <xf numFmtId="0" fontId="137" fillId="11" borderId="0" xfId="0" applyFont="1" applyFill="1"/>
    <xf numFmtId="0" fontId="3" fillId="22" borderId="1" xfId="0" applyFont="1" applyFill="1" applyBorder="1" applyAlignment="1">
      <alignment horizontal="left" vertical="top" wrapText="1"/>
    </xf>
    <xf numFmtId="4" fontId="11" fillId="22" borderId="1" xfId="0" applyNumberFormat="1" applyFont="1" applyFill="1" applyBorder="1" applyAlignment="1">
      <alignment horizontal="left" vertical="center"/>
    </xf>
    <xf numFmtId="4" fontId="11" fillId="22" borderId="1" xfId="0" applyNumberFormat="1" applyFont="1" applyFill="1" applyBorder="1" applyAlignment="1">
      <alignment horizontal="left" vertical="center" wrapText="1"/>
    </xf>
    <xf numFmtId="0" fontId="137" fillId="15" borderId="0" xfId="0" applyFont="1" applyFill="1"/>
    <xf numFmtId="0" fontId="3" fillId="22" borderId="1" xfId="0" applyFont="1" applyFill="1" applyBorder="1" applyAlignment="1">
      <alignment horizontal="left" vertical="center"/>
    </xf>
    <xf numFmtId="0" fontId="3" fillId="22" borderId="1" xfId="0" applyFont="1" applyFill="1" applyBorder="1" applyAlignment="1">
      <alignment horizontal="center" vertical="center"/>
    </xf>
    <xf numFmtId="0" fontId="139" fillId="0" borderId="16" xfId="0" applyFont="1" applyFill="1" applyBorder="1"/>
    <xf numFmtId="0" fontId="138" fillId="0" borderId="1" xfId="0" applyFont="1" applyFill="1" applyBorder="1"/>
    <xf numFmtId="0" fontId="48" fillId="10" borderId="4" xfId="0" applyFont="1" applyFill="1" applyBorder="1" applyAlignment="1">
      <alignment horizontal="left" vertical="top" wrapText="1"/>
    </xf>
    <xf numFmtId="4" fontId="11" fillId="23" borderId="1" xfId="0" applyNumberFormat="1" applyFont="1" applyFill="1" applyBorder="1" applyAlignment="1">
      <alignment horizontal="left" vertical="top" wrapText="1"/>
    </xf>
    <xf numFmtId="4" fontId="11" fillId="23" borderId="1" xfId="0" applyNumberFormat="1" applyFont="1" applyFill="1" applyBorder="1" applyAlignment="1">
      <alignment horizontal="left" vertical="top"/>
    </xf>
    <xf numFmtId="4" fontId="8" fillId="0" borderId="1" xfId="0" applyNumberFormat="1" applyFont="1" applyFill="1" applyBorder="1" applyAlignment="1">
      <alignment horizontal="center" vertical="top" wrapText="1"/>
    </xf>
    <xf numFmtId="0" fontId="11" fillId="2" borderId="11" xfId="0" applyFont="1" applyFill="1" applyBorder="1" applyAlignment="1">
      <alignment horizontal="left" vertical="top" wrapText="1"/>
    </xf>
    <xf numFmtId="0" fontId="11" fillId="2" borderId="6" xfId="0" applyFont="1" applyFill="1" applyBorder="1" applyAlignment="1">
      <alignment horizontal="left" vertical="top" wrapText="1"/>
    </xf>
    <xf numFmtId="4" fontId="8" fillId="2" borderId="1" xfId="0" applyNumberFormat="1" applyFont="1" applyFill="1" applyBorder="1" applyAlignment="1">
      <alignment horizontal="left" vertical="top" wrapText="1"/>
    </xf>
    <xf numFmtId="0" fontId="44" fillId="0" borderId="1" xfId="0" applyFont="1" applyFill="1" applyBorder="1" applyAlignment="1">
      <alignment horizontal="left" vertical="top" wrapText="1"/>
    </xf>
    <xf numFmtId="49" fontId="11" fillId="0" borderId="1" xfId="0" applyNumberFormat="1" applyFont="1" applyFill="1" applyBorder="1" applyAlignment="1">
      <alignment horizontal="left" vertical="top" wrapText="1"/>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left" vertical="top" wrapText="1"/>
    </xf>
    <xf numFmtId="0" fontId="11" fillId="0" borderId="1" xfId="0" applyFont="1" applyFill="1" applyBorder="1" applyAlignment="1">
      <alignment horizontal="left" vertical="center" wrapText="1"/>
    </xf>
    <xf numFmtId="4" fontId="39" fillId="0"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4" fontId="11" fillId="0" borderId="2" xfId="0" applyNumberFormat="1" applyFont="1" applyFill="1" applyBorder="1" applyAlignment="1">
      <alignment horizontal="left" vertical="top" wrapText="1"/>
    </xf>
    <xf numFmtId="4" fontId="11" fillId="0" borderId="4" xfId="0" applyNumberFormat="1" applyFont="1" applyFill="1" applyBorder="1" applyAlignment="1">
      <alignment horizontal="left" vertical="top" wrapText="1"/>
    </xf>
    <xf numFmtId="4" fontId="11" fillId="0" borderId="1" xfId="0" applyNumberFormat="1" applyFont="1" applyFill="1" applyBorder="1" applyAlignment="1">
      <alignment horizontal="center" vertical="center" wrapText="1"/>
    </xf>
    <xf numFmtId="49" fontId="11" fillId="0" borderId="2" xfId="0" applyNumberFormat="1" applyFont="1" applyFill="1" applyBorder="1" applyAlignment="1">
      <alignment horizontal="left" vertical="top" wrapText="1"/>
    </xf>
    <xf numFmtId="49" fontId="11" fillId="0" borderId="4" xfId="0" applyNumberFormat="1" applyFont="1" applyFill="1" applyBorder="1" applyAlignment="1">
      <alignment horizontal="left" vertical="top" wrapText="1"/>
    </xf>
    <xf numFmtId="0" fontId="11" fillId="22" borderId="1" xfId="0" applyFont="1" applyFill="1" applyBorder="1" applyAlignment="1">
      <alignment horizontal="left" vertical="top" wrapText="1"/>
    </xf>
    <xf numFmtId="4" fontId="11" fillId="2" borderId="1" xfId="0" applyNumberFormat="1" applyFont="1" applyFill="1" applyBorder="1" applyAlignment="1">
      <alignment horizontal="left" vertical="top" wrapText="1"/>
    </xf>
    <xf numFmtId="49" fontId="11" fillId="0" borderId="2" xfId="0" applyNumberFormat="1" applyFont="1" applyFill="1" applyBorder="1" applyAlignment="1">
      <alignment horizontal="center" vertical="top" wrapText="1"/>
    </xf>
    <xf numFmtId="49" fontId="11" fillId="0" borderId="4" xfId="0" applyNumberFormat="1" applyFont="1" applyFill="1" applyBorder="1" applyAlignment="1">
      <alignment horizontal="center" vertical="top" wrapText="1"/>
    </xf>
    <xf numFmtId="0" fontId="3" fillId="0" borderId="4" xfId="0" applyFont="1" applyFill="1" applyBorder="1" applyAlignment="1">
      <alignment horizontal="left" vertical="top" wrapText="1"/>
    </xf>
    <xf numFmtId="0" fontId="3" fillId="0" borderId="1" xfId="0" applyFont="1" applyFill="1" applyBorder="1" applyAlignment="1">
      <alignment horizontal="center" vertical="top" wrapText="1"/>
    </xf>
    <xf numFmtId="0" fontId="11" fillId="0" borderId="1" xfId="0" applyFont="1" applyFill="1" applyBorder="1" applyAlignment="1">
      <alignment horizontal="left" vertical="top" wrapText="1"/>
    </xf>
    <xf numFmtId="49" fontId="11" fillId="0" borderId="1" xfId="0" applyNumberFormat="1" applyFont="1" applyFill="1" applyBorder="1" applyAlignment="1">
      <alignment horizontal="left" vertical="top"/>
    </xf>
    <xf numFmtId="0" fontId="11" fillId="0" borderId="4" xfId="0" applyFont="1" applyFill="1" applyBorder="1" applyAlignment="1">
      <alignment horizontal="left" vertical="top" wrapText="1"/>
    </xf>
    <xf numFmtId="49" fontId="3" fillId="0" borderId="1" xfId="0" applyNumberFormat="1" applyFont="1" applyFill="1" applyBorder="1" applyAlignment="1">
      <alignment horizontal="left" vertical="top"/>
    </xf>
    <xf numFmtId="0" fontId="3" fillId="2" borderId="1" xfId="0" applyFont="1" applyFill="1" applyBorder="1" applyAlignment="1">
      <alignment horizontal="left" vertical="top" wrapText="1"/>
    </xf>
    <xf numFmtId="0" fontId="3" fillId="0" borderId="1" xfId="0" applyFont="1" applyFill="1" applyBorder="1" applyAlignment="1">
      <alignment horizontal="left" vertical="top" wrapText="1"/>
    </xf>
    <xf numFmtId="0" fontId="3" fillId="0" borderId="3" xfId="0" applyFont="1" applyFill="1" applyBorder="1" applyAlignment="1">
      <alignment horizontal="left" vertical="top" wrapText="1"/>
    </xf>
    <xf numFmtId="4" fontId="3" fillId="2" borderId="1" xfId="0" applyNumberFormat="1" applyFont="1" applyFill="1" applyBorder="1" applyAlignment="1">
      <alignment horizontal="left" vertical="top" wrapText="1"/>
    </xf>
    <xf numFmtId="4" fontId="3" fillId="0"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center" wrapText="1"/>
    </xf>
    <xf numFmtId="0" fontId="90" fillId="24" borderId="1" xfId="0" applyFont="1" applyFill="1" applyBorder="1" applyAlignment="1">
      <alignment horizontal="left" vertical="top" wrapText="1"/>
    </xf>
    <xf numFmtId="49" fontId="11" fillId="0" borderId="13" xfId="0" applyNumberFormat="1" applyFont="1" applyFill="1" applyBorder="1" applyAlignment="1">
      <alignment horizontal="center" vertical="center"/>
    </xf>
    <xf numFmtId="0" fontId="11" fillId="2" borderId="7" xfId="0" applyFont="1" applyFill="1" applyBorder="1" applyAlignment="1">
      <alignment horizontal="left" vertical="top" wrapText="1"/>
    </xf>
    <xf numFmtId="0" fontId="11" fillId="2" borderId="0" xfId="0" applyFont="1" applyFill="1" applyBorder="1" applyAlignment="1">
      <alignment horizontal="left" vertical="top" wrapText="1"/>
    </xf>
    <xf numFmtId="0" fontId="11" fillId="2" borderId="8" xfId="0" applyFont="1" applyFill="1" applyBorder="1" applyAlignment="1">
      <alignment horizontal="left" vertical="top" wrapText="1"/>
    </xf>
    <xf numFmtId="0" fontId="11" fillId="2" borderId="9" xfId="0" applyFont="1" applyFill="1" applyBorder="1" applyAlignment="1">
      <alignment horizontal="left" vertical="top" wrapText="1"/>
    </xf>
    <xf numFmtId="0" fontId="11" fillId="2" borderId="12" xfId="0" applyFont="1" applyFill="1" applyBorder="1" applyAlignment="1">
      <alignment horizontal="left" vertical="top" wrapText="1"/>
    </xf>
    <xf numFmtId="0" fontId="11" fillId="2" borderId="10" xfId="0" applyFont="1" applyFill="1" applyBorder="1" applyAlignment="1">
      <alignment horizontal="left" vertical="top" wrapText="1"/>
    </xf>
    <xf numFmtId="0" fontId="11" fillId="11" borderId="1" xfId="0" applyFont="1" applyFill="1" applyBorder="1" applyAlignment="1">
      <alignment horizontal="left" vertical="center" wrapText="1"/>
    </xf>
    <xf numFmtId="4" fontId="11" fillId="0" borderId="13" xfId="0" applyNumberFormat="1" applyFont="1" applyFill="1" applyBorder="1" applyAlignment="1">
      <alignment horizontal="left" vertical="top"/>
    </xf>
    <xf numFmtId="0" fontId="12" fillId="11" borderId="0" xfId="0" applyFont="1" applyFill="1" applyBorder="1"/>
    <xf numFmtId="4" fontId="11" fillId="15" borderId="1" xfId="0" applyNumberFormat="1" applyFont="1" applyFill="1" applyBorder="1" applyAlignment="1">
      <alignment horizontal="left" vertical="center" wrapText="1"/>
    </xf>
    <xf numFmtId="4" fontId="11" fillId="15" borderId="1" xfId="0" applyNumberFormat="1" applyFont="1" applyFill="1" applyBorder="1" applyAlignment="1">
      <alignment horizontal="left" vertical="center"/>
    </xf>
    <xf numFmtId="4" fontId="11" fillId="25" borderId="1" xfId="0" applyNumberFormat="1" applyFont="1" applyFill="1" applyBorder="1" applyAlignment="1">
      <alignment horizontal="left" vertical="top" wrapText="1"/>
    </xf>
    <xf numFmtId="4" fontId="3" fillId="25" borderId="1" xfId="0" applyNumberFormat="1" applyFont="1" applyFill="1" applyBorder="1" applyAlignment="1">
      <alignment horizontal="left" vertical="top" wrapText="1"/>
    </xf>
    <xf numFmtId="4" fontId="3" fillId="25" borderId="1" xfId="0" applyNumberFormat="1" applyFont="1" applyFill="1" applyBorder="1" applyAlignment="1">
      <alignment horizontal="left" vertical="center" wrapText="1"/>
    </xf>
    <xf numFmtId="49" fontId="11" fillId="0" borderId="2" xfId="0" applyNumberFormat="1" applyFont="1" applyBorder="1" applyAlignment="1">
      <alignment horizontal="left" vertical="top" wrapText="1"/>
    </xf>
    <xf numFmtId="49" fontId="11" fillId="0" borderId="2" xfId="0" applyNumberFormat="1" applyFont="1" applyFill="1" applyBorder="1" applyAlignment="1">
      <alignment horizontal="left" wrapText="1"/>
    </xf>
    <xf numFmtId="4" fontId="11" fillId="0" borderId="2" xfId="0" applyNumberFormat="1" applyFont="1" applyFill="1" applyBorder="1" applyAlignment="1">
      <alignment horizontal="left" wrapText="1"/>
    </xf>
    <xf numFmtId="4" fontId="11" fillId="0" borderId="1" xfId="0" applyNumberFormat="1" applyFont="1" applyFill="1" applyBorder="1" applyAlignment="1">
      <alignment horizontal="left" wrapText="1"/>
    </xf>
    <xf numFmtId="49" fontId="11" fillId="0" borderId="1" xfId="0" applyNumberFormat="1" applyFont="1" applyFill="1" applyBorder="1" applyAlignment="1">
      <alignment horizontal="left" wrapText="1"/>
    </xf>
    <xf numFmtId="4" fontId="11" fillId="0" borderId="1" xfId="0" applyNumberFormat="1" applyFont="1" applyFill="1" applyBorder="1" applyAlignment="1">
      <alignment horizontal="left"/>
    </xf>
    <xf numFmtId="49" fontId="11" fillId="0" borderId="2" xfId="0" applyNumberFormat="1" applyFont="1" applyFill="1" applyBorder="1" applyAlignment="1">
      <alignment horizontal="center" wrapText="1"/>
    </xf>
    <xf numFmtId="49" fontId="11" fillId="0" borderId="4" xfId="0" applyNumberFormat="1" applyFont="1" applyFill="1" applyBorder="1" applyAlignment="1">
      <alignment horizontal="left" wrapText="1"/>
    </xf>
    <xf numFmtId="4" fontId="11" fillId="0" borderId="4" xfId="0" applyNumberFormat="1" applyFont="1" applyFill="1" applyBorder="1" applyAlignment="1">
      <alignment horizontal="left" wrapText="1"/>
    </xf>
    <xf numFmtId="49" fontId="11" fillId="0" borderId="4" xfId="0" applyNumberFormat="1" applyFont="1" applyFill="1" applyBorder="1" applyAlignment="1">
      <alignment horizontal="center" wrapText="1"/>
    </xf>
    <xf numFmtId="0" fontId="125" fillId="0" borderId="0" xfId="0" applyFont="1"/>
    <xf numFmtId="0" fontId="11" fillId="0" borderId="5" xfId="0" applyNumberFormat="1" applyFont="1" applyBorder="1" applyAlignment="1">
      <alignment horizontal="left" vertical="top" wrapText="1"/>
    </xf>
    <xf numFmtId="0" fontId="11" fillId="0" borderId="11" xfId="0" applyNumberFormat="1" applyFont="1" applyFill="1" applyBorder="1" applyAlignment="1">
      <alignment horizontal="left" vertical="top" wrapText="1"/>
    </xf>
    <xf numFmtId="0" fontId="11" fillId="0" borderId="6" xfId="0" applyNumberFormat="1" applyFont="1" applyFill="1" applyBorder="1" applyAlignment="1">
      <alignment horizontal="left" vertical="top" wrapText="1"/>
    </xf>
    <xf numFmtId="0" fontId="11" fillId="0" borderId="7" xfId="0" applyNumberFormat="1" applyFont="1" applyFill="1" applyBorder="1" applyAlignment="1">
      <alignment horizontal="left" vertical="top" wrapText="1"/>
    </xf>
    <xf numFmtId="0" fontId="11" fillId="0" borderId="0" xfId="0" applyNumberFormat="1" applyFont="1" applyFill="1" applyBorder="1" applyAlignment="1">
      <alignment horizontal="left" vertical="top" wrapText="1"/>
    </xf>
    <xf numFmtId="0" fontId="11" fillId="0" borderId="8" xfId="0" applyNumberFormat="1" applyFont="1" applyFill="1" applyBorder="1" applyAlignment="1">
      <alignment horizontal="left" vertical="top" wrapText="1"/>
    </xf>
    <xf numFmtId="0" fontId="11" fillId="22" borderId="1" xfId="0" applyFont="1" applyFill="1" applyBorder="1" applyAlignment="1">
      <alignment horizontal="left" vertical="top"/>
    </xf>
    <xf numFmtId="4" fontId="11" fillId="22" borderId="1" xfId="0" applyNumberFormat="1" applyFont="1" applyFill="1" applyBorder="1" applyAlignment="1">
      <alignment horizontal="center" vertical="center"/>
    </xf>
    <xf numFmtId="49" fontId="11" fillId="22" borderId="1" xfId="0" applyNumberFormat="1" applyFont="1" applyFill="1" applyBorder="1" applyAlignment="1">
      <alignment horizontal="left" vertical="top"/>
    </xf>
    <xf numFmtId="0" fontId="4" fillId="26" borderId="0" xfId="0" applyFont="1" applyFill="1" applyAlignment="1">
      <alignment horizontal="left" wrapText="1"/>
    </xf>
    <xf numFmtId="4" fontId="20" fillId="26" borderId="0" xfId="0" applyNumberFormat="1" applyFont="1" applyFill="1" applyAlignment="1">
      <alignment horizontal="left"/>
    </xf>
    <xf numFmtId="0" fontId="11" fillId="26" borderId="0" xfId="0" applyFont="1" applyFill="1" applyBorder="1" applyAlignment="1">
      <alignment horizontal="left" wrapText="1"/>
    </xf>
    <xf numFmtId="0" fontId="21" fillId="26" borderId="0" xfId="0" applyFont="1" applyFill="1" applyAlignment="1">
      <alignment horizontal="left" wrapText="1"/>
    </xf>
    <xf numFmtId="4" fontId="44" fillId="0" borderId="1" xfId="0" applyNumberFormat="1" applyFont="1" applyFill="1" applyBorder="1" applyAlignment="1">
      <alignment vertical="top"/>
    </xf>
    <xf numFmtId="4" fontId="44" fillId="0" borderId="1" xfId="0" applyNumberFormat="1" applyFont="1" applyFill="1" applyBorder="1" applyAlignment="1">
      <alignment vertical="top" wrapText="1"/>
    </xf>
    <xf numFmtId="4" fontId="44" fillId="0" borderId="0" xfId="0" applyNumberFormat="1" applyFont="1" applyFill="1" applyBorder="1" applyAlignment="1">
      <alignment horizontal="left" vertical="top" wrapText="1"/>
    </xf>
    <xf numFmtId="4" fontId="73" fillId="0" borderId="0" xfId="0" applyNumberFormat="1" applyFont="1" applyFill="1"/>
    <xf numFmtId="0" fontId="73" fillId="0" borderId="0" xfId="0" applyFont="1" applyFill="1"/>
    <xf numFmtId="4" fontId="44" fillId="0" borderId="1" xfId="0" applyNumberFormat="1" applyFont="1" applyFill="1" applyBorder="1" applyAlignment="1">
      <alignment horizontal="left" vertical="top"/>
    </xf>
    <xf numFmtId="49" fontId="44" fillId="0" borderId="1" xfId="0" applyNumberFormat="1" applyFont="1" applyFill="1" applyBorder="1" applyAlignment="1">
      <alignment horizontal="left" vertical="top" wrapText="1"/>
    </xf>
    <xf numFmtId="4" fontId="79" fillId="19" borderId="1" xfId="0" applyNumberFormat="1" applyFont="1" applyFill="1" applyBorder="1" applyAlignment="1">
      <alignment horizontal="left" vertical="top" wrapText="1"/>
    </xf>
    <xf numFmtId="4" fontId="140" fillId="27" borderId="1" xfId="0" applyNumberFormat="1" applyFont="1" applyFill="1" applyBorder="1" applyAlignment="1">
      <alignment horizontal="left" vertical="center" wrapText="1"/>
    </xf>
    <xf numFmtId="4" fontId="46" fillId="10" borderId="13" xfId="0" applyNumberFormat="1" applyFont="1" applyFill="1" applyBorder="1" applyAlignment="1">
      <alignment horizontal="center" vertical="top" wrapText="1"/>
    </xf>
    <xf numFmtId="0" fontId="8" fillId="0" borderId="2" xfId="0" applyFont="1" applyFill="1" applyBorder="1" applyAlignment="1">
      <alignment horizontal="left" vertical="top"/>
    </xf>
    <xf numFmtId="0" fontId="8" fillId="0" borderId="3" xfId="0" applyFont="1" applyFill="1" applyBorder="1" applyAlignment="1">
      <alignment horizontal="left" vertical="top"/>
    </xf>
    <xf numFmtId="0" fontId="8" fillId="0" borderId="4" xfId="0" applyFont="1" applyFill="1" applyBorder="1" applyAlignment="1">
      <alignment horizontal="left" vertical="top"/>
    </xf>
    <xf numFmtId="0" fontId="8" fillId="0" borderId="1" xfId="0" applyFont="1" applyFill="1" applyBorder="1" applyAlignment="1">
      <alignment horizontal="center" vertical="center"/>
    </xf>
    <xf numFmtId="4" fontId="8" fillId="2" borderId="1" xfId="0" applyNumberFormat="1" applyFont="1" applyFill="1" applyBorder="1" applyAlignment="1">
      <alignment horizontal="left" vertical="top" wrapText="1"/>
    </xf>
    <xf numFmtId="4" fontId="11" fillId="0" borderId="1" xfId="0" applyNumberFormat="1" applyFont="1" applyFill="1" applyBorder="1" applyAlignment="1">
      <alignment horizontal="center" vertical="top" wrapText="1"/>
    </xf>
    <xf numFmtId="0" fontId="3" fillId="0" borderId="1" xfId="0" applyFont="1" applyFill="1" applyBorder="1" applyAlignment="1">
      <alignment horizontal="left" vertical="top" wrapText="1"/>
    </xf>
    <xf numFmtId="0" fontId="11" fillId="0" borderId="0" xfId="0" applyFont="1" applyFill="1" applyAlignment="1">
      <alignment horizontal="left" wrapText="1"/>
    </xf>
    <xf numFmtId="0" fontId="11" fillId="15" borderId="1" xfId="0" applyFont="1" applyFill="1" applyBorder="1" applyAlignment="1">
      <alignment horizontal="left" vertical="top" wrapText="1"/>
    </xf>
    <xf numFmtId="0" fontId="3" fillId="2" borderId="1" xfId="0" applyFont="1" applyFill="1" applyBorder="1" applyAlignment="1">
      <alignment vertical="top" wrapText="1"/>
    </xf>
    <xf numFmtId="0" fontId="8" fillId="15" borderId="1" xfId="0" applyFont="1" applyFill="1" applyBorder="1" applyAlignment="1">
      <alignment horizontal="left" vertical="top" wrapText="1"/>
    </xf>
    <xf numFmtId="2" fontId="11" fillId="0" borderId="1" xfId="0" applyNumberFormat="1" applyFont="1" applyFill="1" applyBorder="1" applyAlignment="1">
      <alignment horizontal="center" vertical="top" wrapText="1"/>
    </xf>
    <xf numFmtId="0" fontId="8" fillId="0" borderId="3" xfId="0" applyNumberFormat="1" applyFont="1" applyFill="1" applyBorder="1" applyAlignment="1">
      <alignment horizontal="left" vertical="top"/>
    </xf>
    <xf numFmtId="0" fontId="8" fillId="0" borderId="4" xfId="0" applyNumberFormat="1" applyFont="1" applyFill="1" applyBorder="1" applyAlignment="1">
      <alignment horizontal="left" vertical="top"/>
    </xf>
    <xf numFmtId="0" fontId="3" fillId="15" borderId="2" xfId="0" applyFont="1" applyFill="1" applyBorder="1" applyAlignment="1">
      <alignment horizontal="left" vertical="top" wrapText="1"/>
    </xf>
    <xf numFmtId="0" fontId="3" fillId="15" borderId="3" xfId="0" applyFont="1" applyFill="1" applyBorder="1" applyAlignment="1">
      <alignment horizontal="left" vertical="top" wrapText="1"/>
    </xf>
    <xf numFmtId="0" fontId="3" fillId="15" borderId="4" xfId="0" applyFont="1" applyFill="1" applyBorder="1" applyAlignment="1">
      <alignment horizontal="left" vertical="top" wrapText="1"/>
    </xf>
    <xf numFmtId="0" fontId="8" fillId="15" borderId="2" xfId="0" applyFont="1" applyFill="1" applyBorder="1" applyAlignment="1">
      <alignment horizontal="left" vertical="top" wrapText="1"/>
    </xf>
    <xf numFmtId="0" fontId="8" fillId="15" borderId="3" xfId="0" applyFont="1" applyFill="1" applyBorder="1" applyAlignment="1">
      <alignment horizontal="left" vertical="top" wrapText="1"/>
    </xf>
    <xf numFmtId="0" fontId="8" fillId="15" borderId="4" xfId="0" applyFont="1" applyFill="1" applyBorder="1" applyAlignment="1">
      <alignment horizontal="left" vertical="top" wrapText="1"/>
    </xf>
    <xf numFmtId="0" fontId="8" fillId="2" borderId="3" xfId="0" applyFont="1" applyFill="1" applyBorder="1" applyAlignment="1">
      <alignment horizontal="left" vertical="top"/>
    </xf>
    <xf numFmtId="0" fontId="8" fillId="2" borderId="4" xfId="0" applyFont="1" applyFill="1" applyBorder="1" applyAlignment="1">
      <alignment horizontal="left" vertical="top"/>
    </xf>
    <xf numFmtId="0" fontId="3" fillId="2" borderId="2" xfId="0" applyFont="1" applyFill="1" applyBorder="1" applyAlignment="1">
      <alignment horizontal="left" vertical="top"/>
    </xf>
    <xf numFmtId="0" fontId="92" fillId="0" borderId="1" xfId="0" applyFont="1" applyFill="1" applyBorder="1" applyAlignment="1">
      <alignment vertical="center"/>
    </xf>
    <xf numFmtId="4" fontId="11" fillId="2" borderId="1" xfId="0" applyNumberFormat="1" applyFont="1" applyFill="1" applyBorder="1" applyAlignment="1">
      <alignment horizontal="center" vertical="center"/>
    </xf>
    <xf numFmtId="0" fontId="92" fillId="0" borderId="0" xfId="0" applyFont="1" applyFill="1" applyAlignment="1">
      <alignment vertical="center"/>
    </xf>
    <xf numFmtId="0" fontId="5" fillId="0" borderId="1" xfId="0" applyFont="1" applyFill="1" applyBorder="1" applyAlignment="1">
      <alignment vertical="top" wrapText="1"/>
    </xf>
    <xf numFmtId="0" fontId="0" fillId="26" borderId="3" xfId="0" applyFill="1" applyBorder="1"/>
    <xf numFmtId="1" fontId="11" fillId="26" borderId="5" xfId="0" applyNumberFormat="1" applyFont="1" applyFill="1" applyBorder="1" applyAlignment="1">
      <alignment horizontal="left"/>
    </xf>
    <xf numFmtId="4" fontId="11" fillId="26" borderId="8" xfId="0" applyNumberFormat="1" applyFont="1" applyFill="1" applyBorder="1" applyAlignment="1">
      <alignment vertical="top" wrapText="1"/>
    </xf>
    <xf numFmtId="0" fontId="11" fillId="26" borderId="0" xfId="0" applyFont="1" applyFill="1" applyBorder="1" applyAlignment="1">
      <alignment horizontal="center" vertical="top" wrapText="1"/>
    </xf>
    <xf numFmtId="4" fontId="12" fillId="26" borderId="3" xfId="0" applyNumberFormat="1" applyFont="1" applyFill="1" applyBorder="1" applyAlignment="1"/>
    <xf numFmtId="0" fontId="14" fillId="5" borderId="0" xfId="0" applyFont="1" applyFill="1"/>
    <xf numFmtId="0" fontId="3" fillId="0" borderId="1" xfId="0" applyFont="1" applyFill="1" applyBorder="1" applyAlignment="1">
      <alignment horizontal="center" vertical="top" wrapText="1"/>
    </xf>
    <xf numFmtId="0" fontId="65" fillId="0" borderId="1" xfId="0" applyFont="1" applyFill="1" applyBorder="1" applyAlignment="1">
      <alignment horizontal="center" vertical="top" wrapText="1"/>
    </xf>
    <xf numFmtId="0" fontId="3" fillId="0" borderId="1" xfId="0" applyFont="1" applyFill="1" applyBorder="1" applyAlignment="1">
      <alignment horizontal="center" vertical="top" wrapText="1"/>
    </xf>
    <xf numFmtId="4" fontId="11" fillId="10" borderId="1" xfId="0" applyNumberFormat="1" applyFont="1" applyFill="1" applyBorder="1" applyAlignment="1">
      <alignment horizontal="left" vertical="top"/>
    </xf>
    <xf numFmtId="10" fontId="11" fillId="10" borderId="1" xfId="0" applyNumberFormat="1" applyFont="1" applyFill="1" applyBorder="1" applyAlignment="1">
      <alignment wrapText="1"/>
    </xf>
    <xf numFmtId="4" fontId="12" fillId="10" borderId="1" xfId="0" applyNumberFormat="1" applyFont="1" applyFill="1" applyBorder="1" applyAlignment="1">
      <alignment horizontal="left"/>
    </xf>
    <xf numFmtId="0" fontId="3" fillId="0" borderId="1" xfId="0" applyFont="1" applyFill="1" applyBorder="1" applyAlignment="1">
      <alignment horizontal="center" vertical="center" wrapText="1"/>
    </xf>
    <xf numFmtId="0" fontId="142" fillId="0" borderId="0" xfId="0" applyFont="1" applyFill="1" applyBorder="1" applyAlignment="1">
      <alignment horizontal="center" vertical="center"/>
    </xf>
    <xf numFmtId="0" fontId="0" fillId="0" borderId="1" xfId="0" applyFill="1" applyBorder="1" applyAlignment="1">
      <alignment vertical="center" wrapText="1"/>
    </xf>
    <xf numFmtId="0" fontId="3" fillId="2" borderId="1" xfId="0" applyFont="1" applyFill="1" applyBorder="1" applyAlignment="1">
      <alignment horizontal="center" vertical="top" wrapText="1"/>
    </xf>
    <xf numFmtId="4" fontId="8" fillId="0" borderId="1" xfId="0" applyNumberFormat="1" applyFont="1" applyFill="1" applyBorder="1" applyAlignment="1">
      <alignment horizontal="left" vertical="top" wrapText="1"/>
    </xf>
    <xf numFmtId="49" fontId="11" fillId="0" borderId="1" xfId="0" applyNumberFormat="1" applyFont="1" applyFill="1" applyBorder="1" applyAlignment="1">
      <alignment horizontal="left" vertical="top" wrapText="1"/>
    </xf>
    <xf numFmtId="4" fontId="11" fillId="0"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4" fontId="11" fillId="2" borderId="1" xfId="0" applyNumberFormat="1" applyFont="1" applyFill="1" applyBorder="1" applyAlignment="1">
      <alignment horizontal="left" vertical="top" wrapText="1"/>
    </xf>
    <xf numFmtId="0" fontId="11" fillId="0" borderId="1" xfId="0" applyFont="1" applyFill="1" applyBorder="1" applyAlignment="1">
      <alignment horizontal="left" vertical="top" wrapText="1"/>
    </xf>
    <xf numFmtId="4" fontId="39" fillId="10"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4" fontId="11" fillId="2" borderId="1" xfId="0" applyNumberFormat="1" applyFont="1" applyFill="1" applyBorder="1" applyAlignment="1">
      <alignment horizontal="left" vertical="top" wrapText="1"/>
    </xf>
    <xf numFmtId="0" fontId="14" fillId="0" borderId="15" xfId="0" applyFont="1" applyFill="1" applyBorder="1"/>
    <xf numFmtId="4" fontId="12" fillId="2" borderId="1" xfId="0" applyNumberFormat="1" applyFont="1" applyFill="1" applyBorder="1" applyAlignment="1">
      <alignment horizontal="left"/>
    </xf>
    <xf numFmtId="167" fontId="11" fillId="2" borderId="1" xfId="0" applyNumberFormat="1" applyFont="1" applyFill="1" applyBorder="1" applyAlignment="1">
      <alignment horizontal="center" vertical="top" wrapText="1"/>
    </xf>
    <xf numFmtId="4" fontId="0" fillId="4" borderId="0" xfId="0" applyNumberFormat="1" applyFill="1"/>
    <xf numFmtId="0" fontId="12" fillId="2" borderId="0" xfId="0" applyFont="1" applyFill="1"/>
    <xf numFmtId="4" fontId="39" fillId="15" borderId="1" xfId="0" applyNumberFormat="1" applyFont="1" applyFill="1" applyBorder="1" applyAlignment="1">
      <alignment horizontal="left" vertical="top" wrapText="1"/>
    </xf>
    <xf numFmtId="4" fontId="3" fillId="0" borderId="4" xfId="0" applyNumberFormat="1" applyFont="1" applyFill="1" applyBorder="1" applyAlignment="1">
      <alignment horizontal="center" vertical="top" wrapText="1"/>
    </xf>
    <xf numFmtId="164" fontId="16" fillId="0" borderId="0" xfId="4" applyFont="1" applyFill="1" applyBorder="1"/>
    <xf numFmtId="0" fontId="1" fillId="0" borderId="0" xfId="0" applyNumberFormat="1" applyFont="1" applyFill="1"/>
    <xf numFmtId="0" fontId="1" fillId="0" borderId="0" xfId="4" applyNumberFormat="1" applyFont="1" applyFill="1" applyBorder="1"/>
    <xf numFmtId="4" fontId="21" fillId="0" borderId="4" xfId="0" applyNumberFormat="1" applyFont="1" applyFill="1" applyBorder="1" applyAlignment="1">
      <alignment horizontal="center" vertical="top" wrapText="1"/>
    </xf>
    <xf numFmtId="0" fontId="3" fillId="0" borderId="2" xfId="0" applyFont="1" applyFill="1" applyBorder="1" applyAlignment="1">
      <alignment horizontal="center" vertical="center" wrapText="1"/>
    </xf>
    <xf numFmtId="0" fontId="3" fillId="0" borderId="3" xfId="0" applyFont="1" applyFill="1" applyBorder="1" applyAlignment="1">
      <alignment horizontal="center" vertical="top" wrapText="1"/>
    </xf>
    <xf numFmtId="0" fontId="3" fillId="0" borderId="4" xfId="0" applyFont="1" applyFill="1" applyBorder="1" applyAlignment="1">
      <alignment horizontal="center" vertical="top" wrapText="1"/>
    </xf>
    <xf numFmtId="4" fontId="8" fillId="0" borderId="1" xfId="0" applyNumberFormat="1" applyFont="1" applyFill="1" applyBorder="1" applyAlignment="1">
      <alignment horizontal="left" vertical="top" wrapText="1"/>
    </xf>
    <xf numFmtId="49" fontId="11" fillId="0" borderId="1" xfId="0" applyNumberFormat="1" applyFont="1" applyFill="1" applyBorder="1" applyAlignment="1">
      <alignment horizontal="left" vertical="top" wrapText="1"/>
    </xf>
    <xf numFmtId="49" fontId="11" fillId="0" borderId="0" xfId="0" applyNumberFormat="1" applyFont="1" applyFill="1" applyBorder="1" applyAlignment="1">
      <alignment horizontal="left" vertical="top" wrapText="1"/>
    </xf>
    <xf numFmtId="0" fontId="11" fillId="0" borderId="0" xfId="0" applyFont="1" applyFill="1" applyBorder="1" applyAlignment="1">
      <alignment horizontal="center" vertical="top" wrapText="1"/>
    </xf>
    <xf numFmtId="49" fontId="11" fillId="0" borderId="1" xfId="0" applyNumberFormat="1" applyFont="1" applyFill="1" applyBorder="1" applyAlignment="1">
      <alignment horizontal="center" vertical="center"/>
    </xf>
    <xf numFmtId="49" fontId="11" fillId="0" borderId="2" xfId="0" applyNumberFormat="1" applyFont="1" applyFill="1" applyBorder="1" applyAlignment="1">
      <alignment horizontal="left" vertical="top" wrapText="1"/>
    </xf>
    <xf numFmtId="49" fontId="11" fillId="0" borderId="4" xfId="0" applyNumberFormat="1" applyFont="1" applyFill="1" applyBorder="1" applyAlignment="1">
      <alignment horizontal="left" vertical="top" wrapText="1"/>
    </xf>
    <xf numFmtId="49" fontId="11" fillId="0" borderId="1" xfId="0" applyNumberFormat="1" applyFont="1" applyFill="1" applyBorder="1" applyAlignment="1">
      <alignment horizontal="center" vertical="top" wrapText="1"/>
    </xf>
    <xf numFmtId="0" fontId="11" fillId="0" borderId="1" xfId="0" applyFont="1" applyFill="1" applyBorder="1" applyAlignment="1">
      <alignment horizontal="center" vertical="center" wrapText="1"/>
    </xf>
    <xf numFmtId="49" fontId="11" fillId="0" borderId="1" xfId="0" applyNumberFormat="1" applyFont="1" applyFill="1" applyBorder="1" applyAlignment="1">
      <alignment horizontal="center" vertical="top"/>
    </xf>
    <xf numFmtId="4" fontId="3" fillId="2" borderId="1" xfId="0" applyNumberFormat="1" applyFont="1" applyFill="1" applyBorder="1" applyAlignment="1">
      <alignment horizontal="center" vertical="top" wrapText="1"/>
    </xf>
    <xf numFmtId="10" fontId="0" fillId="2" borderId="1" xfId="0" applyNumberFormat="1" applyFill="1" applyBorder="1"/>
    <xf numFmtId="0" fontId="14" fillId="11" borderId="0" xfId="0" applyFont="1" applyFill="1" applyAlignment="1">
      <alignment wrapText="1"/>
    </xf>
    <xf numFmtId="0" fontId="94" fillId="24" borderId="1" xfId="0" applyFont="1" applyFill="1" applyBorder="1" applyAlignment="1">
      <alignment horizontal="left" vertical="top" wrapText="1"/>
    </xf>
    <xf numFmtId="0" fontId="12" fillId="2" borderId="15" xfId="0" applyFont="1" applyFill="1" applyBorder="1"/>
    <xf numFmtId="0" fontId="143" fillId="2" borderId="1" xfId="0" applyFont="1" applyFill="1" applyBorder="1" applyAlignment="1">
      <alignment horizontal="left" vertical="top" wrapText="1"/>
    </xf>
    <xf numFmtId="0" fontId="27" fillId="2" borderId="1" xfId="0" applyFont="1" applyFill="1" applyBorder="1" applyAlignment="1">
      <alignment horizontal="left" vertical="top" wrapText="1"/>
    </xf>
    <xf numFmtId="4" fontId="27" fillId="2" borderId="1" xfId="0" applyNumberFormat="1" applyFont="1" applyFill="1" applyBorder="1" applyAlignment="1">
      <alignment horizontal="left" vertical="top" wrapText="1"/>
    </xf>
    <xf numFmtId="4" fontId="95" fillId="2" borderId="1" xfId="0" applyNumberFormat="1" applyFont="1" applyFill="1" applyBorder="1" applyAlignment="1">
      <alignment horizontal="left"/>
    </xf>
    <xf numFmtId="4" fontId="27" fillId="2" borderId="1" xfId="0" applyNumberFormat="1" applyFont="1" applyFill="1" applyBorder="1" applyAlignment="1">
      <alignment horizontal="left" vertical="top"/>
    </xf>
    <xf numFmtId="0" fontId="3" fillId="0" borderId="2" xfId="0" applyFont="1" applyFill="1" applyBorder="1" applyAlignment="1">
      <alignment horizontal="center" vertical="center" wrapText="1"/>
    </xf>
    <xf numFmtId="0" fontId="3" fillId="0" borderId="3" xfId="0" applyFont="1" applyFill="1" applyBorder="1" applyAlignment="1">
      <alignment horizontal="center" vertical="top" wrapText="1"/>
    </xf>
    <xf numFmtId="49" fontId="11" fillId="0" borderId="1" xfId="0" applyNumberFormat="1" applyFont="1" applyFill="1" applyBorder="1" applyAlignment="1">
      <alignment horizontal="left" vertical="top" wrapText="1"/>
    </xf>
    <xf numFmtId="0" fontId="11" fillId="0" borderId="1" xfId="0" applyFont="1" applyFill="1" applyBorder="1" applyAlignment="1">
      <alignment horizontal="center" vertical="center" wrapText="1"/>
    </xf>
    <xf numFmtId="0" fontId="56" fillId="0" borderId="2" xfId="0" applyNumberFormat="1" applyFont="1" applyFill="1" applyBorder="1" applyAlignment="1">
      <alignment horizontal="center" vertical="center"/>
    </xf>
    <xf numFmtId="49" fontId="21" fillId="0" borderId="1" xfId="0" applyNumberFormat="1" applyFont="1" applyFill="1" applyBorder="1" applyAlignment="1">
      <alignment horizontal="left" vertical="top" wrapText="1"/>
    </xf>
    <xf numFmtId="0" fontId="11" fillId="28" borderId="4" xfId="0" applyFont="1" applyFill="1" applyBorder="1" applyAlignment="1">
      <alignment horizontal="left" vertical="top" wrapText="1"/>
    </xf>
    <xf numFmtId="4" fontId="11" fillId="28" borderId="1" xfId="0" applyNumberFormat="1" applyFont="1" applyFill="1" applyBorder="1" applyAlignment="1">
      <alignment horizontal="left" vertical="center" wrapText="1"/>
    </xf>
    <xf numFmtId="4" fontId="3" fillId="0" borderId="3" xfId="0" applyNumberFormat="1" applyFont="1" applyFill="1" applyBorder="1" applyAlignment="1">
      <alignment horizontal="center" vertical="top" wrapText="1"/>
    </xf>
    <xf numFmtId="4" fontId="3" fillId="0" borderId="3" xfId="0" applyNumberFormat="1" applyFont="1" applyFill="1" applyBorder="1" applyAlignment="1">
      <alignment horizontal="center" vertical="top" wrapText="1"/>
    </xf>
    <xf numFmtId="0" fontId="3" fillId="2" borderId="0" xfId="0" applyFont="1" applyFill="1" applyBorder="1" applyAlignment="1">
      <alignment horizontal="center" vertical="top" wrapText="1"/>
    </xf>
    <xf numFmtId="4" fontId="3" fillId="2" borderId="0" xfId="0" applyNumberFormat="1" applyFont="1" applyFill="1" applyBorder="1" applyAlignment="1">
      <alignment horizontal="center" vertical="top" wrapText="1"/>
    </xf>
    <xf numFmtId="4" fontId="8" fillId="2" borderId="8" xfId="0" applyNumberFormat="1" applyFont="1" applyFill="1" applyBorder="1" applyAlignment="1">
      <alignment horizontal="left" vertical="top" wrapText="1"/>
    </xf>
    <xf numFmtId="0" fontId="3" fillId="2" borderId="12" xfId="0" applyFont="1" applyFill="1" applyBorder="1" applyAlignment="1">
      <alignment horizontal="center" vertical="top" wrapText="1"/>
    </xf>
    <xf numFmtId="4" fontId="3" fillId="2" borderId="12" xfId="0" applyNumberFormat="1" applyFont="1" applyFill="1" applyBorder="1" applyAlignment="1">
      <alignment horizontal="center" vertical="top" wrapText="1"/>
    </xf>
    <xf numFmtId="4" fontId="8" fillId="2" borderId="10" xfId="0" applyNumberFormat="1" applyFont="1" applyFill="1" applyBorder="1" applyAlignment="1">
      <alignment horizontal="left" vertical="top" wrapText="1"/>
    </xf>
    <xf numFmtId="0" fontId="11" fillId="28" borderId="2" xfId="0" applyFont="1" applyFill="1" applyBorder="1" applyAlignment="1">
      <alignment horizontal="left" vertical="center" wrapText="1"/>
    </xf>
    <xf numFmtId="4" fontId="3" fillId="0" borderId="2" xfId="0" applyNumberFormat="1" applyFont="1" applyFill="1" applyBorder="1" applyAlignment="1">
      <alignment horizontal="center" vertical="center" wrapText="1"/>
    </xf>
    <xf numFmtId="4" fontId="8" fillId="0" borderId="1" xfId="0" applyNumberFormat="1" applyFont="1" applyFill="1" applyBorder="1" applyAlignment="1">
      <alignment horizontal="left" vertical="center" wrapText="1"/>
    </xf>
    <xf numFmtId="49" fontId="11" fillId="0" borderId="1" xfId="0" applyNumberFormat="1" applyFont="1" applyFill="1" applyBorder="1" applyAlignment="1">
      <alignment horizontal="left" vertical="center" wrapText="1"/>
    </xf>
    <xf numFmtId="0" fontId="1" fillId="0" borderId="0" xfId="4" applyNumberFormat="1" applyFont="1" applyFill="1" applyBorder="1" applyAlignment="1">
      <alignment vertical="center"/>
    </xf>
    <xf numFmtId="0" fontId="5" fillId="0" borderId="0" xfId="0" applyFont="1" applyFill="1" applyAlignment="1">
      <alignment vertical="center"/>
    </xf>
    <xf numFmtId="0" fontId="11" fillId="2" borderId="5" xfId="0" applyFont="1" applyFill="1" applyBorder="1" applyAlignment="1">
      <alignment horizontal="left" vertical="center" wrapText="1"/>
    </xf>
    <xf numFmtId="0" fontId="3" fillId="2" borderId="11" xfId="0" applyFont="1" applyFill="1" applyBorder="1" applyAlignment="1">
      <alignment horizontal="center" vertical="center" wrapText="1"/>
    </xf>
    <xf numFmtId="4" fontId="3" fillId="2" borderId="11" xfId="0" applyNumberFormat="1" applyFont="1" applyFill="1" applyBorder="1" applyAlignment="1">
      <alignment horizontal="center" vertical="center" wrapText="1"/>
    </xf>
    <xf numFmtId="4" fontId="8" fillId="2" borderId="6" xfId="0" applyNumberFormat="1" applyFont="1" applyFill="1" applyBorder="1" applyAlignment="1">
      <alignment horizontal="left" vertical="center" wrapText="1"/>
    </xf>
    <xf numFmtId="0" fontId="1" fillId="0" borderId="0" xfId="0" applyNumberFormat="1" applyFont="1" applyFill="1" applyAlignment="1">
      <alignment vertical="center"/>
    </xf>
    <xf numFmtId="0" fontId="11" fillId="28" borderId="3" xfId="0" applyFont="1" applyFill="1" applyBorder="1" applyAlignment="1">
      <alignment horizontal="left" vertical="top" wrapText="1"/>
    </xf>
    <xf numFmtId="0" fontId="3" fillId="0" borderId="1" xfId="0" applyFont="1" applyFill="1" applyBorder="1" applyAlignment="1">
      <alignment horizontal="center" vertical="top" wrapText="1"/>
    </xf>
    <xf numFmtId="0" fontId="65" fillId="0" borderId="1" xfId="0" applyFont="1" applyFill="1" applyBorder="1" applyAlignment="1">
      <alignment horizontal="center" vertical="top" wrapText="1"/>
    </xf>
    <xf numFmtId="4" fontId="65" fillId="0" borderId="1" xfId="0" applyNumberFormat="1" applyFont="1" applyFill="1" applyBorder="1" applyAlignment="1">
      <alignment horizontal="center" vertical="center"/>
    </xf>
    <xf numFmtId="0" fontId="26" fillId="0" borderId="1" xfId="0" applyFont="1" applyFill="1" applyBorder="1" applyAlignment="1">
      <alignment horizontal="center" vertical="top" wrapText="1"/>
    </xf>
    <xf numFmtId="0" fontId="26" fillId="0" borderId="1" xfId="0" applyFont="1" applyFill="1" applyBorder="1" applyAlignment="1">
      <alignment horizontal="left" vertical="top" wrapText="1"/>
    </xf>
    <xf numFmtId="49" fontId="11" fillId="2" borderId="2" xfId="0" applyNumberFormat="1" applyFont="1" applyFill="1" applyBorder="1" applyAlignment="1">
      <alignment horizontal="center" vertical="center" wrapText="1"/>
    </xf>
    <xf numFmtId="49" fontId="11" fillId="2" borderId="3" xfId="0" applyNumberFormat="1" applyFont="1" applyFill="1" applyBorder="1" applyAlignment="1">
      <alignment horizontal="center" vertical="top" wrapText="1"/>
    </xf>
    <xf numFmtId="49" fontId="11" fillId="2" borderId="4" xfId="0" applyNumberFormat="1" applyFont="1" applyFill="1" applyBorder="1" applyAlignment="1">
      <alignment horizontal="center" vertical="top" wrapText="1"/>
    </xf>
    <xf numFmtId="49" fontId="11" fillId="28" borderId="2" xfId="0" applyNumberFormat="1" applyFont="1" applyFill="1" applyBorder="1" applyAlignment="1">
      <alignment horizontal="center" vertical="center" wrapText="1"/>
    </xf>
    <xf numFmtId="49" fontId="11" fillId="28" borderId="3" xfId="0" applyNumberFormat="1" applyFont="1" applyFill="1" applyBorder="1" applyAlignment="1">
      <alignment horizontal="center" vertical="top" wrapText="1"/>
    </xf>
    <xf numFmtId="49" fontId="11" fillId="28" borderId="4" xfId="0" applyNumberFormat="1" applyFont="1" applyFill="1" applyBorder="1" applyAlignment="1">
      <alignment horizontal="center" vertical="top" wrapText="1"/>
    </xf>
    <xf numFmtId="0" fontId="144" fillId="0" borderId="0" xfId="0" applyNumberFormat="1" applyFont="1" applyAlignment="1">
      <alignment vertical="center"/>
    </xf>
    <xf numFmtId="0" fontId="144" fillId="0" borderId="0" xfId="0" applyNumberFormat="1" applyFont="1"/>
    <xf numFmtId="0" fontId="16" fillId="0" borderId="0" xfId="4" applyNumberFormat="1" applyFont="1" applyFill="1" applyBorder="1" applyAlignment="1">
      <alignment vertical="center"/>
    </xf>
    <xf numFmtId="0" fontId="16" fillId="0" borderId="0" xfId="4" applyNumberFormat="1" applyFont="1" applyFill="1" applyBorder="1"/>
    <xf numFmtId="0" fontId="3" fillId="0" borderId="3" xfId="0" applyFont="1" applyFill="1" applyBorder="1" applyAlignment="1">
      <alignment horizontal="center"/>
    </xf>
    <xf numFmtId="0" fontId="11" fillId="0" borderId="3" xfId="0" applyFont="1" applyFill="1" applyBorder="1" applyAlignment="1">
      <alignment horizontal="center"/>
    </xf>
    <xf numFmtId="0" fontId="0" fillId="0" borderId="1" xfId="0" applyBorder="1"/>
    <xf numFmtId="0" fontId="64" fillId="0" borderId="0" xfId="0" applyFont="1" applyAlignment="1">
      <alignment vertical="top"/>
    </xf>
    <xf numFmtId="0" fontId="82" fillId="0" borderId="1" xfId="0" applyFont="1" applyBorder="1" applyAlignment="1">
      <alignment horizontal="center"/>
    </xf>
    <xf numFmtId="0" fontId="82" fillId="0" borderId="1" xfId="0" applyFont="1" applyBorder="1"/>
    <xf numFmtId="4" fontId="48" fillId="0" borderId="1" xfId="0" applyNumberFormat="1" applyFont="1" applyFill="1" applyBorder="1" applyAlignment="1">
      <alignment horizontal="center" vertical="center"/>
    </xf>
    <xf numFmtId="4" fontId="89" fillId="0" borderId="1" xfId="0" applyNumberFormat="1" applyFont="1" applyFill="1" applyBorder="1" applyAlignment="1">
      <alignment horizontal="center" vertical="center"/>
    </xf>
    <xf numFmtId="4" fontId="145" fillId="0" borderId="1" xfId="0" applyNumberFormat="1" applyFont="1" applyFill="1" applyBorder="1" applyAlignment="1">
      <alignment horizontal="center" vertical="center"/>
    </xf>
    <xf numFmtId="4" fontId="146" fillId="0" borderId="1" xfId="0" applyNumberFormat="1" applyFont="1" applyFill="1" applyBorder="1" applyAlignment="1">
      <alignment horizontal="center" vertical="center"/>
    </xf>
    <xf numFmtId="0" fontId="7" fillId="0" borderId="1" xfId="0" applyFont="1" applyFill="1" applyBorder="1" applyAlignment="1">
      <alignment horizontal="center" vertical="top" wrapText="1"/>
    </xf>
    <xf numFmtId="0" fontId="7" fillId="0" borderId="1" xfId="0" applyFont="1" applyFill="1" applyBorder="1" applyAlignment="1">
      <alignment horizontal="center" vertical="center" wrapText="1"/>
    </xf>
    <xf numFmtId="0" fontId="65" fillId="0" borderId="1" xfId="0" applyFont="1" applyFill="1" applyBorder="1" applyAlignment="1">
      <alignment horizontal="center" vertical="top"/>
    </xf>
    <xf numFmtId="4" fontId="3" fillId="0" borderId="3" xfId="0" applyNumberFormat="1" applyFont="1" applyFill="1" applyBorder="1" applyAlignment="1">
      <alignment horizontal="center" vertical="center"/>
    </xf>
    <xf numFmtId="4" fontId="94" fillId="0" borderId="1" xfId="0" applyNumberFormat="1" applyFont="1" applyFill="1" applyBorder="1" applyAlignment="1">
      <alignment horizontal="center" vertical="center"/>
    </xf>
    <xf numFmtId="0" fontId="147" fillId="0" borderId="1" xfId="0" applyFont="1" applyFill="1" applyBorder="1" applyAlignment="1">
      <alignment horizontal="center" vertical="center" wrapText="1"/>
    </xf>
    <xf numFmtId="4" fontId="19" fillId="0" borderId="1" xfId="0" applyNumberFormat="1" applyFont="1" applyFill="1" applyBorder="1" applyAlignment="1">
      <alignment horizontal="center" vertical="center"/>
    </xf>
    <xf numFmtId="4" fontId="97" fillId="0" borderId="1" xfId="0" applyNumberFormat="1" applyFont="1" applyFill="1" applyBorder="1" applyAlignment="1">
      <alignment horizontal="center" vertical="center"/>
    </xf>
    <xf numFmtId="0" fontId="94" fillId="0" borderId="1" xfId="0" applyFont="1" applyFill="1" applyBorder="1" applyAlignment="1">
      <alignment horizontal="center" vertical="top"/>
    </xf>
    <xf numFmtId="4" fontId="148" fillId="0" borderId="1" xfId="0" applyNumberFormat="1" applyFont="1" applyFill="1" applyBorder="1" applyAlignment="1">
      <alignment horizontal="center" vertical="center"/>
    </xf>
    <xf numFmtId="0" fontId="6" fillId="0" borderId="1" xfId="0" applyFont="1" applyBorder="1" applyAlignment="1">
      <alignment vertical="center" wrapText="1"/>
    </xf>
    <xf numFmtId="4" fontId="110" fillId="0" borderId="1" xfId="0" applyNumberFormat="1" applyFont="1" applyBorder="1" applyAlignment="1">
      <alignment horizontal="center" vertical="center" wrapText="1"/>
    </xf>
    <xf numFmtId="0" fontId="64" fillId="0" borderId="0" xfId="0" applyFont="1"/>
    <xf numFmtId="0" fontId="6" fillId="0" borderId="1" xfId="0" applyFont="1" applyFill="1" applyBorder="1" applyAlignment="1">
      <alignment vertical="center" wrapText="1"/>
    </xf>
    <xf numFmtId="4" fontId="89" fillId="0" borderId="1" xfId="0" applyNumberFormat="1" applyFont="1" applyFill="1" applyBorder="1" applyAlignment="1">
      <alignment horizontal="center" vertical="center" wrapText="1"/>
    </xf>
    <xf numFmtId="0" fontId="94" fillId="0" borderId="1" xfId="0" applyFont="1" applyFill="1" applyBorder="1" applyAlignment="1">
      <alignment horizontal="center" vertical="center" wrapText="1"/>
    </xf>
    <xf numFmtId="4" fontId="0" fillId="0" borderId="15" xfId="0" applyNumberFormat="1" applyFill="1" applyBorder="1"/>
    <xf numFmtId="4" fontId="149" fillId="0" borderId="1" xfId="0" applyNumberFormat="1" applyFont="1" applyFill="1" applyBorder="1" applyAlignment="1">
      <alignment horizontal="center" vertical="top"/>
    </xf>
    <xf numFmtId="0" fontId="116" fillId="0" borderId="0" xfId="0" applyFont="1" applyFill="1" applyAlignment="1">
      <alignment horizontal="center" vertical="center"/>
    </xf>
    <xf numFmtId="4" fontId="116" fillId="0" borderId="15" xfId="0" applyNumberFormat="1" applyFont="1" applyFill="1" applyBorder="1"/>
    <xf numFmtId="4" fontId="0" fillId="0" borderId="15" xfId="0" applyNumberFormat="1" applyFill="1" applyBorder="1" applyAlignment="1">
      <alignment vertical="top" wrapText="1"/>
    </xf>
    <xf numFmtId="0" fontId="0" fillId="0" borderId="0" xfId="0" applyAlignment="1">
      <alignment vertical="top"/>
    </xf>
    <xf numFmtId="0" fontId="8" fillId="6" borderId="2" xfId="0" applyFont="1" applyFill="1" applyBorder="1" applyAlignment="1">
      <alignment horizontal="left" vertical="top" wrapText="1"/>
    </xf>
    <xf numFmtId="0" fontId="8" fillId="6" borderId="4" xfId="0" applyFont="1" applyFill="1" applyBorder="1" applyAlignment="1">
      <alignment horizontal="left" vertical="top" wrapText="1"/>
    </xf>
    <xf numFmtId="0" fontId="3" fillId="0" borderId="2" xfId="0" applyFont="1" applyFill="1" applyBorder="1" applyAlignment="1">
      <alignment horizontal="left" vertical="top" wrapText="1"/>
    </xf>
    <xf numFmtId="0" fontId="3" fillId="0" borderId="4" xfId="0" applyFont="1" applyFill="1" applyBorder="1" applyAlignment="1">
      <alignment horizontal="left" vertical="top" wrapText="1"/>
    </xf>
    <xf numFmtId="49" fontId="8" fillId="0" borderId="2" xfId="0" applyNumberFormat="1" applyFont="1" applyFill="1" applyBorder="1" applyAlignment="1">
      <alignment horizontal="left" vertical="top"/>
    </xf>
    <xf numFmtId="4" fontId="11" fillId="0" borderId="1" xfId="0" applyNumberFormat="1" applyFont="1" applyFill="1" applyBorder="1" applyAlignment="1">
      <alignment horizontal="left" vertical="top" wrapText="1"/>
    </xf>
    <xf numFmtId="0" fontId="11" fillId="0" borderId="2" xfId="0" applyFont="1" applyFill="1" applyBorder="1" applyAlignment="1">
      <alignment horizontal="left" vertical="top" wrapText="1"/>
    </xf>
    <xf numFmtId="0" fontId="11" fillId="0" borderId="3" xfId="0" applyFont="1" applyFill="1" applyBorder="1" applyAlignment="1">
      <alignment horizontal="left" vertical="top" wrapText="1"/>
    </xf>
    <xf numFmtId="0" fontId="11" fillId="0" borderId="4" xfId="0" applyFont="1" applyFill="1" applyBorder="1" applyAlignment="1">
      <alignment horizontal="left" vertical="top" wrapText="1"/>
    </xf>
    <xf numFmtId="0" fontId="3" fillId="0" borderId="1" xfId="0" applyFont="1" applyFill="1" applyBorder="1" applyAlignment="1">
      <alignment horizontal="left" vertical="top" wrapText="1"/>
    </xf>
    <xf numFmtId="4" fontId="39" fillId="0" borderId="1" xfId="0" applyNumberFormat="1" applyFont="1" applyFill="1" applyBorder="1" applyAlignment="1">
      <alignment horizontal="left" vertical="top" wrapText="1"/>
    </xf>
    <xf numFmtId="0" fontId="3" fillId="0" borderId="3" xfId="0" applyFont="1" applyFill="1" applyBorder="1" applyAlignment="1">
      <alignment horizontal="left" vertical="top" wrapText="1"/>
    </xf>
    <xf numFmtId="4" fontId="11" fillId="0" borderId="2" xfId="0" applyNumberFormat="1" applyFont="1" applyFill="1" applyBorder="1" applyAlignment="1">
      <alignment horizontal="left" vertical="top" wrapText="1"/>
    </xf>
    <xf numFmtId="49" fontId="11" fillId="0" borderId="2" xfId="0" applyNumberFormat="1" applyFont="1" applyFill="1" applyBorder="1" applyAlignment="1">
      <alignment horizontal="left" vertical="top" wrapText="1"/>
    </xf>
    <xf numFmtId="49" fontId="11" fillId="0" borderId="3" xfId="0" applyNumberFormat="1" applyFont="1" applyFill="1" applyBorder="1" applyAlignment="1">
      <alignment horizontal="left" vertical="top" wrapText="1"/>
    </xf>
    <xf numFmtId="49" fontId="11" fillId="0" borderId="4" xfId="0" applyNumberFormat="1" applyFont="1" applyFill="1" applyBorder="1" applyAlignment="1">
      <alignment horizontal="left" vertical="top" wrapText="1"/>
    </xf>
    <xf numFmtId="4" fontId="3" fillId="0" borderId="1" xfId="0" applyNumberFormat="1" applyFont="1" applyFill="1" applyBorder="1" applyAlignment="1">
      <alignment horizontal="left" vertical="top" wrapText="1"/>
    </xf>
    <xf numFmtId="4" fontId="3" fillId="0" borderId="2" xfId="0" applyNumberFormat="1" applyFont="1" applyFill="1" applyBorder="1" applyAlignment="1">
      <alignment horizontal="center" vertical="top" wrapText="1"/>
    </xf>
    <xf numFmtId="4" fontId="3" fillId="0" borderId="3" xfId="0" applyNumberFormat="1" applyFont="1" applyFill="1" applyBorder="1" applyAlignment="1">
      <alignment horizontal="center" vertical="top" wrapText="1"/>
    </xf>
    <xf numFmtId="4" fontId="3" fillId="0" borderId="4" xfId="0" applyNumberFormat="1" applyFont="1" applyFill="1" applyBorder="1" applyAlignment="1">
      <alignment horizontal="center" vertical="top" wrapText="1"/>
    </xf>
    <xf numFmtId="0" fontId="3" fillId="29" borderId="1" xfId="0" applyFont="1" applyFill="1" applyBorder="1" applyAlignment="1">
      <alignment horizontal="left" vertical="top" wrapText="1"/>
    </xf>
    <xf numFmtId="4" fontId="11" fillId="29" borderId="1" xfId="0" applyNumberFormat="1" applyFont="1" applyFill="1" applyBorder="1" applyAlignment="1">
      <alignment horizontal="left" vertical="top"/>
    </xf>
    <xf numFmtId="4" fontId="11" fillId="29" borderId="1" xfId="0" applyNumberFormat="1" applyFont="1" applyFill="1" applyBorder="1" applyAlignment="1">
      <alignment horizontal="left" vertical="top" wrapText="1"/>
    </xf>
    <xf numFmtId="0" fontId="3" fillId="29" borderId="4" xfId="0" applyFont="1" applyFill="1" applyBorder="1" applyAlignment="1">
      <alignment horizontal="left" vertical="top" wrapText="1"/>
    </xf>
    <xf numFmtId="0" fontId="3" fillId="29" borderId="2" xfId="0" applyFont="1" applyFill="1" applyBorder="1" applyAlignment="1">
      <alignment horizontal="left" vertical="top" wrapText="1"/>
    </xf>
    <xf numFmtId="0" fontId="3" fillId="29" borderId="3" xfId="0" applyFont="1" applyFill="1" applyBorder="1" applyAlignment="1">
      <alignment horizontal="left" vertical="top" wrapText="1"/>
    </xf>
    <xf numFmtId="4" fontId="22" fillId="0" borderId="0" xfId="0" applyNumberFormat="1" applyFont="1" applyFill="1"/>
    <xf numFmtId="4" fontId="21" fillId="29" borderId="1" xfId="0" applyNumberFormat="1" applyFont="1" applyFill="1" applyBorder="1" applyAlignment="1">
      <alignment horizontal="center" vertical="center"/>
    </xf>
    <xf numFmtId="4" fontId="11" fillId="29" borderId="1" xfId="0" applyNumberFormat="1" applyFont="1" applyFill="1" applyBorder="1" applyAlignment="1">
      <alignment horizontal="left" vertical="center"/>
    </xf>
    <xf numFmtId="49" fontId="66" fillId="0" borderId="1" xfId="0" applyNumberFormat="1" applyFont="1" applyFill="1" applyBorder="1" applyAlignment="1">
      <alignment horizontal="left" vertical="center" wrapText="1"/>
    </xf>
    <xf numFmtId="0" fontId="66" fillId="0" borderId="1" xfId="0" applyNumberFormat="1" applyFont="1" applyFill="1" applyBorder="1" applyAlignment="1">
      <alignment horizontal="left" vertical="center" wrapText="1"/>
    </xf>
    <xf numFmtId="4" fontId="66" fillId="0" borderId="1" xfId="0" applyNumberFormat="1" applyFont="1" applyFill="1" applyBorder="1" applyAlignment="1">
      <alignment horizontal="left" vertical="center"/>
    </xf>
    <xf numFmtId="4" fontId="66" fillId="0" borderId="1" xfId="0" applyNumberFormat="1" applyFont="1" applyFill="1" applyBorder="1" applyAlignment="1">
      <alignment horizontal="left" vertical="center" wrapText="1"/>
    </xf>
    <xf numFmtId="4" fontId="66" fillId="0" borderId="13" xfId="0" applyNumberFormat="1" applyFont="1" applyFill="1" applyBorder="1" applyAlignment="1">
      <alignment horizontal="left" vertical="center" wrapText="1"/>
    </xf>
    <xf numFmtId="0" fontId="22" fillId="0" borderId="2" xfId="0" applyFont="1" applyFill="1" applyBorder="1"/>
    <xf numFmtId="0" fontId="150" fillId="0" borderId="1" xfId="0" applyFont="1" applyFill="1" applyBorder="1" applyAlignment="1">
      <alignment vertical="center"/>
    </xf>
    <xf numFmtId="0" fontId="151" fillId="0" borderId="1" xfId="0" applyFont="1" applyFill="1" applyBorder="1" applyAlignment="1">
      <alignment vertical="center"/>
    </xf>
    <xf numFmtId="4" fontId="150" fillId="0" borderId="1" xfId="0" applyNumberFormat="1" applyFont="1" applyFill="1" applyBorder="1"/>
    <xf numFmtId="0" fontId="2" fillId="0" borderId="1" xfId="0" applyFont="1" applyFill="1" applyBorder="1" applyAlignment="1">
      <alignment horizontal="left" vertical="top" wrapText="1"/>
    </xf>
    <xf numFmtId="0" fontId="2" fillId="0" borderId="5" xfId="0" applyFont="1" applyFill="1" applyBorder="1" applyAlignment="1">
      <alignment horizontal="left" vertical="top"/>
    </xf>
    <xf numFmtId="0" fontId="2" fillId="0" borderId="11" xfId="0" applyFont="1" applyFill="1" applyBorder="1" applyAlignment="1">
      <alignment horizontal="left" vertical="top"/>
    </xf>
    <xf numFmtId="0" fontId="2" fillId="0" borderId="6" xfId="0" applyFont="1" applyFill="1" applyBorder="1" applyAlignment="1">
      <alignment horizontal="left" vertical="top"/>
    </xf>
    <xf numFmtId="0" fontId="2" fillId="0" borderId="7" xfId="0" applyFont="1" applyFill="1" applyBorder="1" applyAlignment="1">
      <alignment horizontal="left" vertical="top"/>
    </xf>
    <xf numFmtId="0" fontId="2" fillId="0" borderId="0" xfId="0" applyFont="1" applyFill="1" applyBorder="1" applyAlignment="1">
      <alignment horizontal="left" vertical="top"/>
    </xf>
    <xf numFmtId="0" fontId="2" fillId="0" borderId="8" xfId="0" applyFont="1" applyFill="1" applyBorder="1" applyAlignment="1">
      <alignment horizontal="left" vertical="top"/>
    </xf>
    <xf numFmtId="0" fontId="2" fillId="2" borderId="1" xfId="0" applyFont="1" applyFill="1" applyBorder="1" applyAlignment="1">
      <alignment horizontal="left" vertical="top" wrapText="1"/>
    </xf>
    <xf numFmtId="0" fontId="2" fillId="0" borderId="1" xfId="0" applyFont="1" applyFill="1" applyBorder="1" applyAlignment="1">
      <alignment horizontal="left" vertical="center"/>
    </xf>
    <xf numFmtId="0" fontId="2" fillId="0" borderId="13" xfId="0" applyFont="1" applyFill="1" applyBorder="1" applyAlignment="1">
      <alignment horizontal="left" vertical="top" wrapText="1"/>
    </xf>
    <xf numFmtId="0" fontId="2" fillId="0" borderId="14" xfId="0" applyFont="1" applyFill="1" applyBorder="1" applyAlignment="1">
      <alignment horizontal="left" vertical="top" wrapText="1"/>
    </xf>
    <xf numFmtId="0" fontId="2" fillId="0" borderId="15" xfId="0" applyFont="1" applyFill="1" applyBorder="1" applyAlignment="1">
      <alignment horizontal="left" vertical="top" wrapText="1"/>
    </xf>
    <xf numFmtId="0" fontId="6" fillId="0" borderId="0" xfId="0" applyFont="1" applyFill="1" applyAlignment="1">
      <alignment horizontal="center" wrapText="1"/>
    </xf>
    <xf numFmtId="0" fontId="2" fillId="0" borderId="1" xfId="0" applyFont="1" applyFill="1" applyBorder="1" applyAlignment="1">
      <alignment horizontal="left" vertical="top"/>
    </xf>
    <xf numFmtId="0" fontId="2" fillId="0" borderId="1"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0" borderId="1" xfId="0" applyFont="1" applyFill="1" applyBorder="1" applyAlignment="1">
      <alignment horizontal="left" vertical="center"/>
    </xf>
    <xf numFmtId="0" fontId="3" fillId="0" borderId="2"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13" xfId="0" applyFont="1" applyFill="1" applyBorder="1" applyAlignment="1">
      <alignment horizontal="center" vertical="center" wrapText="1"/>
    </xf>
    <xf numFmtId="0" fontId="3" fillId="0" borderId="14" xfId="0" applyFont="1" applyFill="1" applyBorder="1" applyAlignment="1">
      <alignment horizontal="center" vertical="center" wrapText="1"/>
    </xf>
    <xf numFmtId="0" fontId="3" fillId="0" borderId="15" xfId="0" applyFont="1" applyFill="1" applyBorder="1" applyAlignment="1">
      <alignment horizontal="center" vertical="center" wrapText="1"/>
    </xf>
    <xf numFmtId="0" fontId="7" fillId="0" borderId="12" xfId="0" applyFont="1" applyFill="1" applyBorder="1" applyAlignment="1">
      <alignment horizontal="center" vertical="top" wrapText="1"/>
    </xf>
    <xf numFmtId="0" fontId="2" fillId="0" borderId="2" xfId="0" applyFont="1" applyFill="1" applyBorder="1" applyAlignment="1">
      <alignment horizontal="left" vertical="center" wrapText="1"/>
    </xf>
    <xf numFmtId="0" fontId="2" fillId="0" borderId="4" xfId="0" applyFont="1" applyFill="1" applyBorder="1" applyAlignment="1">
      <alignment horizontal="left" vertical="center" wrapText="1"/>
    </xf>
    <xf numFmtId="0" fontId="3" fillId="0" borderId="2" xfId="0" applyFont="1" applyFill="1" applyBorder="1" applyAlignment="1">
      <alignment horizontal="left" vertical="top" wrapText="1"/>
    </xf>
    <xf numFmtId="0" fontId="3" fillId="0" borderId="4" xfId="0" applyFont="1" applyFill="1" applyBorder="1" applyAlignment="1">
      <alignment horizontal="left" vertical="top" wrapText="1"/>
    </xf>
    <xf numFmtId="49" fontId="2" fillId="0" borderId="2" xfId="0" applyNumberFormat="1" applyFont="1" applyFill="1" applyBorder="1" applyAlignment="1">
      <alignment horizontal="center" vertical="center" wrapText="1"/>
    </xf>
    <xf numFmtId="49" fontId="2" fillId="0" borderId="4" xfId="0" applyNumberFormat="1" applyFont="1" applyFill="1" applyBorder="1" applyAlignment="1">
      <alignment horizontal="center" vertical="center" wrapText="1"/>
    </xf>
    <xf numFmtId="0" fontId="3" fillId="0" borderId="7"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9" xfId="0" applyFont="1" applyFill="1" applyBorder="1" applyAlignment="1">
      <alignment horizontal="center" vertical="top" wrapText="1"/>
    </xf>
    <xf numFmtId="0" fontId="3" fillId="0" borderId="10" xfId="0" applyFont="1" applyFill="1" applyBorder="1" applyAlignment="1">
      <alignment horizontal="center" vertical="top" wrapText="1"/>
    </xf>
    <xf numFmtId="0" fontId="3" fillId="0" borderId="3" xfId="0" applyFont="1" applyFill="1" applyBorder="1" applyAlignment="1">
      <alignment horizontal="center" vertical="top" wrapText="1"/>
    </xf>
    <xf numFmtId="0" fontId="3" fillId="0" borderId="4" xfId="0" applyFont="1" applyFill="1" applyBorder="1" applyAlignment="1">
      <alignment horizontal="center" vertical="top" wrapText="1"/>
    </xf>
    <xf numFmtId="0" fontId="3" fillId="0" borderId="13" xfId="0" applyFont="1" applyFill="1" applyBorder="1" applyAlignment="1">
      <alignment horizontal="left" vertical="top" wrapText="1"/>
    </xf>
    <xf numFmtId="0" fontId="3" fillId="0" borderId="14" xfId="0" applyFont="1" applyFill="1" applyBorder="1" applyAlignment="1">
      <alignment horizontal="left" vertical="top" wrapText="1"/>
    </xf>
    <xf numFmtId="0" fontId="3" fillId="0" borderId="15" xfId="0" applyFont="1" applyFill="1" applyBorder="1" applyAlignment="1">
      <alignment horizontal="left" vertical="top" wrapText="1"/>
    </xf>
    <xf numFmtId="0" fontId="3" fillId="0" borderId="13" xfId="0" applyFont="1" applyFill="1" applyBorder="1" applyAlignment="1">
      <alignment horizontal="left" vertical="top"/>
    </xf>
    <xf numFmtId="0" fontId="3" fillId="0" borderId="14" xfId="0" applyFont="1" applyFill="1" applyBorder="1" applyAlignment="1">
      <alignment horizontal="left" vertical="top"/>
    </xf>
    <xf numFmtId="0" fontId="3" fillId="0" borderId="15" xfId="0" applyFont="1" applyFill="1" applyBorder="1" applyAlignment="1">
      <alignment horizontal="left" vertical="top"/>
    </xf>
    <xf numFmtId="0" fontId="3" fillId="0" borderId="5" xfId="0" applyFont="1" applyFill="1" applyBorder="1" applyAlignment="1">
      <alignment horizontal="left" vertical="top" wrapText="1"/>
    </xf>
    <xf numFmtId="0" fontId="3" fillId="0" borderId="11" xfId="0" applyFont="1" applyFill="1" applyBorder="1" applyAlignment="1">
      <alignment horizontal="left" vertical="top" wrapText="1"/>
    </xf>
    <xf numFmtId="0" fontId="3" fillId="0" borderId="6" xfId="0" applyFont="1" applyFill="1" applyBorder="1" applyAlignment="1">
      <alignment horizontal="left" vertical="top" wrapText="1"/>
    </xf>
    <xf numFmtId="0" fontId="3" fillId="0" borderId="7" xfId="0" applyFont="1" applyFill="1" applyBorder="1" applyAlignment="1">
      <alignment horizontal="left" vertical="top" wrapText="1"/>
    </xf>
    <xf numFmtId="0" fontId="3" fillId="0" borderId="0" xfId="0" applyFont="1" applyFill="1" applyBorder="1" applyAlignment="1">
      <alignment horizontal="left" vertical="top" wrapText="1"/>
    </xf>
    <xf numFmtId="0" fontId="3" fillId="0" borderId="8" xfId="0" applyFont="1" applyFill="1" applyBorder="1" applyAlignment="1">
      <alignment horizontal="left" vertical="top" wrapText="1"/>
    </xf>
    <xf numFmtId="0" fontId="3" fillId="0" borderId="9" xfId="0" applyFont="1" applyFill="1" applyBorder="1" applyAlignment="1">
      <alignment horizontal="left" vertical="top" wrapText="1"/>
    </xf>
    <xf numFmtId="0" fontId="3" fillId="0" borderId="12" xfId="0" applyFont="1" applyFill="1" applyBorder="1" applyAlignment="1">
      <alignment horizontal="left" vertical="top" wrapText="1"/>
    </xf>
    <xf numFmtId="0" fontId="3" fillId="0" borderId="10" xfId="0" applyFont="1" applyFill="1" applyBorder="1" applyAlignment="1">
      <alignment horizontal="left" vertical="top" wrapText="1"/>
    </xf>
    <xf numFmtId="0" fontId="3" fillId="0" borderId="1" xfId="0" applyFont="1" applyFill="1" applyBorder="1" applyAlignment="1">
      <alignment horizontal="center" vertical="top" wrapText="1"/>
    </xf>
    <xf numFmtId="0" fontId="3" fillId="0" borderId="1" xfId="0" applyFont="1" applyFill="1" applyBorder="1" applyAlignment="1">
      <alignment horizontal="left" vertical="top"/>
    </xf>
    <xf numFmtId="49" fontId="8" fillId="0" borderId="1" xfId="0" applyNumberFormat="1" applyFont="1" applyFill="1" applyBorder="1" applyAlignment="1">
      <alignment horizontal="left" vertical="top"/>
    </xf>
    <xf numFmtId="0" fontId="8" fillId="0" borderId="1" xfId="0" applyFont="1" applyFill="1" applyBorder="1" applyAlignment="1">
      <alignment horizontal="left" vertical="top" wrapText="1"/>
    </xf>
    <xf numFmtId="0" fontId="8" fillId="2" borderId="1" xfId="0" applyFont="1" applyFill="1" applyBorder="1" applyAlignment="1">
      <alignment horizontal="left" vertical="top" wrapText="1"/>
    </xf>
    <xf numFmtId="49" fontId="65" fillId="0" borderId="0" xfId="0" applyNumberFormat="1" applyFont="1" applyFill="1" applyBorder="1" applyAlignment="1">
      <alignment horizontal="center" vertical="center" wrapText="1"/>
    </xf>
    <xf numFmtId="0" fontId="63" fillId="0" borderId="1" xfId="0" applyFont="1" applyFill="1" applyBorder="1" applyAlignment="1">
      <alignment horizontal="center" vertical="center" wrapText="1"/>
    </xf>
    <xf numFmtId="0" fontId="63" fillId="2" borderId="1" xfId="0" applyFont="1" applyFill="1" applyBorder="1" applyAlignment="1">
      <alignment horizontal="center" vertical="center" wrapText="1"/>
    </xf>
    <xf numFmtId="4" fontId="63" fillId="0" borderId="1" xfId="0" applyNumberFormat="1" applyFont="1" applyFill="1" applyBorder="1" applyAlignment="1">
      <alignment horizontal="center" vertical="center" wrapText="1"/>
    </xf>
    <xf numFmtId="0" fontId="63" fillId="0" borderId="2" xfId="0" applyFont="1" applyFill="1" applyBorder="1" applyAlignment="1">
      <alignment horizontal="center" vertical="center" wrapText="1"/>
    </xf>
    <xf numFmtId="0" fontId="63" fillId="0" borderId="4" xfId="0" applyFont="1" applyFill="1" applyBorder="1" applyAlignment="1">
      <alignment horizontal="center" vertical="center" wrapText="1"/>
    </xf>
    <xf numFmtId="0" fontId="8" fillId="0" borderId="2" xfId="0" applyFont="1" applyFill="1" applyBorder="1" applyAlignment="1">
      <alignment horizontal="left" vertical="top"/>
    </xf>
    <xf numFmtId="0" fontId="8" fillId="0" borderId="3" xfId="0" applyFont="1" applyFill="1" applyBorder="1" applyAlignment="1">
      <alignment horizontal="left" vertical="top"/>
    </xf>
    <xf numFmtId="0" fontId="8" fillId="0" borderId="4" xfId="0" applyFont="1" applyFill="1" applyBorder="1" applyAlignment="1">
      <alignment horizontal="left" vertical="top"/>
    </xf>
    <xf numFmtId="0" fontId="66" fillId="0" borderId="2" xfId="0" applyFont="1" applyFill="1" applyBorder="1" applyAlignment="1">
      <alignment horizontal="left" vertical="center" wrapText="1"/>
    </xf>
    <xf numFmtId="0" fontId="66" fillId="0" borderId="3" xfId="0" applyFont="1" applyFill="1" applyBorder="1" applyAlignment="1">
      <alignment horizontal="left" vertical="center" wrapText="1"/>
    </xf>
    <xf numFmtId="0" fontId="66" fillId="0" borderId="4" xfId="0" applyFont="1" applyFill="1" applyBorder="1" applyAlignment="1">
      <alignment horizontal="left" vertical="center" wrapText="1"/>
    </xf>
    <xf numFmtId="0" fontId="8" fillId="0" borderId="2" xfId="0" applyFont="1" applyFill="1" applyBorder="1" applyAlignment="1">
      <alignment horizontal="left" vertical="center"/>
    </xf>
    <xf numFmtId="0" fontId="8" fillId="0" borderId="3" xfId="0" applyFont="1" applyFill="1" applyBorder="1" applyAlignment="1">
      <alignment horizontal="left" vertical="center"/>
    </xf>
    <xf numFmtId="0" fontId="8" fillId="0" borderId="4" xfId="0" applyFont="1" applyFill="1" applyBorder="1" applyAlignment="1">
      <alignment horizontal="left" vertical="center"/>
    </xf>
    <xf numFmtId="0" fontId="8" fillId="0" borderId="2" xfId="0" applyFont="1" applyFill="1" applyBorder="1" applyAlignment="1">
      <alignment horizontal="center" vertical="center"/>
    </xf>
    <xf numFmtId="0" fontId="8" fillId="0" borderId="3" xfId="0" applyFont="1" applyFill="1" applyBorder="1" applyAlignment="1">
      <alignment horizontal="center" vertical="center"/>
    </xf>
    <xf numFmtId="0" fontId="8" fillId="0" borderId="4" xfId="0" applyFont="1" applyFill="1" applyBorder="1" applyAlignment="1">
      <alignment horizontal="center" vertical="center"/>
    </xf>
    <xf numFmtId="0" fontId="8" fillId="0" borderId="2" xfId="0" applyFont="1" applyFill="1" applyBorder="1" applyAlignment="1">
      <alignment horizontal="center" vertical="center" wrapText="1"/>
    </xf>
    <xf numFmtId="0" fontId="8" fillId="0" borderId="3" xfId="0" applyFont="1" applyFill="1" applyBorder="1" applyAlignment="1">
      <alignment horizontal="center" vertical="center" wrapText="1"/>
    </xf>
    <xf numFmtId="0" fontId="8" fillId="0" borderId="4" xfId="0" applyFont="1" applyFill="1" applyBorder="1" applyAlignment="1">
      <alignment horizontal="center" vertical="center" wrapText="1"/>
    </xf>
    <xf numFmtId="0" fontId="66" fillId="0" borderId="2" xfId="0" applyFont="1" applyFill="1" applyBorder="1" applyAlignment="1">
      <alignment horizontal="left" vertical="top" wrapText="1"/>
    </xf>
    <xf numFmtId="0" fontId="66" fillId="0" borderId="3" xfId="0" applyFont="1" applyFill="1" applyBorder="1" applyAlignment="1">
      <alignment horizontal="left" vertical="top" wrapText="1"/>
    </xf>
    <xf numFmtId="0" fontId="66" fillId="0" borderId="4" xfId="0" applyFont="1" applyFill="1" applyBorder="1" applyAlignment="1">
      <alignment horizontal="left" vertical="top" wrapText="1"/>
    </xf>
    <xf numFmtId="49" fontId="8" fillId="0" borderId="2" xfId="0" applyNumberFormat="1" applyFont="1" applyFill="1" applyBorder="1" applyAlignment="1">
      <alignment horizontal="left" vertical="top"/>
    </xf>
    <xf numFmtId="49" fontId="8" fillId="0" borderId="3" xfId="0" applyNumberFormat="1" applyFont="1" applyFill="1" applyBorder="1" applyAlignment="1">
      <alignment horizontal="left" vertical="top"/>
    </xf>
    <xf numFmtId="49" fontId="8" fillId="0" borderId="4" xfId="0" applyNumberFormat="1" applyFont="1" applyFill="1" applyBorder="1" applyAlignment="1">
      <alignment horizontal="left" vertical="top"/>
    </xf>
    <xf numFmtId="0" fontId="8" fillId="0" borderId="2" xfId="0" applyFont="1" applyFill="1" applyBorder="1" applyAlignment="1">
      <alignment horizontal="left" vertical="top" wrapText="1"/>
    </xf>
    <xf numFmtId="0" fontId="8" fillId="0" borderId="3" xfId="0" applyFont="1" applyFill="1" applyBorder="1" applyAlignment="1">
      <alignment horizontal="left" vertical="top" wrapText="1"/>
    </xf>
    <xf numFmtId="0" fontId="8" fillId="0" borderId="4" xfId="0" applyFont="1" applyFill="1" applyBorder="1" applyAlignment="1">
      <alignment horizontal="left" vertical="top" wrapText="1"/>
    </xf>
    <xf numFmtId="49" fontId="75" fillId="13" borderId="1" xfId="0" applyNumberFormat="1" applyFont="1" applyFill="1" applyBorder="1" applyAlignment="1">
      <alignment horizontal="left" vertical="top"/>
    </xf>
    <xf numFmtId="0" fontId="126" fillId="13" borderId="1" xfId="0" applyFont="1" applyFill="1" applyBorder="1" applyAlignment="1">
      <alignment horizontal="left" vertical="top" wrapText="1"/>
    </xf>
    <xf numFmtId="0" fontId="75" fillId="13" borderId="1" xfId="0" applyFont="1" applyFill="1" applyBorder="1" applyAlignment="1">
      <alignment horizontal="left" vertical="top" wrapText="1"/>
    </xf>
    <xf numFmtId="49" fontId="66" fillId="2" borderId="2" xfId="0" applyNumberFormat="1" applyFont="1" applyFill="1" applyBorder="1" applyAlignment="1">
      <alignment horizontal="left" vertical="top"/>
    </xf>
    <xf numFmtId="49" fontId="66" fillId="2" borderId="3" xfId="0" applyNumberFormat="1" applyFont="1" applyFill="1" applyBorder="1" applyAlignment="1">
      <alignment horizontal="left" vertical="top"/>
    </xf>
    <xf numFmtId="49" fontId="66" fillId="2" borderId="4" xfId="0" applyNumberFormat="1" applyFont="1" applyFill="1" applyBorder="1" applyAlignment="1">
      <alignment horizontal="left" vertical="top"/>
    </xf>
    <xf numFmtId="0" fontId="66" fillId="0" borderId="5" xfId="0" applyFont="1" applyFill="1" applyBorder="1" applyAlignment="1">
      <alignment horizontal="center" vertical="top" wrapText="1"/>
    </xf>
    <xf numFmtId="0" fontId="66" fillId="0" borderId="11" xfId="0" applyFont="1" applyFill="1" applyBorder="1" applyAlignment="1">
      <alignment horizontal="center" vertical="top" wrapText="1"/>
    </xf>
    <xf numFmtId="0" fontId="66" fillId="0" borderId="6" xfId="0" applyFont="1" applyFill="1" applyBorder="1" applyAlignment="1">
      <alignment horizontal="center" vertical="top" wrapText="1"/>
    </xf>
    <xf numFmtId="0" fontId="66" fillId="0" borderId="7" xfId="0" applyFont="1" applyFill="1" applyBorder="1" applyAlignment="1">
      <alignment horizontal="center" vertical="top" wrapText="1"/>
    </xf>
    <xf numFmtId="0" fontId="66" fillId="0" borderId="0" xfId="0" applyFont="1" applyFill="1" applyBorder="1" applyAlignment="1">
      <alignment horizontal="center" vertical="top" wrapText="1"/>
    </xf>
    <xf numFmtId="0" fontId="66" fillId="0" borderId="8" xfId="0" applyFont="1" applyFill="1" applyBorder="1" applyAlignment="1">
      <alignment horizontal="center" vertical="top" wrapText="1"/>
    </xf>
    <xf numFmtId="0" fontId="66" fillId="0" borderId="9" xfId="0" applyFont="1" applyFill="1" applyBorder="1" applyAlignment="1">
      <alignment horizontal="center" vertical="top" wrapText="1"/>
    </xf>
    <xf numFmtId="0" fontId="66" fillId="0" borderId="12" xfId="0" applyFont="1" applyFill="1" applyBorder="1" applyAlignment="1">
      <alignment horizontal="center" vertical="top" wrapText="1"/>
    </xf>
    <xf numFmtId="0" fontId="66" fillId="0" borderId="10" xfId="0" applyFont="1" applyFill="1" applyBorder="1" applyAlignment="1">
      <alignment horizontal="center" vertical="top" wrapText="1"/>
    </xf>
    <xf numFmtId="0" fontId="8" fillId="0" borderId="1" xfId="0" applyFont="1" applyFill="1" applyBorder="1" applyAlignment="1">
      <alignment horizontal="center" vertical="center"/>
    </xf>
    <xf numFmtId="49" fontId="8" fillId="2" borderId="1" xfId="0" applyNumberFormat="1" applyFont="1" applyFill="1" applyBorder="1" applyAlignment="1">
      <alignment horizontal="left" vertical="top"/>
    </xf>
    <xf numFmtId="0" fontId="8" fillId="2" borderId="1" xfId="0" applyFont="1" applyFill="1" applyBorder="1" applyAlignment="1">
      <alignment horizontal="left" vertical="top"/>
    </xf>
    <xf numFmtId="0" fontId="8" fillId="0" borderId="1" xfId="0" applyFont="1" applyFill="1" applyBorder="1" applyAlignment="1">
      <alignment horizontal="left" vertical="center"/>
    </xf>
    <xf numFmtId="2" fontId="8" fillId="0" borderId="0" xfId="0" applyNumberFormat="1" applyFont="1" applyFill="1" applyBorder="1" applyAlignment="1">
      <alignment horizontal="left" vertical="top" wrapText="1"/>
    </xf>
    <xf numFmtId="0" fontId="28" fillId="0" borderId="0" xfId="0" applyFont="1" applyFill="1" applyBorder="1" applyAlignment="1">
      <alignment horizontal="left" vertical="top" wrapText="1"/>
    </xf>
    <xf numFmtId="49" fontId="8" fillId="0" borderId="0" xfId="0" applyNumberFormat="1" applyFont="1" applyFill="1" applyBorder="1" applyAlignment="1">
      <alignment horizontal="left" vertical="top"/>
    </xf>
    <xf numFmtId="1" fontId="8" fillId="0" borderId="0" xfId="0" applyNumberFormat="1" applyFont="1" applyFill="1" applyBorder="1" applyAlignment="1">
      <alignment horizontal="left" vertical="top"/>
    </xf>
    <xf numFmtId="1" fontId="8" fillId="0" borderId="1" xfId="0" applyNumberFormat="1" applyFont="1" applyFill="1" applyBorder="1" applyAlignment="1">
      <alignment horizontal="center" vertical="top"/>
    </xf>
    <xf numFmtId="49" fontId="8" fillId="0" borderId="0" xfId="0" applyNumberFormat="1" applyFont="1" applyFill="1" applyBorder="1" applyAlignment="1">
      <alignment horizontal="left" vertical="top" wrapText="1"/>
    </xf>
    <xf numFmtId="0" fontId="8" fillId="0" borderId="0" xfId="0" applyFont="1" applyFill="1" applyBorder="1" applyAlignment="1">
      <alignment horizontal="left" vertical="top" wrapText="1"/>
    </xf>
    <xf numFmtId="0" fontId="8" fillId="0" borderId="0" xfId="0" applyFont="1" applyFill="1" applyBorder="1" applyAlignment="1">
      <alignment horizontal="center" vertical="top" wrapText="1"/>
    </xf>
    <xf numFmtId="0" fontId="44" fillId="15" borderId="1" xfId="0" applyFont="1" applyFill="1" applyBorder="1" applyAlignment="1">
      <alignment horizontal="left" vertical="top" wrapText="1"/>
    </xf>
    <xf numFmtId="0" fontId="8" fillId="0" borderId="1" xfId="0" applyFont="1" applyFill="1" applyBorder="1" applyAlignment="1">
      <alignment horizontal="center" vertical="top" wrapText="1"/>
    </xf>
    <xf numFmtId="0" fontId="28" fillId="0" borderId="1" xfId="0" applyFont="1" applyFill="1" applyBorder="1" applyAlignment="1">
      <alignment horizontal="center"/>
    </xf>
    <xf numFmtId="4" fontId="8" fillId="0" borderId="1" xfId="0" applyNumberFormat="1" applyFont="1" applyFill="1" applyBorder="1" applyAlignment="1">
      <alignment horizontal="center" vertical="top" wrapText="1"/>
    </xf>
    <xf numFmtId="3" fontId="28" fillId="0" borderId="1" xfId="0" applyNumberFormat="1" applyFont="1" applyFill="1" applyBorder="1" applyAlignment="1">
      <alignment horizontal="center"/>
    </xf>
    <xf numFmtId="3" fontId="8" fillId="0" borderId="2" xfId="0" applyNumberFormat="1" applyFont="1" applyFill="1" applyBorder="1" applyAlignment="1">
      <alignment horizontal="left" vertical="top" wrapText="1"/>
    </xf>
    <xf numFmtId="3" fontId="8" fillId="0" borderId="3" xfId="0" applyNumberFormat="1" applyFont="1" applyFill="1" applyBorder="1" applyAlignment="1">
      <alignment horizontal="left" vertical="top" wrapText="1"/>
    </xf>
    <xf numFmtId="3" fontId="8" fillId="0" borderId="4" xfId="0" applyNumberFormat="1" applyFont="1" applyFill="1" applyBorder="1" applyAlignment="1">
      <alignment horizontal="left" vertical="top" wrapText="1"/>
    </xf>
    <xf numFmtId="49" fontId="28" fillId="0" borderId="2" xfId="0" applyNumberFormat="1" applyFont="1" applyFill="1" applyBorder="1" applyAlignment="1">
      <alignment horizontal="center" vertical="center"/>
    </xf>
    <xf numFmtId="49" fontId="28" fillId="0" borderId="3" xfId="0" applyNumberFormat="1" applyFont="1" applyFill="1" applyBorder="1" applyAlignment="1">
      <alignment horizontal="center" vertical="center"/>
    </xf>
    <xf numFmtId="49" fontId="28" fillId="0" borderId="4" xfId="0" applyNumberFormat="1" applyFont="1" applyFill="1" applyBorder="1" applyAlignment="1">
      <alignment horizontal="center" vertical="center"/>
    </xf>
    <xf numFmtId="49" fontId="8" fillId="0" borderId="1" xfId="0" applyNumberFormat="1" applyFont="1" applyFill="1" applyBorder="1" applyAlignment="1">
      <alignment horizontal="left" vertical="top" wrapText="1"/>
    </xf>
    <xf numFmtId="4" fontId="8" fillId="0" borderId="1" xfId="0" applyNumberFormat="1" applyFont="1" applyFill="1" applyBorder="1" applyAlignment="1">
      <alignment horizontal="left" vertical="top" wrapText="1"/>
    </xf>
    <xf numFmtId="3" fontId="8" fillId="0" borderId="13" xfId="0" applyNumberFormat="1" applyFont="1" applyFill="1" applyBorder="1" applyAlignment="1">
      <alignment horizontal="center" vertical="top" wrapText="1"/>
    </xf>
    <xf numFmtId="3" fontId="8" fillId="0" borderId="1" xfId="0" applyNumberFormat="1" applyFont="1" applyFill="1" applyBorder="1" applyAlignment="1">
      <alignment horizontal="left" vertical="top" wrapText="1"/>
    </xf>
    <xf numFmtId="0" fontId="11" fillId="2" borderId="11" xfId="0" applyFont="1" applyFill="1" applyBorder="1" applyAlignment="1">
      <alignment horizontal="left" vertical="top" wrapText="1"/>
    </xf>
    <xf numFmtId="0" fontId="11" fillId="2" borderId="6" xfId="0" applyFont="1" applyFill="1" applyBorder="1" applyAlignment="1">
      <alignment horizontal="left" vertical="top" wrapText="1"/>
    </xf>
    <xf numFmtId="49" fontId="78" fillId="6" borderId="0" xfId="0" applyNumberFormat="1" applyFont="1" applyFill="1" applyAlignment="1">
      <alignment horizontal="center" vertical="center" wrapText="1"/>
    </xf>
    <xf numFmtId="49" fontId="78" fillId="6" borderId="8" xfId="0" applyNumberFormat="1" applyFont="1" applyFill="1" applyBorder="1" applyAlignment="1">
      <alignment horizontal="center" vertical="center" wrapText="1"/>
    </xf>
    <xf numFmtId="0" fontId="8" fillId="0" borderId="13" xfId="0" applyFont="1" applyFill="1" applyBorder="1" applyAlignment="1">
      <alignment horizontal="left" vertical="top" wrapText="1"/>
    </xf>
    <xf numFmtId="0" fontId="8" fillId="0" borderId="14" xfId="0" applyFont="1" applyFill="1" applyBorder="1" applyAlignment="1">
      <alignment horizontal="left" vertical="top" wrapText="1"/>
    </xf>
    <xf numFmtId="0" fontId="8" fillId="0" borderId="15" xfId="0" applyFont="1" applyFill="1" applyBorder="1" applyAlignment="1">
      <alignment horizontal="left" vertical="top" wrapText="1"/>
    </xf>
    <xf numFmtId="3" fontId="11" fillId="0" borderId="2" xfId="0" applyNumberFormat="1" applyFont="1" applyFill="1" applyBorder="1" applyAlignment="1">
      <alignment horizontal="left" vertical="top" wrapText="1"/>
    </xf>
    <xf numFmtId="3" fontId="11" fillId="0" borderId="3" xfId="0" applyNumberFormat="1" applyFont="1" applyFill="1" applyBorder="1" applyAlignment="1">
      <alignment horizontal="left" vertical="top" wrapText="1"/>
    </xf>
    <xf numFmtId="3" fontId="11" fillId="0" borderId="4" xfId="0" applyNumberFormat="1" applyFont="1" applyFill="1" applyBorder="1" applyAlignment="1">
      <alignment horizontal="left" vertical="top" wrapText="1"/>
    </xf>
    <xf numFmtId="49" fontId="8" fillId="0" borderId="2" xfId="0" applyNumberFormat="1" applyFont="1" applyFill="1" applyBorder="1" applyAlignment="1">
      <alignment horizontal="center" vertical="center" wrapText="1"/>
    </xf>
    <xf numFmtId="49" fontId="8" fillId="0" borderId="3" xfId="0" applyNumberFormat="1" applyFont="1" applyFill="1" applyBorder="1" applyAlignment="1">
      <alignment horizontal="center" vertical="center" wrapText="1"/>
    </xf>
    <xf numFmtId="49" fontId="8" fillId="0" borderId="4" xfId="0" applyNumberFormat="1" applyFont="1" applyFill="1" applyBorder="1" applyAlignment="1">
      <alignment horizontal="center" vertical="center" wrapText="1"/>
    </xf>
    <xf numFmtId="0" fontId="8" fillId="0" borderId="5" xfId="0" applyFont="1" applyFill="1" applyBorder="1" applyAlignment="1">
      <alignment horizontal="left" vertical="top" wrapText="1"/>
    </xf>
    <xf numFmtId="0" fontId="8" fillId="0" borderId="11" xfId="0" applyFont="1" applyFill="1" applyBorder="1" applyAlignment="1">
      <alignment horizontal="left" vertical="top" wrapText="1"/>
    </xf>
    <xf numFmtId="0" fontId="8" fillId="0" borderId="6" xfId="0" applyFont="1" applyFill="1" applyBorder="1" applyAlignment="1">
      <alignment horizontal="left" vertical="top" wrapText="1"/>
    </xf>
    <xf numFmtId="0" fontId="8" fillId="0" borderId="7" xfId="0" applyFont="1" applyFill="1" applyBorder="1" applyAlignment="1">
      <alignment horizontal="left" vertical="top" wrapText="1"/>
    </xf>
    <xf numFmtId="0" fontId="8" fillId="0" borderId="8" xfId="0" applyFont="1" applyFill="1" applyBorder="1" applyAlignment="1">
      <alignment horizontal="left" vertical="top" wrapText="1"/>
    </xf>
    <xf numFmtId="0" fontId="8" fillId="0" borderId="9" xfId="0" applyFont="1" applyFill="1" applyBorder="1" applyAlignment="1">
      <alignment horizontal="left" vertical="top" wrapText="1"/>
    </xf>
    <xf numFmtId="0" fontId="8" fillId="0" borderId="12" xfId="0" applyFont="1" applyFill="1" applyBorder="1" applyAlignment="1">
      <alignment horizontal="left" vertical="top" wrapText="1"/>
    </xf>
    <xf numFmtId="0" fontId="8" fillId="0" borderId="10" xfId="0" applyFont="1" applyFill="1" applyBorder="1" applyAlignment="1">
      <alignment horizontal="left" vertical="top" wrapText="1"/>
    </xf>
    <xf numFmtId="0" fontId="63" fillId="6" borderId="12" xfId="0" applyFont="1" applyFill="1" applyBorder="1" applyAlignment="1">
      <alignment horizontal="center" vertical="center" wrapText="1"/>
    </xf>
    <xf numFmtId="0" fontId="63" fillId="6" borderId="10" xfId="0" applyFont="1" applyFill="1" applyBorder="1" applyAlignment="1">
      <alignment horizontal="center" vertical="center" wrapText="1"/>
    </xf>
    <xf numFmtId="3" fontId="8" fillId="0" borderId="5" xfId="0" applyNumberFormat="1" applyFont="1" applyFill="1" applyBorder="1" applyAlignment="1">
      <alignment horizontal="left" vertical="top" wrapText="1"/>
    </xf>
    <xf numFmtId="3" fontId="8" fillId="0" borderId="7" xfId="0" applyNumberFormat="1" applyFont="1" applyFill="1" applyBorder="1" applyAlignment="1">
      <alignment horizontal="left" vertical="top" wrapText="1"/>
    </xf>
    <xf numFmtId="3" fontId="8" fillId="0" borderId="9" xfId="0" applyNumberFormat="1" applyFont="1" applyFill="1" applyBorder="1" applyAlignment="1">
      <alignment horizontal="left" vertical="top" wrapText="1"/>
    </xf>
    <xf numFmtId="49" fontId="8" fillId="0" borderId="1" xfId="0" applyNumberFormat="1" applyFont="1" applyFill="1" applyBorder="1" applyAlignment="1">
      <alignment horizontal="center" vertical="center" wrapText="1"/>
    </xf>
    <xf numFmtId="3" fontId="11" fillId="0" borderId="2" xfId="0" applyNumberFormat="1" applyFont="1" applyFill="1" applyBorder="1" applyAlignment="1">
      <alignment horizontal="center" vertical="top"/>
    </xf>
    <xf numFmtId="3" fontId="11" fillId="0" borderId="3" xfId="0" applyNumberFormat="1" applyFont="1" applyFill="1" applyBorder="1" applyAlignment="1">
      <alignment horizontal="center" vertical="top"/>
    </xf>
    <xf numFmtId="3" fontId="11" fillId="0" borderId="4" xfId="0" applyNumberFormat="1" applyFont="1" applyFill="1" applyBorder="1" applyAlignment="1">
      <alignment horizontal="center" vertical="top"/>
    </xf>
    <xf numFmtId="3" fontId="8" fillId="0" borderId="5" xfId="0" applyNumberFormat="1" applyFont="1" applyFill="1" applyBorder="1" applyAlignment="1">
      <alignment horizontal="center" vertical="top" wrapText="1"/>
    </xf>
    <xf numFmtId="3" fontId="8" fillId="0" borderId="7" xfId="0" applyNumberFormat="1" applyFont="1" applyFill="1" applyBorder="1" applyAlignment="1">
      <alignment horizontal="center" vertical="top" wrapText="1"/>
    </xf>
    <xf numFmtId="3" fontId="8" fillId="0" borderId="9" xfId="0" applyNumberFormat="1" applyFont="1" applyFill="1" applyBorder="1" applyAlignment="1">
      <alignment horizontal="center" vertical="top" wrapText="1"/>
    </xf>
    <xf numFmtId="3" fontId="11" fillId="0" borderId="2" xfId="0" applyNumberFormat="1" applyFont="1" applyFill="1" applyBorder="1" applyAlignment="1">
      <alignment horizontal="center" vertical="top" wrapText="1"/>
    </xf>
    <xf numFmtId="3" fontId="11" fillId="0" borderId="3" xfId="0" applyNumberFormat="1" applyFont="1" applyFill="1" applyBorder="1" applyAlignment="1">
      <alignment horizontal="center" vertical="top" wrapText="1"/>
    </xf>
    <xf numFmtId="3" fontId="11" fillId="0" borderId="4" xfId="0" applyNumberFormat="1" applyFont="1" applyFill="1" applyBorder="1" applyAlignment="1">
      <alignment horizontal="center" vertical="top" wrapText="1"/>
    </xf>
    <xf numFmtId="3" fontId="8" fillId="0" borderId="5" xfId="0" applyNumberFormat="1" applyFont="1" applyFill="1" applyBorder="1" applyAlignment="1">
      <alignment horizontal="center" vertical="top"/>
    </xf>
    <xf numFmtId="3" fontId="8" fillId="0" borderId="7" xfId="0" applyNumberFormat="1" applyFont="1" applyFill="1" applyBorder="1" applyAlignment="1">
      <alignment horizontal="center" vertical="top"/>
    </xf>
    <xf numFmtId="3" fontId="8" fillId="0" borderId="9" xfId="0" applyNumberFormat="1" applyFont="1" applyFill="1" applyBorder="1" applyAlignment="1">
      <alignment horizontal="center" vertical="top"/>
    </xf>
    <xf numFmtId="49" fontId="8" fillId="0" borderId="5" xfId="0" applyNumberFormat="1" applyFont="1" applyFill="1" applyBorder="1" applyAlignment="1">
      <alignment horizontal="left" vertical="top" wrapText="1"/>
    </xf>
    <xf numFmtId="49" fontId="8" fillId="0" borderId="11" xfId="0" applyNumberFormat="1" applyFont="1" applyFill="1" applyBorder="1" applyAlignment="1">
      <alignment horizontal="left" vertical="top" wrapText="1"/>
    </xf>
    <xf numFmtId="49" fontId="8" fillId="0" borderId="6" xfId="0" applyNumberFormat="1" applyFont="1" applyFill="1" applyBorder="1" applyAlignment="1">
      <alignment horizontal="left" vertical="top" wrapText="1"/>
    </xf>
    <xf numFmtId="49" fontId="8" fillId="0" borderId="7" xfId="0" applyNumberFormat="1" applyFont="1" applyFill="1" applyBorder="1" applyAlignment="1">
      <alignment horizontal="left" vertical="top" wrapText="1"/>
    </xf>
    <xf numFmtId="49" fontId="8" fillId="0" borderId="8" xfId="0" applyNumberFormat="1" applyFont="1" applyFill="1" applyBorder="1" applyAlignment="1">
      <alignment horizontal="left" vertical="top" wrapText="1"/>
    </xf>
    <xf numFmtId="49" fontId="8" fillId="0" borderId="9" xfId="0" applyNumberFormat="1" applyFont="1" applyFill="1" applyBorder="1" applyAlignment="1">
      <alignment horizontal="left" vertical="top" wrapText="1"/>
    </xf>
    <xf numFmtId="49" fontId="8" fillId="0" borderId="12" xfId="0" applyNumberFormat="1" applyFont="1" applyFill="1" applyBorder="1" applyAlignment="1">
      <alignment horizontal="left" vertical="top" wrapText="1"/>
    </xf>
    <xf numFmtId="49" fontId="8" fillId="0" borderId="10" xfId="0" applyNumberFormat="1" applyFont="1" applyFill="1" applyBorder="1" applyAlignment="1">
      <alignment horizontal="left" vertical="top" wrapText="1"/>
    </xf>
    <xf numFmtId="0" fontId="63" fillId="0" borderId="0" xfId="0" applyFont="1" applyFill="1" applyBorder="1" applyAlignment="1">
      <alignment horizontal="center" vertical="center" wrapText="1"/>
    </xf>
    <xf numFmtId="0" fontId="63" fillId="0" borderId="8" xfId="0" applyFont="1" applyFill="1" applyBorder="1" applyAlignment="1">
      <alignment horizontal="center" vertical="center" wrapText="1"/>
    </xf>
    <xf numFmtId="3" fontId="8" fillId="0" borderId="2" xfId="0" applyNumberFormat="1" applyFont="1" applyFill="1" applyBorder="1" applyAlignment="1">
      <alignment horizontal="center" vertical="top" wrapText="1"/>
    </xf>
    <xf numFmtId="3" fontId="8" fillId="0" borderId="4" xfId="0" applyNumberFormat="1" applyFont="1" applyFill="1" applyBorder="1" applyAlignment="1">
      <alignment horizontal="center" vertical="top" wrapText="1"/>
    </xf>
    <xf numFmtId="0" fontId="8" fillId="0" borderId="2" xfId="0" applyFont="1" applyFill="1" applyBorder="1" applyAlignment="1">
      <alignment horizontal="center" vertical="top" wrapText="1"/>
    </xf>
    <xf numFmtId="0" fontId="8" fillId="0" borderId="4" xfId="0" applyFont="1" applyFill="1" applyBorder="1" applyAlignment="1">
      <alignment horizontal="center" vertical="top" wrapText="1"/>
    </xf>
    <xf numFmtId="4" fontId="8" fillId="2" borderId="1" xfId="0" applyNumberFormat="1" applyFont="1" applyFill="1" applyBorder="1" applyAlignment="1">
      <alignment horizontal="left" vertical="top" wrapText="1"/>
    </xf>
    <xf numFmtId="0" fontId="8" fillId="2" borderId="1" xfId="0" applyFont="1" applyFill="1" applyBorder="1" applyAlignment="1">
      <alignment horizontal="center" vertical="top" wrapText="1"/>
    </xf>
    <xf numFmtId="3" fontId="8" fillId="0" borderId="3" xfId="0" applyNumberFormat="1" applyFont="1" applyFill="1" applyBorder="1" applyAlignment="1">
      <alignment horizontal="center" vertical="top" wrapText="1"/>
    </xf>
    <xf numFmtId="4" fontId="8" fillId="2" borderId="1" xfId="0" applyNumberFormat="1" applyFont="1" applyFill="1" applyBorder="1" applyAlignment="1">
      <alignment horizontal="center" vertical="top" wrapText="1"/>
    </xf>
    <xf numFmtId="0" fontId="8" fillId="2" borderId="2" xfId="0" applyFont="1" applyFill="1" applyBorder="1" applyAlignment="1">
      <alignment horizontal="center" vertical="top" wrapText="1"/>
    </xf>
    <xf numFmtId="0" fontId="8" fillId="2" borderId="3" xfId="0" applyFont="1" applyFill="1" applyBorder="1" applyAlignment="1">
      <alignment horizontal="center" vertical="top" wrapText="1"/>
    </xf>
    <xf numFmtId="0" fontId="8" fillId="2" borderId="4" xfId="0" applyFont="1" applyFill="1" applyBorder="1" applyAlignment="1">
      <alignment horizontal="center" vertical="top" wrapText="1"/>
    </xf>
    <xf numFmtId="4" fontId="8" fillId="0" borderId="2" xfId="0" applyNumberFormat="1" applyFont="1" applyFill="1" applyBorder="1" applyAlignment="1">
      <alignment horizontal="center" vertical="top" wrapText="1"/>
    </xf>
    <xf numFmtId="0" fontId="8" fillId="0" borderId="3" xfId="0" applyFont="1" applyFill="1" applyBorder="1" applyAlignment="1">
      <alignment horizontal="center" vertical="top" wrapText="1"/>
    </xf>
    <xf numFmtId="0" fontId="70" fillId="2" borderId="7" xfId="0" applyFont="1" applyFill="1" applyBorder="1" applyAlignment="1">
      <alignment horizontal="left" vertical="center" wrapText="1"/>
    </xf>
    <xf numFmtId="0" fontId="70" fillId="2" borderId="0" xfId="0" applyFont="1" applyFill="1" applyBorder="1" applyAlignment="1">
      <alignment horizontal="left" vertical="center" wrapText="1"/>
    </xf>
    <xf numFmtId="3" fontId="8" fillId="0" borderId="1" xfId="0" applyNumberFormat="1" applyFont="1" applyFill="1" applyBorder="1" applyAlignment="1">
      <alignment horizontal="center" vertical="top" wrapText="1"/>
    </xf>
    <xf numFmtId="0" fontId="44" fillId="0" borderId="0" xfId="0" applyFont="1" applyFill="1" applyBorder="1" applyAlignment="1">
      <alignment horizontal="left" wrapText="1"/>
    </xf>
    <xf numFmtId="3" fontId="11" fillId="0" borderId="1" xfId="0" applyNumberFormat="1" applyFont="1" applyFill="1" applyBorder="1" applyAlignment="1">
      <alignment horizontal="center" vertical="top" wrapText="1"/>
    </xf>
    <xf numFmtId="49" fontId="28" fillId="0" borderId="1" xfId="0" applyNumberFormat="1" applyFont="1" applyFill="1" applyBorder="1" applyAlignment="1">
      <alignment horizontal="center" vertical="center"/>
    </xf>
    <xf numFmtId="3" fontId="12" fillId="0" borderId="1" xfId="0" applyNumberFormat="1" applyFont="1" applyFill="1" applyBorder="1" applyAlignment="1">
      <alignment horizontal="center"/>
    </xf>
    <xf numFmtId="0" fontId="44" fillId="0" borderId="2" xfId="0" applyFont="1" applyFill="1" applyBorder="1" applyAlignment="1">
      <alignment horizontal="left" vertical="top" wrapText="1"/>
    </xf>
    <xf numFmtId="0" fontId="44" fillId="0" borderId="3" xfId="0" applyFont="1" applyFill="1" applyBorder="1" applyAlignment="1">
      <alignment horizontal="left" vertical="top" wrapText="1"/>
    </xf>
    <xf numFmtId="0" fontId="44" fillId="0" borderId="4" xfId="0" applyFont="1" applyFill="1" applyBorder="1" applyAlignment="1">
      <alignment horizontal="left" vertical="top" wrapText="1"/>
    </xf>
    <xf numFmtId="3" fontId="12" fillId="0" borderId="2" xfId="0" applyNumberFormat="1" applyFont="1" applyFill="1" applyBorder="1" applyAlignment="1">
      <alignment horizontal="center"/>
    </xf>
    <xf numFmtId="3" fontId="12" fillId="0" borderId="3" xfId="0" applyNumberFormat="1" applyFont="1" applyFill="1" applyBorder="1" applyAlignment="1">
      <alignment horizontal="center"/>
    </xf>
    <xf numFmtId="3" fontId="12" fillId="0" borderId="4" xfId="0" applyNumberFormat="1" applyFont="1" applyFill="1" applyBorder="1" applyAlignment="1">
      <alignment horizontal="center"/>
    </xf>
    <xf numFmtId="0" fontId="5" fillId="0" borderId="2"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5" fillId="0" borderId="4" xfId="0" applyFont="1" applyFill="1" applyBorder="1" applyAlignment="1">
      <alignment horizontal="center" vertical="center" wrapText="1"/>
    </xf>
    <xf numFmtId="0" fontId="5" fillId="0" borderId="2" xfId="0" applyFont="1" applyFill="1" applyBorder="1" applyAlignment="1"/>
    <xf numFmtId="0" fontId="5" fillId="0" borderId="3" xfId="0" applyFont="1" applyFill="1" applyBorder="1" applyAlignment="1"/>
    <xf numFmtId="0" fontId="5" fillId="0" borderId="4" xfId="0" applyFont="1" applyFill="1" applyBorder="1" applyAlignment="1"/>
    <xf numFmtId="3" fontId="32" fillId="0" borderId="1" xfId="0" applyNumberFormat="1" applyFont="1" applyFill="1" applyBorder="1" applyAlignment="1">
      <alignment horizontal="center"/>
    </xf>
    <xf numFmtId="0" fontId="5" fillId="0" borderId="8" xfId="0" applyFont="1" applyFill="1" applyBorder="1" applyAlignment="1">
      <alignment horizontal="center" vertical="top" wrapText="1"/>
    </xf>
    <xf numFmtId="2" fontId="44" fillId="0" borderId="1" xfId="0" applyNumberFormat="1" applyFont="1" applyFill="1" applyBorder="1" applyAlignment="1">
      <alignment horizontal="left" vertical="top" wrapText="1"/>
    </xf>
    <xf numFmtId="0" fontId="44" fillId="0" borderId="1" xfId="0" applyFont="1" applyFill="1" applyBorder="1" applyAlignment="1">
      <alignment horizontal="left" vertical="top" wrapText="1"/>
    </xf>
    <xf numFmtId="2" fontId="8" fillId="0" borderId="1" xfId="0" applyNumberFormat="1" applyFont="1" applyFill="1" applyBorder="1" applyAlignment="1">
      <alignment horizontal="left" vertical="top" wrapText="1"/>
    </xf>
    <xf numFmtId="0" fontId="28" fillId="0" borderId="2" xfId="0" applyFont="1" applyFill="1" applyBorder="1" applyAlignment="1">
      <alignment horizontal="center"/>
    </xf>
    <xf numFmtId="0" fontId="28" fillId="0" borderId="3" xfId="0" applyFont="1" applyFill="1" applyBorder="1" applyAlignment="1">
      <alignment horizontal="center"/>
    </xf>
    <xf numFmtId="0" fontId="28" fillId="0" borderId="4" xfId="0" applyFont="1" applyFill="1" applyBorder="1" applyAlignment="1">
      <alignment horizontal="center"/>
    </xf>
    <xf numFmtId="3" fontId="12" fillId="0" borderId="15" xfId="0" applyNumberFormat="1" applyFont="1" applyFill="1" applyBorder="1" applyAlignment="1">
      <alignment horizontal="center"/>
    </xf>
    <xf numFmtId="49" fontId="11" fillId="0" borderId="5" xfId="0" applyNumberFormat="1" applyFont="1" applyFill="1" applyBorder="1" applyAlignment="1">
      <alignment horizontal="left" vertical="top" wrapText="1"/>
    </xf>
    <xf numFmtId="49" fontId="11" fillId="0" borderId="11" xfId="0" applyNumberFormat="1" applyFont="1" applyFill="1" applyBorder="1" applyAlignment="1">
      <alignment horizontal="left" vertical="top" wrapText="1"/>
    </xf>
    <xf numFmtId="49" fontId="11" fillId="0" borderId="6" xfId="0" applyNumberFormat="1" applyFont="1" applyFill="1" applyBorder="1" applyAlignment="1">
      <alignment horizontal="left" vertical="top" wrapText="1"/>
    </xf>
    <xf numFmtId="49" fontId="11" fillId="0" borderId="7" xfId="0" applyNumberFormat="1" applyFont="1" applyFill="1" applyBorder="1" applyAlignment="1">
      <alignment horizontal="left" vertical="top" wrapText="1"/>
    </xf>
    <xf numFmtId="49" fontId="11" fillId="0" borderId="0" xfId="0" applyNumberFormat="1" applyFont="1" applyFill="1" applyBorder="1" applyAlignment="1">
      <alignment horizontal="left" vertical="top" wrapText="1"/>
    </xf>
    <xf numFmtId="49" fontId="11" fillId="0" borderId="8" xfId="0" applyNumberFormat="1" applyFont="1" applyFill="1" applyBorder="1" applyAlignment="1">
      <alignment horizontal="left" vertical="top" wrapText="1"/>
    </xf>
    <xf numFmtId="49" fontId="11" fillId="0" borderId="9" xfId="0" applyNumberFormat="1" applyFont="1" applyFill="1" applyBorder="1" applyAlignment="1">
      <alignment horizontal="left" vertical="top" wrapText="1"/>
    </xf>
    <xf numFmtId="49" fontId="11" fillId="0" borderId="12" xfId="0" applyNumberFormat="1" applyFont="1" applyFill="1" applyBorder="1" applyAlignment="1">
      <alignment horizontal="left" vertical="top" wrapText="1"/>
    </xf>
    <xf numFmtId="49" fontId="11" fillId="0" borderId="10" xfId="0" applyNumberFormat="1" applyFont="1" applyFill="1" applyBorder="1" applyAlignment="1">
      <alignment horizontal="left" vertical="top" wrapText="1"/>
    </xf>
    <xf numFmtId="2" fontId="11" fillId="0" borderId="2" xfId="0" applyNumberFormat="1" applyFont="1" applyFill="1" applyBorder="1" applyAlignment="1">
      <alignment horizontal="center" vertical="top" wrapText="1"/>
    </xf>
    <xf numFmtId="2" fontId="11" fillId="0" borderId="3" xfId="0" applyNumberFormat="1" applyFont="1" applyFill="1" applyBorder="1" applyAlignment="1">
      <alignment horizontal="center" vertical="top" wrapText="1"/>
    </xf>
    <xf numFmtId="2" fontId="11" fillId="0" borderId="4" xfId="0" applyNumberFormat="1" applyFont="1" applyFill="1" applyBorder="1" applyAlignment="1">
      <alignment horizontal="center" vertical="top" wrapText="1"/>
    </xf>
    <xf numFmtId="49" fontId="11" fillId="0" borderId="1" xfId="0" applyNumberFormat="1" applyFont="1" applyFill="1" applyBorder="1" applyAlignment="1">
      <alignment horizontal="left" vertical="top" wrapText="1"/>
    </xf>
    <xf numFmtId="0" fontId="11" fillId="0" borderId="1" xfId="0" applyFont="1" applyFill="1" applyBorder="1" applyAlignment="1">
      <alignment horizontal="left" vertical="top" wrapText="1"/>
    </xf>
    <xf numFmtId="4" fontId="11" fillId="0" borderId="1" xfId="0" applyNumberFormat="1" applyFont="1" applyFill="1" applyBorder="1" applyAlignment="1">
      <alignment horizontal="left" vertical="top" wrapText="1"/>
    </xf>
    <xf numFmtId="2" fontId="12" fillId="0" borderId="2" xfId="0" applyNumberFormat="1" applyFont="1" applyFill="1" applyBorder="1" applyAlignment="1">
      <alignment horizontal="center"/>
    </xf>
    <xf numFmtId="2" fontId="12" fillId="0" borderId="3" xfId="0" applyNumberFormat="1" applyFont="1" applyFill="1" applyBorder="1" applyAlignment="1">
      <alignment horizontal="center"/>
    </xf>
    <xf numFmtId="2" fontId="12" fillId="0" borderId="4" xfId="0" applyNumberFormat="1" applyFont="1" applyFill="1" applyBorder="1" applyAlignment="1">
      <alignment horizontal="center"/>
    </xf>
    <xf numFmtId="0" fontId="8" fillId="2" borderId="2" xfId="0" applyFont="1" applyFill="1" applyBorder="1" applyAlignment="1">
      <alignment horizontal="left" vertical="top" wrapText="1"/>
    </xf>
    <xf numFmtId="0" fontId="8" fillId="2" borderId="3" xfId="0" applyFont="1" applyFill="1" applyBorder="1" applyAlignment="1">
      <alignment horizontal="left" vertical="top" wrapText="1"/>
    </xf>
    <xf numFmtId="0" fontId="8" fillId="2" borderId="4" xfId="0" applyFont="1" applyFill="1" applyBorder="1" applyAlignment="1">
      <alignment horizontal="left" vertical="top" wrapText="1"/>
    </xf>
    <xf numFmtId="0" fontId="8" fillId="22" borderId="1" xfId="0" applyFont="1" applyFill="1" applyBorder="1" applyAlignment="1">
      <alignment horizontal="center" vertical="top" wrapText="1"/>
    </xf>
    <xf numFmtId="4" fontId="11" fillId="0" borderId="1" xfId="0" applyNumberFormat="1" applyFont="1" applyFill="1" applyBorder="1" applyAlignment="1">
      <alignment horizontal="center" vertical="top" wrapText="1"/>
    </xf>
    <xf numFmtId="0" fontId="65" fillId="0" borderId="1" xfId="0" applyFont="1" applyFill="1" applyBorder="1" applyAlignment="1">
      <alignment horizontal="center" vertical="top" wrapText="1"/>
    </xf>
    <xf numFmtId="3" fontId="11" fillId="0" borderId="15" xfId="0" applyNumberFormat="1" applyFont="1" applyFill="1" applyBorder="1" applyAlignment="1">
      <alignment horizontal="left" vertical="top" wrapText="1"/>
    </xf>
    <xf numFmtId="3" fontId="28" fillId="0" borderId="13" xfId="0" applyNumberFormat="1" applyFont="1" applyFill="1" applyBorder="1" applyAlignment="1">
      <alignment horizontal="center"/>
    </xf>
    <xf numFmtId="49" fontId="28" fillId="0" borderId="11" xfId="0" applyNumberFormat="1" applyFont="1" applyFill="1" applyBorder="1" applyAlignment="1">
      <alignment horizontal="left" vertical="center" wrapText="1"/>
    </xf>
    <xf numFmtId="49" fontId="28" fillId="0" borderId="6" xfId="0" applyNumberFormat="1" applyFont="1" applyFill="1" applyBorder="1" applyAlignment="1">
      <alignment horizontal="left" vertical="center" wrapText="1"/>
    </xf>
    <xf numFmtId="0" fontId="63" fillId="0" borderId="0" xfId="0" applyFont="1" applyFill="1" applyAlignment="1">
      <alignment horizontal="center" vertical="center" wrapText="1"/>
    </xf>
    <xf numFmtId="3" fontId="8" fillId="0" borderId="13" xfId="0" applyNumberFormat="1" applyFont="1" applyFill="1" applyBorder="1" applyAlignment="1">
      <alignment horizontal="left" vertical="top" wrapText="1"/>
    </xf>
    <xf numFmtId="3" fontId="11" fillId="0" borderId="1" xfId="0" applyNumberFormat="1" applyFont="1" applyFill="1" applyBorder="1" applyAlignment="1">
      <alignment horizontal="left" vertical="top" wrapText="1"/>
    </xf>
    <xf numFmtId="0" fontId="68" fillId="2" borderId="7" xfId="0" applyFont="1" applyFill="1" applyBorder="1" applyAlignment="1">
      <alignment horizontal="left" vertical="center" wrapText="1"/>
    </xf>
    <xf numFmtId="0" fontId="68" fillId="2" borderId="0" xfId="0" applyFont="1" applyFill="1" applyBorder="1" applyAlignment="1">
      <alignment horizontal="left" vertical="center" wrapText="1"/>
    </xf>
    <xf numFmtId="0" fontId="8" fillId="0" borderId="5" xfId="0" applyFont="1" applyFill="1" applyBorder="1" applyAlignment="1">
      <alignment horizontal="center" wrapText="1"/>
    </xf>
    <xf numFmtId="0" fontId="8" fillId="0" borderId="9" xfId="0" applyFont="1" applyFill="1" applyBorder="1" applyAlignment="1">
      <alignment horizontal="center" wrapText="1"/>
    </xf>
    <xf numFmtId="0" fontId="8" fillId="2" borderId="11" xfId="0" applyFont="1" applyFill="1" applyBorder="1" applyAlignment="1">
      <alignment horizontal="left" vertical="top" wrapText="1"/>
    </xf>
    <xf numFmtId="0" fontId="44" fillId="0" borderId="0" xfId="0" applyFont="1" applyFill="1" applyAlignment="1">
      <alignment horizontal="left" wrapText="1"/>
    </xf>
    <xf numFmtId="0" fontId="11" fillId="0" borderId="7" xfId="0" applyFont="1" applyFill="1" applyBorder="1" applyAlignment="1">
      <alignment horizontal="center" vertical="top" wrapText="1"/>
    </xf>
    <xf numFmtId="0" fontId="11" fillId="0" borderId="8" xfId="0" applyFont="1" applyFill="1" applyBorder="1" applyAlignment="1">
      <alignment horizontal="center" vertical="top" wrapText="1"/>
    </xf>
    <xf numFmtId="0" fontId="11" fillId="0" borderId="9" xfId="0" applyFont="1" applyFill="1" applyBorder="1" applyAlignment="1">
      <alignment horizontal="center" vertical="top" wrapText="1"/>
    </xf>
    <xf numFmtId="0" fontId="11" fillId="0" borderId="10" xfId="0" applyFont="1" applyFill="1" applyBorder="1" applyAlignment="1">
      <alignment horizontal="center" vertical="top" wrapText="1"/>
    </xf>
    <xf numFmtId="0" fontId="11" fillId="0" borderId="3" xfId="0" applyFont="1" applyFill="1" applyBorder="1" applyAlignment="1">
      <alignment horizontal="center" vertical="top" wrapText="1"/>
    </xf>
    <xf numFmtId="0" fontId="11" fillId="0" borderId="4" xfId="0" applyFont="1" applyFill="1" applyBorder="1" applyAlignment="1">
      <alignment horizontal="center" vertical="top" wrapText="1"/>
    </xf>
    <xf numFmtId="0" fontId="78" fillId="2" borderId="12" xfId="0" applyFont="1" applyFill="1" applyBorder="1" applyAlignment="1">
      <alignment horizontal="center" vertical="top" wrapText="1"/>
    </xf>
    <xf numFmtId="0" fontId="11" fillId="0" borderId="13" xfId="0" applyFont="1" applyFill="1" applyBorder="1" applyAlignment="1">
      <alignment horizontal="left" vertical="top" wrapText="1"/>
    </xf>
    <xf numFmtId="0" fontId="11" fillId="0" borderId="14" xfId="0" applyFont="1" applyFill="1" applyBorder="1" applyAlignment="1">
      <alignment horizontal="left" vertical="top" wrapText="1"/>
    </xf>
    <xf numFmtId="0" fontId="11" fillId="0" borderId="15" xfId="0" applyFont="1" applyFill="1" applyBorder="1" applyAlignment="1">
      <alignment horizontal="left" vertical="top" wrapText="1"/>
    </xf>
    <xf numFmtId="0" fontId="11" fillId="0" borderId="13" xfId="0" applyFont="1" applyFill="1" applyBorder="1" applyAlignment="1">
      <alignment horizontal="left" vertical="top"/>
    </xf>
    <xf numFmtId="0" fontId="11" fillId="0" borderId="14" xfId="0" applyFont="1" applyFill="1" applyBorder="1" applyAlignment="1">
      <alignment horizontal="left" vertical="top"/>
    </xf>
    <xf numFmtId="0" fontId="11" fillId="0" borderId="15" xfId="0" applyFont="1" applyFill="1" applyBorder="1" applyAlignment="1">
      <alignment horizontal="left" vertical="top"/>
    </xf>
    <xf numFmtId="0" fontId="11" fillId="0" borderId="5" xfId="0" applyFont="1" applyFill="1" applyBorder="1" applyAlignment="1">
      <alignment horizontal="left" vertical="top" wrapText="1"/>
    </xf>
    <xf numFmtId="0" fontId="11" fillId="0" borderId="11" xfId="0" applyFont="1" applyFill="1" applyBorder="1" applyAlignment="1">
      <alignment horizontal="left" vertical="top" wrapText="1"/>
    </xf>
    <xf numFmtId="0" fontId="11" fillId="0" borderId="6" xfId="0" applyFont="1" applyFill="1" applyBorder="1" applyAlignment="1">
      <alignment horizontal="left" vertical="top" wrapText="1"/>
    </xf>
    <xf numFmtId="0" fontId="11" fillId="0" borderId="7" xfId="0" applyFont="1" applyFill="1" applyBorder="1" applyAlignment="1">
      <alignment horizontal="left" vertical="top" wrapText="1"/>
    </xf>
    <xf numFmtId="0" fontId="11" fillId="0" borderId="0" xfId="0" applyFont="1" applyFill="1" applyBorder="1" applyAlignment="1">
      <alignment horizontal="left" vertical="top" wrapText="1"/>
    </xf>
    <xf numFmtId="0" fontId="11" fillId="0" borderId="8" xfId="0" applyFont="1" applyFill="1" applyBorder="1" applyAlignment="1">
      <alignment horizontal="left" vertical="top" wrapText="1"/>
    </xf>
    <xf numFmtId="0" fontId="11" fillId="0" borderId="9" xfId="0" applyFont="1" applyFill="1" applyBorder="1" applyAlignment="1">
      <alignment horizontal="left" vertical="top" wrapText="1"/>
    </xf>
    <xf numFmtId="0" fontId="11" fillId="0" borderId="12" xfId="0" applyFont="1" applyFill="1" applyBorder="1" applyAlignment="1">
      <alignment horizontal="left" vertical="top" wrapText="1"/>
    </xf>
    <xf numFmtId="0" fontId="11" fillId="0" borderId="10" xfId="0" applyFont="1" applyFill="1" applyBorder="1" applyAlignment="1">
      <alignment horizontal="left" vertical="top" wrapText="1"/>
    </xf>
    <xf numFmtId="0" fontId="27" fillId="0" borderId="1" xfId="0" applyFont="1" applyFill="1" applyBorder="1" applyAlignment="1">
      <alignment horizontal="center" vertical="top" wrapText="1"/>
    </xf>
    <xf numFmtId="0" fontId="27" fillId="0" borderId="1" xfId="0" applyFont="1" applyFill="1" applyBorder="1" applyAlignment="1">
      <alignment horizontal="left" vertical="top"/>
    </xf>
    <xf numFmtId="0" fontId="90" fillId="0" borderId="0" xfId="0" applyFont="1" applyFill="1" applyBorder="1" applyAlignment="1">
      <alignment horizontal="center" vertical="center" wrapText="1"/>
    </xf>
    <xf numFmtId="0" fontId="27" fillId="0" borderId="1" xfId="0" applyFont="1" applyFill="1" applyBorder="1" applyAlignment="1">
      <alignment horizontal="center" vertical="center" wrapText="1"/>
    </xf>
    <xf numFmtId="4" fontId="27" fillId="0" borderId="1" xfId="0" applyNumberFormat="1" applyFont="1" applyFill="1" applyBorder="1" applyAlignment="1">
      <alignment horizontal="center" vertical="center" wrapText="1"/>
    </xf>
    <xf numFmtId="4" fontId="27" fillId="0" borderId="1" xfId="0" applyNumberFormat="1" applyFont="1" applyFill="1" applyBorder="1" applyAlignment="1">
      <alignment horizontal="center" vertical="center"/>
    </xf>
    <xf numFmtId="0" fontId="11" fillId="0" borderId="1" xfId="0" applyFont="1" applyFill="1" applyBorder="1" applyAlignment="1">
      <alignment horizontal="left" vertical="center" wrapText="1"/>
    </xf>
    <xf numFmtId="49" fontId="11" fillId="12" borderId="1" xfId="0" applyNumberFormat="1" applyFont="1" applyFill="1" applyBorder="1" applyAlignment="1">
      <alignment horizontal="left" vertical="top"/>
    </xf>
    <xf numFmtId="0" fontId="4" fillId="0" borderId="1" xfId="0" applyFont="1" applyFill="1" applyBorder="1" applyAlignment="1">
      <alignment horizontal="left" vertical="top" wrapText="1"/>
    </xf>
    <xf numFmtId="0" fontId="7" fillId="0" borderId="1" xfId="0" applyFont="1" applyFill="1" applyBorder="1" applyAlignment="1">
      <alignment horizontal="left" vertical="top" wrapText="1"/>
    </xf>
    <xf numFmtId="0" fontId="11" fillId="0" borderId="1" xfId="0" applyFont="1" applyFill="1" applyBorder="1" applyAlignment="1">
      <alignment horizontal="left" vertical="top"/>
    </xf>
    <xf numFmtId="0" fontId="11" fillId="0" borderId="1" xfId="0" applyFont="1" applyFill="1" applyBorder="1" applyAlignment="1">
      <alignment horizontal="left" vertical="center"/>
    </xf>
    <xf numFmtId="0" fontId="11" fillId="0" borderId="1" xfId="0" applyFont="1" applyFill="1" applyBorder="1" applyAlignment="1">
      <alignment horizontal="center" vertical="center"/>
    </xf>
    <xf numFmtId="49" fontId="11" fillId="0" borderId="1" xfId="0" applyNumberFormat="1" applyFont="1" applyFill="1" applyBorder="1" applyAlignment="1">
      <alignment horizontal="left" vertical="top"/>
    </xf>
    <xf numFmtId="0" fontId="11" fillId="0" borderId="2" xfId="0" applyFont="1" applyFill="1" applyBorder="1" applyAlignment="1">
      <alignment horizontal="left" vertical="top" wrapText="1"/>
    </xf>
    <xf numFmtId="0" fontId="11" fillId="0" borderId="3" xfId="0" applyFont="1" applyFill="1" applyBorder="1" applyAlignment="1">
      <alignment horizontal="left" vertical="top" wrapText="1"/>
    </xf>
    <xf numFmtId="0" fontId="11" fillId="0" borderId="4" xfId="0" applyFont="1" applyFill="1" applyBorder="1" applyAlignment="1">
      <alignment horizontal="left" vertical="top" wrapText="1"/>
    </xf>
    <xf numFmtId="0" fontId="3" fillId="0" borderId="1" xfId="0" applyFont="1" applyFill="1" applyBorder="1" applyAlignment="1">
      <alignment horizontal="left" vertical="top" wrapText="1"/>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49" fontId="3" fillId="0" borderId="1" xfId="0" applyNumberFormat="1" applyFont="1" applyFill="1" applyBorder="1" applyAlignment="1">
      <alignment horizontal="left" vertical="top"/>
    </xf>
    <xf numFmtId="0" fontId="3" fillId="2" borderId="1" xfId="0" applyFont="1" applyFill="1" applyBorder="1" applyAlignment="1">
      <alignment horizontal="left" vertical="top" wrapText="1"/>
    </xf>
    <xf numFmtId="0" fontId="11" fillId="0" borderId="1" xfId="0" applyFont="1" applyFill="1" applyBorder="1" applyAlignment="1">
      <alignment horizontal="center" vertical="top" wrapText="1"/>
    </xf>
    <xf numFmtId="49" fontId="4" fillId="0" borderId="1" xfId="0" applyNumberFormat="1" applyFont="1" applyFill="1" applyBorder="1" applyAlignment="1">
      <alignment horizontal="left" vertical="top"/>
    </xf>
    <xf numFmtId="0" fontId="4" fillId="0" borderId="1" xfId="0" applyFont="1" applyFill="1" applyBorder="1" applyAlignment="1">
      <alignment horizontal="left" vertical="top"/>
    </xf>
    <xf numFmtId="49" fontId="11" fillId="2" borderId="11" xfId="0" applyNumberFormat="1" applyFont="1" applyFill="1" applyBorder="1" applyAlignment="1">
      <alignment horizontal="center" vertical="center" wrapText="1"/>
    </xf>
    <xf numFmtId="1" fontId="11" fillId="0" borderId="1" xfId="0" applyNumberFormat="1" applyFont="1" applyFill="1" applyBorder="1" applyAlignment="1">
      <alignment horizontal="center" vertical="top"/>
    </xf>
    <xf numFmtId="49" fontId="11" fillId="0" borderId="0" xfId="0" applyNumberFormat="1" applyFont="1" applyFill="1" applyBorder="1" applyAlignment="1">
      <alignment horizontal="left" vertical="top"/>
    </xf>
    <xf numFmtId="2" fontId="11" fillId="0" borderId="0" xfId="0" applyNumberFormat="1" applyFont="1" applyFill="1" applyBorder="1" applyAlignment="1">
      <alignment horizontal="left" vertical="top" wrapText="1"/>
    </xf>
    <xf numFmtId="0" fontId="12" fillId="0" borderId="0" xfId="0" applyFont="1" applyFill="1" applyBorder="1" applyAlignment="1">
      <alignment horizontal="left" vertical="top" wrapText="1"/>
    </xf>
    <xf numFmtId="1" fontId="11" fillId="0" borderId="0" xfId="0" applyNumberFormat="1" applyFont="1" applyFill="1" applyBorder="1" applyAlignment="1">
      <alignment horizontal="left" vertical="top"/>
    </xf>
    <xf numFmtId="0" fontId="11" fillId="0" borderId="0" xfId="0" applyFont="1" applyFill="1" applyBorder="1" applyAlignment="1">
      <alignment horizontal="center" vertical="top" wrapText="1"/>
    </xf>
    <xf numFmtId="0" fontId="7" fillId="0" borderId="0" xfId="0" applyFont="1" applyFill="1" applyBorder="1" applyAlignment="1">
      <alignment horizontal="left" vertical="top" wrapText="1"/>
    </xf>
    <xf numFmtId="49" fontId="7" fillId="0" borderId="0" xfId="0" applyNumberFormat="1" applyFont="1" applyFill="1" applyBorder="1" applyAlignment="1">
      <alignment horizontal="left" vertical="top" wrapText="1"/>
    </xf>
    <xf numFmtId="49" fontId="7" fillId="0" borderId="0" xfId="0" applyNumberFormat="1" applyFont="1" applyFill="1" applyBorder="1" applyAlignment="1">
      <alignment horizontal="left" vertical="top"/>
    </xf>
    <xf numFmtId="0" fontId="3" fillId="10" borderId="1" xfId="0" applyFont="1" applyFill="1" applyBorder="1" applyAlignment="1">
      <alignment horizontal="left" vertical="top" wrapText="1"/>
    </xf>
    <xf numFmtId="49" fontId="39" fillId="10" borderId="1" xfId="0" applyNumberFormat="1" applyFont="1" applyFill="1" applyBorder="1" applyAlignment="1">
      <alignment horizontal="left" vertical="top" wrapText="1"/>
    </xf>
    <xf numFmtId="4" fontId="66" fillId="0" borderId="2" xfId="0" applyNumberFormat="1" applyFont="1" applyFill="1" applyBorder="1" applyAlignment="1">
      <alignment horizontal="center" vertical="center" wrapText="1"/>
    </xf>
    <xf numFmtId="4" fontId="66" fillId="0" borderId="4" xfId="0" applyNumberFormat="1" applyFont="1" applyFill="1" applyBorder="1" applyAlignment="1">
      <alignment horizontal="center" vertical="center" wrapText="1"/>
    </xf>
    <xf numFmtId="4" fontId="66" fillId="12" borderId="2" xfId="0" applyNumberFormat="1" applyFont="1" applyFill="1" applyBorder="1" applyAlignment="1">
      <alignment horizontal="center" vertical="center" wrapText="1"/>
    </xf>
    <xf numFmtId="4" fontId="66" fillId="12" borderId="4" xfId="0" applyNumberFormat="1" applyFont="1" applyFill="1" applyBorder="1" applyAlignment="1">
      <alignment horizontal="center" vertical="center" wrapText="1"/>
    </xf>
    <xf numFmtId="0" fontId="63" fillId="10" borderId="2" xfId="0" applyFont="1" applyFill="1" applyBorder="1" applyAlignment="1">
      <alignment horizontal="center" vertical="top" wrapText="1"/>
    </xf>
    <xf numFmtId="0" fontId="63" fillId="10" borderId="4" xfId="0" applyFont="1" applyFill="1" applyBorder="1" applyAlignment="1">
      <alignment horizontal="center" vertical="top" wrapText="1"/>
    </xf>
    <xf numFmtId="49" fontId="39" fillId="10" borderId="5" xfId="0" applyNumberFormat="1" applyFont="1" applyFill="1" applyBorder="1" applyAlignment="1">
      <alignment horizontal="left" vertical="top" wrapText="1"/>
    </xf>
    <xf numFmtId="49" fontId="39" fillId="10" borderId="11" xfId="0" applyNumberFormat="1" applyFont="1" applyFill="1" applyBorder="1" applyAlignment="1">
      <alignment horizontal="left" vertical="top" wrapText="1"/>
    </xf>
    <xf numFmtId="49" fontId="39" fillId="10" borderId="6" xfId="0" applyNumberFormat="1" applyFont="1" applyFill="1" applyBorder="1" applyAlignment="1">
      <alignment horizontal="left" vertical="top" wrapText="1"/>
    </xf>
    <xf numFmtId="49" fontId="39" fillId="10" borderId="7" xfId="0" applyNumberFormat="1" applyFont="1" applyFill="1" applyBorder="1" applyAlignment="1">
      <alignment horizontal="left" vertical="top" wrapText="1"/>
    </xf>
    <xf numFmtId="49" fontId="39" fillId="10" borderId="0" xfId="0" applyNumberFormat="1" applyFont="1" applyFill="1" applyBorder="1" applyAlignment="1">
      <alignment horizontal="left" vertical="top" wrapText="1"/>
    </xf>
    <xf numFmtId="49" fontId="39" fillId="10" borderId="8" xfId="0" applyNumberFormat="1" applyFont="1" applyFill="1" applyBorder="1" applyAlignment="1">
      <alignment horizontal="left" vertical="top" wrapText="1"/>
    </xf>
    <xf numFmtId="49" fontId="39" fillId="10" borderId="9" xfId="0" applyNumberFormat="1" applyFont="1" applyFill="1" applyBorder="1" applyAlignment="1">
      <alignment horizontal="left" vertical="top" wrapText="1"/>
    </xf>
    <xf numFmtId="49" fontId="39" fillId="10" borderId="12" xfId="0" applyNumberFormat="1" applyFont="1" applyFill="1" applyBorder="1" applyAlignment="1">
      <alignment horizontal="left" vertical="top" wrapText="1"/>
    </xf>
    <xf numFmtId="49" fontId="39" fillId="10" borderId="10" xfId="0" applyNumberFormat="1" applyFont="1" applyFill="1" applyBorder="1" applyAlignment="1">
      <alignment horizontal="left" vertical="top" wrapText="1"/>
    </xf>
    <xf numFmtId="0" fontId="39" fillId="10" borderId="5" xfId="0" applyFont="1" applyFill="1" applyBorder="1" applyAlignment="1">
      <alignment horizontal="left" vertical="top" wrapText="1"/>
    </xf>
    <xf numFmtId="0" fontId="39" fillId="10" borderId="7" xfId="0" applyFont="1" applyFill="1" applyBorder="1" applyAlignment="1">
      <alignment horizontal="left" vertical="top" wrapText="1"/>
    </xf>
    <xf numFmtId="0" fontId="39" fillId="10" borderId="9" xfId="0" applyFont="1" applyFill="1" applyBorder="1" applyAlignment="1">
      <alignment horizontal="left" vertical="top" wrapText="1"/>
    </xf>
    <xf numFmtId="0" fontId="39" fillId="10" borderId="1" xfId="0" applyFont="1" applyFill="1" applyBorder="1" applyAlignment="1">
      <alignment horizontal="left" vertical="top" wrapText="1"/>
    </xf>
    <xf numFmtId="0" fontId="39" fillId="10" borderId="2" xfId="0" applyFont="1" applyFill="1" applyBorder="1" applyAlignment="1">
      <alignment horizontal="left" vertical="top" wrapText="1"/>
    </xf>
    <xf numFmtId="4" fontId="39" fillId="10" borderId="1" xfId="0" applyNumberFormat="1" applyFont="1" applyFill="1" applyBorder="1" applyAlignment="1">
      <alignment horizontal="left" vertical="top" wrapText="1"/>
    </xf>
    <xf numFmtId="4" fontId="39" fillId="10" borderId="2" xfId="0" applyNumberFormat="1" applyFont="1" applyFill="1" applyBorder="1" applyAlignment="1">
      <alignment horizontal="left" vertical="top" wrapText="1"/>
    </xf>
    <xf numFmtId="4" fontId="39" fillId="10" borderId="5" xfId="0" applyNumberFormat="1" applyFont="1" applyFill="1" applyBorder="1" applyAlignment="1">
      <alignment horizontal="center" vertical="top" wrapText="1"/>
    </xf>
    <xf numFmtId="4" fontId="39" fillId="10" borderId="7" xfId="0" applyNumberFormat="1" applyFont="1" applyFill="1" applyBorder="1" applyAlignment="1">
      <alignment horizontal="center" vertical="top" wrapText="1"/>
    </xf>
    <xf numFmtId="4" fontId="39" fillId="10" borderId="9" xfId="0" applyNumberFormat="1" applyFont="1" applyFill="1" applyBorder="1" applyAlignment="1">
      <alignment horizontal="center" vertical="top" wrapText="1"/>
    </xf>
    <xf numFmtId="0" fontId="39" fillId="2" borderId="1" xfId="0" applyFont="1" applyFill="1" applyBorder="1" applyAlignment="1">
      <alignment horizontal="left" vertical="top" wrapText="1"/>
    </xf>
    <xf numFmtId="0" fontId="39" fillId="10" borderId="2" xfId="0" applyFont="1" applyFill="1" applyBorder="1" applyAlignment="1">
      <alignment horizontal="center" vertical="top" wrapText="1"/>
    </xf>
    <xf numFmtId="0" fontId="39" fillId="10" borderId="3" xfId="0" applyFont="1" applyFill="1" applyBorder="1" applyAlignment="1">
      <alignment horizontal="center" vertical="top" wrapText="1"/>
    </xf>
    <xf numFmtId="0" fontId="39" fillId="10" borderId="4" xfId="0" applyFont="1" applyFill="1" applyBorder="1" applyAlignment="1">
      <alignment horizontal="center" vertical="top" wrapText="1"/>
    </xf>
    <xf numFmtId="4" fontId="39" fillId="10" borderId="3" xfId="0" applyNumberFormat="1" applyFont="1" applyFill="1" applyBorder="1" applyAlignment="1">
      <alignment horizontal="left" vertical="top" wrapText="1"/>
    </xf>
    <xf numFmtId="4" fontId="39" fillId="10" borderId="4" xfId="0" applyNumberFormat="1" applyFont="1" applyFill="1" applyBorder="1" applyAlignment="1">
      <alignment horizontal="left" vertical="top" wrapText="1"/>
    </xf>
    <xf numFmtId="1" fontId="39" fillId="10" borderId="5" xfId="0" applyNumberFormat="1" applyFont="1" applyFill="1" applyBorder="1" applyAlignment="1">
      <alignment horizontal="center"/>
    </xf>
    <xf numFmtId="1" fontId="39" fillId="10" borderId="7" xfId="0" applyNumberFormat="1" applyFont="1" applyFill="1" applyBorder="1" applyAlignment="1">
      <alignment horizontal="center"/>
    </xf>
    <xf numFmtId="1" fontId="39" fillId="10" borderId="9" xfId="0" applyNumberFormat="1" applyFont="1" applyFill="1" applyBorder="1" applyAlignment="1">
      <alignment horizontal="center"/>
    </xf>
    <xf numFmtId="0" fontId="4" fillId="0" borderId="12" xfId="0" applyFont="1" applyFill="1" applyBorder="1" applyAlignment="1">
      <alignment horizontal="left" wrapText="1"/>
    </xf>
    <xf numFmtId="0" fontId="4" fillId="0" borderId="10" xfId="0" applyFont="1" applyFill="1" applyBorder="1" applyAlignment="1">
      <alignment horizontal="left" wrapText="1"/>
    </xf>
    <xf numFmtId="49" fontId="79" fillId="0" borderId="1" xfId="0" applyNumberFormat="1" applyFont="1" applyFill="1" applyBorder="1" applyAlignment="1">
      <alignment horizontal="center" vertical="top" wrapText="1"/>
    </xf>
    <xf numFmtId="0" fontId="78" fillId="0" borderId="0" xfId="0" applyFont="1" applyFill="1" applyAlignment="1">
      <alignment horizontal="center" vertical="center" wrapText="1"/>
    </xf>
    <xf numFmtId="0" fontId="78" fillId="0" borderId="8" xfId="0" applyFont="1" applyFill="1" applyBorder="1" applyAlignment="1">
      <alignment horizontal="center" vertical="center" wrapText="1"/>
    </xf>
    <xf numFmtId="0" fontId="63" fillId="10" borderId="1" xfId="0" applyFont="1" applyFill="1" applyBorder="1" applyAlignment="1">
      <alignment horizontal="center" vertical="top" wrapText="1"/>
    </xf>
    <xf numFmtId="4" fontId="63" fillId="10" borderId="1" xfId="0" applyNumberFormat="1" applyFont="1" applyFill="1" applyBorder="1" applyAlignment="1">
      <alignment horizontal="center" vertical="top" wrapText="1"/>
    </xf>
    <xf numFmtId="3" fontId="63" fillId="10" borderId="13" xfId="0" applyNumberFormat="1" applyFont="1" applyFill="1" applyBorder="1" applyAlignment="1">
      <alignment horizontal="center" vertical="top" wrapText="1"/>
    </xf>
    <xf numFmtId="3" fontId="63" fillId="10" borderId="2" xfId="0" applyNumberFormat="1" applyFont="1" applyFill="1" applyBorder="1" applyAlignment="1">
      <alignment horizontal="center" vertical="top" wrapText="1"/>
    </xf>
    <xf numFmtId="3" fontId="63" fillId="10" borderId="4" xfId="0" applyNumberFormat="1" applyFont="1" applyFill="1" applyBorder="1" applyAlignment="1">
      <alignment horizontal="center" vertical="top" wrapText="1"/>
    </xf>
    <xf numFmtId="49" fontId="39" fillId="10" borderId="2" xfId="0" applyNumberFormat="1" applyFont="1" applyFill="1" applyBorder="1" applyAlignment="1">
      <alignment horizontal="left" vertical="top" wrapText="1"/>
    </xf>
    <xf numFmtId="49" fontId="39" fillId="10" borderId="3" xfId="0" applyNumberFormat="1" applyFont="1" applyFill="1" applyBorder="1" applyAlignment="1">
      <alignment horizontal="left" vertical="top" wrapText="1"/>
    </xf>
    <xf numFmtId="49" fontId="39" fillId="10" borderId="4" xfId="0" applyNumberFormat="1" applyFont="1" applyFill="1" applyBorder="1" applyAlignment="1">
      <alignment horizontal="left" vertical="top" wrapText="1"/>
    </xf>
    <xf numFmtId="0" fontId="39" fillId="10" borderId="11" xfId="0" applyFont="1" applyFill="1" applyBorder="1" applyAlignment="1">
      <alignment horizontal="left" vertical="top" wrapText="1"/>
    </xf>
    <xf numFmtId="0" fontId="39" fillId="10" borderId="6" xfId="0" applyFont="1" applyFill="1" applyBorder="1" applyAlignment="1">
      <alignment horizontal="left" vertical="top" wrapText="1"/>
    </xf>
    <xf numFmtId="0" fontId="39" fillId="10" borderId="0" xfId="0" applyFont="1" applyFill="1" applyBorder="1" applyAlignment="1">
      <alignment horizontal="left" vertical="top" wrapText="1"/>
    </xf>
    <xf numFmtId="0" fontId="39" fillId="10" borderId="8" xfId="0" applyFont="1" applyFill="1" applyBorder="1" applyAlignment="1">
      <alignment horizontal="left" vertical="top" wrapText="1"/>
    </xf>
    <xf numFmtId="0" fontId="39" fillId="10" borderId="12" xfId="0" applyFont="1" applyFill="1" applyBorder="1" applyAlignment="1">
      <alignment horizontal="left" vertical="top" wrapText="1"/>
    </xf>
    <xf numFmtId="0" fontId="39" fillId="10" borderId="10" xfId="0" applyFont="1" applyFill="1" applyBorder="1" applyAlignment="1">
      <alignment horizontal="left" vertical="top" wrapText="1"/>
    </xf>
    <xf numFmtId="0" fontId="27" fillId="16" borderId="0" xfId="0" applyFont="1" applyFill="1" applyAlignment="1">
      <alignment horizontal="center" vertical="center" wrapText="1"/>
    </xf>
    <xf numFmtId="0" fontId="27" fillId="16" borderId="8" xfId="0" applyFont="1" applyFill="1" applyBorder="1" applyAlignment="1">
      <alignment horizontal="center" vertical="center" wrapText="1"/>
    </xf>
    <xf numFmtId="0" fontId="11" fillId="0" borderId="0" xfId="0" applyFont="1" applyFill="1" applyAlignment="1">
      <alignment horizontal="left" wrapText="1"/>
    </xf>
    <xf numFmtId="0" fontId="39" fillId="10" borderId="3" xfId="0" applyFont="1" applyFill="1" applyBorder="1" applyAlignment="1">
      <alignment horizontal="left" vertical="top" wrapText="1"/>
    </xf>
    <xf numFmtId="0" fontId="39" fillId="10" borderId="4" xfId="0" applyFont="1" applyFill="1" applyBorder="1" applyAlignment="1">
      <alignment horizontal="left" vertical="top" wrapText="1"/>
    </xf>
    <xf numFmtId="4" fontId="3" fillId="10" borderId="1" xfId="0" applyNumberFormat="1" applyFont="1" applyFill="1" applyBorder="1" applyAlignment="1">
      <alignment horizontal="center" vertical="top" wrapText="1"/>
    </xf>
    <xf numFmtId="1" fontId="11" fillId="10" borderId="1" xfId="0" applyNumberFormat="1" applyFont="1" applyFill="1" applyBorder="1" applyAlignment="1">
      <alignment horizontal="center"/>
    </xf>
    <xf numFmtId="49" fontId="39" fillId="0" borderId="1" xfId="0" applyNumberFormat="1" applyFont="1" applyFill="1" applyBorder="1" applyAlignment="1">
      <alignment horizontal="left" vertical="top" wrapText="1"/>
    </xf>
    <xf numFmtId="4" fontId="11" fillId="10" borderId="1" xfId="0" applyNumberFormat="1" applyFont="1" applyFill="1" applyBorder="1" applyAlignment="1">
      <alignment horizontal="center" vertical="top" wrapText="1"/>
    </xf>
    <xf numFmtId="1" fontId="11" fillId="10" borderId="1" xfId="0" applyNumberFormat="1" applyFont="1" applyFill="1" applyBorder="1" applyAlignment="1">
      <alignment horizontal="center" wrapText="1"/>
    </xf>
    <xf numFmtId="49" fontId="39" fillId="10" borderId="1" xfId="0" applyNumberFormat="1" applyFont="1" applyFill="1" applyBorder="1" applyAlignment="1">
      <alignment horizontal="left" vertical="top"/>
    </xf>
    <xf numFmtId="49" fontId="39" fillId="10" borderId="2" xfId="0" applyNumberFormat="1" applyFont="1" applyFill="1" applyBorder="1" applyAlignment="1">
      <alignment horizontal="left" vertical="top"/>
    </xf>
    <xf numFmtId="49" fontId="39" fillId="10" borderId="3" xfId="0" applyNumberFormat="1" applyFont="1" applyFill="1" applyBorder="1" applyAlignment="1">
      <alignment horizontal="left" vertical="top"/>
    </xf>
    <xf numFmtId="49" fontId="39" fillId="10" borderId="4" xfId="0" applyNumberFormat="1" applyFont="1" applyFill="1" applyBorder="1" applyAlignment="1">
      <alignment horizontal="left" vertical="top"/>
    </xf>
    <xf numFmtId="49" fontId="39" fillId="29" borderId="2" xfId="0" applyNumberFormat="1" applyFont="1" applyFill="1" applyBorder="1" applyAlignment="1">
      <alignment horizontal="left" vertical="top" wrapText="1"/>
    </xf>
    <xf numFmtId="49" fontId="39" fillId="29" borderId="3" xfId="0" applyNumberFormat="1" applyFont="1" applyFill="1" applyBorder="1" applyAlignment="1">
      <alignment horizontal="left" vertical="top" wrapText="1"/>
    </xf>
    <xf numFmtId="49" fontId="39" fillId="29" borderId="4" xfId="0" applyNumberFormat="1" applyFont="1" applyFill="1" applyBorder="1" applyAlignment="1">
      <alignment horizontal="left" vertical="top" wrapText="1"/>
    </xf>
    <xf numFmtId="4" fontId="39" fillId="10" borderId="2" xfId="0" applyNumberFormat="1" applyFont="1" applyFill="1" applyBorder="1" applyAlignment="1">
      <alignment horizontal="center" vertical="top" wrapText="1"/>
    </xf>
    <xf numFmtId="1" fontId="39" fillId="10" borderId="7" xfId="0" applyNumberFormat="1" applyFont="1" applyFill="1" applyBorder="1" applyAlignment="1">
      <alignment horizontal="center" wrapText="1"/>
    </xf>
    <xf numFmtId="1" fontId="39" fillId="10" borderId="9" xfId="0" applyNumberFormat="1" applyFont="1" applyFill="1" applyBorder="1" applyAlignment="1">
      <alignment horizontal="center" wrapText="1"/>
    </xf>
    <xf numFmtId="1" fontId="39" fillId="10" borderId="13" xfId="0" applyNumberFormat="1" applyFont="1" applyFill="1" applyBorder="1" applyAlignment="1">
      <alignment horizontal="center"/>
    </xf>
    <xf numFmtId="0" fontId="39" fillId="2" borderId="5" xfId="0" applyFont="1" applyFill="1" applyBorder="1" applyAlignment="1">
      <alignment horizontal="left" vertical="top" wrapText="1"/>
    </xf>
    <xf numFmtId="0" fontId="39" fillId="2" borderId="7" xfId="0" applyFont="1" applyFill="1" applyBorder="1" applyAlignment="1">
      <alignment horizontal="left" vertical="top" wrapText="1"/>
    </xf>
    <xf numFmtId="4" fontId="39" fillId="10" borderId="3" xfId="0" applyNumberFormat="1" applyFont="1" applyFill="1" applyBorder="1" applyAlignment="1">
      <alignment horizontal="center" vertical="top" wrapText="1"/>
    </xf>
    <xf numFmtId="4" fontId="39" fillId="10" borderId="4" xfId="0" applyNumberFormat="1" applyFont="1" applyFill="1" applyBorder="1" applyAlignment="1">
      <alignment horizontal="center" vertical="top" wrapText="1"/>
    </xf>
    <xf numFmtId="1" fontId="11" fillId="10" borderId="2" xfId="0" applyNumberFormat="1" applyFont="1" applyFill="1" applyBorder="1" applyAlignment="1">
      <alignment horizontal="center" wrapText="1"/>
    </xf>
    <xf numFmtId="1" fontId="11" fillId="10" borderId="4" xfId="0" applyNumberFormat="1" applyFont="1" applyFill="1" applyBorder="1" applyAlignment="1">
      <alignment horizontal="center" wrapText="1"/>
    </xf>
    <xf numFmtId="1" fontId="39" fillId="10" borderId="2" xfId="0" applyNumberFormat="1" applyFont="1" applyFill="1" applyBorder="1" applyAlignment="1">
      <alignment horizontal="center"/>
    </xf>
    <xf numFmtId="1" fontId="39" fillId="10" borderId="4" xfId="0" applyNumberFormat="1" applyFont="1" applyFill="1" applyBorder="1" applyAlignment="1">
      <alignment horizontal="center"/>
    </xf>
    <xf numFmtId="1" fontId="11" fillId="10" borderId="2" xfId="0" applyNumberFormat="1" applyFont="1" applyFill="1" applyBorder="1" applyAlignment="1">
      <alignment horizontal="center"/>
    </xf>
    <xf numFmtId="1" fontId="11" fillId="10" borderId="3" xfId="0" applyNumberFormat="1" applyFont="1" applyFill="1" applyBorder="1" applyAlignment="1">
      <alignment horizontal="center"/>
    </xf>
    <xf numFmtId="1" fontId="11" fillId="10" borderId="4" xfId="0" applyNumberFormat="1" applyFont="1" applyFill="1" applyBorder="1" applyAlignment="1">
      <alignment horizontal="center"/>
    </xf>
    <xf numFmtId="49" fontId="40" fillId="10" borderId="2" xfId="0" applyNumberFormat="1" applyFont="1" applyFill="1" applyBorder="1" applyAlignment="1">
      <alignment horizontal="left" vertical="top" wrapText="1"/>
    </xf>
    <xf numFmtId="49" fontId="40" fillId="10" borderId="3" xfId="0" applyNumberFormat="1" applyFont="1" applyFill="1" applyBorder="1" applyAlignment="1">
      <alignment horizontal="left" vertical="top" wrapText="1"/>
    </xf>
    <xf numFmtId="49" fontId="40" fillId="10" borderId="4" xfId="0" applyNumberFormat="1" applyFont="1" applyFill="1" applyBorder="1" applyAlignment="1">
      <alignment horizontal="left" vertical="top" wrapText="1"/>
    </xf>
    <xf numFmtId="49" fontId="39" fillId="29" borderId="5" xfId="0" applyNumberFormat="1" applyFont="1" applyFill="1" applyBorder="1" applyAlignment="1">
      <alignment horizontal="left" vertical="top" wrapText="1"/>
    </xf>
    <xf numFmtId="49" fontId="39" fillId="29" borderId="11" xfId="0" applyNumberFormat="1" applyFont="1" applyFill="1" applyBorder="1" applyAlignment="1">
      <alignment horizontal="left" vertical="top" wrapText="1"/>
    </xf>
    <xf numFmtId="49" fontId="39" fillId="29" borderId="6" xfId="0" applyNumberFormat="1" applyFont="1" applyFill="1" applyBorder="1" applyAlignment="1">
      <alignment horizontal="left" vertical="top" wrapText="1"/>
    </xf>
    <xf numFmtId="49" fontId="39" fillId="29" borderId="7" xfId="0" applyNumberFormat="1" applyFont="1" applyFill="1" applyBorder="1" applyAlignment="1">
      <alignment horizontal="left" vertical="top" wrapText="1"/>
    </xf>
    <xf numFmtId="49" fontId="39" fillId="29" borderId="0" xfId="0" applyNumberFormat="1" applyFont="1" applyFill="1" applyBorder="1" applyAlignment="1">
      <alignment horizontal="left" vertical="top" wrapText="1"/>
    </xf>
    <xf numFmtId="49" fontId="39" fillId="29" borderId="8" xfId="0" applyNumberFormat="1" applyFont="1" applyFill="1" applyBorder="1" applyAlignment="1">
      <alignment horizontal="left" vertical="top" wrapText="1"/>
    </xf>
    <xf numFmtId="49" fontId="39" fillId="29" borderId="9" xfId="0" applyNumberFormat="1" applyFont="1" applyFill="1" applyBorder="1" applyAlignment="1">
      <alignment horizontal="left" vertical="top" wrapText="1"/>
    </xf>
    <xf numFmtId="49" fontId="39" fillId="29" borderId="12" xfId="0" applyNumberFormat="1" applyFont="1" applyFill="1" applyBorder="1" applyAlignment="1">
      <alignment horizontal="left" vertical="top" wrapText="1"/>
    </xf>
    <xf numFmtId="49" fontId="39" fillId="29" borderId="10" xfId="0" applyNumberFormat="1" applyFont="1" applyFill="1" applyBorder="1" applyAlignment="1">
      <alignment horizontal="left" vertical="top" wrapText="1"/>
    </xf>
    <xf numFmtId="0" fontId="39" fillId="2" borderId="2" xfId="0" applyFont="1" applyFill="1" applyBorder="1" applyAlignment="1">
      <alignment horizontal="left" vertical="top" wrapText="1"/>
    </xf>
    <xf numFmtId="0" fontId="39" fillId="2" borderId="3" xfId="0" applyFont="1" applyFill="1" applyBorder="1" applyAlignment="1">
      <alignment horizontal="left" vertical="top" wrapText="1"/>
    </xf>
    <xf numFmtId="0" fontId="39" fillId="2" borderId="4" xfId="0" applyFont="1" applyFill="1" applyBorder="1" applyAlignment="1">
      <alignment horizontal="left" vertical="top" wrapText="1"/>
    </xf>
    <xf numFmtId="1" fontId="11" fillId="10" borderId="2" xfId="0" applyNumberFormat="1" applyFont="1" applyFill="1" applyBorder="1" applyAlignment="1">
      <alignment horizontal="center" vertical="center" wrapText="1"/>
    </xf>
    <xf numFmtId="1" fontId="11" fillId="10" borderId="3" xfId="0" applyNumberFormat="1" applyFont="1" applyFill="1" applyBorder="1" applyAlignment="1">
      <alignment horizontal="center" vertical="center" wrapText="1"/>
    </xf>
    <xf numFmtId="1" fontId="11" fillId="10" borderId="4" xfId="0" applyNumberFormat="1" applyFont="1" applyFill="1" applyBorder="1" applyAlignment="1">
      <alignment horizontal="center" vertical="center" wrapText="1"/>
    </xf>
    <xf numFmtId="49" fontId="39" fillId="0" borderId="5" xfId="0" applyNumberFormat="1" applyFont="1" applyFill="1" applyBorder="1" applyAlignment="1">
      <alignment horizontal="left" vertical="top" wrapText="1"/>
    </xf>
    <xf numFmtId="49" fontId="39" fillId="0" borderId="11" xfId="0" applyNumberFormat="1" applyFont="1" applyFill="1" applyBorder="1" applyAlignment="1">
      <alignment horizontal="left" vertical="top" wrapText="1"/>
    </xf>
    <xf numFmtId="49" fontId="39" fillId="0" borderId="6" xfId="0" applyNumberFormat="1" applyFont="1" applyFill="1" applyBorder="1" applyAlignment="1">
      <alignment horizontal="left" vertical="top" wrapText="1"/>
    </xf>
    <xf numFmtId="49" fontId="39" fillId="0" borderId="7" xfId="0" applyNumberFormat="1" applyFont="1" applyFill="1" applyBorder="1" applyAlignment="1">
      <alignment horizontal="left" vertical="top" wrapText="1"/>
    </xf>
    <xf numFmtId="49" fontId="39" fillId="0" borderId="0" xfId="0" applyNumberFormat="1" applyFont="1" applyFill="1" applyBorder="1" applyAlignment="1">
      <alignment horizontal="left" vertical="top" wrapText="1"/>
    </xf>
    <xf numFmtId="49" fontId="39" fillId="0" borderId="8" xfId="0" applyNumberFormat="1" applyFont="1" applyFill="1" applyBorder="1" applyAlignment="1">
      <alignment horizontal="left" vertical="top" wrapText="1"/>
    </xf>
    <xf numFmtId="49" fontId="39" fillId="0" borderId="9" xfId="0" applyNumberFormat="1" applyFont="1" applyFill="1" applyBorder="1" applyAlignment="1">
      <alignment horizontal="left" vertical="top" wrapText="1"/>
    </xf>
    <xf numFmtId="49" fontId="39" fillId="0" borderId="12" xfId="0" applyNumberFormat="1" applyFont="1" applyFill="1" applyBorder="1" applyAlignment="1">
      <alignment horizontal="left" vertical="top" wrapText="1"/>
    </xf>
    <xf numFmtId="49" fontId="39" fillId="0" borderId="10" xfId="0" applyNumberFormat="1" applyFont="1" applyFill="1" applyBorder="1" applyAlignment="1">
      <alignment horizontal="left" vertical="top" wrapText="1"/>
    </xf>
    <xf numFmtId="0" fontId="63" fillId="0" borderId="1" xfId="0" applyFont="1" applyFill="1" applyBorder="1" applyAlignment="1">
      <alignment horizontal="center" vertical="top" wrapText="1"/>
    </xf>
    <xf numFmtId="4" fontId="63" fillId="0" borderId="1" xfId="0" applyNumberFormat="1" applyFont="1" applyFill="1" applyBorder="1" applyAlignment="1">
      <alignment horizontal="center" vertical="top" wrapText="1"/>
    </xf>
    <xf numFmtId="3" fontId="63" fillId="0" borderId="13" xfId="0" applyNumberFormat="1" applyFont="1" applyFill="1" applyBorder="1" applyAlignment="1">
      <alignment horizontal="center" vertical="top" wrapText="1"/>
    </xf>
    <xf numFmtId="3" fontId="63" fillId="0" borderId="2" xfId="0" applyNumberFormat="1" applyFont="1" applyFill="1" applyBorder="1" applyAlignment="1">
      <alignment horizontal="center" vertical="top" wrapText="1"/>
    </xf>
    <xf numFmtId="3" fontId="63" fillId="0" borderId="4" xfId="0" applyNumberFormat="1" applyFont="1" applyFill="1" applyBorder="1" applyAlignment="1">
      <alignment horizontal="center" vertical="top" wrapText="1"/>
    </xf>
    <xf numFmtId="49" fontId="27" fillId="16" borderId="0" xfId="0" applyNumberFormat="1" applyFont="1" applyFill="1" applyAlignment="1">
      <alignment horizontal="center" vertical="center" wrapText="1"/>
    </xf>
    <xf numFmtId="49" fontId="27" fillId="16" borderId="8" xfId="0" applyNumberFormat="1" applyFont="1" applyFill="1" applyBorder="1" applyAlignment="1">
      <alignment horizontal="center" vertical="center" wrapText="1"/>
    </xf>
    <xf numFmtId="0" fontId="63" fillId="0" borderId="2" xfId="0" applyFont="1" applyFill="1" applyBorder="1" applyAlignment="1">
      <alignment horizontal="center" vertical="top" wrapText="1"/>
    </xf>
    <xf numFmtId="0" fontId="63" fillId="0" borderId="4" xfId="0" applyFont="1" applyFill="1" applyBorder="1" applyAlignment="1">
      <alignment horizontal="center" vertical="top" wrapText="1"/>
    </xf>
    <xf numFmtId="0" fontId="4" fillId="0" borderId="0" xfId="0" applyFont="1" applyFill="1" applyAlignment="1">
      <alignment horizontal="left" wrapText="1"/>
    </xf>
    <xf numFmtId="0" fontId="39" fillId="10" borderId="1" xfId="0" applyNumberFormat="1" applyFont="1" applyFill="1" applyBorder="1" applyAlignment="1">
      <alignment horizontal="left" vertical="center" wrapText="1"/>
    </xf>
    <xf numFmtId="0" fontId="39" fillId="0" borderId="5" xfId="0" applyFont="1" applyFill="1" applyBorder="1" applyAlignment="1">
      <alignment horizontal="left" vertical="top" wrapText="1"/>
    </xf>
    <xf numFmtId="0" fontId="39" fillId="0" borderId="11" xfId="0" applyFont="1" applyFill="1" applyBorder="1" applyAlignment="1">
      <alignment horizontal="left" vertical="top" wrapText="1"/>
    </xf>
    <xf numFmtId="0" fontId="39" fillId="0" borderId="6" xfId="0" applyFont="1" applyFill="1" applyBorder="1" applyAlignment="1">
      <alignment horizontal="left" vertical="top" wrapText="1"/>
    </xf>
    <xf numFmtId="0" fontId="39" fillId="0" borderId="7" xfId="0" applyFont="1" applyFill="1" applyBorder="1" applyAlignment="1">
      <alignment horizontal="left" vertical="top" wrapText="1"/>
    </xf>
    <xf numFmtId="0" fontId="39" fillId="0" borderId="0" xfId="0" applyFont="1" applyFill="1" applyBorder="1" applyAlignment="1">
      <alignment horizontal="left" vertical="top" wrapText="1"/>
    </xf>
    <xf numFmtId="0" fontId="39" fillId="0" borderId="8" xfId="0" applyFont="1" applyFill="1" applyBorder="1" applyAlignment="1">
      <alignment horizontal="left" vertical="top" wrapText="1"/>
    </xf>
    <xf numFmtId="0" fontId="39" fillId="0" borderId="9" xfId="0" applyFont="1" applyFill="1" applyBorder="1" applyAlignment="1">
      <alignment horizontal="left" vertical="top" wrapText="1"/>
    </xf>
    <xf numFmtId="0" fontId="39" fillId="0" borderId="12" xfId="0" applyFont="1" applyFill="1" applyBorder="1" applyAlignment="1">
      <alignment horizontal="left" vertical="top" wrapText="1"/>
    </xf>
    <xf numFmtId="0" fontId="39" fillId="0" borderId="10" xfId="0" applyFont="1" applyFill="1" applyBorder="1" applyAlignment="1">
      <alignment horizontal="left" vertical="top" wrapText="1"/>
    </xf>
    <xf numFmtId="4" fontId="39" fillId="10" borderId="13" xfId="0" applyNumberFormat="1" applyFont="1" applyFill="1" applyBorder="1" applyAlignment="1">
      <alignment horizontal="center" vertical="top" wrapText="1"/>
    </xf>
    <xf numFmtId="0" fontId="39" fillId="0" borderId="2" xfId="0" applyFont="1" applyFill="1" applyBorder="1" applyAlignment="1">
      <alignment horizontal="left" vertical="top" wrapText="1"/>
    </xf>
    <xf numFmtId="0" fontId="39" fillId="0" borderId="3" xfId="0" applyFont="1" applyFill="1" applyBorder="1" applyAlignment="1">
      <alignment horizontal="left" vertical="top" wrapText="1"/>
    </xf>
    <xf numFmtId="0" fontId="39" fillId="0" borderId="4" xfId="0" applyFont="1" applyFill="1" applyBorder="1" applyAlignment="1">
      <alignment horizontal="left" vertical="top" wrapText="1"/>
    </xf>
    <xf numFmtId="4" fontId="39" fillId="0" borderId="2" xfId="0" applyNumberFormat="1" applyFont="1" applyFill="1" applyBorder="1" applyAlignment="1">
      <alignment horizontal="center" vertical="top" wrapText="1"/>
    </xf>
    <xf numFmtId="4" fontId="39" fillId="0" borderId="3" xfId="0" applyNumberFormat="1" applyFont="1" applyFill="1" applyBorder="1" applyAlignment="1">
      <alignment horizontal="center" vertical="top" wrapText="1"/>
    </xf>
    <xf numFmtId="4" fontId="39" fillId="0" borderId="4" xfId="0" applyNumberFormat="1" applyFont="1" applyFill="1" applyBorder="1" applyAlignment="1">
      <alignment horizontal="center" vertical="top" wrapText="1"/>
    </xf>
    <xf numFmtId="1" fontId="39" fillId="0" borderId="5" xfId="0" applyNumberFormat="1" applyFont="1" applyFill="1" applyBorder="1" applyAlignment="1">
      <alignment horizontal="center"/>
    </xf>
    <xf numFmtId="1" fontId="39" fillId="0" borderId="7" xfId="0" applyNumberFormat="1" applyFont="1" applyFill="1" applyBorder="1" applyAlignment="1">
      <alignment horizontal="center"/>
    </xf>
    <xf numFmtId="1" fontId="39" fillId="0" borderId="9" xfId="0" applyNumberFormat="1" applyFont="1" applyFill="1" applyBorder="1" applyAlignment="1">
      <alignment horizontal="center"/>
    </xf>
    <xf numFmtId="1" fontId="39" fillId="0" borderId="2" xfId="0" applyNumberFormat="1" applyFont="1" applyFill="1" applyBorder="1" applyAlignment="1">
      <alignment horizontal="center" vertical="top" wrapText="1"/>
    </xf>
    <xf numFmtId="1" fontId="39" fillId="0" borderId="3" xfId="0" applyNumberFormat="1" applyFont="1" applyFill="1" applyBorder="1" applyAlignment="1">
      <alignment horizontal="center" vertical="top" wrapText="1"/>
    </xf>
    <xf numFmtId="0" fontId="40" fillId="0" borderId="2" xfId="0" applyFont="1" applyFill="1" applyBorder="1" applyAlignment="1">
      <alignment horizontal="left" vertical="top" wrapText="1"/>
    </xf>
    <xf numFmtId="0" fontId="40" fillId="0" borderId="3" xfId="0" applyFont="1" applyFill="1" applyBorder="1" applyAlignment="1">
      <alignment horizontal="left" vertical="top" wrapText="1"/>
    </xf>
    <xf numFmtId="0" fontId="40" fillId="0" borderId="4" xfId="0" applyFont="1" applyFill="1" applyBorder="1" applyAlignment="1">
      <alignment horizontal="left" vertical="top" wrapText="1"/>
    </xf>
    <xf numFmtId="0" fontId="39" fillId="0" borderId="1" xfId="0" applyFont="1" applyFill="1" applyBorder="1" applyAlignment="1">
      <alignment horizontal="center" vertical="top" wrapText="1"/>
    </xf>
    <xf numFmtId="4" fontId="39" fillId="0" borderId="1" xfId="0" applyNumberFormat="1" applyFont="1" applyFill="1" applyBorder="1" applyAlignment="1">
      <alignment horizontal="center" vertical="top" wrapText="1"/>
    </xf>
    <xf numFmtId="1" fontId="39" fillId="0" borderId="2" xfId="0" applyNumberFormat="1" applyFont="1" applyFill="1" applyBorder="1" applyAlignment="1">
      <alignment horizontal="left" vertical="top" wrapText="1"/>
    </xf>
    <xf numFmtId="1" fontId="39" fillId="0" borderId="3" xfId="0" applyNumberFormat="1" applyFont="1" applyFill="1" applyBorder="1" applyAlignment="1">
      <alignment horizontal="left" vertical="top" wrapText="1"/>
    </xf>
    <xf numFmtId="1" fontId="39" fillId="0" borderId="4" xfId="0" applyNumberFormat="1" applyFont="1" applyFill="1" applyBorder="1" applyAlignment="1">
      <alignment horizontal="left" vertical="top" wrapText="1"/>
    </xf>
    <xf numFmtId="49" fontId="39" fillId="0" borderId="2" xfId="0" applyNumberFormat="1" applyFont="1" applyFill="1" applyBorder="1" applyAlignment="1">
      <alignment horizontal="left" vertical="top" wrapText="1"/>
    </xf>
    <xf numFmtId="49" fontId="39" fillId="0" borderId="3" xfId="0" applyNumberFormat="1" applyFont="1" applyFill="1" applyBorder="1" applyAlignment="1">
      <alignment horizontal="left" vertical="top" wrapText="1"/>
    </xf>
    <xf numFmtId="49" fontId="39" fillId="0" borderId="4" xfId="0" applyNumberFormat="1" applyFont="1" applyFill="1" applyBorder="1" applyAlignment="1">
      <alignment horizontal="left" vertical="top" wrapText="1"/>
    </xf>
    <xf numFmtId="1" fontId="39" fillId="0" borderId="5" xfId="0" applyNumberFormat="1" applyFont="1" applyFill="1" applyBorder="1" applyAlignment="1">
      <alignment horizontal="left" vertical="top" wrapText="1"/>
    </xf>
    <xf numFmtId="1" fontId="39" fillId="0" borderId="7" xfId="0" applyNumberFormat="1" applyFont="1" applyFill="1" applyBorder="1" applyAlignment="1">
      <alignment horizontal="left" vertical="top" wrapText="1"/>
    </xf>
    <xf numFmtId="1" fontId="39" fillId="0" borderId="9" xfId="0" applyNumberFormat="1" applyFont="1" applyFill="1" applyBorder="1" applyAlignment="1">
      <alignment horizontal="left" vertical="top" wrapText="1"/>
    </xf>
    <xf numFmtId="1" fontId="39" fillId="0" borderId="4" xfId="0" applyNumberFormat="1" applyFont="1" applyFill="1" applyBorder="1" applyAlignment="1">
      <alignment horizontal="center" vertical="top" wrapText="1"/>
    </xf>
    <xf numFmtId="49" fontId="80" fillId="18" borderId="5" xfId="0" applyNumberFormat="1" applyFont="1" applyFill="1" applyBorder="1" applyAlignment="1">
      <alignment horizontal="center" vertical="top" wrapText="1"/>
    </xf>
    <xf numFmtId="49" fontId="80" fillId="18" borderId="11" xfId="0" applyNumberFormat="1" applyFont="1" applyFill="1" applyBorder="1" applyAlignment="1">
      <alignment horizontal="center" vertical="top" wrapText="1"/>
    </xf>
    <xf numFmtId="49" fontId="80" fillId="18" borderId="6" xfId="0" applyNumberFormat="1" applyFont="1" applyFill="1" applyBorder="1" applyAlignment="1">
      <alignment horizontal="center" vertical="top" wrapText="1"/>
    </xf>
    <xf numFmtId="49" fontId="80" fillId="18" borderId="7" xfId="0" applyNumberFormat="1" applyFont="1" applyFill="1" applyBorder="1" applyAlignment="1">
      <alignment horizontal="center" vertical="top" wrapText="1"/>
    </xf>
    <xf numFmtId="49" fontId="80" fillId="18" borderId="0" xfId="0" applyNumberFormat="1" applyFont="1" applyFill="1" applyBorder="1" applyAlignment="1">
      <alignment horizontal="center" vertical="top" wrapText="1"/>
    </xf>
    <xf numFmtId="49" fontId="80" fillId="18" borderId="8" xfId="0" applyNumberFormat="1" applyFont="1" applyFill="1" applyBorder="1" applyAlignment="1">
      <alignment horizontal="center" vertical="top" wrapText="1"/>
    </xf>
    <xf numFmtId="49" fontId="80" fillId="18" borderId="9" xfId="0" applyNumberFormat="1" applyFont="1" applyFill="1" applyBorder="1" applyAlignment="1">
      <alignment horizontal="center" vertical="top" wrapText="1"/>
    </xf>
    <xf numFmtId="49" fontId="80" fillId="18" borderId="12" xfId="0" applyNumberFormat="1" applyFont="1" applyFill="1" applyBorder="1" applyAlignment="1">
      <alignment horizontal="center" vertical="top" wrapText="1"/>
    </xf>
    <xf numFmtId="49" fontId="80" fillId="18" borderId="10" xfId="0" applyNumberFormat="1" applyFont="1" applyFill="1" applyBorder="1" applyAlignment="1">
      <alignment horizontal="center" vertical="top" wrapText="1"/>
    </xf>
    <xf numFmtId="49" fontId="79" fillId="0" borderId="13" xfId="0" applyNumberFormat="1" applyFont="1" applyFill="1" applyBorder="1" applyAlignment="1">
      <alignment horizontal="center" vertical="top" wrapText="1"/>
    </xf>
    <xf numFmtId="49" fontId="79" fillId="0" borderId="14" xfId="0" applyNumberFormat="1" applyFont="1" applyFill="1" applyBorder="1" applyAlignment="1">
      <alignment horizontal="center" vertical="top" wrapText="1"/>
    </xf>
    <xf numFmtId="49" fontId="79" fillId="0" borderId="15" xfId="0" applyNumberFormat="1" applyFont="1" applyFill="1" applyBorder="1" applyAlignment="1">
      <alignment horizontal="center" vertical="top" wrapText="1"/>
    </xf>
    <xf numFmtId="49" fontId="11" fillId="2" borderId="11" xfId="0" applyNumberFormat="1" applyFont="1" applyFill="1" applyBorder="1" applyAlignment="1">
      <alignment horizontal="left" vertical="top" wrapText="1"/>
    </xf>
    <xf numFmtId="49" fontId="11" fillId="2" borderId="6" xfId="0" applyNumberFormat="1" applyFont="1" applyFill="1" applyBorder="1" applyAlignment="1">
      <alignment horizontal="left" vertical="top" wrapText="1"/>
    </xf>
    <xf numFmtId="4" fontId="39" fillId="0" borderId="5" xfId="0" applyNumberFormat="1" applyFont="1" applyFill="1" applyBorder="1" applyAlignment="1">
      <alignment horizontal="center" vertical="top" wrapText="1"/>
    </xf>
    <xf numFmtId="4" fontId="39" fillId="0" borderId="7" xfId="0" applyNumberFormat="1" applyFont="1" applyFill="1" applyBorder="1" applyAlignment="1">
      <alignment horizontal="center" vertical="top" wrapText="1"/>
    </xf>
    <xf numFmtId="4" fontId="39" fillId="0" borderId="9" xfId="0" applyNumberFormat="1" applyFont="1" applyFill="1" applyBorder="1" applyAlignment="1">
      <alignment horizontal="center" vertical="top" wrapText="1"/>
    </xf>
    <xf numFmtId="2" fontId="39" fillId="0" borderId="5" xfId="0" applyNumberFormat="1" applyFont="1" applyFill="1" applyBorder="1" applyAlignment="1">
      <alignment horizontal="left" vertical="top" wrapText="1"/>
    </xf>
    <xf numFmtId="2" fontId="39" fillId="0" borderId="7" xfId="0" applyNumberFormat="1" applyFont="1" applyFill="1" applyBorder="1" applyAlignment="1">
      <alignment horizontal="left" vertical="top" wrapText="1"/>
    </xf>
    <xf numFmtId="2" fontId="39" fillId="0" borderId="9" xfId="0" applyNumberFormat="1" applyFont="1" applyFill="1" applyBorder="1" applyAlignment="1">
      <alignment horizontal="left" vertical="top" wrapText="1"/>
    </xf>
    <xf numFmtId="2" fontId="39" fillId="0" borderId="2" xfId="0" applyNumberFormat="1" applyFont="1" applyFill="1" applyBorder="1" applyAlignment="1">
      <alignment horizontal="center" vertical="top" wrapText="1"/>
    </xf>
    <xf numFmtId="2" fontId="39" fillId="0" borderId="3" xfId="0" applyNumberFormat="1" applyFont="1" applyFill="1" applyBorder="1" applyAlignment="1">
      <alignment horizontal="center" vertical="top" wrapText="1"/>
    </xf>
    <xf numFmtId="2" fontId="39" fillId="0" borderId="4" xfId="0" applyNumberFormat="1" applyFont="1" applyFill="1" applyBorder="1" applyAlignment="1">
      <alignment horizontal="center" vertical="top" wrapText="1"/>
    </xf>
    <xf numFmtId="49" fontId="39" fillId="0" borderId="2" xfId="0" applyNumberFormat="1" applyFont="1" applyFill="1" applyBorder="1" applyAlignment="1">
      <alignment horizontal="center" vertical="top" wrapText="1"/>
    </xf>
    <xf numFmtId="49" fontId="39" fillId="0" borderId="3" xfId="0" applyNumberFormat="1" applyFont="1" applyFill="1" applyBorder="1" applyAlignment="1">
      <alignment horizontal="center" vertical="top" wrapText="1"/>
    </xf>
    <xf numFmtId="49" fontId="39" fillId="0" borderId="4" xfId="0" applyNumberFormat="1" applyFont="1" applyFill="1" applyBorder="1" applyAlignment="1">
      <alignment horizontal="center" vertical="top" wrapText="1"/>
    </xf>
    <xf numFmtId="4" fontId="39" fillId="0" borderId="5" xfId="0" applyNumberFormat="1" applyFont="1" applyFill="1" applyBorder="1" applyAlignment="1">
      <alignment horizontal="left" vertical="top" wrapText="1"/>
    </xf>
    <xf numFmtId="4" fontId="39" fillId="0" borderId="7" xfId="0" applyNumberFormat="1" applyFont="1" applyFill="1" applyBorder="1" applyAlignment="1">
      <alignment horizontal="left" vertical="top" wrapText="1"/>
    </xf>
    <xf numFmtId="4" fontId="39" fillId="0" borderId="9" xfId="0" applyNumberFormat="1" applyFont="1" applyFill="1" applyBorder="1" applyAlignment="1">
      <alignment horizontal="left" vertical="top" wrapText="1"/>
    </xf>
    <xf numFmtId="0" fontId="39" fillId="2" borderId="2" xfId="0" applyFont="1" applyFill="1" applyBorder="1" applyAlignment="1">
      <alignment horizontal="center" vertical="top" wrapText="1"/>
    </xf>
    <xf numFmtId="0" fontId="39" fillId="2" borderId="3" xfId="0" applyFont="1" applyFill="1" applyBorder="1" applyAlignment="1">
      <alignment horizontal="center" vertical="top" wrapText="1"/>
    </xf>
    <xf numFmtId="0" fontId="39" fillId="2" borderId="4" xfId="0" applyFont="1" applyFill="1" applyBorder="1" applyAlignment="1">
      <alignment horizontal="center" vertical="top" wrapText="1"/>
    </xf>
    <xf numFmtId="0" fontId="39" fillId="0" borderId="2" xfId="0" applyFont="1" applyFill="1" applyBorder="1" applyAlignment="1">
      <alignment horizontal="center" vertical="top" wrapText="1"/>
    </xf>
    <xf numFmtId="0" fontId="39" fillId="0" borderId="3" xfId="0" applyFont="1" applyFill="1" applyBorder="1" applyAlignment="1">
      <alignment horizontal="center" vertical="top" wrapText="1"/>
    </xf>
    <xf numFmtId="0" fontId="39" fillId="0" borderId="4" xfId="0" applyFont="1" applyFill="1" applyBorder="1" applyAlignment="1">
      <alignment horizontal="center" vertical="top" wrapText="1"/>
    </xf>
    <xf numFmtId="2" fontId="39" fillId="0" borderId="2" xfId="0" applyNumberFormat="1" applyFont="1" applyFill="1" applyBorder="1" applyAlignment="1">
      <alignment horizontal="left" vertical="top" wrapText="1"/>
    </xf>
    <xf numFmtId="2" fontId="39" fillId="0" borderId="3" xfId="0" applyNumberFormat="1" applyFont="1" applyFill="1" applyBorder="1" applyAlignment="1">
      <alignment horizontal="left" vertical="top" wrapText="1"/>
    </xf>
    <xf numFmtId="2" fontId="39" fillId="0" borderId="4" xfId="0" applyNumberFormat="1" applyFont="1" applyFill="1" applyBorder="1" applyAlignment="1">
      <alignment horizontal="left" vertical="top" wrapText="1"/>
    </xf>
    <xf numFmtId="0" fontId="40" fillId="0" borderId="1" xfId="0" applyFont="1" applyFill="1" applyBorder="1" applyAlignment="1">
      <alignment horizontal="left" vertical="top" wrapText="1"/>
    </xf>
    <xf numFmtId="0" fontId="39" fillId="0" borderId="1" xfId="0" applyFont="1" applyFill="1" applyBorder="1" applyAlignment="1">
      <alignment horizontal="left" vertical="top" wrapText="1"/>
    </xf>
    <xf numFmtId="2" fontId="39" fillId="0" borderId="13" xfId="0" applyNumberFormat="1" applyFont="1" applyFill="1" applyBorder="1" applyAlignment="1">
      <alignment horizontal="left" vertical="top" wrapText="1"/>
    </xf>
    <xf numFmtId="49" fontId="39" fillId="0" borderId="1" xfId="0" applyNumberFormat="1" applyFont="1" applyFill="1" applyBorder="1" applyAlignment="1">
      <alignment horizontal="left" vertical="top"/>
    </xf>
    <xf numFmtId="49" fontId="39" fillId="2" borderId="5" xfId="0" applyNumberFormat="1" applyFont="1" applyFill="1" applyBorder="1" applyAlignment="1">
      <alignment horizontal="left" vertical="top" wrapText="1"/>
    </xf>
    <xf numFmtId="49" fontId="39" fillId="2" borderId="11" xfId="0" applyNumberFormat="1" applyFont="1" applyFill="1" applyBorder="1" applyAlignment="1">
      <alignment horizontal="left" vertical="top" wrapText="1"/>
    </xf>
    <xf numFmtId="49" fontId="39" fillId="2" borderId="6" xfId="0" applyNumberFormat="1" applyFont="1" applyFill="1" applyBorder="1" applyAlignment="1">
      <alignment horizontal="left" vertical="top" wrapText="1"/>
    </xf>
    <xf numFmtId="49" fontId="39" fillId="2" borderId="7" xfId="0" applyNumberFormat="1" applyFont="1" applyFill="1" applyBorder="1" applyAlignment="1">
      <alignment horizontal="left" vertical="top" wrapText="1"/>
    </xf>
    <xf numFmtId="49" fontId="39" fillId="2" borderId="0" xfId="0" applyNumberFormat="1" applyFont="1" applyFill="1" applyBorder="1" applyAlignment="1">
      <alignment horizontal="left" vertical="top" wrapText="1"/>
    </xf>
    <xf numFmtId="49" fontId="39" fillId="2" borderId="8" xfId="0" applyNumberFormat="1" applyFont="1" applyFill="1" applyBorder="1" applyAlignment="1">
      <alignment horizontal="left" vertical="top" wrapText="1"/>
    </xf>
    <xf numFmtId="49" fontId="40" fillId="0" borderId="1" xfId="0" applyNumberFormat="1" applyFont="1" applyFill="1" applyBorder="1" applyAlignment="1">
      <alignment horizontal="left" vertical="top" wrapText="1"/>
    </xf>
    <xf numFmtId="2" fontId="39" fillId="0" borderId="5" xfId="0" applyNumberFormat="1" applyFont="1" applyFill="1" applyBorder="1" applyAlignment="1">
      <alignment horizontal="center" vertical="top" wrapText="1"/>
    </xf>
    <xf numFmtId="2" fontId="39" fillId="0" borderId="7" xfId="0" applyNumberFormat="1" applyFont="1" applyFill="1" applyBorder="1" applyAlignment="1">
      <alignment horizontal="center" vertical="top" wrapText="1"/>
    </xf>
    <xf numFmtId="2" fontId="39" fillId="0" borderId="9" xfId="0" applyNumberFormat="1" applyFont="1" applyFill="1" applyBorder="1" applyAlignment="1">
      <alignment horizontal="center" vertical="top" wrapText="1"/>
    </xf>
    <xf numFmtId="0" fontId="40" fillId="0" borderId="5" xfId="0" applyFont="1" applyFill="1" applyBorder="1" applyAlignment="1">
      <alignment horizontal="left" vertical="top" wrapText="1"/>
    </xf>
    <xf numFmtId="0" fontId="40" fillId="0" borderId="7" xfId="0" applyFont="1" applyFill="1" applyBorder="1" applyAlignment="1">
      <alignment horizontal="left" vertical="top" wrapText="1"/>
    </xf>
    <xf numFmtId="4" fontId="40" fillId="0" borderId="1" xfId="0" applyNumberFormat="1" applyFont="1" applyFill="1" applyBorder="1" applyAlignment="1">
      <alignment horizontal="center" vertical="top" wrapText="1"/>
    </xf>
    <xf numFmtId="0" fontId="40" fillId="0" borderId="1" xfId="0" applyFont="1" applyFill="1" applyBorder="1" applyAlignment="1">
      <alignment horizontal="center" vertical="top" wrapText="1"/>
    </xf>
    <xf numFmtId="0" fontId="39" fillId="0" borderId="5" xfId="0" applyFont="1" applyFill="1" applyBorder="1" applyAlignment="1">
      <alignment horizontal="center" vertical="top" wrapText="1"/>
    </xf>
    <xf numFmtId="0" fontId="39" fillId="0" borderId="7" xfId="0" applyFont="1" applyFill="1" applyBorder="1" applyAlignment="1">
      <alignment horizontal="center" vertical="top" wrapText="1"/>
    </xf>
    <xf numFmtId="0" fontId="39" fillId="0" borderId="9" xfId="0" applyFont="1" applyFill="1" applyBorder="1" applyAlignment="1">
      <alignment horizontal="center" vertical="top" wrapText="1"/>
    </xf>
    <xf numFmtId="4" fontId="39" fillId="0" borderId="1" xfId="0" applyNumberFormat="1" applyFont="1" applyFill="1" applyBorder="1" applyAlignment="1">
      <alignment horizontal="left" vertical="top" wrapText="1"/>
    </xf>
    <xf numFmtId="0" fontId="11" fillId="0" borderId="1" xfId="0" applyNumberFormat="1" applyFont="1" applyFill="1" applyBorder="1" applyAlignment="1">
      <alignment horizontal="left" vertical="top" wrapText="1"/>
    </xf>
    <xf numFmtId="0" fontId="11" fillId="2" borderId="1" xfId="0" applyFont="1" applyFill="1" applyBorder="1" applyAlignment="1">
      <alignment horizontal="left" vertical="top" wrapText="1"/>
    </xf>
    <xf numFmtId="4" fontId="12" fillId="0" borderId="2" xfId="0" applyNumberFormat="1" applyFont="1" applyFill="1" applyBorder="1" applyAlignment="1">
      <alignment horizontal="left"/>
    </xf>
    <xf numFmtId="4" fontId="12" fillId="0" borderId="3" xfId="0" applyNumberFormat="1" applyFont="1" applyFill="1" applyBorder="1" applyAlignment="1">
      <alignment horizontal="left"/>
    </xf>
    <xf numFmtId="4" fontId="12" fillId="0" borderId="4" xfId="0" applyNumberFormat="1" applyFont="1" applyFill="1" applyBorder="1" applyAlignment="1">
      <alignment horizontal="left"/>
    </xf>
    <xf numFmtId="2" fontId="39" fillId="2" borderId="2" xfId="0" applyNumberFormat="1" applyFont="1" applyFill="1" applyBorder="1" applyAlignment="1">
      <alignment horizontal="left" vertical="top" wrapText="1"/>
    </xf>
    <xf numFmtId="2" fontId="39" fillId="2" borderId="3" xfId="0" applyNumberFormat="1" applyFont="1" applyFill="1" applyBorder="1" applyAlignment="1">
      <alignment horizontal="left" vertical="top" wrapText="1"/>
    </xf>
    <xf numFmtId="2" fontId="39" fillId="2" borderId="4" xfId="0" applyNumberFormat="1" applyFont="1" applyFill="1" applyBorder="1" applyAlignment="1">
      <alignment horizontal="left" vertical="top" wrapText="1"/>
    </xf>
    <xf numFmtId="49" fontId="40" fillId="0" borderId="5" xfId="0" applyNumberFormat="1" applyFont="1" applyFill="1" applyBorder="1" applyAlignment="1">
      <alignment horizontal="left" vertical="top" wrapText="1"/>
    </xf>
    <xf numFmtId="49" fontId="40" fillId="0" borderId="11" xfId="0" applyNumberFormat="1" applyFont="1" applyFill="1" applyBorder="1" applyAlignment="1">
      <alignment horizontal="left" vertical="top" wrapText="1"/>
    </xf>
    <xf numFmtId="49" fontId="40" fillId="0" borderId="6" xfId="0" applyNumberFormat="1" applyFont="1" applyFill="1" applyBorder="1" applyAlignment="1">
      <alignment horizontal="left" vertical="top" wrapText="1"/>
    </xf>
    <xf numFmtId="49" fontId="40" fillId="0" borderId="7" xfId="0" applyNumberFormat="1" applyFont="1" applyFill="1" applyBorder="1" applyAlignment="1">
      <alignment horizontal="left" vertical="top" wrapText="1"/>
    </xf>
    <xf numFmtId="49" fontId="40" fillId="0" borderId="0" xfId="0" applyNumberFormat="1" applyFont="1" applyFill="1" applyBorder="1" applyAlignment="1">
      <alignment horizontal="left" vertical="top" wrapText="1"/>
    </xf>
    <xf numFmtId="49" fontId="40" fillId="0" borderId="8" xfId="0" applyNumberFormat="1" applyFont="1" applyFill="1" applyBorder="1" applyAlignment="1">
      <alignment horizontal="left" vertical="top" wrapText="1"/>
    </xf>
    <xf numFmtId="49" fontId="39" fillId="2" borderId="1" xfId="0" applyNumberFormat="1" applyFont="1" applyFill="1" applyBorder="1" applyAlignment="1">
      <alignment horizontal="left" vertical="top" wrapText="1"/>
    </xf>
    <xf numFmtId="49" fontId="46" fillId="2" borderId="1" xfId="0" applyNumberFormat="1" applyFont="1" applyFill="1" applyBorder="1" applyAlignment="1">
      <alignment horizontal="left" vertical="top" wrapText="1"/>
    </xf>
    <xf numFmtId="0" fontId="40" fillId="2" borderId="1" xfId="0" applyFont="1" applyFill="1" applyBorder="1" applyAlignment="1">
      <alignment horizontal="left" vertical="top" wrapText="1"/>
    </xf>
    <xf numFmtId="4" fontId="40" fillId="2" borderId="1" xfId="0" applyNumberFormat="1" applyFont="1" applyFill="1" applyBorder="1" applyAlignment="1">
      <alignment horizontal="left" vertical="top" wrapText="1"/>
    </xf>
    <xf numFmtId="2" fontId="46" fillId="2" borderId="5" xfId="0" applyNumberFormat="1" applyFont="1" applyFill="1" applyBorder="1" applyAlignment="1">
      <alignment horizontal="center" vertical="top" wrapText="1"/>
    </xf>
    <xf numFmtId="2" fontId="46" fillId="2" borderId="7" xfId="0" applyNumberFormat="1" applyFont="1" applyFill="1" applyBorder="1" applyAlignment="1">
      <alignment horizontal="center" vertical="top" wrapText="1"/>
    </xf>
    <xf numFmtId="2" fontId="46" fillId="2" borderId="9" xfId="0" applyNumberFormat="1" applyFont="1" applyFill="1" applyBorder="1" applyAlignment="1">
      <alignment horizontal="center" vertical="top" wrapText="1"/>
    </xf>
    <xf numFmtId="2" fontId="46" fillId="0" borderId="5" xfId="0" applyNumberFormat="1" applyFont="1" applyFill="1" applyBorder="1" applyAlignment="1">
      <alignment horizontal="left" vertical="top" wrapText="1"/>
    </xf>
    <xf numFmtId="2" fontId="46" fillId="0" borderId="7" xfId="0" applyNumberFormat="1" applyFont="1" applyFill="1" applyBorder="1" applyAlignment="1">
      <alignment horizontal="left" vertical="top" wrapText="1"/>
    </xf>
    <xf numFmtId="2" fontId="46" fillId="0" borderId="9" xfId="0" applyNumberFormat="1" applyFont="1" applyFill="1" applyBorder="1" applyAlignment="1">
      <alignment horizontal="left" vertical="top" wrapText="1"/>
    </xf>
    <xf numFmtId="49" fontId="46" fillId="0" borderId="2" xfId="0" applyNumberFormat="1" applyFont="1" applyFill="1" applyBorder="1" applyAlignment="1">
      <alignment horizontal="left" vertical="top" wrapText="1"/>
    </xf>
    <xf numFmtId="49" fontId="46" fillId="0" borderId="3" xfId="0" applyNumberFormat="1" applyFont="1" applyFill="1" applyBorder="1" applyAlignment="1">
      <alignment horizontal="left" vertical="top" wrapText="1"/>
    </xf>
    <xf numFmtId="49" fontId="46" fillId="0" borderId="4" xfId="0" applyNumberFormat="1" applyFont="1" applyFill="1" applyBorder="1" applyAlignment="1">
      <alignment horizontal="left" vertical="top" wrapText="1"/>
    </xf>
    <xf numFmtId="49" fontId="46" fillId="0" borderId="5" xfId="0" applyNumberFormat="1" applyFont="1" applyFill="1" applyBorder="1" applyAlignment="1">
      <alignment horizontal="left" vertical="top" wrapText="1"/>
    </xf>
    <xf numFmtId="49" fontId="46" fillId="0" borderId="11" xfId="0" applyNumberFormat="1" applyFont="1" applyFill="1" applyBorder="1" applyAlignment="1">
      <alignment horizontal="left" vertical="top" wrapText="1"/>
    </xf>
    <xf numFmtId="49" fontId="46" fillId="0" borderId="6" xfId="0" applyNumberFormat="1" applyFont="1" applyFill="1" applyBorder="1" applyAlignment="1">
      <alignment horizontal="left" vertical="top" wrapText="1"/>
    </xf>
    <xf numFmtId="49" fontId="46" fillId="0" borderId="7" xfId="0" applyNumberFormat="1" applyFont="1" applyFill="1" applyBorder="1" applyAlignment="1">
      <alignment horizontal="left" vertical="top" wrapText="1"/>
    </xf>
    <xf numFmtId="49" fontId="46" fillId="0" borderId="0" xfId="0" applyNumberFormat="1" applyFont="1" applyFill="1" applyBorder="1" applyAlignment="1">
      <alignment horizontal="left" vertical="top" wrapText="1"/>
    </xf>
    <xf numFmtId="49" fontId="46" fillId="0" borderId="8" xfId="0" applyNumberFormat="1" applyFont="1" applyFill="1" applyBorder="1" applyAlignment="1">
      <alignment horizontal="left" vertical="top" wrapText="1"/>
    </xf>
    <xf numFmtId="49" fontId="46" fillId="0" borderId="1" xfId="0" applyNumberFormat="1" applyFont="1" applyFill="1" applyBorder="1" applyAlignment="1">
      <alignment horizontal="left" vertical="top" wrapText="1"/>
    </xf>
    <xf numFmtId="0" fontId="46" fillId="0" borderId="1" xfId="0" applyFont="1" applyFill="1" applyBorder="1" applyAlignment="1">
      <alignment horizontal="left" vertical="top" wrapText="1"/>
    </xf>
    <xf numFmtId="4" fontId="46" fillId="0" borderId="1" xfId="0" applyNumberFormat="1" applyFont="1" applyFill="1" applyBorder="1" applyAlignment="1">
      <alignment horizontal="center" vertical="top" wrapText="1"/>
    </xf>
    <xf numFmtId="49" fontId="8" fillId="0" borderId="13" xfId="0" applyNumberFormat="1" applyFont="1" applyFill="1" applyBorder="1" applyAlignment="1">
      <alignment horizontal="center" vertical="center" wrapText="1"/>
    </xf>
    <xf numFmtId="49" fontId="8" fillId="0" borderId="14" xfId="0" applyNumberFormat="1" applyFont="1" applyFill="1" applyBorder="1" applyAlignment="1">
      <alignment horizontal="center" vertical="center" wrapText="1"/>
    </xf>
    <xf numFmtId="49" fontId="8" fillId="0" borderId="15" xfId="0" applyNumberFormat="1" applyFont="1" applyFill="1" applyBorder="1" applyAlignment="1">
      <alignment horizontal="center" vertical="center" wrapText="1"/>
    </xf>
    <xf numFmtId="49" fontId="8" fillId="0" borderId="1" xfId="0" applyNumberFormat="1" applyFont="1" applyFill="1" applyBorder="1" applyAlignment="1">
      <alignment horizontal="left" vertical="center" wrapText="1"/>
    </xf>
    <xf numFmtId="0" fontId="11" fillId="0" borderId="0" xfId="0" applyFont="1" applyFill="1" applyBorder="1" applyAlignment="1">
      <alignment horizontal="left" wrapText="1"/>
    </xf>
    <xf numFmtId="0" fontId="11" fillId="0" borderId="12" xfId="0" applyFont="1" applyFill="1" applyBorder="1" applyAlignment="1">
      <alignment horizontal="left" wrapText="1"/>
    </xf>
    <xf numFmtId="0" fontId="39" fillId="0" borderId="1" xfId="0" applyNumberFormat="1" applyFont="1" applyFill="1" applyBorder="1" applyAlignment="1">
      <alignment horizontal="left" vertical="top" wrapText="1"/>
    </xf>
    <xf numFmtId="0" fontId="8" fillId="0" borderId="5"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8" fillId="0" borderId="9" xfId="0" applyFont="1" applyFill="1" applyBorder="1" applyAlignment="1">
      <alignment horizontal="center" vertical="center" wrapText="1"/>
    </xf>
    <xf numFmtId="0" fontId="8" fillId="0" borderId="12" xfId="0" applyFont="1" applyFill="1" applyBorder="1" applyAlignment="1">
      <alignment horizontal="center" vertical="center" wrapText="1"/>
    </xf>
    <xf numFmtId="0" fontId="8" fillId="0" borderId="10" xfId="0" applyFont="1" applyFill="1" applyBorder="1" applyAlignment="1">
      <alignment horizontal="center" vertical="center" wrapText="1"/>
    </xf>
    <xf numFmtId="4" fontId="8" fillId="0" borderId="13" xfId="0" applyNumberFormat="1" applyFont="1" applyFill="1" applyBorder="1" applyAlignment="1">
      <alignment horizontal="center" vertical="center" wrapText="1"/>
    </xf>
    <xf numFmtId="49" fontId="11" fillId="2" borderId="0" xfId="0" applyNumberFormat="1" applyFont="1" applyFill="1" applyBorder="1" applyAlignment="1">
      <alignment horizontal="center" vertical="top" wrapText="1"/>
    </xf>
    <xf numFmtId="49" fontId="11" fillId="2" borderId="8" xfId="0" applyNumberFormat="1" applyFont="1" applyFill="1" applyBorder="1" applyAlignment="1">
      <alignment horizontal="center" vertical="top" wrapText="1"/>
    </xf>
    <xf numFmtId="0" fontId="27" fillId="6" borderId="5" xfId="0" applyFont="1" applyFill="1" applyBorder="1" applyAlignment="1">
      <alignment horizontal="center" vertical="center" wrapText="1"/>
    </xf>
    <xf numFmtId="0" fontId="27" fillId="6" borderId="11" xfId="0" applyFont="1" applyFill="1" applyBorder="1" applyAlignment="1">
      <alignment horizontal="center" vertical="center" wrapText="1"/>
    </xf>
    <xf numFmtId="0" fontId="27" fillId="6" borderId="6" xfId="0" applyFont="1" applyFill="1" applyBorder="1" applyAlignment="1">
      <alignment horizontal="center" vertical="center" wrapText="1"/>
    </xf>
    <xf numFmtId="4" fontId="8" fillId="0" borderId="2" xfId="0" applyNumberFormat="1" applyFont="1" applyFill="1" applyBorder="1" applyAlignment="1">
      <alignment horizontal="center" vertical="center" wrapText="1"/>
    </xf>
    <xf numFmtId="4" fontId="8" fillId="0" borderId="3" xfId="0" applyNumberFormat="1" applyFont="1" applyFill="1" applyBorder="1" applyAlignment="1">
      <alignment horizontal="center" vertical="center" wrapText="1"/>
    </xf>
    <xf numFmtId="4" fontId="8" fillId="0" borderId="4" xfId="0" applyNumberFormat="1" applyFont="1" applyFill="1" applyBorder="1" applyAlignment="1">
      <alignment horizontal="center" vertical="center" wrapText="1"/>
    </xf>
    <xf numFmtId="49" fontId="8" fillId="0" borderId="5" xfId="0" applyNumberFormat="1" applyFont="1" applyFill="1" applyBorder="1" applyAlignment="1">
      <alignment horizontal="center" vertical="center" wrapText="1"/>
    </xf>
    <xf numFmtId="49" fontId="8" fillId="0" borderId="11" xfId="0" applyNumberFormat="1" applyFont="1" applyFill="1" applyBorder="1" applyAlignment="1">
      <alignment horizontal="center" vertical="center" wrapText="1"/>
    </xf>
    <xf numFmtId="49" fontId="8" fillId="0" borderId="6" xfId="0" applyNumberFormat="1" applyFont="1" applyFill="1" applyBorder="1" applyAlignment="1">
      <alignment horizontal="center" vertical="center" wrapText="1"/>
    </xf>
    <xf numFmtId="49" fontId="8" fillId="0" borderId="7" xfId="0" applyNumberFormat="1" applyFont="1" applyFill="1" applyBorder="1" applyAlignment="1">
      <alignment horizontal="center" vertical="center" wrapText="1"/>
    </xf>
    <xf numFmtId="49" fontId="8" fillId="0" borderId="0" xfId="0" applyNumberFormat="1" applyFont="1" applyFill="1" applyBorder="1" applyAlignment="1">
      <alignment horizontal="center" vertical="center" wrapText="1"/>
    </xf>
    <xf numFmtId="49" fontId="8" fillId="0" borderId="8" xfId="0" applyNumberFormat="1" applyFont="1" applyFill="1" applyBorder="1" applyAlignment="1">
      <alignment horizontal="center" vertical="center" wrapText="1"/>
    </xf>
    <xf numFmtId="49" fontId="8" fillId="0" borderId="9" xfId="0" applyNumberFormat="1" applyFont="1" applyFill="1" applyBorder="1" applyAlignment="1">
      <alignment horizontal="center" vertical="center" wrapText="1"/>
    </xf>
    <xf numFmtId="49" fontId="8" fillId="0" borderId="12" xfId="0" applyNumberFormat="1" applyFont="1" applyFill="1" applyBorder="1" applyAlignment="1">
      <alignment horizontal="center" vertical="center" wrapText="1"/>
    </xf>
    <xf numFmtId="49" fontId="8" fillId="0" borderId="10" xfId="0" applyNumberFormat="1" applyFont="1" applyFill="1" applyBorder="1" applyAlignment="1">
      <alignment horizontal="center" vertical="center" wrapText="1"/>
    </xf>
    <xf numFmtId="4" fontId="27" fillId="0" borderId="13" xfId="0" applyNumberFormat="1" applyFont="1" applyFill="1" applyBorder="1" applyAlignment="1">
      <alignment horizontal="left" vertical="top" wrapText="1"/>
    </xf>
    <xf numFmtId="0" fontId="39" fillId="6" borderId="5" xfId="0" applyFont="1" applyFill="1" applyBorder="1" applyAlignment="1">
      <alignment horizontal="left" vertical="top" wrapText="1"/>
    </xf>
    <xf numFmtId="0" fontId="39" fillId="6" borderId="11" xfId="0" applyFont="1" applyFill="1" applyBorder="1" applyAlignment="1">
      <alignment horizontal="left" vertical="top" wrapText="1"/>
    </xf>
    <xf numFmtId="0" fontId="39" fillId="6" borderId="6" xfId="0" applyFont="1" applyFill="1" applyBorder="1" applyAlignment="1">
      <alignment horizontal="left" vertical="top" wrapText="1"/>
    </xf>
    <xf numFmtId="0" fontId="39" fillId="6" borderId="7" xfId="0" applyFont="1" applyFill="1" applyBorder="1" applyAlignment="1">
      <alignment horizontal="left" vertical="top" wrapText="1"/>
    </xf>
    <xf numFmtId="0" fontId="39" fillId="6" borderId="0" xfId="0" applyFont="1" applyFill="1" applyBorder="1" applyAlignment="1">
      <alignment horizontal="left" vertical="top" wrapText="1"/>
    </xf>
    <xf numFmtId="0" fontId="39" fillId="6" borderId="8" xfId="0" applyFont="1" applyFill="1" applyBorder="1" applyAlignment="1">
      <alignment horizontal="left" vertical="top" wrapText="1"/>
    </xf>
    <xf numFmtId="0" fontId="39" fillId="6" borderId="9" xfId="0" applyFont="1" applyFill="1" applyBorder="1" applyAlignment="1">
      <alignment horizontal="left" vertical="top" wrapText="1"/>
    </xf>
    <xf numFmtId="0" fontId="39" fillId="6" borderId="12" xfId="0" applyFont="1" applyFill="1" applyBorder="1" applyAlignment="1">
      <alignment horizontal="left" vertical="top" wrapText="1"/>
    </xf>
    <xf numFmtId="0" fontId="39" fillId="6" borderId="10" xfId="0" applyFont="1" applyFill="1" applyBorder="1" applyAlignment="1">
      <alignment horizontal="left" vertical="top" wrapText="1"/>
    </xf>
    <xf numFmtId="4" fontId="42" fillId="6" borderId="1" xfId="0" applyNumberFormat="1" applyFont="1" applyFill="1" applyBorder="1" applyAlignment="1">
      <alignment horizontal="left" vertical="top" wrapText="1"/>
    </xf>
    <xf numFmtId="0" fontId="57" fillId="6" borderId="0" xfId="0" applyFont="1" applyFill="1" applyAlignment="1">
      <alignment horizontal="center" vertical="center" wrapText="1"/>
    </xf>
    <xf numFmtId="0" fontId="57" fillId="6" borderId="8" xfId="0" applyFont="1" applyFill="1" applyBorder="1" applyAlignment="1">
      <alignment horizontal="center" vertical="center" wrapText="1"/>
    </xf>
    <xf numFmtId="3" fontId="84" fillId="0" borderId="2" xfId="0" applyNumberFormat="1" applyFont="1" applyFill="1" applyBorder="1" applyAlignment="1">
      <alignment horizontal="center" vertical="top" wrapText="1"/>
    </xf>
    <xf numFmtId="3" fontId="84" fillId="0" borderId="4" xfId="0" applyNumberFormat="1" applyFont="1" applyFill="1" applyBorder="1" applyAlignment="1">
      <alignment horizontal="center" vertical="top" wrapText="1"/>
    </xf>
    <xf numFmtId="49" fontId="66" fillId="0" borderId="1" xfId="0" applyNumberFormat="1" applyFont="1" applyFill="1" applyBorder="1" applyAlignment="1">
      <alignment vertical="top" wrapText="1"/>
    </xf>
    <xf numFmtId="0" fontId="66" fillId="0" borderId="1" xfId="0" applyFont="1" applyFill="1" applyBorder="1" applyAlignment="1">
      <alignment vertical="top" wrapText="1"/>
    </xf>
    <xf numFmtId="4" fontId="66" fillId="0" borderId="1" xfId="0" applyNumberFormat="1" applyFont="1" applyFill="1" applyBorder="1" applyAlignment="1">
      <alignment vertical="top" wrapText="1"/>
    </xf>
    <xf numFmtId="4" fontId="66" fillId="0" borderId="2" xfId="0" applyNumberFormat="1" applyFont="1" applyFill="1" applyBorder="1" applyAlignment="1">
      <alignment horizontal="center" vertical="top" wrapText="1"/>
    </xf>
    <xf numFmtId="4" fontId="66" fillId="0" borderId="3" xfId="0" applyNumberFormat="1" applyFont="1" applyFill="1" applyBorder="1" applyAlignment="1">
      <alignment horizontal="center" vertical="top" wrapText="1"/>
    </xf>
    <xf numFmtId="4" fontId="66" fillId="0" borderId="4" xfId="0" applyNumberFormat="1" applyFont="1" applyFill="1" applyBorder="1" applyAlignment="1">
      <alignment horizontal="center" vertical="top" wrapText="1"/>
    </xf>
    <xf numFmtId="0" fontId="84" fillId="0" borderId="2" xfId="0" applyFont="1" applyFill="1" applyBorder="1" applyAlignment="1">
      <alignment horizontal="center" vertical="top" wrapText="1"/>
    </xf>
    <xf numFmtId="0" fontId="84" fillId="0" borderId="4" xfId="0" applyFont="1" applyFill="1" applyBorder="1" applyAlignment="1">
      <alignment horizontal="center" vertical="top" wrapText="1"/>
    </xf>
    <xf numFmtId="0" fontId="84" fillId="0" borderId="1" xfId="0" applyFont="1" applyFill="1" applyBorder="1" applyAlignment="1">
      <alignment horizontal="center" vertical="top" wrapText="1"/>
    </xf>
    <xf numFmtId="4" fontId="84" fillId="0" borderId="1" xfId="0" applyNumberFormat="1" applyFont="1" applyFill="1" applyBorder="1" applyAlignment="1">
      <alignment horizontal="center" vertical="top" wrapText="1"/>
    </xf>
    <xf numFmtId="3" fontId="84" fillId="0" borderId="13" xfId="0" applyNumberFormat="1" applyFont="1" applyFill="1" applyBorder="1" applyAlignment="1">
      <alignment horizontal="center" vertical="top" wrapText="1"/>
    </xf>
    <xf numFmtId="0" fontId="71" fillId="0" borderId="2" xfId="0" applyFont="1" applyFill="1" applyBorder="1" applyAlignment="1">
      <alignment horizontal="center"/>
    </xf>
    <xf numFmtId="0" fontId="71" fillId="0" borderId="3" xfId="0" applyFont="1" applyFill="1" applyBorder="1" applyAlignment="1">
      <alignment horizontal="center"/>
    </xf>
    <xf numFmtId="0" fontId="71" fillId="0" borderId="4" xfId="0" applyFont="1" applyFill="1" applyBorder="1" applyAlignment="1">
      <alignment horizontal="center"/>
    </xf>
    <xf numFmtId="4" fontId="66" fillId="0" borderId="1" xfId="0" applyNumberFormat="1" applyFont="1" applyFill="1" applyBorder="1" applyAlignment="1">
      <alignment horizontal="left" vertical="top" wrapText="1"/>
    </xf>
    <xf numFmtId="4" fontId="66" fillId="0" borderId="1" xfId="0" applyNumberFormat="1" applyFont="1" applyFill="1" applyBorder="1" applyAlignment="1">
      <alignment horizontal="center" vertical="top" wrapText="1"/>
    </xf>
    <xf numFmtId="0" fontId="44" fillId="0" borderId="1" xfId="0" applyNumberFormat="1" applyFont="1" applyFill="1" applyBorder="1" applyAlignment="1">
      <alignment horizontal="left" vertical="top" wrapText="1"/>
    </xf>
    <xf numFmtId="49" fontId="44" fillId="2" borderId="1" xfId="0" applyNumberFormat="1" applyFont="1" applyFill="1" applyBorder="1" applyAlignment="1">
      <alignment horizontal="left" vertical="top" wrapText="1"/>
    </xf>
    <xf numFmtId="0" fontId="44" fillId="2" borderId="1" xfId="0" applyFont="1" applyFill="1" applyBorder="1" applyAlignment="1">
      <alignment horizontal="left" vertical="top" wrapText="1"/>
    </xf>
    <xf numFmtId="2" fontId="44" fillId="0" borderId="1" xfId="0" applyNumberFormat="1" applyFont="1" applyFill="1" applyBorder="1" applyAlignment="1">
      <alignment horizontal="center" vertical="top" wrapText="1"/>
    </xf>
    <xf numFmtId="0" fontId="66" fillId="0" borderId="13" xfId="0" applyNumberFormat="1" applyFont="1" applyFill="1" applyBorder="1" applyAlignment="1">
      <alignment vertical="top" wrapText="1"/>
    </xf>
    <xf numFmtId="0" fontId="66" fillId="0" borderId="14" xfId="0" applyNumberFormat="1" applyFont="1" applyFill="1" applyBorder="1" applyAlignment="1">
      <alignment vertical="top" wrapText="1"/>
    </xf>
    <xf numFmtId="0" fontId="66" fillId="0" borderId="15" xfId="0" applyNumberFormat="1" applyFont="1" applyFill="1" applyBorder="1" applyAlignment="1">
      <alignment vertical="top" wrapText="1"/>
    </xf>
    <xf numFmtId="0" fontId="66" fillId="6" borderId="5" xfId="0" applyFont="1" applyFill="1" applyBorder="1" applyAlignment="1">
      <alignment vertical="top" wrapText="1"/>
    </xf>
    <xf numFmtId="0" fontId="66" fillId="6" borderId="11" xfId="0" applyFont="1" applyFill="1" applyBorder="1" applyAlignment="1">
      <alignment vertical="top" wrapText="1"/>
    </xf>
    <xf numFmtId="0" fontId="66" fillId="6" borderId="6" xfId="0" applyFont="1" applyFill="1" applyBorder="1" applyAlignment="1">
      <alignment vertical="top" wrapText="1"/>
    </xf>
    <xf numFmtId="0" fontId="66" fillId="6" borderId="7" xfId="0" applyFont="1" applyFill="1" applyBorder="1" applyAlignment="1">
      <alignment vertical="top" wrapText="1"/>
    </xf>
    <xf numFmtId="0" fontId="66" fillId="6" borderId="0" xfId="0" applyFont="1" applyFill="1" applyBorder="1" applyAlignment="1">
      <alignment vertical="top" wrapText="1"/>
    </xf>
    <xf numFmtId="0" fontId="66" fillId="6" borderId="8" xfId="0" applyFont="1" applyFill="1" applyBorder="1" applyAlignment="1">
      <alignment vertical="top" wrapText="1"/>
    </xf>
    <xf numFmtId="0" fontId="66" fillId="6" borderId="9" xfId="0" applyFont="1" applyFill="1" applyBorder="1" applyAlignment="1">
      <alignment vertical="top" wrapText="1"/>
    </xf>
    <xf numFmtId="0" fontId="66" fillId="6" borderId="12" xfId="0" applyFont="1" applyFill="1" applyBorder="1" applyAlignment="1">
      <alignment vertical="top" wrapText="1"/>
    </xf>
    <xf numFmtId="0" fontId="66" fillId="6" borderId="10" xfId="0" applyFont="1" applyFill="1" applyBorder="1" applyAlignment="1">
      <alignment vertical="top" wrapText="1"/>
    </xf>
    <xf numFmtId="4" fontId="66" fillId="6" borderId="1" xfId="0" applyNumberFormat="1" applyFont="1" applyFill="1" applyBorder="1" applyAlignment="1">
      <alignment vertical="top" wrapText="1"/>
    </xf>
    <xf numFmtId="0" fontId="71" fillId="0" borderId="5" xfId="0" applyFont="1" applyFill="1" applyBorder="1" applyAlignment="1">
      <alignment horizontal="center" wrapText="1"/>
    </xf>
    <xf numFmtId="0" fontId="71" fillId="0" borderId="7" xfId="0" applyFont="1" applyFill="1" applyBorder="1" applyAlignment="1">
      <alignment horizontal="center"/>
    </xf>
    <xf numFmtId="0" fontId="71" fillId="0" borderId="9" xfId="0" applyFont="1" applyFill="1" applyBorder="1" applyAlignment="1">
      <alignment horizontal="center"/>
    </xf>
    <xf numFmtId="49" fontId="66" fillId="2" borderId="11" xfId="0" applyNumberFormat="1" applyFont="1" applyFill="1" applyBorder="1" applyAlignment="1">
      <alignment horizontal="left" vertical="top" wrapText="1"/>
    </xf>
    <xf numFmtId="49" fontId="66" fillId="2" borderId="0" xfId="0" applyNumberFormat="1" applyFont="1" applyFill="1" applyBorder="1" applyAlignment="1">
      <alignment horizontal="left" vertical="center" wrapText="1"/>
    </xf>
    <xf numFmtId="49" fontId="66" fillId="2" borderId="8" xfId="0" applyNumberFormat="1" applyFont="1" applyFill="1" applyBorder="1" applyAlignment="1">
      <alignment horizontal="left" vertical="center" wrapText="1"/>
    </xf>
    <xf numFmtId="0" fontId="57" fillId="0" borderId="0" xfId="0" applyFont="1" applyFill="1" applyBorder="1" applyAlignment="1">
      <alignment horizontal="center" vertical="center" wrapText="1"/>
    </xf>
    <xf numFmtId="0" fontId="57" fillId="0" borderId="8" xfId="0" applyFont="1" applyFill="1" applyBorder="1" applyAlignment="1">
      <alignment horizontal="center" vertical="center" wrapText="1"/>
    </xf>
    <xf numFmtId="0" fontId="57" fillId="12" borderId="13" xfId="0" applyFont="1" applyFill="1" applyBorder="1" applyAlignment="1">
      <alignment horizontal="center" vertical="center" wrapText="1"/>
    </xf>
    <xf numFmtId="0" fontId="57" fillId="12" borderId="14" xfId="0" applyFont="1" applyFill="1" applyBorder="1" applyAlignment="1">
      <alignment horizontal="center" vertical="center" wrapText="1"/>
    </xf>
    <xf numFmtId="0" fontId="57" fillId="12" borderId="15" xfId="0" applyFont="1" applyFill="1" applyBorder="1" applyAlignment="1">
      <alignment horizontal="center" vertical="center" wrapText="1"/>
    </xf>
    <xf numFmtId="49" fontId="66" fillId="0" borderId="2" xfId="0" applyNumberFormat="1" applyFont="1" applyFill="1" applyBorder="1" applyAlignment="1">
      <alignment horizontal="left" vertical="top" wrapText="1"/>
    </xf>
    <xf numFmtId="49" fontId="66" fillId="0" borderId="4" xfId="0" applyNumberFormat="1" applyFont="1" applyFill="1" applyBorder="1" applyAlignment="1">
      <alignment horizontal="left" vertical="top" wrapText="1"/>
    </xf>
    <xf numFmtId="4" fontId="66" fillId="0" borderId="2" xfId="0" applyNumberFormat="1" applyFont="1" applyFill="1" applyBorder="1" applyAlignment="1">
      <alignment horizontal="left" vertical="top" wrapText="1"/>
    </xf>
    <xf numFmtId="4" fontId="66" fillId="0" borderId="4" xfId="0" applyNumberFormat="1" applyFont="1" applyFill="1" applyBorder="1" applyAlignment="1">
      <alignment horizontal="left" vertical="top" wrapText="1"/>
    </xf>
    <xf numFmtId="4" fontId="4" fillId="0" borderId="1" xfId="0" applyNumberFormat="1" applyFont="1" applyFill="1" applyBorder="1" applyAlignment="1">
      <alignment horizontal="left" vertical="top" wrapText="1"/>
    </xf>
    <xf numFmtId="0" fontId="66" fillId="0" borderId="13" xfId="0" applyNumberFormat="1" applyFont="1" applyFill="1" applyBorder="1" applyAlignment="1">
      <alignment horizontal="left" vertical="center" wrapText="1"/>
    </xf>
    <xf numFmtId="0" fontId="66" fillId="0" borderId="14" xfId="0" applyNumberFormat="1" applyFont="1" applyFill="1" applyBorder="1" applyAlignment="1">
      <alignment horizontal="left" vertical="center" wrapText="1"/>
    </xf>
    <xf numFmtId="0" fontId="66" fillId="0" borderId="15" xfId="0" applyNumberFormat="1" applyFont="1" applyFill="1" applyBorder="1" applyAlignment="1">
      <alignment horizontal="left" vertical="center" wrapText="1"/>
    </xf>
    <xf numFmtId="0" fontId="66" fillId="0" borderId="5" xfId="0" applyFont="1" applyFill="1" applyBorder="1" applyAlignment="1">
      <alignment horizontal="left" vertical="top" wrapText="1"/>
    </xf>
    <xf numFmtId="0" fontId="66" fillId="0" borderId="11" xfId="0" applyFont="1" applyFill="1" applyBorder="1" applyAlignment="1">
      <alignment horizontal="left" vertical="top" wrapText="1"/>
    </xf>
    <xf numFmtId="0" fontId="66" fillId="0" borderId="6" xfId="0" applyFont="1" applyFill="1" applyBorder="1" applyAlignment="1">
      <alignment horizontal="left" vertical="top" wrapText="1"/>
    </xf>
    <xf numFmtId="0" fontId="66" fillId="0" borderId="9" xfId="0" applyFont="1" applyFill="1" applyBorder="1" applyAlignment="1">
      <alignment horizontal="left" vertical="top" wrapText="1"/>
    </xf>
    <xf numFmtId="0" fontId="66" fillId="0" borderId="12" xfId="0" applyFont="1" applyFill="1" applyBorder="1" applyAlignment="1">
      <alignment horizontal="left" vertical="top" wrapText="1"/>
    </xf>
    <xf numFmtId="0" fontId="66" fillId="0" borderId="10" xfId="0" applyFont="1" applyFill="1" applyBorder="1" applyAlignment="1">
      <alignment horizontal="left" vertical="top" wrapText="1"/>
    </xf>
    <xf numFmtId="0" fontId="4" fillId="0" borderId="13" xfId="0" applyFont="1" applyFill="1" applyBorder="1" applyAlignment="1">
      <alignment horizontal="left" wrapText="1"/>
    </xf>
    <xf numFmtId="0" fontId="4" fillId="0" borderId="14" xfId="0" applyFont="1" applyFill="1" applyBorder="1" applyAlignment="1">
      <alignment horizontal="left" wrapText="1"/>
    </xf>
    <xf numFmtId="0" fontId="4" fillId="0" borderId="15" xfId="0" applyFont="1" applyFill="1" applyBorder="1" applyAlignment="1">
      <alignment horizontal="left" wrapText="1"/>
    </xf>
    <xf numFmtId="3" fontId="84" fillId="0" borderId="1" xfId="0" applyNumberFormat="1" applyFont="1" applyFill="1" applyBorder="1" applyAlignment="1">
      <alignment horizontal="center" vertical="top" wrapText="1"/>
    </xf>
    <xf numFmtId="4" fontId="40" fillId="0" borderId="1" xfId="0" applyNumberFormat="1" applyFont="1" applyFill="1" applyBorder="1" applyAlignment="1">
      <alignment horizontal="left" vertical="top" wrapText="1"/>
    </xf>
    <xf numFmtId="0" fontId="57" fillId="12" borderId="0" xfId="0" applyNumberFormat="1" applyFont="1" applyFill="1" applyAlignment="1">
      <alignment horizontal="center" vertical="center" wrapText="1"/>
    </xf>
    <xf numFmtId="0" fontId="57" fillId="12" borderId="8" xfId="0" applyNumberFormat="1" applyFont="1" applyFill="1" applyBorder="1" applyAlignment="1">
      <alignment horizontal="center" vertical="center" wrapText="1"/>
    </xf>
    <xf numFmtId="4" fontId="4" fillId="8" borderId="13" xfId="0" applyNumberFormat="1" applyFont="1" applyFill="1" applyBorder="1" applyAlignment="1">
      <alignment horizontal="left" vertical="top" wrapText="1"/>
    </xf>
    <xf numFmtId="0" fontId="40" fillId="0" borderId="1" xfId="0" applyNumberFormat="1" applyFont="1" applyFill="1" applyBorder="1" applyAlignment="1">
      <alignment horizontal="left" vertical="top" wrapText="1"/>
    </xf>
    <xf numFmtId="0" fontId="40" fillId="12" borderId="5" xfId="0" applyFont="1" applyFill="1" applyBorder="1" applyAlignment="1">
      <alignment horizontal="left" vertical="top" wrapText="1"/>
    </xf>
    <xf numFmtId="0" fontId="40" fillId="12" borderId="11" xfId="0" applyFont="1" applyFill="1" applyBorder="1" applyAlignment="1">
      <alignment horizontal="left" vertical="top" wrapText="1"/>
    </xf>
    <xf numFmtId="0" fontId="40" fillId="12" borderId="6" xfId="0" applyFont="1" applyFill="1" applyBorder="1" applyAlignment="1">
      <alignment horizontal="left" vertical="top" wrapText="1"/>
    </xf>
    <xf numFmtId="0" fontId="40" fillId="12" borderId="9" xfId="0" applyFont="1" applyFill="1" applyBorder="1" applyAlignment="1">
      <alignment horizontal="left" vertical="top" wrapText="1"/>
    </xf>
    <xf numFmtId="0" fontId="40" fillId="12" borderId="12" xfId="0" applyFont="1" applyFill="1" applyBorder="1" applyAlignment="1">
      <alignment horizontal="left" vertical="top" wrapText="1"/>
    </xf>
    <xf numFmtId="0" fontId="40" fillId="12" borderId="10" xfId="0" applyFont="1" applyFill="1" applyBorder="1" applyAlignment="1">
      <alignment horizontal="left" vertical="top" wrapText="1"/>
    </xf>
    <xf numFmtId="4" fontId="40" fillId="12" borderId="1" xfId="0" applyNumberFormat="1" applyFont="1" applyFill="1" applyBorder="1" applyAlignment="1">
      <alignment horizontal="left" vertical="top" wrapText="1"/>
    </xf>
    <xf numFmtId="4" fontId="40" fillId="12" borderId="1" xfId="0" applyNumberFormat="1" applyFont="1" applyFill="1" applyBorder="1" applyAlignment="1">
      <alignment horizontal="center" vertical="top" wrapText="1"/>
    </xf>
    <xf numFmtId="49" fontId="40" fillId="2" borderId="1" xfId="0" applyNumberFormat="1" applyFont="1" applyFill="1" applyBorder="1" applyAlignment="1">
      <alignment horizontal="left" vertical="top" wrapText="1"/>
    </xf>
    <xf numFmtId="0" fontId="11" fillId="2" borderId="1" xfId="0" applyFont="1" applyFill="1" applyBorder="1" applyAlignment="1">
      <alignment vertical="top" wrapText="1"/>
    </xf>
    <xf numFmtId="49" fontId="66" fillId="0" borderId="1" xfId="0" applyNumberFormat="1" applyFont="1" applyFill="1" applyBorder="1" applyAlignment="1">
      <alignment horizontal="left" vertical="top"/>
    </xf>
    <xf numFmtId="0" fontId="66" fillId="0" borderId="1" xfId="0" applyNumberFormat="1" applyFont="1" applyFill="1" applyBorder="1" applyAlignment="1">
      <alignment horizontal="left" vertical="top"/>
    </xf>
    <xf numFmtId="2" fontId="66" fillId="0" borderId="1" xfId="0" applyNumberFormat="1" applyFont="1" applyFill="1" applyBorder="1" applyAlignment="1">
      <alignment horizontal="center" vertical="top" wrapText="1"/>
    </xf>
    <xf numFmtId="2" fontId="66" fillId="0" borderId="2" xfId="0" applyNumberFormat="1" applyFont="1" applyFill="1" applyBorder="1" applyAlignment="1">
      <alignment horizontal="left" vertical="top" wrapText="1"/>
    </xf>
    <xf numFmtId="2" fontId="66" fillId="0" borderId="3" xfId="0" applyNumberFormat="1" applyFont="1" applyFill="1" applyBorder="1" applyAlignment="1">
      <alignment horizontal="left" vertical="top" wrapText="1"/>
    </xf>
    <xf numFmtId="2" fontId="66" fillId="0" borderId="4" xfId="0" applyNumberFormat="1" applyFont="1" applyFill="1" applyBorder="1" applyAlignment="1">
      <alignment horizontal="left" vertical="top" wrapText="1"/>
    </xf>
    <xf numFmtId="0" fontId="4" fillId="0" borderId="0" xfId="0" applyFont="1" applyFill="1" applyBorder="1" applyAlignment="1">
      <alignment horizontal="left" wrapText="1"/>
    </xf>
    <xf numFmtId="4" fontId="4" fillId="0" borderId="15" xfId="0" applyNumberFormat="1" applyFont="1" applyFill="1" applyBorder="1" applyAlignment="1">
      <alignment horizontal="center" vertical="top"/>
    </xf>
    <xf numFmtId="0" fontId="4" fillId="20" borderId="5" xfId="0" applyFont="1" applyFill="1" applyBorder="1" applyAlignment="1">
      <alignment horizontal="left" vertical="top" wrapText="1"/>
    </xf>
    <xf numFmtId="0" fontId="4" fillId="20" borderId="11" xfId="0" applyFont="1" applyFill="1" applyBorder="1" applyAlignment="1">
      <alignment horizontal="left" vertical="top" wrapText="1"/>
    </xf>
    <xf numFmtId="0" fontId="4" fillId="20" borderId="6" xfId="0" applyFont="1" applyFill="1" applyBorder="1" applyAlignment="1">
      <alignment horizontal="left" vertical="top" wrapText="1"/>
    </xf>
    <xf numFmtId="0" fontId="4" fillId="20" borderId="7" xfId="0" applyFont="1" applyFill="1" applyBorder="1" applyAlignment="1">
      <alignment horizontal="left" vertical="top" wrapText="1"/>
    </xf>
    <xf numFmtId="0" fontId="4" fillId="20" borderId="0" xfId="0" applyFont="1" applyFill="1" applyBorder="1" applyAlignment="1">
      <alignment horizontal="left" vertical="top" wrapText="1"/>
    </xf>
    <xf numFmtId="0" fontId="4" fillId="20" borderId="8" xfId="0" applyFont="1" applyFill="1" applyBorder="1" applyAlignment="1">
      <alignment horizontal="left" vertical="top" wrapText="1"/>
    </xf>
    <xf numFmtId="0" fontId="4" fillId="20" borderId="9" xfId="0" applyFont="1" applyFill="1" applyBorder="1" applyAlignment="1">
      <alignment horizontal="left" vertical="top" wrapText="1"/>
    </xf>
    <xf numFmtId="0" fontId="4" fillId="20" borderId="12" xfId="0" applyFont="1" applyFill="1" applyBorder="1" applyAlignment="1">
      <alignment horizontal="left" vertical="top" wrapText="1"/>
    </xf>
    <xf numFmtId="0" fontId="4" fillId="20" borderId="10" xfId="0" applyFont="1" applyFill="1" applyBorder="1" applyAlignment="1">
      <alignment horizontal="left" vertical="top" wrapText="1"/>
    </xf>
    <xf numFmtId="4" fontId="4" fillId="20" borderId="1" xfId="0" applyNumberFormat="1" applyFont="1" applyFill="1" applyBorder="1" applyAlignment="1">
      <alignment horizontal="center" vertical="top"/>
    </xf>
    <xf numFmtId="4" fontId="4" fillId="20" borderId="2" xfId="0" applyNumberFormat="1" applyFont="1" applyFill="1" applyBorder="1" applyAlignment="1">
      <alignment horizontal="center" vertical="top"/>
    </xf>
    <xf numFmtId="4" fontId="4" fillId="20" borderId="3" xfId="0" applyNumberFormat="1" applyFont="1" applyFill="1" applyBorder="1" applyAlignment="1">
      <alignment horizontal="center" vertical="top"/>
    </xf>
    <xf numFmtId="4" fontId="4" fillId="20" borderId="4" xfId="0" applyNumberFormat="1" applyFont="1" applyFill="1" applyBorder="1" applyAlignment="1">
      <alignment horizontal="center" vertical="top"/>
    </xf>
    <xf numFmtId="49" fontId="66" fillId="0" borderId="2" xfId="0" applyNumberFormat="1" applyFont="1" applyFill="1" applyBorder="1" applyAlignment="1">
      <alignment horizontal="center" vertical="top"/>
    </xf>
    <xf numFmtId="49" fontId="66" fillId="0" borderId="3" xfId="0" applyNumberFormat="1" applyFont="1" applyFill="1" applyBorder="1" applyAlignment="1">
      <alignment horizontal="center" vertical="top"/>
    </xf>
    <xf numFmtId="49" fontId="66" fillId="0" borderId="4" xfId="0" applyNumberFormat="1" applyFont="1" applyFill="1" applyBorder="1" applyAlignment="1">
      <alignment horizontal="center" vertical="top"/>
    </xf>
    <xf numFmtId="0" fontId="66" fillId="0" borderId="7" xfId="0" applyFont="1" applyFill="1" applyBorder="1" applyAlignment="1">
      <alignment horizontal="left" vertical="top" wrapText="1"/>
    </xf>
    <xf numFmtId="0" fontId="66" fillId="0" borderId="1" xfId="0" applyNumberFormat="1" applyFont="1" applyFill="1" applyBorder="1" applyAlignment="1">
      <alignment horizontal="left" vertical="top" wrapText="1"/>
    </xf>
    <xf numFmtId="0" fontId="66" fillId="2" borderId="11" xfId="0" applyNumberFormat="1" applyFont="1" applyFill="1" applyBorder="1" applyAlignment="1">
      <alignment horizontal="left" vertical="top" wrapText="1"/>
    </xf>
    <xf numFmtId="0" fontId="66" fillId="2" borderId="6" xfId="0" applyNumberFormat="1" applyFont="1" applyFill="1" applyBorder="1" applyAlignment="1">
      <alignment horizontal="left" vertical="top" wrapText="1"/>
    </xf>
    <xf numFmtId="0" fontId="66" fillId="2" borderId="0" xfId="0" applyNumberFormat="1" applyFont="1" applyFill="1" applyBorder="1" applyAlignment="1">
      <alignment horizontal="left" vertical="top" wrapText="1"/>
    </xf>
    <xf numFmtId="0" fontId="66" fillId="2" borderId="8" xfId="0" applyNumberFormat="1" applyFont="1" applyFill="1" applyBorder="1" applyAlignment="1">
      <alignment horizontal="left" vertical="top" wrapText="1"/>
    </xf>
    <xf numFmtId="0" fontId="4" fillId="12" borderId="1" xfId="0" applyFont="1" applyFill="1" applyBorder="1" applyAlignment="1">
      <alignment horizontal="left" vertical="top" wrapText="1"/>
    </xf>
    <xf numFmtId="4" fontId="4" fillId="12" borderId="1" xfId="0" applyNumberFormat="1" applyFont="1" applyFill="1" applyBorder="1" applyAlignment="1">
      <alignment horizontal="center" vertical="top"/>
    </xf>
    <xf numFmtId="49" fontId="66" fillId="0" borderId="1" xfId="0" applyNumberFormat="1" applyFont="1" applyFill="1" applyBorder="1" applyAlignment="1">
      <alignment horizontal="center" vertical="top"/>
    </xf>
    <xf numFmtId="0" fontId="66" fillId="2" borderId="1" xfId="0" applyFont="1" applyFill="1" applyBorder="1" applyAlignment="1">
      <alignment horizontal="left" vertical="top" wrapText="1"/>
    </xf>
    <xf numFmtId="0" fontId="66" fillId="0" borderId="1" xfId="0" applyFont="1" applyFill="1" applyBorder="1" applyAlignment="1">
      <alignment horizontal="center" vertical="top" wrapText="1"/>
    </xf>
    <xf numFmtId="4" fontId="66" fillId="0" borderId="1" xfId="0" applyNumberFormat="1" applyFont="1" applyFill="1" applyBorder="1" applyAlignment="1">
      <alignment horizontal="center" vertical="center"/>
    </xf>
    <xf numFmtId="2" fontId="66" fillId="0" borderId="1" xfId="0" applyNumberFormat="1" applyFont="1" applyFill="1" applyBorder="1" applyAlignment="1">
      <alignment horizontal="left" vertical="top" wrapText="1"/>
    </xf>
    <xf numFmtId="4" fontId="66" fillId="12" borderId="2" xfId="0" applyNumberFormat="1" applyFont="1" applyFill="1" applyBorder="1" applyAlignment="1">
      <alignment horizontal="center" vertical="top" wrapText="1"/>
    </xf>
    <xf numFmtId="4" fontId="66" fillId="12" borderId="4" xfId="0" applyNumberFormat="1" applyFont="1" applyFill="1" applyBorder="1" applyAlignment="1">
      <alignment horizontal="center" vertical="top" wrapText="1"/>
    </xf>
    <xf numFmtId="0" fontId="66" fillId="0" borderId="2" xfId="0" applyFont="1" applyFill="1" applyBorder="1" applyAlignment="1">
      <alignment horizontal="center" vertical="top" wrapText="1"/>
    </xf>
    <xf numFmtId="0" fontId="66" fillId="0" borderId="4" xfId="0" applyFont="1" applyFill="1" applyBorder="1" applyAlignment="1">
      <alignment horizontal="center" vertical="top" wrapText="1"/>
    </xf>
    <xf numFmtId="4" fontId="66" fillId="0" borderId="2" xfId="0" applyNumberFormat="1" applyFont="1" applyFill="1" applyBorder="1" applyAlignment="1">
      <alignment horizontal="center" vertical="top"/>
    </xf>
    <xf numFmtId="4" fontId="66" fillId="0" borderId="4" xfId="0" applyNumberFormat="1" applyFont="1" applyFill="1" applyBorder="1" applyAlignment="1">
      <alignment horizontal="center" vertical="top"/>
    </xf>
    <xf numFmtId="0" fontId="4" fillId="12" borderId="2" xfId="0" applyFont="1" applyFill="1" applyBorder="1" applyAlignment="1">
      <alignment horizontal="left" vertical="top" wrapText="1"/>
    </xf>
    <xf numFmtId="0" fontId="4" fillId="12" borderId="4" xfId="0" applyFont="1" applyFill="1" applyBorder="1" applyAlignment="1">
      <alignment horizontal="left" vertical="top" wrapText="1"/>
    </xf>
    <xf numFmtId="0" fontId="89" fillId="0" borderId="12" xfId="0" applyFont="1" applyFill="1" applyBorder="1" applyAlignment="1">
      <alignment horizontal="center" vertical="center" wrapText="1"/>
    </xf>
    <xf numFmtId="0" fontId="65" fillId="0" borderId="1" xfId="0" applyFont="1" applyFill="1" applyBorder="1" applyAlignment="1">
      <alignment horizontal="left" vertical="top" wrapText="1"/>
    </xf>
    <xf numFmtId="0" fontId="65" fillId="0" borderId="1" xfId="0" applyFont="1" applyFill="1" applyBorder="1" applyAlignment="1">
      <alignment horizontal="left" vertical="top"/>
    </xf>
    <xf numFmtId="0" fontId="48" fillId="0" borderId="1" xfId="0" applyFont="1" applyFill="1" applyBorder="1" applyAlignment="1">
      <alignment horizontal="left" vertical="top" wrapText="1"/>
    </xf>
    <xf numFmtId="49" fontId="3" fillId="0" borderId="2" xfId="0" applyNumberFormat="1" applyFont="1" applyFill="1" applyBorder="1" applyAlignment="1">
      <alignment horizontal="center" vertical="top"/>
    </xf>
    <xf numFmtId="49" fontId="3" fillId="0" borderId="4" xfId="0" applyNumberFormat="1" applyFont="1" applyFill="1" applyBorder="1" applyAlignment="1">
      <alignment horizontal="center" vertical="top"/>
    </xf>
    <xf numFmtId="0" fontId="3" fillId="0" borderId="2" xfId="0" applyFont="1" applyFill="1" applyBorder="1" applyAlignment="1">
      <alignment horizontal="center" vertical="top" wrapText="1"/>
    </xf>
    <xf numFmtId="2" fontId="3" fillId="0" borderId="2" xfId="0" applyNumberFormat="1" applyFont="1" applyFill="1" applyBorder="1" applyAlignment="1">
      <alignment vertical="top" wrapText="1"/>
    </xf>
    <xf numFmtId="2" fontId="3" fillId="0" borderId="4" xfId="0" applyNumberFormat="1" applyFont="1" applyFill="1" applyBorder="1" applyAlignment="1">
      <alignment vertical="top" wrapText="1"/>
    </xf>
    <xf numFmtId="2" fontId="3" fillId="0" borderId="2" xfId="0" applyNumberFormat="1" applyFont="1" applyFill="1" applyBorder="1" applyAlignment="1">
      <alignment horizontal="left" vertical="top" wrapText="1"/>
    </xf>
    <xf numFmtId="2" fontId="3" fillId="0" borderId="4" xfId="0" applyNumberFormat="1" applyFont="1" applyFill="1" applyBorder="1" applyAlignment="1">
      <alignment horizontal="left" vertical="top" wrapText="1"/>
    </xf>
    <xf numFmtId="0" fontId="3" fillId="0" borderId="13" xfId="0" applyFont="1" applyFill="1" applyBorder="1" applyAlignment="1">
      <alignment horizontal="center" vertical="top" wrapText="1"/>
    </xf>
    <xf numFmtId="0" fontId="3" fillId="0" borderId="14" xfId="0" applyFont="1" applyFill="1" applyBorder="1" applyAlignment="1">
      <alignment horizontal="center" vertical="top" wrapText="1"/>
    </xf>
    <xf numFmtId="0" fontId="3" fillId="0" borderId="15" xfId="0" applyFont="1" applyFill="1" applyBorder="1" applyAlignment="1">
      <alignment horizontal="center" vertical="top" wrapText="1"/>
    </xf>
    <xf numFmtId="0" fontId="9" fillId="0" borderId="3" xfId="0" applyFont="1" applyFill="1" applyBorder="1" applyAlignment="1">
      <alignment vertical="top" wrapText="1"/>
    </xf>
    <xf numFmtId="2" fontId="3" fillId="0" borderId="3" xfId="0" applyNumberFormat="1" applyFont="1" applyFill="1" applyBorder="1" applyAlignment="1">
      <alignment horizontal="left" vertical="top" wrapText="1"/>
    </xf>
    <xf numFmtId="2" fontId="11" fillId="0" borderId="11" xfId="0" applyNumberFormat="1" applyFont="1" applyFill="1" applyBorder="1" applyAlignment="1">
      <alignment horizontal="left" vertical="top" wrapText="1"/>
    </xf>
    <xf numFmtId="0" fontId="3" fillId="0" borderId="3" xfId="0" applyFont="1" applyFill="1" applyBorder="1" applyAlignment="1">
      <alignment horizontal="left" vertical="top" wrapText="1"/>
    </xf>
    <xf numFmtId="0" fontId="3" fillId="0" borderId="2" xfId="0" applyFont="1" applyFill="1" applyBorder="1" applyAlignment="1">
      <alignment horizontal="center" vertical="top"/>
    </xf>
    <xf numFmtId="0" fontId="3" fillId="0" borderId="3" xfId="0" applyFont="1" applyFill="1" applyBorder="1" applyAlignment="1">
      <alignment horizontal="center" vertical="top"/>
    </xf>
    <xf numFmtId="0" fontId="105" fillId="0" borderId="2" xfId="0" applyFont="1" applyFill="1" applyBorder="1" applyAlignment="1">
      <alignment horizontal="left" vertical="center" wrapText="1"/>
    </xf>
    <xf numFmtId="0" fontId="105" fillId="0" borderId="3" xfId="0" applyFont="1" applyFill="1" applyBorder="1" applyAlignment="1">
      <alignment horizontal="left" vertical="center" wrapText="1"/>
    </xf>
    <xf numFmtId="0" fontId="3" fillId="0" borderId="5" xfId="0" applyFont="1" applyFill="1" applyBorder="1" applyAlignment="1">
      <alignment horizontal="center" vertical="top" wrapText="1"/>
    </xf>
    <xf numFmtId="0" fontId="3" fillId="0" borderId="11"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0" xfId="0" applyFont="1" applyFill="1" applyBorder="1" applyAlignment="1">
      <alignment horizontal="center" vertical="top" wrapText="1"/>
    </xf>
    <xf numFmtId="0" fontId="3" fillId="0" borderId="12" xfId="0" applyFont="1" applyFill="1" applyBorder="1" applyAlignment="1">
      <alignment horizontal="center" vertical="top" wrapText="1"/>
    </xf>
    <xf numFmtId="0" fontId="105" fillId="0" borderId="5" xfId="0" applyFont="1" applyFill="1" applyBorder="1" applyAlignment="1">
      <alignment horizontal="center" vertical="top" wrapText="1"/>
    </xf>
    <xf numFmtId="0" fontId="105" fillId="0" borderId="11" xfId="0" applyFont="1" applyFill="1" applyBorder="1" applyAlignment="1">
      <alignment horizontal="center" vertical="top" wrapText="1"/>
    </xf>
    <xf numFmtId="0" fontId="105" fillId="0" borderId="6" xfId="0" applyFont="1" applyFill="1" applyBorder="1" applyAlignment="1">
      <alignment horizontal="center" vertical="top" wrapText="1"/>
    </xf>
    <xf numFmtId="0" fontId="105" fillId="0" borderId="7" xfId="0" applyFont="1" applyFill="1" applyBorder="1" applyAlignment="1">
      <alignment horizontal="center" vertical="top" wrapText="1"/>
    </xf>
    <xf numFmtId="0" fontId="105" fillId="0" borderId="0" xfId="0" applyFont="1" applyFill="1" applyBorder="1" applyAlignment="1">
      <alignment horizontal="center" vertical="top" wrapText="1"/>
    </xf>
    <xf numFmtId="0" fontId="105" fillId="0" borderId="8" xfId="0" applyFont="1" applyFill="1" applyBorder="1" applyAlignment="1">
      <alignment horizontal="center" vertical="top" wrapText="1"/>
    </xf>
    <xf numFmtId="0" fontId="105" fillId="0" borderId="9" xfId="0" applyFont="1" applyFill="1" applyBorder="1" applyAlignment="1">
      <alignment horizontal="center" vertical="top" wrapText="1"/>
    </xf>
    <xf numFmtId="0" fontId="105" fillId="0" borderId="12" xfId="0" applyFont="1" applyFill="1" applyBorder="1" applyAlignment="1">
      <alignment horizontal="center" vertical="top" wrapText="1"/>
    </xf>
    <xf numFmtId="0" fontId="105" fillId="0" borderId="10" xfId="0" applyFont="1" applyFill="1" applyBorder="1" applyAlignment="1">
      <alignment horizontal="center" vertical="top" wrapText="1"/>
    </xf>
    <xf numFmtId="0" fontId="94" fillId="0" borderId="0" xfId="0" applyFont="1" applyFill="1" applyBorder="1" applyAlignment="1">
      <alignment horizontal="center" vertical="center" wrapText="1"/>
    </xf>
    <xf numFmtId="0" fontId="65" fillId="0" borderId="1" xfId="0" applyFont="1" applyFill="1" applyBorder="1" applyAlignment="1">
      <alignment horizontal="center" vertical="center" wrapText="1"/>
    </xf>
    <xf numFmtId="4" fontId="65" fillId="0" borderId="1" xfId="0" applyNumberFormat="1" applyFont="1" applyFill="1" applyBorder="1" applyAlignment="1">
      <alignment horizontal="center" vertical="center" wrapText="1"/>
    </xf>
    <xf numFmtId="4" fontId="78" fillId="0" borderId="1" xfId="0" applyNumberFormat="1" applyFont="1" applyFill="1" applyBorder="1" applyAlignment="1">
      <alignment horizontal="center" vertical="center" wrapText="1"/>
    </xf>
    <xf numFmtId="4" fontId="78" fillId="0" borderId="1" xfId="0" applyNumberFormat="1" applyFont="1" applyFill="1" applyBorder="1" applyAlignment="1">
      <alignment horizontal="center" vertical="center"/>
    </xf>
    <xf numFmtId="0" fontId="65" fillId="0" borderId="2" xfId="0" applyFont="1" applyFill="1" applyBorder="1" applyAlignment="1">
      <alignment horizontal="center" vertical="center" wrapText="1"/>
    </xf>
    <xf numFmtId="0" fontId="65" fillId="0" borderId="4" xfId="0" applyFont="1" applyFill="1" applyBorder="1" applyAlignment="1">
      <alignment horizontal="center" vertical="center" wrapText="1"/>
    </xf>
    <xf numFmtId="0" fontId="105" fillId="0" borderId="2" xfId="0" applyFont="1" applyFill="1" applyBorder="1" applyAlignment="1">
      <alignment horizontal="center" vertical="center"/>
    </xf>
    <xf numFmtId="0" fontId="105" fillId="0" borderId="3" xfId="0" applyFont="1" applyFill="1" applyBorder="1" applyAlignment="1">
      <alignment horizontal="center" vertical="center"/>
    </xf>
    <xf numFmtId="0" fontId="105" fillId="0" borderId="2" xfId="0" applyFont="1" applyFill="1" applyBorder="1" applyAlignment="1">
      <alignment horizontal="center" vertical="center" wrapText="1"/>
    </xf>
    <xf numFmtId="0" fontId="105" fillId="0" borderId="3" xfId="0" applyFont="1" applyFill="1" applyBorder="1" applyAlignment="1">
      <alignment horizontal="center" vertical="center" wrapText="1"/>
    </xf>
    <xf numFmtId="49" fontId="3" fillId="0" borderId="3" xfId="0" applyNumberFormat="1" applyFont="1" applyFill="1" applyBorder="1" applyAlignment="1">
      <alignment horizontal="center" vertical="top"/>
    </xf>
    <xf numFmtId="49" fontId="3" fillId="0" borderId="2" xfId="0" applyNumberFormat="1" applyFont="1" applyFill="1" applyBorder="1" applyAlignment="1">
      <alignment horizontal="left" vertical="top"/>
    </xf>
    <xf numFmtId="49" fontId="3" fillId="0" borderId="3" xfId="0" applyNumberFormat="1" applyFont="1" applyFill="1" applyBorder="1" applyAlignment="1">
      <alignment horizontal="left" vertical="top"/>
    </xf>
    <xf numFmtId="49" fontId="3" fillId="0" borderId="4" xfId="0" applyNumberFormat="1" applyFont="1" applyFill="1" applyBorder="1" applyAlignment="1">
      <alignment horizontal="left" vertical="top"/>
    </xf>
    <xf numFmtId="0" fontId="3" fillId="0" borderId="2" xfId="0" applyFont="1" applyFill="1" applyBorder="1" applyAlignment="1">
      <alignment vertical="top" wrapText="1"/>
    </xf>
    <xf numFmtId="0" fontId="3" fillId="0" borderId="3" xfId="0" applyFont="1" applyFill="1" applyBorder="1" applyAlignment="1">
      <alignment vertical="top" wrapText="1"/>
    </xf>
    <xf numFmtId="0" fontId="48" fillId="0" borderId="2" xfId="0" applyFont="1" applyFill="1" applyBorder="1" applyAlignment="1">
      <alignment horizontal="left" vertical="top" wrapText="1"/>
    </xf>
    <xf numFmtId="0" fontId="48" fillId="0" borderId="3" xfId="0" applyFont="1" applyFill="1" applyBorder="1" applyAlignment="1">
      <alignment horizontal="left" vertical="top" wrapText="1"/>
    </xf>
    <xf numFmtId="0" fontId="48" fillId="0" borderId="4" xfId="0" applyFont="1" applyFill="1" applyBorder="1" applyAlignment="1">
      <alignment horizontal="left" vertical="top" wrapText="1"/>
    </xf>
    <xf numFmtId="49" fontId="3" fillId="0" borderId="1" xfId="0" applyNumberFormat="1" applyFont="1" applyFill="1" applyBorder="1" applyAlignment="1">
      <alignment vertical="top"/>
    </xf>
    <xf numFmtId="0" fontId="3" fillId="0" borderId="2" xfId="0" applyFont="1" applyFill="1" applyBorder="1" applyAlignment="1">
      <alignment horizontal="left" vertical="top"/>
    </xf>
    <xf numFmtId="0" fontId="3" fillId="0" borderId="4" xfId="0" applyFont="1" applyFill="1" applyBorder="1" applyAlignment="1">
      <alignment horizontal="left" vertical="top"/>
    </xf>
    <xf numFmtId="49" fontId="3" fillId="0" borderId="6" xfId="0" applyNumberFormat="1" applyFont="1" applyFill="1" applyBorder="1" applyAlignment="1">
      <alignment horizontal="center" vertical="top"/>
    </xf>
    <xf numFmtId="49" fontId="3" fillId="0" borderId="8" xfId="0" applyNumberFormat="1" applyFont="1" applyFill="1" applyBorder="1" applyAlignment="1">
      <alignment horizontal="center" vertical="top"/>
    </xf>
    <xf numFmtId="49" fontId="3" fillId="0" borderId="10" xfId="0" applyNumberFormat="1" applyFont="1" applyFill="1" applyBorder="1" applyAlignment="1">
      <alignment horizontal="center" vertical="top"/>
    </xf>
    <xf numFmtId="0" fontId="3" fillId="0" borderId="2" xfId="0" applyFont="1" applyFill="1" applyBorder="1" applyAlignment="1">
      <alignment horizontal="left" vertical="center" wrapText="1"/>
    </xf>
    <xf numFmtId="0" fontId="3" fillId="0" borderId="3" xfId="0" applyFont="1" applyFill="1" applyBorder="1" applyAlignment="1">
      <alignment horizontal="left" vertical="center" wrapText="1"/>
    </xf>
    <xf numFmtId="0" fontId="3" fillId="0" borderId="4" xfId="0" applyFont="1" applyFill="1" applyBorder="1" applyAlignment="1">
      <alignment horizontal="left" vertical="center" wrapText="1"/>
    </xf>
    <xf numFmtId="0" fontId="3" fillId="0" borderId="4" xfId="0" applyFont="1" applyFill="1" applyBorder="1" applyAlignment="1">
      <alignment horizontal="center" vertical="top"/>
    </xf>
    <xf numFmtId="0" fontId="0" fillId="0" borderId="0" xfId="0" applyFill="1" applyBorder="1" applyAlignment="1">
      <alignment horizontal="center" wrapText="1"/>
    </xf>
    <xf numFmtId="4" fontId="11" fillId="0" borderId="2" xfId="0" applyNumberFormat="1" applyFont="1" applyFill="1" applyBorder="1" applyAlignment="1">
      <alignment horizontal="left" vertical="top" wrapText="1"/>
    </xf>
    <xf numFmtId="4" fontId="11" fillId="0" borderId="4" xfId="0" applyNumberFormat="1" applyFont="1" applyFill="1" applyBorder="1" applyAlignment="1">
      <alignment horizontal="left" vertical="top" wrapText="1"/>
    </xf>
    <xf numFmtId="2" fontId="8" fillId="0" borderId="1" xfId="0" applyNumberFormat="1" applyFont="1" applyFill="1" applyBorder="1" applyAlignment="1">
      <alignment horizontal="center" vertical="top" wrapText="1"/>
    </xf>
    <xf numFmtId="0" fontId="90" fillId="14" borderId="0" xfId="0" applyFont="1" applyFill="1" applyBorder="1" applyAlignment="1">
      <alignment horizontal="center" vertical="center" wrapText="1"/>
    </xf>
    <xf numFmtId="4" fontId="3" fillId="0" borderId="1" xfId="0" applyNumberFormat="1" applyFont="1" applyFill="1" applyBorder="1" applyAlignment="1">
      <alignment horizontal="center" vertical="top" wrapText="1"/>
    </xf>
    <xf numFmtId="0" fontId="78" fillId="12" borderId="0" xfId="0" applyFont="1" applyFill="1" applyAlignment="1">
      <alignment horizontal="center" vertical="center" wrapText="1"/>
    </xf>
    <xf numFmtId="0" fontId="78" fillId="12" borderId="8" xfId="0" applyFont="1" applyFill="1" applyBorder="1" applyAlignment="1">
      <alignment horizontal="center" vertical="center" wrapText="1"/>
    </xf>
    <xf numFmtId="0" fontId="11" fillId="0" borderId="10" xfId="0" applyFont="1" applyFill="1" applyBorder="1" applyAlignment="1">
      <alignment horizontal="left" wrapText="1"/>
    </xf>
    <xf numFmtId="0" fontId="11" fillId="0" borderId="8" xfId="0" applyFont="1" applyFill="1" applyBorder="1" applyAlignment="1">
      <alignment horizontal="left" wrapText="1"/>
    </xf>
    <xf numFmtId="4" fontId="11" fillId="0" borderId="2" xfId="0" applyNumberFormat="1" applyFont="1" applyFill="1" applyBorder="1" applyAlignment="1">
      <alignment horizontal="center" vertical="top" wrapText="1"/>
    </xf>
    <xf numFmtId="4" fontId="11" fillId="0" borderId="3" xfId="0" applyNumberFormat="1" applyFont="1" applyFill="1" applyBorder="1" applyAlignment="1">
      <alignment horizontal="center" vertical="top" wrapText="1"/>
    </xf>
    <xf numFmtId="4" fontId="11" fillId="0" borderId="4" xfId="0" applyNumberFormat="1" applyFont="1" applyFill="1" applyBorder="1" applyAlignment="1">
      <alignment horizontal="center" vertical="top" wrapText="1"/>
    </xf>
    <xf numFmtId="0" fontId="27" fillId="0" borderId="1" xfId="0" applyFont="1" applyFill="1" applyBorder="1" applyAlignment="1">
      <alignment horizontal="left" vertical="top" wrapText="1"/>
    </xf>
    <xf numFmtId="3" fontId="12" fillId="0" borderId="2" xfId="0" applyNumberFormat="1" applyFont="1" applyFill="1" applyBorder="1" applyAlignment="1">
      <alignment horizontal="center" vertical="center" wrapText="1"/>
    </xf>
    <xf numFmtId="3" fontId="12" fillId="0" borderId="3" xfId="0" applyNumberFormat="1" applyFont="1" applyFill="1" applyBorder="1" applyAlignment="1">
      <alignment horizontal="center" vertical="center" wrapText="1"/>
    </xf>
    <xf numFmtId="3" fontId="12" fillId="0" borderId="4" xfId="0" applyNumberFormat="1" applyFont="1" applyFill="1" applyBorder="1" applyAlignment="1">
      <alignment horizontal="center" vertical="center" wrapText="1"/>
    </xf>
    <xf numFmtId="4" fontId="11" fillId="10" borderId="2" xfId="0" applyNumberFormat="1" applyFont="1" applyFill="1" applyBorder="1" applyAlignment="1">
      <alignment horizontal="left" vertical="top" wrapText="1"/>
    </xf>
    <xf numFmtId="4" fontId="11" fillId="10" borderId="3" xfId="0" applyNumberFormat="1" applyFont="1" applyFill="1" applyBorder="1" applyAlignment="1">
      <alignment horizontal="left" vertical="top" wrapText="1"/>
    </xf>
    <xf numFmtId="0" fontId="65" fillId="12" borderId="12" xfId="0" applyFont="1" applyFill="1" applyBorder="1" applyAlignment="1">
      <alignment horizontal="center" vertical="center" wrapText="1"/>
    </xf>
    <xf numFmtId="0" fontId="65" fillId="12" borderId="10" xfId="0" applyFont="1" applyFill="1" applyBorder="1" applyAlignment="1">
      <alignment horizontal="center" vertical="center" wrapText="1"/>
    </xf>
    <xf numFmtId="49" fontId="11" fillId="0" borderId="1" xfId="0" applyNumberFormat="1" applyFont="1" applyFill="1" applyBorder="1" applyAlignment="1">
      <alignment horizontal="center" vertical="center"/>
    </xf>
    <xf numFmtId="0" fontId="11" fillId="15" borderId="1" xfId="0" applyFont="1" applyFill="1" applyBorder="1" applyAlignment="1">
      <alignment horizontal="left" vertical="top" wrapText="1"/>
    </xf>
    <xf numFmtId="49" fontId="27" fillId="12" borderId="1" xfId="0" applyNumberFormat="1" applyFont="1" applyFill="1" applyBorder="1" applyAlignment="1">
      <alignment horizontal="center" vertical="center" wrapText="1"/>
    </xf>
    <xf numFmtId="4" fontId="12" fillId="0" borderId="2" xfId="0" applyNumberFormat="1" applyFont="1" applyFill="1" applyBorder="1" applyAlignment="1">
      <alignment horizontal="center"/>
    </xf>
    <xf numFmtId="4" fontId="12" fillId="0" borderId="3" xfId="0" applyNumberFormat="1" applyFont="1" applyFill="1" applyBorder="1" applyAlignment="1">
      <alignment horizontal="center"/>
    </xf>
    <xf numFmtId="4" fontId="12" fillId="0" borderId="4" xfId="0" applyNumberFormat="1" applyFont="1" applyFill="1" applyBorder="1" applyAlignment="1">
      <alignment horizontal="center"/>
    </xf>
    <xf numFmtId="0" fontId="89" fillId="11" borderId="1" xfId="0" applyFont="1" applyFill="1" applyBorder="1" applyAlignment="1">
      <alignment horizontal="center" vertical="center" wrapText="1"/>
    </xf>
    <xf numFmtId="0" fontId="89" fillId="17" borderId="1" xfId="0" applyFont="1" applyFill="1" applyBorder="1" applyAlignment="1">
      <alignment horizontal="center" vertical="center" wrapText="1"/>
    </xf>
    <xf numFmtId="49" fontId="11" fillId="2" borderId="1" xfId="0" applyNumberFormat="1" applyFont="1" applyFill="1" applyBorder="1" applyAlignment="1">
      <alignment horizontal="left" vertical="top" wrapText="1"/>
    </xf>
    <xf numFmtId="0" fontId="89" fillId="6" borderId="12" xfId="0" applyFont="1" applyFill="1" applyBorder="1" applyAlignment="1">
      <alignment horizontal="center" vertical="center" wrapText="1"/>
    </xf>
    <xf numFmtId="0" fontId="89" fillId="6" borderId="10" xfId="0" applyFont="1" applyFill="1" applyBorder="1" applyAlignment="1">
      <alignment horizontal="center" vertical="center" wrapText="1"/>
    </xf>
    <xf numFmtId="4" fontId="27" fillId="0" borderId="1" xfId="0" applyNumberFormat="1" applyFont="1" applyFill="1" applyBorder="1" applyAlignment="1">
      <alignment horizontal="center" vertical="top" wrapText="1"/>
    </xf>
    <xf numFmtId="49" fontId="89" fillId="17" borderId="12" xfId="0" applyNumberFormat="1" applyFont="1" applyFill="1" applyBorder="1" applyAlignment="1">
      <alignment horizontal="center" vertical="center" wrapText="1"/>
    </xf>
    <xf numFmtId="49" fontId="89" fillId="17" borderId="10" xfId="0" applyNumberFormat="1" applyFont="1" applyFill="1" applyBorder="1" applyAlignment="1">
      <alignment horizontal="center" vertical="center" wrapText="1"/>
    </xf>
    <xf numFmtId="49" fontId="56" fillId="6" borderId="1" xfId="0" applyNumberFormat="1" applyFont="1" applyFill="1" applyBorder="1" applyAlignment="1">
      <alignment horizontal="center" vertical="center" wrapText="1"/>
    </xf>
    <xf numFmtId="2" fontId="8" fillId="6" borderId="2" xfId="0" applyNumberFormat="1" applyFont="1" applyFill="1" applyBorder="1" applyAlignment="1">
      <alignment horizontal="center" vertical="top" wrapText="1"/>
    </xf>
    <xf numFmtId="2" fontId="8" fillId="6" borderId="3" xfId="0" applyNumberFormat="1" applyFont="1" applyFill="1" applyBorder="1" applyAlignment="1">
      <alignment horizontal="center" vertical="top" wrapText="1"/>
    </xf>
    <xf numFmtId="2" fontId="8" fillId="6" borderId="4" xfId="0" applyNumberFormat="1" applyFont="1" applyFill="1" applyBorder="1" applyAlignment="1">
      <alignment horizontal="center" vertical="top" wrapText="1"/>
    </xf>
    <xf numFmtId="0" fontId="7" fillId="0" borderId="11" xfId="0" applyFont="1" applyFill="1" applyBorder="1" applyAlignment="1">
      <alignment horizontal="left" vertical="top" wrapText="1"/>
    </xf>
    <xf numFmtId="49" fontId="11" fillId="0" borderId="1" xfId="0" applyNumberFormat="1" applyFont="1" applyFill="1" applyBorder="1" applyAlignment="1">
      <alignment horizontal="center" vertical="top" wrapText="1"/>
    </xf>
    <xf numFmtId="4" fontId="11" fillId="0" borderId="3" xfId="0" applyNumberFormat="1" applyFont="1" applyFill="1" applyBorder="1" applyAlignment="1">
      <alignment horizontal="left" vertical="top" wrapText="1"/>
    </xf>
    <xf numFmtId="0" fontId="55" fillId="0" borderId="7" xfId="0" applyFont="1" applyFill="1" applyBorder="1" applyAlignment="1">
      <alignment horizontal="center" vertical="center" wrapText="1"/>
    </xf>
    <xf numFmtId="0" fontId="55" fillId="0" borderId="9" xfId="0" applyFont="1" applyFill="1" applyBorder="1" applyAlignment="1">
      <alignment horizontal="center" vertical="center" wrapText="1"/>
    </xf>
    <xf numFmtId="4" fontId="11" fillId="0" borderId="13" xfId="0" applyNumberFormat="1" applyFont="1" applyFill="1" applyBorder="1" applyAlignment="1">
      <alignment horizontal="left" vertical="top" wrapText="1"/>
    </xf>
    <xf numFmtId="0" fontId="11" fillId="0" borderId="13" xfId="0" applyFont="1" applyFill="1" applyBorder="1" applyAlignment="1">
      <alignment horizontal="center" vertical="top" wrapText="1"/>
    </xf>
    <xf numFmtId="0" fontId="11" fillId="0" borderId="14" xfId="0" applyFont="1" applyFill="1" applyBorder="1" applyAlignment="1">
      <alignment horizontal="center" vertical="top" wrapText="1"/>
    </xf>
    <xf numFmtId="0" fontId="11" fillId="0" borderId="15" xfId="0" applyFont="1" applyFill="1" applyBorder="1" applyAlignment="1">
      <alignment horizontal="center" vertical="top" wrapText="1"/>
    </xf>
    <xf numFmtId="49" fontId="8" fillId="0" borderId="2" xfId="0" applyNumberFormat="1" applyFont="1" applyFill="1" applyBorder="1" applyAlignment="1">
      <alignment horizontal="center" vertical="top" wrapText="1"/>
    </xf>
    <xf numFmtId="49" fontId="8" fillId="0" borderId="3" xfId="0" applyNumberFormat="1" applyFont="1" applyFill="1" applyBorder="1" applyAlignment="1">
      <alignment horizontal="center" vertical="top" wrapText="1"/>
    </xf>
    <xf numFmtId="49" fontId="8" fillId="0" borderId="4" xfId="0" applyNumberFormat="1" applyFont="1" applyFill="1" applyBorder="1" applyAlignment="1">
      <alignment horizontal="center" vertical="top" wrapText="1"/>
    </xf>
    <xf numFmtId="49" fontId="3" fillId="0" borderId="13" xfId="0" applyNumberFormat="1" applyFont="1" applyFill="1" applyBorder="1" applyAlignment="1">
      <alignment horizontal="center" vertical="center" wrapText="1"/>
    </xf>
    <xf numFmtId="49" fontId="3" fillId="0" borderId="14" xfId="0" applyNumberFormat="1" applyFont="1" applyFill="1" applyBorder="1" applyAlignment="1">
      <alignment horizontal="center" vertical="center" wrapText="1"/>
    </xf>
    <xf numFmtId="49" fontId="3" fillId="0" borderId="15" xfId="0" applyNumberFormat="1" applyFont="1" applyFill="1" applyBorder="1" applyAlignment="1">
      <alignment horizontal="center" vertical="center" wrapText="1"/>
    </xf>
    <xf numFmtId="4" fontId="12" fillId="0" borderId="5" xfId="0" applyNumberFormat="1" applyFont="1" applyFill="1" applyBorder="1" applyAlignment="1">
      <alignment horizontal="left"/>
    </xf>
    <xf numFmtId="4" fontId="12" fillId="0" borderId="7" xfId="0" applyNumberFormat="1" applyFont="1" applyFill="1" applyBorder="1" applyAlignment="1">
      <alignment horizontal="left"/>
    </xf>
    <xf numFmtId="4" fontId="12" fillId="0" borderId="9" xfId="0" applyNumberFormat="1" applyFont="1" applyFill="1" applyBorder="1" applyAlignment="1">
      <alignment horizontal="left"/>
    </xf>
    <xf numFmtId="49" fontId="8" fillId="6" borderId="1" xfId="0" applyNumberFormat="1" applyFont="1" applyFill="1" applyBorder="1" applyAlignment="1">
      <alignment horizontal="left" vertical="top" wrapText="1"/>
    </xf>
    <xf numFmtId="49" fontId="11" fillId="6" borderId="1" xfId="0" applyNumberFormat="1" applyFont="1" applyFill="1" applyBorder="1" applyAlignment="1">
      <alignment horizontal="left" vertical="top" wrapText="1"/>
    </xf>
    <xf numFmtId="4" fontId="21" fillId="2" borderId="2" xfId="0" applyNumberFormat="1" applyFont="1" applyFill="1" applyBorder="1" applyAlignment="1">
      <alignment horizontal="center" vertical="top" wrapText="1"/>
    </xf>
    <xf numFmtId="4" fontId="21" fillId="2" borderId="3" xfId="0" applyNumberFormat="1" applyFont="1" applyFill="1" applyBorder="1" applyAlignment="1">
      <alignment horizontal="center" vertical="top" wrapText="1"/>
    </xf>
    <xf numFmtId="4" fontId="21" fillId="2" borderId="9" xfId="0" applyNumberFormat="1" applyFont="1" applyFill="1" applyBorder="1" applyAlignment="1">
      <alignment horizontal="center" vertical="top" wrapText="1"/>
    </xf>
    <xf numFmtId="4" fontId="11"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 fontId="3" fillId="0" borderId="2" xfId="0" applyNumberFormat="1" applyFont="1" applyFill="1" applyBorder="1" applyAlignment="1">
      <alignment horizontal="center" vertical="top" wrapText="1"/>
    </xf>
    <xf numFmtId="4" fontId="3" fillId="0" borderId="3" xfId="0" applyNumberFormat="1" applyFont="1" applyFill="1" applyBorder="1" applyAlignment="1">
      <alignment horizontal="center" vertical="top" wrapText="1"/>
    </xf>
    <xf numFmtId="4" fontId="3" fillId="0" borderId="4" xfId="0" applyNumberFormat="1" applyFont="1" applyFill="1" applyBorder="1" applyAlignment="1">
      <alignment horizontal="center" vertical="top" wrapText="1"/>
    </xf>
    <xf numFmtId="0" fontId="8" fillId="0" borderId="6" xfId="0" applyFont="1" applyFill="1" applyBorder="1" applyAlignment="1">
      <alignment vertical="top" wrapText="1"/>
    </xf>
    <xf numFmtId="0" fontId="8" fillId="0" borderId="10" xfId="0" applyFont="1" applyFill="1" applyBorder="1" applyAlignment="1">
      <alignment vertical="top" wrapText="1"/>
    </xf>
    <xf numFmtId="4" fontId="18" fillId="2" borderId="1" xfId="0" applyNumberFormat="1" applyFont="1" applyFill="1" applyBorder="1" applyAlignment="1">
      <alignment horizontal="left" vertical="top" wrapText="1"/>
    </xf>
    <xf numFmtId="0" fontId="11" fillId="17" borderId="1" xfId="0" applyFont="1" applyFill="1" applyBorder="1" applyAlignment="1">
      <alignment horizontal="left" vertical="top" wrapText="1"/>
    </xf>
    <xf numFmtId="49" fontId="8" fillId="0" borderId="2" xfId="0" applyNumberFormat="1" applyFont="1" applyFill="1" applyBorder="1" applyAlignment="1">
      <alignment horizontal="left" vertical="top" wrapText="1"/>
    </xf>
    <xf numFmtId="49" fontId="8" fillId="0" borderId="3" xfId="0" applyNumberFormat="1" applyFont="1" applyFill="1" applyBorder="1" applyAlignment="1">
      <alignment horizontal="left" vertical="top" wrapText="1"/>
    </xf>
    <xf numFmtId="49" fontId="8" fillId="0" borderId="4" xfId="0" applyNumberFormat="1" applyFont="1" applyFill="1" applyBorder="1" applyAlignment="1">
      <alignment horizontal="left" vertical="top" wrapText="1"/>
    </xf>
    <xf numFmtId="49" fontId="11" fillId="0" borderId="1" xfId="0" applyNumberFormat="1" applyFont="1" applyFill="1" applyBorder="1" applyAlignment="1">
      <alignment vertical="top" wrapText="1"/>
    </xf>
    <xf numFmtId="49" fontId="63" fillId="0" borderId="1" xfId="0" applyNumberFormat="1" applyFont="1" applyFill="1" applyBorder="1" applyAlignment="1">
      <alignment horizontal="center" vertical="center" wrapText="1"/>
    </xf>
    <xf numFmtId="0" fontId="27" fillId="0" borderId="2" xfId="0" applyFont="1" applyFill="1" applyBorder="1" applyAlignment="1">
      <alignment horizontal="center" vertical="top" wrapText="1"/>
    </xf>
    <xf numFmtId="0" fontId="27" fillId="0" borderId="4" xfId="0" applyFont="1" applyFill="1" applyBorder="1" applyAlignment="1">
      <alignment horizontal="center" vertical="top" wrapText="1"/>
    </xf>
    <xf numFmtId="0" fontId="11" fillId="6" borderId="1" xfId="0" applyFont="1" applyFill="1" applyBorder="1" applyAlignment="1">
      <alignment horizontal="left" vertical="top" wrapText="1"/>
    </xf>
    <xf numFmtId="49" fontId="11" fillId="0" borderId="2" xfId="0" applyNumberFormat="1" applyFont="1" applyFill="1" applyBorder="1" applyAlignment="1">
      <alignment horizontal="left" vertical="top" wrapText="1"/>
    </xf>
    <xf numFmtId="49" fontId="11" fillId="0" borderId="3" xfId="0" applyNumberFormat="1" applyFont="1" applyFill="1" applyBorder="1" applyAlignment="1">
      <alignment horizontal="left" vertical="top" wrapText="1"/>
    </xf>
    <xf numFmtId="49" fontId="11" fillId="0" borderId="4" xfId="0" applyNumberFormat="1" applyFont="1" applyFill="1" applyBorder="1" applyAlignment="1">
      <alignment horizontal="left" vertical="top" wrapText="1"/>
    </xf>
    <xf numFmtId="0" fontId="11" fillId="0" borderId="1" xfId="0" applyFont="1" applyFill="1" applyBorder="1" applyAlignment="1">
      <alignment vertical="top" wrapText="1"/>
    </xf>
    <xf numFmtId="49" fontId="98" fillId="11" borderId="1" xfId="0" applyNumberFormat="1" applyFont="1" applyFill="1" applyBorder="1" applyAlignment="1">
      <alignment horizontal="center" vertical="center" wrapText="1"/>
    </xf>
    <xf numFmtId="4" fontId="21" fillId="0" borderId="1" xfId="0" applyNumberFormat="1" applyFont="1" applyFill="1" applyBorder="1" applyAlignment="1">
      <alignment horizontal="left" vertical="top" wrapText="1"/>
    </xf>
    <xf numFmtId="0" fontId="11" fillId="6" borderId="1" xfId="0" applyFont="1" applyFill="1" applyBorder="1" applyAlignment="1">
      <alignment horizontal="center" vertical="center" wrapText="1"/>
    </xf>
    <xf numFmtId="49" fontId="27" fillId="0" borderId="1" xfId="0" applyNumberFormat="1" applyFont="1" applyFill="1" applyBorder="1" applyAlignment="1">
      <alignment horizontal="center" vertical="center" wrapText="1"/>
    </xf>
    <xf numFmtId="0" fontId="65" fillId="0" borderId="1" xfId="0" applyFont="1" applyFill="1" applyBorder="1" applyAlignment="1">
      <alignment horizontal="left" vertical="center" wrapText="1"/>
    </xf>
    <xf numFmtId="49" fontId="94" fillId="6" borderId="9" xfId="0" applyNumberFormat="1" applyFont="1" applyFill="1" applyBorder="1" applyAlignment="1">
      <alignment horizontal="center" vertical="center" wrapText="1"/>
    </xf>
    <xf numFmtId="49" fontId="94" fillId="6" borderId="12" xfId="0" applyNumberFormat="1" applyFont="1" applyFill="1" applyBorder="1" applyAlignment="1">
      <alignment horizontal="center" vertical="center" wrapText="1"/>
    </xf>
    <xf numFmtId="49" fontId="94" fillId="6" borderId="10" xfId="0" applyNumberFormat="1"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6" borderId="6"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0"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11" fillId="0" borderId="0" xfId="0" applyFont="1" applyFill="1" applyAlignment="1">
      <alignment horizontal="left" vertical="center" wrapText="1"/>
    </xf>
    <xf numFmtId="0" fontId="11" fillId="0" borderId="8" xfId="0" applyFont="1" applyFill="1" applyBorder="1" applyAlignment="1">
      <alignment horizontal="left" vertical="center" wrapText="1"/>
    </xf>
    <xf numFmtId="0" fontId="11" fillId="0" borderId="12" xfId="0" applyFont="1" applyFill="1" applyBorder="1" applyAlignment="1">
      <alignment horizontal="left" vertical="center" wrapText="1"/>
    </xf>
    <xf numFmtId="0" fontId="11" fillId="0" borderId="10" xfId="0" applyFont="1" applyFill="1" applyBorder="1" applyAlignment="1">
      <alignment horizontal="left" vertical="center" wrapText="1"/>
    </xf>
    <xf numFmtId="49" fontId="97" fillId="11" borderId="1" xfId="0" applyNumberFormat="1" applyFont="1" applyFill="1" applyBorder="1" applyAlignment="1">
      <alignment horizontal="center" vertical="center" wrapText="1"/>
    </xf>
    <xf numFmtId="49" fontId="94" fillId="0" borderId="5" xfId="0" applyNumberFormat="1" applyFont="1" applyFill="1" applyBorder="1" applyAlignment="1">
      <alignment horizontal="center" vertical="center" wrapText="1"/>
    </xf>
    <xf numFmtId="49" fontId="94" fillId="0" borderId="11" xfId="0" applyNumberFormat="1" applyFont="1" applyFill="1" applyBorder="1" applyAlignment="1">
      <alignment horizontal="center" vertical="center" wrapText="1"/>
    </xf>
    <xf numFmtId="49" fontId="94" fillId="0" borderId="6" xfId="0" applyNumberFormat="1" applyFont="1" applyFill="1" applyBorder="1" applyAlignment="1">
      <alignment horizontal="center" vertical="center" wrapText="1"/>
    </xf>
    <xf numFmtId="49" fontId="94" fillId="0" borderId="7" xfId="0" applyNumberFormat="1" applyFont="1" applyFill="1" applyBorder="1" applyAlignment="1">
      <alignment horizontal="center" vertical="center" wrapText="1"/>
    </xf>
    <xf numFmtId="49" fontId="94" fillId="0" borderId="0" xfId="0" applyNumberFormat="1" applyFont="1" applyFill="1" applyBorder="1" applyAlignment="1">
      <alignment horizontal="center" vertical="center" wrapText="1"/>
    </xf>
    <xf numFmtId="49" fontId="94" fillId="0" borderId="8" xfId="0" applyNumberFormat="1" applyFont="1" applyFill="1" applyBorder="1" applyAlignment="1">
      <alignment horizontal="center" vertical="center" wrapText="1"/>
    </xf>
    <xf numFmtId="49" fontId="94" fillId="0" borderId="9" xfId="0" applyNumberFormat="1" applyFont="1" applyFill="1" applyBorder="1" applyAlignment="1">
      <alignment horizontal="center" vertical="center" wrapText="1"/>
    </xf>
    <xf numFmtId="49" fontId="94" fillId="0" borderId="12" xfId="0" applyNumberFormat="1" applyFont="1" applyFill="1" applyBorder="1" applyAlignment="1">
      <alignment horizontal="center" vertical="center" wrapText="1"/>
    </xf>
    <xf numFmtId="49" fontId="94" fillId="0" borderId="10" xfId="0" applyNumberFormat="1" applyFont="1" applyFill="1" applyBorder="1" applyAlignment="1">
      <alignment horizontal="center" vertical="center" wrapText="1"/>
    </xf>
    <xf numFmtId="0" fontId="26" fillId="0" borderId="6" xfId="0" applyFont="1" applyFill="1" applyBorder="1" applyAlignment="1">
      <alignment horizontal="left" vertical="top" wrapText="1"/>
    </xf>
    <xf numFmtId="0" fontId="26" fillId="0" borderId="10" xfId="0" applyFont="1" applyFill="1" applyBorder="1" applyAlignment="1">
      <alignment horizontal="left" vertical="top" wrapText="1"/>
    </xf>
    <xf numFmtId="49" fontId="27" fillId="0" borderId="1" xfId="0" applyNumberFormat="1" applyFont="1" applyFill="1" applyBorder="1" applyAlignment="1">
      <alignment horizontal="center" vertical="top" wrapText="1"/>
    </xf>
    <xf numFmtId="4" fontId="3" fillId="23" borderId="2" xfId="0" applyNumberFormat="1" applyFont="1" applyFill="1" applyBorder="1" applyAlignment="1">
      <alignment horizontal="center" vertical="top" wrapText="1"/>
    </xf>
    <xf numFmtId="4" fontId="3" fillId="23" borderId="3" xfId="0" applyNumberFormat="1" applyFont="1" applyFill="1" applyBorder="1" applyAlignment="1">
      <alignment horizontal="center" vertical="top" wrapText="1"/>
    </xf>
    <xf numFmtId="4" fontId="3" fillId="23" borderId="4" xfId="0" applyNumberFormat="1" applyFont="1" applyFill="1" applyBorder="1" applyAlignment="1">
      <alignment horizontal="center" vertical="top" wrapText="1"/>
    </xf>
    <xf numFmtId="4" fontId="11" fillId="6" borderId="1" xfId="0" applyNumberFormat="1" applyFont="1" applyFill="1" applyBorder="1" applyAlignment="1">
      <alignment horizontal="left" vertical="top" wrapText="1"/>
    </xf>
    <xf numFmtId="0" fontId="11" fillId="25" borderId="1" xfId="0" applyFont="1" applyFill="1" applyBorder="1" applyAlignment="1">
      <alignment horizontal="left" vertical="top" wrapText="1"/>
    </xf>
    <xf numFmtId="0" fontId="11" fillId="15" borderId="1" xfId="0" applyFont="1" applyFill="1" applyBorder="1" applyAlignment="1">
      <alignment horizontal="left" vertical="center" wrapText="1"/>
    </xf>
    <xf numFmtId="49" fontId="63" fillId="0" borderId="2" xfId="0" applyNumberFormat="1" applyFont="1" applyFill="1" applyBorder="1" applyAlignment="1">
      <alignment horizontal="center" vertical="center" wrapText="1"/>
    </xf>
    <xf numFmtId="49" fontId="63" fillId="0" borderId="4" xfId="0" applyNumberFormat="1" applyFont="1" applyFill="1" applyBorder="1" applyAlignment="1">
      <alignment horizontal="center" vertical="center" wrapText="1"/>
    </xf>
    <xf numFmtId="4" fontId="11" fillId="0" borderId="5" xfId="0" applyNumberFormat="1" applyFont="1" applyFill="1" applyBorder="1" applyAlignment="1">
      <alignment horizontal="left" vertical="top" wrapText="1"/>
    </xf>
    <xf numFmtId="4" fontId="11" fillId="0" borderId="7" xfId="0" applyNumberFormat="1" applyFont="1" applyFill="1" applyBorder="1" applyAlignment="1">
      <alignment horizontal="left" vertical="top" wrapText="1"/>
    </xf>
    <xf numFmtId="4" fontId="11" fillId="0" borderId="9" xfId="0" applyNumberFormat="1" applyFont="1" applyFill="1" applyBorder="1" applyAlignment="1">
      <alignment horizontal="left" vertical="top" wrapText="1"/>
    </xf>
    <xf numFmtId="49" fontId="11" fillId="29" borderId="1" xfId="0" applyNumberFormat="1" applyFont="1" applyFill="1" applyBorder="1" applyAlignment="1">
      <alignment horizontal="left" vertical="top" wrapText="1"/>
    </xf>
    <xf numFmtId="0" fontId="3" fillId="29" borderId="1" xfId="0" applyFont="1" applyFill="1" applyBorder="1" applyAlignment="1">
      <alignment horizontal="left" vertical="top" wrapText="1"/>
    </xf>
    <xf numFmtId="49" fontId="94" fillId="11" borderId="1" xfId="0" applyNumberFormat="1" applyFont="1" applyFill="1" applyBorder="1" applyAlignment="1">
      <alignment horizontal="center" vertical="center" wrapText="1"/>
    </xf>
    <xf numFmtId="0" fontId="21" fillId="0" borderId="1" xfId="0" applyFont="1" applyFill="1" applyBorder="1" applyAlignment="1">
      <alignment horizontal="left" vertical="top" wrapText="1"/>
    </xf>
    <xf numFmtId="4" fontId="12" fillId="0" borderId="5" xfId="0" applyNumberFormat="1" applyFont="1" applyFill="1" applyBorder="1" applyAlignment="1">
      <alignment horizontal="left" wrapText="1"/>
    </xf>
    <xf numFmtId="4" fontId="12" fillId="0" borderId="7" xfId="0" applyNumberFormat="1" applyFont="1" applyFill="1" applyBorder="1" applyAlignment="1">
      <alignment horizontal="left" wrapText="1"/>
    </xf>
    <xf numFmtId="4" fontId="12" fillId="0" borderId="9" xfId="0" applyNumberFormat="1" applyFont="1" applyFill="1" applyBorder="1" applyAlignment="1">
      <alignment horizontal="left" wrapText="1"/>
    </xf>
    <xf numFmtId="4" fontId="12" fillId="0" borderId="5" xfId="0" applyNumberFormat="1" applyFont="1" applyFill="1" applyBorder="1" applyAlignment="1">
      <alignment horizontal="center"/>
    </xf>
    <xf numFmtId="4" fontId="12" fillId="0" borderId="7" xfId="0" applyNumberFormat="1" applyFont="1" applyFill="1" applyBorder="1" applyAlignment="1">
      <alignment horizontal="center"/>
    </xf>
    <xf numFmtId="4" fontId="12" fillId="0" borderId="9" xfId="0" applyNumberFormat="1" applyFont="1" applyFill="1" applyBorder="1" applyAlignment="1">
      <alignment horizontal="center"/>
    </xf>
    <xf numFmtId="0" fontId="90" fillId="11" borderId="1" xfId="0" applyFont="1" applyFill="1" applyBorder="1" applyAlignment="1">
      <alignment horizontal="left" vertical="top" wrapText="1"/>
    </xf>
    <xf numFmtId="49" fontId="27" fillId="0" borderId="2" xfId="0" applyNumberFormat="1" applyFont="1" applyFill="1" applyBorder="1" applyAlignment="1">
      <alignment horizontal="center" vertical="center" wrapText="1"/>
    </xf>
    <xf numFmtId="49" fontId="27" fillId="0" borderId="4" xfId="0" applyNumberFormat="1" applyFont="1" applyFill="1" applyBorder="1" applyAlignment="1">
      <alignment horizontal="center" vertical="center" wrapText="1"/>
    </xf>
    <xf numFmtId="49" fontId="11" fillId="0" borderId="13" xfId="0" applyNumberFormat="1" applyFont="1" applyFill="1" applyBorder="1" applyAlignment="1">
      <alignment horizontal="left" vertical="top" wrapText="1"/>
    </xf>
    <xf numFmtId="49" fontId="11" fillId="0" borderId="14" xfId="0" applyNumberFormat="1" applyFont="1" applyFill="1" applyBorder="1" applyAlignment="1">
      <alignment horizontal="left" vertical="top" wrapText="1"/>
    </xf>
    <xf numFmtId="49" fontId="11" fillId="0" borderId="15" xfId="0" applyNumberFormat="1" applyFont="1" applyFill="1" applyBorder="1" applyAlignment="1">
      <alignment horizontal="left" vertical="top" wrapText="1"/>
    </xf>
    <xf numFmtId="49" fontId="101" fillId="0" borderId="1" xfId="0" applyNumberFormat="1" applyFont="1" applyFill="1" applyBorder="1" applyAlignment="1">
      <alignment horizontal="center" vertical="center"/>
    </xf>
    <xf numFmtId="49" fontId="11" fillId="0" borderId="1" xfId="0" applyNumberFormat="1" applyFont="1" applyFill="1" applyBorder="1" applyAlignment="1">
      <alignment horizontal="center" vertical="top"/>
    </xf>
    <xf numFmtId="0" fontId="90" fillId="11" borderId="1" xfId="0" applyFont="1" applyFill="1" applyBorder="1" applyAlignment="1">
      <alignment horizontal="center" vertical="center" wrapText="1"/>
    </xf>
    <xf numFmtId="0" fontId="11" fillId="15" borderId="1" xfId="0" applyFont="1" applyFill="1" applyBorder="1" applyAlignment="1">
      <alignment vertical="top" wrapText="1"/>
    </xf>
    <xf numFmtId="0" fontId="27" fillId="2" borderId="1" xfId="0" applyFont="1" applyFill="1" applyBorder="1" applyAlignment="1">
      <alignment horizontal="left" vertical="top" wrapText="1"/>
    </xf>
    <xf numFmtId="3" fontId="63" fillId="0" borderId="1" xfId="0" applyNumberFormat="1" applyFont="1" applyFill="1" applyBorder="1" applyAlignment="1">
      <alignment horizontal="center" vertical="top" wrapText="1"/>
    </xf>
    <xf numFmtId="49" fontId="3" fillId="0" borderId="1" xfId="0" applyNumberFormat="1" applyFont="1" applyFill="1" applyBorder="1" applyAlignment="1">
      <alignment horizontal="center" vertical="top" wrapText="1"/>
    </xf>
    <xf numFmtId="4" fontId="3" fillId="0" borderId="1" xfId="0" applyNumberFormat="1" applyFont="1" applyFill="1" applyBorder="1" applyAlignment="1">
      <alignment horizontal="left" vertical="top" wrapText="1"/>
    </xf>
    <xf numFmtId="0" fontId="11" fillId="10" borderId="1" xfId="0" applyFont="1" applyFill="1" applyBorder="1" applyAlignment="1">
      <alignment horizontal="left" vertical="top" wrapText="1"/>
    </xf>
    <xf numFmtId="4" fontId="11" fillId="2" borderId="1" xfId="0" applyNumberFormat="1" applyFont="1" applyFill="1" applyBorder="1" applyAlignment="1">
      <alignment horizontal="left" vertical="top" wrapText="1"/>
    </xf>
    <xf numFmtId="0" fontId="11" fillId="29" borderId="1" xfId="0" applyFont="1" applyFill="1" applyBorder="1" applyAlignment="1">
      <alignment horizontal="left" vertical="top" wrapText="1"/>
    </xf>
    <xf numFmtId="0" fontId="9" fillId="0" borderId="1" xfId="0" applyFont="1" applyFill="1" applyBorder="1" applyAlignment="1">
      <alignment horizontal="left" vertical="top" wrapText="1"/>
    </xf>
    <xf numFmtId="49" fontId="3" fillId="29" borderId="1" xfId="0" applyNumberFormat="1" applyFont="1" applyFill="1" applyBorder="1" applyAlignment="1">
      <alignment horizontal="left" vertical="top" wrapText="1"/>
    </xf>
    <xf numFmtId="0" fontId="11" fillId="29" borderId="1" xfId="0" applyFont="1" applyFill="1" applyBorder="1" applyAlignment="1">
      <alignment horizontal="center" vertical="top" wrapText="1"/>
    </xf>
    <xf numFmtId="49" fontId="3" fillId="0" borderId="1" xfId="0" applyNumberFormat="1" applyFont="1" applyFill="1" applyBorder="1" applyAlignment="1">
      <alignment horizontal="left" vertical="top" wrapText="1"/>
    </xf>
    <xf numFmtId="4" fontId="11" fillId="2" borderId="2" xfId="0" applyNumberFormat="1" applyFont="1" applyFill="1" applyBorder="1" applyAlignment="1">
      <alignment horizontal="center" vertical="top" wrapText="1"/>
    </xf>
    <xf numFmtId="4" fontId="11" fillId="2" borderId="3" xfId="0" applyNumberFormat="1" applyFont="1" applyFill="1" applyBorder="1" applyAlignment="1">
      <alignment horizontal="center" vertical="top" wrapText="1"/>
    </xf>
    <xf numFmtId="4" fontId="11" fillId="2" borderId="4" xfId="0" applyNumberFormat="1" applyFont="1" applyFill="1" applyBorder="1" applyAlignment="1">
      <alignment horizontal="center" vertical="top" wrapText="1"/>
    </xf>
    <xf numFmtId="4" fontId="11" fillId="21" borderId="1" xfId="0" applyNumberFormat="1" applyFont="1" applyFill="1" applyBorder="1" applyAlignment="1">
      <alignment horizontal="left" vertical="top" wrapText="1"/>
    </xf>
    <xf numFmtId="0" fontId="21" fillId="0" borderId="2" xfId="0" applyFont="1" applyFill="1" applyBorder="1" applyAlignment="1">
      <alignment horizontal="left" vertical="top" wrapText="1"/>
    </xf>
    <xf numFmtId="0" fontId="21" fillId="0" borderId="3" xfId="0" applyFont="1" applyFill="1" applyBorder="1" applyAlignment="1">
      <alignment horizontal="left" vertical="top" wrapText="1"/>
    </xf>
    <xf numFmtId="0" fontId="21" fillId="0" borderId="4" xfId="0" applyFont="1" applyFill="1" applyBorder="1" applyAlignment="1">
      <alignment horizontal="left" vertical="top" wrapText="1"/>
    </xf>
    <xf numFmtId="0" fontId="7" fillId="2" borderId="1" xfId="0" applyFont="1" applyFill="1" applyBorder="1" applyAlignment="1">
      <alignment horizontal="left" vertical="top" wrapText="1"/>
    </xf>
    <xf numFmtId="0" fontId="11" fillId="0" borderId="1" xfId="0" applyFont="1" applyFill="1" applyBorder="1" applyAlignment="1">
      <alignment horizontal="center" vertical="center" wrapText="1"/>
    </xf>
    <xf numFmtId="0" fontId="11" fillId="15" borderId="1" xfId="0" applyFont="1" applyFill="1" applyBorder="1" applyAlignment="1">
      <alignment horizontal="center" vertical="top" wrapText="1"/>
    </xf>
    <xf numFmtId="0" fontId="0" fillId="0" borderId="2" xfId="0" applyFill="1" applyBorder="1" applyAlignment="1">
      <alignment horizontal="center"/>
    </xf>
    <xf numFmtId="0" fontId="0" fillId="0" borderId="4" xfId="0" applyFill="1" applyBorder="1" applyAlignment="1">
      <alignment horizontal="center"/>
    </xf>
    <xf numFmtId="49" fontId="11" fillId="0" borderId="2" xfId="0" applyNumberFormat="1" applyFont="1" applyFill="1" applyBorder="1" applyAlignment="1">
      <alignment horizontal="center" vertical="top" wrapText="1"/>
    </xf>
    <xf numFmtId="49" fontId="11" fillId="0" borderId="4" xfId="0" applyNumberFormat="1" applyFont="1" applyFill="1" applyBorder="1" applyAlignment="1">
      <alignment horizontal="center" vertical="top" wrapText="1"/>
    </xf>
    <xf numFmtId="4" fontId="11" fillId="0" borderId="2" xfId="0" applyNumberFormat="1" applyFont="1" applyFill="1" applyBorder="1" applyAlignment="1">
      <alignment horizontal="center" vertical="top"/>
    </xf>
    <xf numFmtId="4" fontId="11" fillId="0" borderId="3" xfId="0" applyNumberFormat="1" applyFont="1" applyFill="1" applyBorder="1" applyAlignment="1">
      <alignment horizontal="center" vertical="top"/>
    </xf>
    <xf numFmtId="2" fontId="8" fillId="6" borderId="1" xfId="0" applyNumberFormat="1" applyFont="1" applyFill="1" applyBorder="1" applyAlignment="1">
      <alignment horizontal="left" vertical="top" wrapText="1"/>
    </xf>
    <xf numFmtId="3" fontId="27" fillId="0" borderId="13" xfId="0" applyNumberFormat="1" applyFont="1" applyFill="1" applyBorder="1" applyAlignment="1">
      <alignment horizontal="center" vertical="top" wrapText="1"/>
    </xf>
    <xf numFmtId="0" fontId="11" fillId="6" borderId="5" xfId="0" applyFont="1" applyFill="1" applyBorder="1" applyAlignment="1">
      <alignment horizontal="left" vertical="top" wrapText="1"/>
    </xf>
    <xf numFmtId="0" fontId="11" fillId="6" borderId="11"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7" xfId="0" applyFont="1" applyFill="1" applyBorder="1" applyAlignment="1">
      <alignment horizontal="left" vertical="top" wrapText="1"/>
    </xf>
    <xf numFmtId="0" fontId="11" fillId="6" borderId="0" xfId="0" applyFont="1" applyFill="1" applyBorder="1" applyAlignment="1">
      <alignment horizontal="left" vertical="top" wrapText="1"/>
    </xf>
    <xf numFmtId="0" fontId="11" fillId="6" borderId="8" xfId="0" applyFont="1" applyFill="1" applyBorder="1" applyAlignment="1">
      <alignment horizontal="left" vertical="top" wrapText="1"/>
    </xf>
    <xf numFmtId="0" fontId="11" fillId="6" borderId="9" xfId="0" applyFont="1" applyFill="1" applyBorder="1" applyAlignment="1">
      <alignment horizontal="left" vertical="top" wrapText="1"/>
    </xf>
    <xf numFmtId="0" fontId="11" fillId="6" borderId="12" xfId="0" applyFont="1" applyFill="1" applyBorder="1" applyAlignment="1">
      <alignment horizontal="left" vertical="top" wrapText="1"/>
    </xf>
    <xf numFmtId="0" fontId="11" fillId="6" borderId="10" xfId="0" applyFont="1" applyFill="1" applyBorder="1" applyAlignment="1">
      <alignment horizontal="left" vertical="top" wrapText="1"/>
    </xf>
    <xf numFmtId="4" fontId="11" fillId="6" borderId="2" xfId="0" applyNumberFormat="1" applyFont="1" applyFill="1" applyBorder="1" applyAlignment="1">
      <alignment horizontal="left" vertical="top" wrapText="1"/>
    </xf>
    <xf numFmtId="4" fontId="11" fillId="6" borderId="3" xfId="0" applyNumberFormat="1" applyFont="1" applyFill="1" applyBorder="1" applyAlignment="1">
      <alignment horizontal="left" vertical="top" wrapText="1"/>
    </xf>
    <xf numFmtId="4" fontId="11" fillId="6" borderId="4" xfId="0" applyNumberFormat="1" applyFont="1" applyFill="1" applyBorder="1" applyAlignment="1">
      <alignment horizontal="left" vertical="top" wrapText="1"/>
    </xf>
    <xf numFmtId="4" fontId="48" fillId="0" borderId="1" xfId="0" applyNumberFormat="1" applyFont="1" applyFill="1" applyBorder="1" applyAlignment="1">
      <alignment horizontal="center" vertical="top" wrapText="1"/>
    </xf>
    <xf numFmtId="4" fontId="11" fillId="0" borderId="2" xfId="0" applyNumberFormat="1" applyFont="1" applyFill="1" applyBorder="1" applyAlignment="1">
      <alignment horizontal="left" vertical="top"/>
    </xf>
    <xf numFmtId="4" fontId="11" fillId="0" borderId="3" xfId="0" applyNumberFormat="1" applyFont="1" applyFill="1" applyBorder="1" applyAlignment="1">
      <alignment horizontal="left" vertical="top"/>
    </xf>
    <xf numFmtId="4" fontId="21" fillId="2" borderId="1" xfId="0" applyNumberFormat="1" applyFont="1" applyFill="1" applyBorder="1" applyAlignment="1">
      <alignment horizontal="left" vertical="top" wrapText="1"/>
    </xf>
    <xf numFmtId="0" fontId="141" fillId="0" borderId="1" xfId="0" applyNumberFormat="1" applyFont="1" applyFill="1" applyBorder="1" applyAlignment="1">
      <alignment horizontal="left" vertical="top"/>
    </xf>
    <xf numFmtId="4" fontId="21" fillId="2" borderId="4" xfId="0" applyNumberFormat="1" applyFont="1" applyFill="1" applyBorder="1" applyAlignment="1">
      <alignment horizontal="center" vertical="top" wrapText="1"/>
    </xf>
    <xf numFmtId="4" fontId="11" fillId="0" borderId="15" xfId="0" applyNumberFormat="1" applyFont="1" applyFill="1" applyBorder="1" applyAlignment="1">
      <alignment horizontal="left" vertical="top" wrapText="1"/>
    </xf>
    <xf numFmtId="4" fontId="18" fillId="0" borderId="2" xfId="0" applyNumberFormat="1" applyFont="1" applyFill="1" applyBorder="1" applyAlignment="1">
      <alignment horizontal="left" vertical="top" wrapText="1"/>
    </xf>
    <xf numFmtId="4" fontId="18" fillId="0" borderId="3" xfId="0" applyNumberFormat="1" applyFont="1" applyFill="1" applyBorder="1" applyAlignment="1">
      <alignment horizontal="left" vertical="top" wrapText="1"/>
    </xf>
    <xf numFmtId="4" fontId="18" fillId="0" borderId="4" xfId="0" applyNumberFormat="1" applyFont="1" applyFill="1" applyBorder="1" applyAlignment="1">
      <alignment horizontal="left" vertical="top" wrapText="1"/>
    </xf>
    <xf numFmtId="4" fontId="18" fillId="0" borderId="15" xfId="0" applyNumberFormat="1" applyFont="1" applyFill="1" applyBorder="1" applyAlignment="1">
      <alignment horizontal="left" vertical="top" wrapText="1"/>
    </xf>
    <xf numFmtId="4" fontId="18" fillId="0" borderId="1" xfId="0" applyNumberFormat="1" applyFont="1" applyFill="1" applyBorder="1" applyAlignment="1">
      <alignment horizontal="left" vertical="top" wrapText="1"/>
    </xf>
    <xf numFmtId="4" fontId="11" fillId="12" borderId="2" xfId="0" applyNumberFormat="1" applyFont="1" applyFill="1" applyBorder="1" applyAlignment="1">
      <alignment horizontal="center" vertical="top" wrapText="1"/>
    </xf>
    <xf numFmtId="4" fontId="11" fillId="12" borderId="4" xfId="0" applyNumberFormat="1" applyFont="1" applyFill="1" applyBorder="1" applyAlignment="1">
      <alignment horizontal="center" vertical="top" wrapText="1"/>
    </xf>
    <xf numFmtId="4" fontId="12" fillId="0" borderId="5" xfId="0" applyNumberFormat="1" applyFont="1" applyFill="1" applyBorder="1" applyAlignment="1">
      <alignment horizontal="left" vertical="center" wrapText="1"/>
    </xf>
    <xf numFmtId="4" fontId="12" fillId="0" borderId="7" xfId="0" applyNumberFormat="1" applyFont="1" applyFill="1" applyBorder="1" applyAlignment="1">
      <alignment horizontal="left" vertical="center" wrapText="1"/>
    </xf>
    <xf numFmtId="4" fontId="12" fillId="0" borderId="9" xfId="0" applyNumberFormat="1" applyFont="1" applyFill="1" applyBorder="1" applyAlignment="1">
      <alignment horizontal="left" vertical="center" wrapText="1"/>
    </xf>
    <xf numFmtId="0" fontId="54" fillId="0" borderId="0" xfId="0" applyFont="1" applyFill="1" applyAlignment="1">
      <alignment horizontal="center" vertical="center" wrapText="1"/>
    </xf>
    <xf numFmtId="4" fontId="95" fillId="0" borderId="2" xfId="0" applyNumberFormat="1" applyFont="1" applyFill="1" applyBorder="1" applyAlignment="1">
      <alignment horizontal="center"/>
    </xf>
    <xf numFmtId="4" fontId="95" fillId="0" borderId="4" xfId="0" applyNumberFormat="1" applyFont="1" applyFill="1" applyBorder="1" applyAlignment="1">
      <alignment horizontal="center"/>
    </xf>
    <xf numFmtId="0" fontId="22" fillId="0" borderId="1" xfId="0" applyFont="1" applyFill="1" applyBorder="1" applyAlignment="1">
      <alignment horizontal="center"/>
    </xf>
    <xf numFmtId="49" fontId="11" fillId="2" borderId="2" xfId="0" applyNumberFormat="1" applyFont="1" applyFill="1" applyBorder="1" applyAlignment="1">
      <alignment horizontal="left" vertical="top" wrapText="1"/>
    </xf>
    <xf numFmtId="49" fontId="11" fillId="2" borderId="3" xfId="0" applyNumberFormat="1" applyFont="1" applyFill="1" applyBorder="1" applyAlignment="1">
      <alignment horizontal="left" vertical="top" wrapText="1"/>
    </xf>
    <xf numFmtId="49" fontId="11" fillId="2" borderId="4" xfId="0" applyNumberFormat="1" applyFont="1" applyFill="1" applyBorder="1" applyAlignment="1">
      <alignment horizontal="left" vertical="top" wrapText="1"/>
    </xf>
    <xf numFmtId="49" fontId="21" fillId="0" borderId="2" xfId="0" applyNumberFormat="1" applyFont="1" applyFill="1" applyBorder="1" applyAlignment="1">
      <alignment horizontal="left" vertical="top" wrapText="1"/>
    </xf>
    <xf numFmtId="49" fontId="21" fillId="0" borderId="3" xfId="0" applyNumberFormat="1" applyFont="1" applyFill="1" applyBorder="1" applyAlignment="1">
      <alignment horizontal="left" vertical="top" wrapText="1"/>
    </xf>
    <xf numFmtId="49" fontId="21" fillId="0" borderId="4" xfId="0" applyNumberFormat="1" applyFont="1" applyFill="1" applyBorder="1" applyAlignment="1">
      <alignment horizontal="left" vertical="top" wrapText="1"/>
    </xf>
    <xf numFmtId="4" fontId="3" fillId="2" borderId="1" xfId="0" applyNumberFormat="1" applyFont="1" applyFill="1" applyBorder="1" applyAlignment="1">
      <alignment horizontal="left" vertical="top" wrapText="1"/>
    </xf>
    <xf numFmtId="0" fontId="11" fillId="2" borderId="1" xfId="0" applyFont="1" applyFill="1" applyBorder="1" applyAlignment="1">
      <alignment horizontal="center" vertical="top" wrapText="1"/>
    </xf>
    <xf numFmtId="49" fontId="11" fillId="0" borderId="2" xfId="0" applyNumberFormat="1" applyFont="1" applyFill="1" applyBorder="1" applyAlignment="1">
      <alignment horizontal="center" vertical="center"/>
    </xf>
    <xf numFmtId="49" fontId="11" fillId="0" borderId="3" xfId="0" applyNumberFormat="1" applyFont="1" applyFill="1" applyBorder="1" applyAlignment="1">
      <alignment horizontal="center" vertical="center"/>
    </xf>
    <xf numFmtId="49" fontId="11" fillId="0" borderId="4" xfId="0" applyNumberFormat="1" applyFont="1" applyFill="1" applyBorder="1" applyAlignment="1">
      <alignment horizontal="center" vertical="center"/>
    </xf>
    <xf numFmtId="49" fontId="116" fillId="11" borderId="2" xfId="0" applyNumberFormat="1" applyFont="1" applyFill="1" applyBorder="1" applyAlignment="1">
      <alignment horizontal="center" vertical="center" wrapText="1"/>
    </xf>
    <xf numFmtId="49" fontId="116" fillId="11" borderId="3" xfId="0" applyNumberFormat="1" applyFont="1" applyFill="1" applyBorder="1" applyAlignment="1">
      <alignment horizontal="center" vertical="center" wrapText="1"/>
    </xf>
    <xf numFmtId="49" fontId="116" fillId="11" borderId="4" xfId="0" applyNumberFormat="1" applyFont="1" applyFill="1" applyBorder="1" applyAlignment="1">
      <alignment horizontal="center" vertical="center" wrapText="1"/>
    </xf>
    <xf numFmtId="49" fontId="0" fillId="0" borderId="12" xfId="0" applyNumberFormat="1" applyBorder="1" applyAlignment="1">
      <alignment horizontal="center"/>
    </xf>
    <xf numFmtId="49" fontId="0" fillId="0" borderId="0" xfId="0" applyNumberFormat="1" applyAlignment="1">
      <alignment horizontal="left"/>
    </xf>
    <xf numFmtId="49" fontId="0" fillId="0" borderId="0" xfId="0" applyNumberFormat="1" applyAlignment="1">
      <alignment horizontal="center" vertical="center" wrapText="1"/>
    </xf>
    <xf numFmtId="49" fontId="0" fillId="0" borderId="0" xfId="0" applyNumberFormat="1" applyAlignment="1">
      <alignment horizontal="center" vertical="center"/>
    </xf>
    <xf numFmtId="49" fontId="116" fillId="14" borderId="13" xfId="0" applyNumberFormat="1" applyFont="1" applyFill="1" applyBorder="1" applyAlignment="1">
      <alignment horizontal="left" vertical="center" wrapText="1"/>
    </xf>
    <xf numFmtId="49" fontId="116" fillId="14" borderId="14" xfId="0" applyNumberFormat="1" applyFont="1" applyFill="1" applyBorder="1" applyAlignment="1">
      <alignment horizontal="left" vertical="center" wrapText="1"/>
    </xf>
    <xf numFmtId="49" fontId="116" fillId="14" borderId="15" xfId="0" applyNumberFormat="1" applyFont="1" applyFill="1" applyBorder="1" applyAlignment="1">
      <alignment horizontal="left" vertical="center" wrapText="1"/>
    </xf>
    <xf numFmtId="0" fontId="111" fillId="0" borderId="0" xfId="0" applyFont="1" applyAlignment="1">
      <alignment horizontal="center" vertical="center" wrapText="1"/>
    </xf>
    <xf numFmtId="0" fontId="111" fillId="0" borderId="12" xfId="0" applyFont="1" applyBorder="1" applyAlignment="1">
      <alignment horizontal="center" vertical="center" wrapText="1"/>
    </xf>
    <xf numFmtId="0" fontId="40" fillId="0" borderId="13" xfId="0" applyFont="1" applyBorder="1" applyAlignment="1">
      <alignment vertical="center" wrapText="1"/>
    </xf>
    <xf numFmtId="0" fontId="40" fillId="0" borderId="14" xfId="0" applyFont="1" applyBorder="1" applyAlignment="1">
      <alignment vertical="center" wrapText="1"/>
    </xf>
    <xf numFmtId="0" fontId="40" fillId="0" borderId="15" xfId="0" applyFont="1" applyBorder="1" applyAlignment="1">
      <alignment vertical="center" wrapText="1"/>
    </xf>
    <xf numFmtId="0" fontId="40" fillId="0" borderId="2" xfId="0" applyFont="1" applyBorder="1" applyAlignment="1">
      <alignment vertical="center" wrapText="1"/>
    </xf>
    <xf numFmtId="0" fontId="40" fillId="0" borderId="3" xfId="0" applyFont="1" applyBorder="1" applyAlignment="1">
      <alignment vertical="center" wrapText="1"/>
    </xf>
    <xf numFmtId="0" fontId="40" fillId="0" borderId="4" xfId="0" applyFont="1" applyBorder="1" applyAlignment="1">
      <alignment vertical="center" wrapText="1"/>
    </xf>
    <xf numFmtId="4" fontId="2" fillId="0" borderId="2" xfId="0" applyNumberFormat="1" applyFont="1" applyFill="1" applyBorder="1" applyAlignment="1">
      <alignment horizontal="left" vertical="top" wrapText="1"/>
    </xf>
    <xf numFmtId="4" fontId="2" fillId="0" borderId="4" xfId="0" applyNumberFormat="1" applyFont="1" applyFill="1" applyBorder="1" applyAlignment="1">
      <alignment horizontal="left" vertical="top" wrapText="1"/>
    </xf>
    <xf numFmtId="0" fontId="110" fillId="0" borderId="0" xfId="0" applyFont="1" applyAlignment="1">
      <alignment horizontal="center" vertical="center"/>
    </xf>
    <xf numFmtId="0" fontId="65" fillId="2" borderId="1" xfId="0" applyFont="1" applyFill="1" applyBorder="1" applyAlignment="1">
      <alignment horizontal="center" vertical="center" wrapText="1"/>
    </xf>
    <xf numFmtId="4" fontId="65" fillId="0" borderId="1" xfId="0" applyNumberFormat="1" applyFont="1" applyFill="1" applyBorder="1" applyAlignment="1">
      <alignment horizontal="center" vertical="center"/>
    </xf>
    <xf numFmtId="49" fontId="2" fillId="0" borderId="1" xfId="0" applyNumberFormat="1" applyFont="1" applyFill="1" applyBorder="1" applyAlignment="1">
      <alignment horizontal="left" vertical="top" wrapText="1"/>
    </xf>
    <xf numFmtId="49" fontId="2" fillId="2" borderId="1" xfId="0" applyNumberFormat="1" applyFont="1" applyFill="1" applyBorder="1" applyAlignment="1">
      <alignment horizontal="left" vertical="top" wrapText="1"/>
    </xf>
    <xf numFmtId="0" fontId="2" fillId="2" borderId="2" xfId="0" applyFont="1" applyFill="1" applyBorder="1" applyAlignment="1">
      <alignment horizontal="left" vertical="top" wrapText="1"/>
    </xf>
    <xf numFmtId="0" fontId="2" fillId="2" borderId="4" xfId="0" applyFont="1" applyFill="1" applyBorder="1" applyAlignment="1">
      <alignment horizontal="left" vertical="top" wrapText="1"/>
    </xf>
    <xf numFmtId="4" fontId="2" fillId="2" borderId="1" xfId="0" applyNumberFormat="1" applyFont="1" applyFill="1" applyBorder="1" applyAlignment="1">
      <alignment horizontal="left" vertical="top" wrapText="1"/>
    </xf>
    <xf numFmtId="4" fontId="2" fillId="0" borderId="13" xfId="0" applyNumberFormat="1" applyFont="1" applyFill="1" applyBorder="1" applyAlignment="1">
      <alignment horizontal="center" vertical="top" wrapText="1"/>
    </xf>
    <xf numFmtId="4" fontId="2" fillId="0" borderId="14" xfId="0" applyNumberFormat="1" applyFont="1" applyFill="1" applyBorder="1" applyAlignment="1">
      <alignment horizontal="center" vertical="top" wrapText="1"/>
    </xf>
    <xf numFmtId="4" fontId="2" fillId="0" borderId="15" xfId="0" applyNumberFormat="1" applyFont="1" applyFill="1" applyBorder="1" applyAlignment="1">
      <alignment horizontal="center" vertical="top" wrapText="1"/>
    </xf>
    <xf numFmtId="2" fontId="2" fillId="0" borderId="13" xfId="0" applyNumberFormat="1" applyFont="1" applyFill="1" applyBorder="1" applyAlignment="1">
      <alignment horizontal="center" vertical="top" wrapText="1"/>
    </xf>
    <xf numFmtId="2" fontId="2" fillId="0" borderId="14" xfId="0" applyNumberFormat="1" applyFont="1" applyFill="1" applyBorder="1" applyAlignment="1">
      <alignment horizontal="center" vertical="top" wrapText="1"/>
    </xf>
    <xf numFmtId="2" fontId="2" fillId="0" borderId="15" xfId="0" applyNumberFormat="1" applyFont="1" applyFill="1" applyBorder="1" applyAlignment="1">
      <alignment horizontal="center" vertical="top" wrapText="1"/>
    </xf>
    <xf numFmtId="0" fontId="112" fillId="0" borderId="0" xfId="0" applyFont="1" applyAlignment="1">
      <alignment horizontal="center" vertical="center"/>
    </xf>
    <xf numFmtId="0" fontId="112" fillId="0" borderId="12" xfId="0" applyFont="1" applyBorder="1" applyAlignment="1">
      <alignment horizontal="center" vertical="center"/>
    </xf>
    <xf numFmtId="0" fontId="113" fillId="0" borderId="1" xfId="0" applyFont="1" applyBorder="1" applyAlignment="1">
      <alignment vertical="center" wrapText="1"/>
    </xf>
    <xf numFmtId="0" fontId="2" fillId="0" borderId="1" xfId="0" applyFont="1" applyBorder="1" applyAlignment="1">
      <alignment vertical="center" wrapText="1"/>
    </xf>
    <xf numFmtId="0" fontId="114" fillId="0" borderId="0" xfId="0" applyFont="1" applyAlignment="1">
      <alignment horizontal="center" vertical="center"/>
    </xf>
    <xf numFmtId="0" fontId="115" fillId="0" borderId="1" xfId="0" applyFont="1" applyBorder="1" applyAlignment="1">
      <alignment horizontal="center" vertical="center" wrapText="1"/>
    </xf>
    <xf numFmtId="0" fontId="40" fillId="0" borderId="1" xfId="0" applyFont="1" applyBorder="1" applyAlignment="1">
      <alignment horizontal="left" vertical="top" wrapText="1"/>
    </xf>
    <xf numFmtId="0" fontId="40" fillId="10" borderId="1" xfId="0" applyFont="1" applyFill="1" applyBorder="1" applyAlignment="1">
      <alignment horizontal="center" vertical="center" wrapText="1"/>
    </xf>
    <xf numFmtId="0" fontId="46" fillId="10" borderId="1" xfId="0" applyFont="1" applyFill="1" applyBorder="1" applyAlignment="1">
      <alignment horizontal="left" vertical="top" wrapText="1"/>
    </xf>
    <xf numFmtId="0" fontId="40" fillId="10" borderId="1" xfId="0" applyFont="1" applyFill="1" applyBorder="1" applyAlignment="1">
      <alignment horizontal="left" vertical="top" wrapText="1"/>
    </xf>
    <xf numFmtId="4" fontId="40" fillId="10" borderId="2" xfId="0" applyNumberFormat="1" applyFont="1" applyFill="1" applyBorder="1" applyAlignment="1">
      <alignment horizontal="left" vertical="top" wrapText="1"/>
    </xf>
    <xf numFmtId="4" fontId="40" fillId="10" borderId="3" xfId="0" applyNumberFormat="1" applyFont="1" applyFill="1" applyBorder="1" applyAlignment="1">
      <alignment horizontal="left" vertical="top" wrapText="1"/>
    </xf>
    <xf numFmtId="4" fontId="40" fillId="10" borderId="4" xfId="0" applyNumberFormat="1" applyFont="1" applyFill="1" applyBorder="1" applyAlignment="1">
      <alignment horizontal="left" vertical="top" wrapText="1"/>
    </xf>
    <xf numFmtId="49" fontId="40" fillId="0" borderId="1" xfId="0" applyNumberFormat="1" applyFont="1" applyBorder="1" applyAlignment="1">
      <alignment horizontal="center" vertical="center" wrapText="1"/>
    </xf>
    <xf numFmtId="49" fontId="40" fillId="0" borderId="2" xfId="0" applyNumberFormat="1" applyFont="1" applyBorder="1" applyAlignment="1">
      <alignment horizontal="center" vertical="center" wrapText="1"/>
    </xf>
    <xf numFmtId="0" fontId="40" fillId="7" borderId="1" xfId="0" applyFont="1" applyFill="1" applyBorder="1" applyAlignment="1">
      <alignment horizontal="left" vertical="top" wrapText="1"/>
    </xf>
    <xf numFmtId="0" fontId="40" fillId="7" borderId="2" xfId="0" applyFont="1" applyFill="1" applyBorder="1" applyAlignment="1">
      <alignment horizontal="left" vertical="top" wrapText="1"/>
    </xf>
    <xf numFmtId="0" fontId="40" fillId="0" borderId="2" xfId="0" applyFont="1" applyBorder="1" applyAlignment="1">
      <alignment horizontal="left" vertical="top" wrapText="1"/>
    </xf>
    <xf numFmtId="0" fontId="7" fillId="0" borderId="1" xfId="0" applyFont="1" applyBorder="1" applyAlignment="1">
      <alignment horizontal="left" vertical="center" wrapText="1"/>
    </xf>
    <xf numFmtId="0" fontId="69" fillId="0" borderId="12" xfId="0" applyFont="1" applyBorder="1" applyAlignment="1">
      <alignment horizontal="center" vertical="center" wrapText="1"/>
    </xf>
    <xf numFmtId="49" fontId="8" fillId="0" borderId="1" xfId="0" applyNumberFormat="1" applyFont="1" applyFill="1" applyBorder="1" applyAlignment="1">
      <alignment horizontal="center" vertical="top" wrapText="1"/>
    </xf>
    <xf numFmtId="0" fontId="29" fillId="0" borderId="0" xfId="0" applyFont="1" applyAlignment="1">
      <alignment horizontal="center" vertical="center"/>
    </xf>
    <xf numFmtId="0" fontId="40" fillId="0" borderId="1" xfId="0" applyFont="1" applyFill="1" applyBorder="1" applyAlignment="1">
      <alignment horizontal="center" vertical="center" wrapText="1"/>
    </xf>
    <xf numFmtId="0" fontId="40" fillId="0" borderId="1" xfId="0" applyFont="1" applyFill="1" applyBorder="1" applyAlignment="1">
      <alignment vertical="center" wrapText="1"/>
    </xf>
    <xf numFmtId="0" fontId="40" fillId="4" borderId="1" xfId="0" applyFont="1" applyFill="1" applyBorder="1" applyAlignment="1">
      <alignment horizontal="left" vertical="top" wrapText="1"/>
    </xf>
    <xf numFmtId="0" fontId="40" fillId="4" borderId="1" xfId="0" applyFont="1" applyFill="1" applyBorder="1" applyAlignment="1">
      <alignment horizontal="center" vertical="center" wrapText="1"/>
    </xf>
    <xf numFmtId="0" fontId="46" fillId="4" borderId="1" xfId="0" applyFont="1" applyFill="1" applyBorder="1" applyAlignment="1">
      <alignment horizontal="left" vertical="top" wrapText="1"/>
    </xf>
    <xf numFmtId="49" fontId="40" fillId="0" borderId="1" xfId="0" applyNumberFormat="1" applyFont="1" applyFill="1" applyBorder="1" applyAlignment="1">
      <alignment horizontal="center" vertical="center" wrapText="1"/>
    </xf>
    <xf numFmtId="4" fontId="40" fillId="0" borderId="2" xfId="0" applyNumberFormat="1" applyFont="1" applyFill="1" applyBorder="1" applyAlignment="1">
      <alignment horizontal="left" vertical="top" wrapText="1"/>
    </xf>
    <xf numFmtId="4" fontId="40" fillId="0" borderId="4" xfId="0" applyNumberFormat="1" applyFont="1" applyFill="1" applyBorder="1" applyAlignment="1">
      <alignment horizontal="left" vertical="top" wrapText="1"/>
    </xf>
    <xf numFmtId="4" fontId="40" fillId="4" borderId="2" xfId="0" applyNumberFormat="1" applyFont="1" applyFill="1" applyBorder="1" applyAlignment="1">
      <alignment horizontal="left" vertical="top" wrapText="1"/>
    </xf>
    <xf numFmtId="4" fontId="40" fillId="4" borderId="4" xfId="0" applyNumberFormat="1" applyFont="1" applyFill="1" applyBorder="1" applyAlignment="1">
      <alignment horizontal="left" vertical="top" wrapText="1"/>
    </xf>
    <xf numFmtId="0" fontId="110" fillId="10" borderId="0" xfId="0" applyFont="1" applyFill="1" applyAlignment="1">
      <alignment horizontal="center" vertical="center"/>
    </xf>
    <xf numFmtId="0" fontId="57" fillId="10" borderId="0" xfId="0" applyFont="1" applyFill="1" applyAlignment="1">
      <alignment horizontal="center" vertical="center"/>
    </xf>
    <xf numFmtId="0" fontId="115" fillId="0" borderId="1" xfId="0" applyFont="1" applyFill="1" applyBorder="1" applyAlignment="1">
      <alignment horizontal="center" vertical="center" wrapText="1"/>
    </xf>
    <xf numFmtId="49" fontId="116" fillId="12" borderId="12" xfId="0" applyNumberFormat="1" applyFont="1" applyFill="1" applyBorder="1" applyAlignment="1">
      <alignment horizontal="center" vertical="center" wrapText="1"/>
    </xf>
    <xf numFmtId="171" fontId="2" fillId="7" borderId="2" xfId="0" applyNumberFormat="1" applyFont="1" applyFill="1" applyBorder="1" applyAlignment="1">
      <alignment horizontal="center" vertical="center" wrapText="1"/>
    </xf>
    <xf numFmtId="171" fontId="2" fillId="7" borderId="4" xfId="0" applyNumberFormat="1" applyFont="1" applyFill="1" applyBorder="1" applyAlignment="1">
      <alignment horizontal="center" vertical="center" wrapText="1"/>
    </xf>
    <xf numFmtId="49" fontId="63" fillId="0" borderId="1" xfId="0" applyNumberFormat="1" applyFont="1" applyFill="1" applyBorder="1" applyAlignment="1">
      <alignment horizontal="center" vertical="top"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center"/>
    </xf>
    <xf numFmtId="0" fontId="0" fillId="0" borderId="4" xfId="0" applyBorder="1" applyAlignment="1">
      <alignment horizontal="center"/>
    </xf>
    <xf numFmtId="171" fontId="2" fillId="0" borderId="2" xfId="0" applyNumberFormat="1" applyFont="1" applyBorder="1" applyAlignment="1">
      <alignment horizontal="center" vertical="center" wrapText="1"/>
    </xf>
    <xf numFmtId="171" fontId="2" fillId="0" borderId="4" xfId="0" applyNumberFormat="1" applyFont="1" applyBorder="1" applyAlignment="1">
      <alignment horizontal="center" vertical="center" wrapText="1"/>
    </xf>
    <xf numFmtId="4" fontId="27" fillId="0" borderId="1" xfId="0" applyNumberFormat="1" applyFont="1" applyFill="1" applyBorder="1" applyAlignment="1">
      <alignment horizontal="left" vertical="top" wrapText="1"/>
    </xf>
    <xf numFmtId="0" fontId="117" fillId="0" borderId="0" xfId="0" applyFont="1" applyAlignment="1">
      <alignment horizontal="center" vertical="center"/>
    </xf>
    <xf numFmtId="0" fontId="113" fillId="0" borderId="1"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3" xfId="0" applyFont="1" applyBorder="1" applyAlignment="1">
      <alignment vertical="center" wrapText="1"/>
    </xf>
    <xf numFmtId="0" fontId="110" fillId="0" borderId="0" xfId="0" applyFont="1" applyFill="1" applyAlignment="1">
      <alignment horizontal="center" vertical="center"/>
    </xf>
    <xf numFmtId="0" fontId="40" fillId="0" borderId="1" xfId="0" applyFont="1" applyFill="1" applyBorder="1" applyAlignment="1">
      <alignment vertical="top" wrapText="1"/>
    </xf>
    <xf numFmtId="0" fontId="36" fillId="0" borderId="2" xfId="0" applyFont="1" applyFill="1" applyBorder="1" applyAlignment="1">
      <alignment horizontal="left" vertical="top" wrapText="1"/>
    </xf>
    <xf numFmtId="0" fontId="36" fillId="0" borderId="4" xfId="0" applyFont="1" applyFill="1" applyBorder="1" applyAlignment="1">
      <alignment horizontal="left" vertical="top" wrapText="1"/>
    </xf>
    <xf numFmtId="0" fontId="40" fillId="4" borderId="2" xfId="0" applyFont="1" applyFill="1" applyBorder="1" applyAlignment="1">
      <alignment horizontal="center" vertical="center" wrapText="1"/>
    </xf>
    <xf numFmtId="0" fontId="46" fillId="4" borderId="1" xfId="0" applyFont="1" applyFill="1" applyBorder="1" applyAlignment="1">
      <alignment vertical="top" wrapText="1"/>
    </xf>
    <xf numFmtId="0" fontId="46" fillId="4" borderId="2" xfId="0" applyFont="1" applyFill="1" applyBorder="1" applyAlignment="1">
      <alignment vertical="top" wrapText="1"/>
    </xf>
    <xf numFmtId="0" fontId="40" fillId="4" borderId="1" xfId="0" applyFont="1" applyFill="1" applyBorder="1" applyAlignment="1">
      <alignment horizontal="center" vertical="top" wrapText="1"/>
    </xf>
    <xf numFmtId="0" fontId="40" fillId="4" borderId="2" xfId="0" applyFont="1" applyFill="1" applyBorder="1" applyAlignment="1">
      <alignment horizontal="center" vertical="top" wrapText="1"/>
    </xf>
    <xf numFmtId="0" fontId="36" fillId="0" borderId="2" xfId="0" applyFont="1" applyFill="1" applyBorder="1" applyAlignment="1">
      <alignment horizontal="left" vertical="center" wrapText="1"/>
    </xf>
    <xf numFmtId="0" fontId="36" fillId="0" borderId="4" xfId="0" applyFont="1" applyFill="1" applyBorder="1" applyAlignment="1">
      <alignment horizontal="left" vertical="center" wrapText="1"/>
    </xf>
    <xf numFmtId="0" fontId="36" fillId="0" borderId="1" xfId="0" applyFont="1" applyFill="1" applyBorder="1" applyAlignment="1">
      <alignment vertical="top" wrapText="1"/>
    </xf>
    <xf numFmtId="0" fontId="36" fillId="0" borderId="1" xfId="0" applyFont="1" applyFill="1" applyBorder="1" applyAlignment="1">
      <alignment vertical="center" wrapText="1"/>
    </xf>
    <xf numFmtId="0" fontId="40" fillId="0" borderId="2" xfId="0" applyFont="1" applyFill="1" applyBorder="1" applyAlignment="1">
      <alignment horizontal="center" vertical="center" wrapText="1"/>
    </xf>
    <xf numFmtId="0" fontId="40" fillId="0" borderId="4" xfId="0" applyFont="1" applyFill="1" applyBorder="1" applyAlignment="1">
      <alignment horizontal="center" vertical="center" wrapText="1"/>
    </xf>
    <xf numFmtId="0" fontId="26" fillId="0" borderId="1" xfId="0" applyFont="1" applyFill="1" applyBorder="1" applyAlignment="1">
      <alignment horizontal="center" vertical="top" wrapText="1"/>
    </xf>
    <xf numFmtId="0" fontId="89" fillId="0" borderId="12" xfId="0" applyFont="1" applyFill="1" applyBorder="1" applyAlignment="1">
      <alignment horizontal="center" vertical="top" wrapText="1"/>
    </xf>
    <xf numFmtId="0" fontId="89" fillId="0" borderId="1" xfId="0" applyFont="1" applyFill="1" applyBorder="1" applyAlignment="1">
      <alignment horizontal="left" vertical="top"/>
    </xf>
    <xf numFmtId="0" fontId="26" fillId="0" borderId="1" xfId="0" applyFont="1" applyFill="1" applyBorder="1" applyAlignment="1">
      <alignment horizontal="left" vertical="top" wrapText="1"/>
    </xf>
    <xf numFmtId="0" fontId="89" fillId="0" borderId="1" xfId="0" applyFont="1" applyFill="1" applyBorder="1" applyAlignment="1">
      <alignment horizontal="center" vertical="top" wrapText="1"/>
    </xf>
    <xf numFmtId="0" fontId="118" fillId="0" borderId="9" xfId="0" applyFont="1" applyFill="1" applyBorder="1" applyAlignment="1">
      <alignment horizontal="center" vertical="center" wrapText="1"/>
    </xf>
    <xf numFmtId="0" fontId="118" fillId="0" borderId="12" xfId="0" applyFont="1" applyFill="1" applyBorder="1" applyAlignment="1">
      <alignment horizontal="center" vertical="center" wrapText="1"/>
    </xf>
    <xf numFmtId="0" fontId="118" fillId="0" borderId="10" xfId="0" applyFont="1" applyFill="1" applyBorder="1" applyAlignment="1">
      <alignment horizontal="center" vertical="center" wrapText="1"/>
    </xf>
    <xf numFmtId="0" fontId="27" fillId="0" borderId="1" xfId="0" applyFont="1" applyFill="1" applyBorder="1" applyAlignment="1">
      <alignment horizontal="left" vertical="center" wrapText="1"/>
    </xf>
    <xf numFmtId="0" fontId="27" fillId="0" borderId="13" xfId="0" applyFont="1" applyFill="1" applyBorder="1" applyAlignment="1">
      <alignment horizontal="center" vertical="center" wrapText="1"/>
    </xf>
    <xf numFmtId="49" fontId="11" fillId="0" borderId="2" xfId="0" applyNumberFormat="1" applyFont="1" applyFill="1" applyBorder="1" applyAlignment="1">
      <alignment horizontal="left" vertical="top"/>
    </xf>
    <xf numFmtId="49" fontId="11" fillId="0" borderId="4" xfId="0" applyNumberFormat="1" applyFont="1" applyFill="1" applyBorder="1" applyAlignment="1">
      <alignment horizontal="left" vertical="top"/>
    </xf>
    <xf numFmtId="0" fontId="11" fillId="0" borderId="2" xfId="0" applyFont="1" applyFill="1" applyBorder="1" applyAlignment="1">
      <alignment horizontal="left" vertical="top"/>
    </xf>
    <xf numFmtId="0" fontId="11" fillId="0" borderId="4" xfId="0" applyFont="1" applyFill="1" applyBorder="1" applyAlignment="1">
      <alignment horizontal="left" vertical="top"/>
    </xf>
    <xf numFmtId="0" fontId="8" fillId="10" borderId="2" xfId="0" applyFont="1" applyFill="1" applyBorder="1" applyAlignment="1">
      <alignment vertical="center" wrapText="1"/>
    </xf>
    <xf numFmtId="0" fontId="8" fillId="10" borderId="4" xfId="0" applyFont="1" applyFill="1" applyBorder="1" applyAlignment="1">
      <alignment vertical="center" wrapText="1"/>
    </xf>
  </cellXfs>
  <cellStyles count="5">
    <cellStyle name="TableStyleLight1" xfId="3"/>
    <cellStyle name="Обычный" xfId="0" builtinId="0"/>
    <cellStyle name="Обычный 2" xfId="2"/>
    <cellStyle name="Финансовый" xfId="4" builtinId="3"/>
    <cellStyle name="Финансовый 2" xfId="1"/>
  </cellStyles>
  <dxfs count="0"/>
  <tableStyles count="0" defaultTableStyle="TableStyleMedium2" defaultPivotStyle="PivotStyleMedium9"/>
  <colors>
    <mruColors>
      <color rgb="FF00FFCC"/>
      <color rgb="FFFFFF00"/>
      <color rgb="FFCCFFFF"/>
      <color rgb="FFFFFF9F"/>
      <color rgb="FFFFFFCC"/>
      <color rgb="FFFDE9D9"/>
      <color rgb="FFE7FFFF"/>
      <color rgb="FFEFFFEF"/>
      <color rgb="FFCDFFCD"/>
      <color rgb="FFFFC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usernames" Target="revisions/userNam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revisionHeaders" Target="revisions/revisionHeader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1059;&#1087;&#1088;&#1072;&#1074;&#1083;&#1077;&#1085;&#1080;&#1077;%20&#1060;&#1043;&#1055;\&#1054;&#1090;&#1076;&#1077;&#1083;%20&#1056;&#1055;\2018\&#1056;&#1072;&#1089;&#1095;&#1077;&#1090;%20&#1043;&#1055;%20&#1089;%20&#1080;&#1079;&#1084;.%20&#1084;&#1072;&#1088;&#1090;%202018%20-%20&#1042;&#1086;&#1076;&#1086;&#1086;&#1090;&#1074;&#1077;&#1076;&#1077;&#1085;&#1080;&#1077;%2019.02.2018-&#1086;&#1073;&#1077;&#1089;&#1087;&#1077;&#10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1059;&#1087;&#1088;&#1072;&#1074;&#1083;&#1077;&#1085;&#1080;&#1077;%20&#1060;&#1043;&#1055;\&#1054;&#1090;&#1076;&#1077;&#1083;%20&#1056;&#1055;\&#1043;&#1054;&#1057;&#1055;&#1056;&#1054;&#1043;&#1056;&#1040;&#1052;&#1052;&#1040;%202018-2022%20&#1075;&#1086;&#1076;\&#1090;&#1072;&#1073;&#1083;&#1080;&#1094;&#1099;\&#1088;&#1072;&#1089;&#1095;&#1077;&#1090;%20&#1043;&#1087;%20&#1085;&#1072;%20&#1089;&#1077;&#1085;&#1090;&#1103;&#1073;&#1088;&#1100;%20-%20&#1083;&#1077;&#1088;&#107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homovaIV/Desktop/&#1055;&#1086;&#1089;&#1083;&#1077;&#1076;&#1085;&#1080;&#1077;%20&#1080;&#1079;&#1084;&#1077;&#1085;&#1077;&#1085;&#1080;&#1103;%20&#1043;&#1055;%202017/&#1088;&#1072;&#1089;&#1095;&#1077;&#1090;%20&#1043;&#1055;%200&#1090;%2029.11.17%20&#8470;%20981-4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ЛАНИРУЕМЫ ПОКАЗ"/>
      <sheetName val="П ГОСПРОГРАММЫ"/>
      <sheetName val="ПП 1"/>
      <sheetName val="ПМ П1"/>
      <sheetName val="А П 1 "/>
      <sheetName val="ПП 2"/>
      <sheetName val="ПМ П2"/>
      <sheetName val="А П 2"/>
      <sheetName val="ПП 3"/>
      <sheetName val="ПМ П 3"/>
      <sheetName val="А П 3"/>
      <sheetName val="ПП 4"/>
      <sheetName val="МП 4"/>
      <sheetName val="ПП 5"/>
      <sheetName val="МП 5"/>
      <sheetName val=" АП П 5"/>
      <sheetName val="ПП 6"/>
      <sheetName val="МП 6"/>
      <sheetName val="АП П 6"/>
      <sheetName val="ПП 7"/>
      <sheetName val="МП 7"/>
      <sheetName val="ПП 8"/>
      <sheetName val="ПМ П8"/>
    </sheetNames>
    <sheetDataSet>
      <sheetData sheetId="0"/>
      <sheetData sheetId="1"/>
      <sheetData sheetId="2">
        <row r="7">
          <cell r="F7">
            <v>2500110.13</v>
          </cell>
          <cell r="G7">
            <v>283500</v>
          </cell>
          <cell r="H7">
            <v>0</v>
          </cell>
          <cell r="I7">
            <v>0</v>
          </cell>
          <cell r="J7">
            <v>0</v>
          </cell>
        </row>
      </sheetData>
      <sheetData sheetId="3"/>
      <sheetData sheetId="4"/>
      <sheetData sheetId="5"/>
      <sheetData sheetId="6"/>
      <sheetData sheetId="7"/>
      <sheetData sheetId="8">
        <row r="7">
          <cell r="F7">
            <v>4073422.91</v>
          </cell>
          <cell r="G7">
            <v>1223569</v>
          </cell>
          <cell r="H7">
            <v>493574</v>
          </cell>
          <cell r="I7">
            <v>0</v>
          </cell>
          <cell r="J7">
            <v>0</v>
          </cell>
        </row>
        <row r="8">
          <cell r="F8">
            <v>472303</v>
          </cell>
          <cell r="G8">
            <v>267197</v>
          </cell>
          <cell r="H8">
            <v>47500</v>
          </cell>
          <cell r="I8">
            <v>0</v>
          </cell>
          <cell r="J8">
            <v>0</v>
          </cell>
        </row>
        <row r="9">
          <cell r="F9">
            <v>369717</v>
          </cell>
          <cell r="G9">
            <v>281595</v>
          </cell>
          <cell r="H9">
            <v>208264</v>
          </cell>
          <cell r="I9">
            <v>0</v>
          </cell>
          <cell r="J9">
            <v>0</v>
          </cell>
        </row>
        <row r="10">
          <cell r="F10">
            <v>350030</v>
          </cell>
          <cell r="G10">
            <v>94386</v>
          </cell>
          <cell r="H10">
            <v>0</v>
          </cell>
          <cell r="I10">
            <v>0</v>
          </cell>
          <cell r="J10">
            <v>0</v>
          </cell>
        </row>
        <row r="11">
          <cell r="F11">
            <v>90094</v>
          </cell>
          <cell r="G11">
            <v>0</v>
          </cell>
          <cell r="H11">
            <v>0</v>
          </cell>
          <cell r="I11">
            <v>0</v>
          </cell>
          <cell r="J11">
            <v>0</v>
          </cell>
        </row>
        <row r="12">
          <cell r="F12">
            <v>77798</v>
          </cell>
          <cell r="G12">
            <v>63154</v>
          </cell>
          <cell r="H12">
            <v>0</v>
          </cell>
          <cell r="I12">
            <v>0</v>
          </cell>
          <cell r="J12">
            <v>0</v>
          </cell>
        </row>
        <row r="13">
          <cell r="F13">
            <v>971</v>
          </cell>
          <cell r="G13">
            <v>975</v>
          </cell>
          <cell r="H13">
            <v>976</v>
          </cell>
          <cell r="I13">
            <v>976</v>
          </cell>
          <cell r="J13">
            <v>976</v>
          </cell>
        </row>
        <row r="14">
          <cell r="F14">
            <v>126246</v>
          </cell>
          <cell r="G14">
            <v>64607</v>
          </cell>
          <cell r="H14">
            <v>18741</v>
          </cell>
          <cell r="I14">
            <v>18741</v>
          </cell>
          <cell r="J14">
            <v>18741</v>
          </cell>
        </row>
      </sheetData>
      <sheetData sheetId="9"/>
      <sheetData sheetId="10"/>
      <sheetData sheetId="11"/>
      <sheetData sheetId="12"/>
      <sheetData sheetId="13"/>
      <sheetData sheetId="14"/>
      <sheetData sheetId="15"/>
      <sheetData sheetId="16">
        <row r="8">
          <cell r="D8">
            <v>39400</v>
          </cell>
          <cell r="E8">
            <v>26400</v>
          </cell>
          <cell r="F8">
            <v>26400</v>
          </cell>
          <cell r="G8">
            <v>26400</v>
          </cell>
          <cell r="H8">
            <v>26400</v>
          </cell>
        </row>
      </sheetData>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аспорт общий"/>
      <sheetName val="Паспорт ЧВ"/>
      <sheetName val=" мероприятие ЧВ"/>
      <sheetName val="адресный перечень ЧВ"/>
      <sheetName val="Паспорт модерниза"/>
      <sheetName val="мероприятия модернизация"/>
      <sheetName val="адресный перечень модернизации"/>
      <sheetName val="паспорт обеспечив"/>
      <sheetName val="Обеспечиваю"/>
      <sheetName val="соц котельные"/>
      <sheetName val="паспорт комфорт"/>
      <sheetName val="мероприятия комфорт"/>
      <sheetName val="адресный перечень комфорт"/>
      <sheetName val="субсидии комфорт"/>
      <sheetName val="планируемые"/>
      <sheetName val="таблица изменений"/>
      <sheetName val="Лист2"/>
    </sheetNames>
    <sheetDataSet>
      <sheetData sheetId="0"/>
      <sheetData sheetId="1"/>
      <sheetData sheetId="2"/>
      <sheetData sheetId="3"/>
      <sheetData sheetId="4"/>
      <sheetData sheetId="5"/>
      <sheetData sheetId="6">
        <row r="24">
          <cell r="H24">
            <v>0</v>
          </cell>
        </row>
        <row r="25">
          <cell r="K25">
            <v>0</v>
          </cell>
          <cell r="L25">
            <v>0</v>
          </cell>
          <cell r="M25">
            <v>0</v>
          </cell>
        </row>
        <row r="712">
          <cell r="K712">
            <v>0</v>
          </cell>
          <cell r="L712">
            <v>0</v>
          </cell>
          <cell r="M712">
            <v>0</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аспорт общий"/>
      <sheetName val="Паспорт ЧВ"/>
      <sheetName val=" мероприятие ЧВ"/>
      <sheetName val="адресный перечень ЧВ"/>
      <sheetName val="Паспорт модерниза"/>
      <sheetName val="мероприятия модернизация"/>
      <sheetName val="адресный перечень модернизации"/>
      <sheetName val="паспорт обеспечив"/>
      <sheetName val="Обеспечиваю"/>
      <sheetName val="соц котельные"/>
      <sheetName val="паспорт комфорт"/>
      <sheetName val="мероприятия комфорт"/>
      <sheetName val="адресный перечень комфорт"/>
      <sheetName val="субсидии комфорт"/>
      <sheetName val="планируемые"/>
      <sheetName val="таблица изменений"/>
      <sheetName val="Лист2"/>
    </sheetNames>
    <sheetDataSet>
      <sheetData sheetId="0"/>
      <sheetData sheetId="1"/>
      <sheetData sheetId="2"/>
      <sheetData sheetId="3">
        <row r="366">
          <cell r="L366">
            <v>0</v>
          </cell>
          <cell r="M366">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revisions/_rels/revisionHeaders.xml.rels><?xml version="1.0" encoding="UTF-8" standalone="yes"?>
<Relationships xmlns="http://schemas.openxmlformats.org/package/2006/relationships"><Relationship Id="rId117" Type="http://schemas.openxmlformats.org/officeDocument/2006/relationships/revisionLog" Target="NULL"/><Relationship Id="rId21" Type="http://schemas.openxmlformats.org/officeDocument/2006/relationships/revisionLog" Target="NULL"/><Relationship Id="rId42" Type="http://schemas.openxmlformats.org/officeDocument/2006/relationships/revisionLog" Target="NULL"/><Relationship Id="rId63" Type="http://schemas.openxmlformats.org/officeDocument/2006/relationships/revisionLog" Target="NULL"/><Relationship Id="rId84" Type="http://schemas.openxmlformats.org/officeDocument/2006/relationships/revisionLog" Target="NULL"/><Relationship Id="rId138" Type="http://schemas.openxmlformats.org/officeDocument/2006/relationships/revisionLog" Target="NULL"/><Relationship Id="rId159" Type="http://schemas.openxmlformats.org/officeDocument/2006/relationships/revisionLog" Target="NULL"/><Relationship Id="rId170" Type="http://schemas.openxmlformats.org/officeDocument/2006/relationships/revisionLog" Target="NULL"/><Relationship Id="rId191" Type="http://schemas.openxmlformats.org/officeDocument/2006/relationships/revisionLog" Target="NULL"/><Relationship Id="rId205" Type="http://schemas.openxmlformats.org/officeDocument/2006/relationships/revisionLog" Target="NULL"/><Relationship Id="rId226" Type="http://schemas.openxmlformats.org/officeDocument/2006/relationships/revisionLog" Target="NULL"/><Relationship Id="rId247" Type="http://schemas.openxmlformats.org/officeDocument/2006/relationships/revisionLog" Target="NULL"/><Relationship Id="rId107" Type="http://schemas.openxmlformats.org/officeDocument/2006/relationships/revisionLog" Target="NULL"/><Relationship Id="rId268" Type="http://schemas.openxmlformats.org/officeDocument/2006/relationships/revisionLog" Target="NULL"/><Relationship Id="rId289" Type="http://schemas.openxmlformats.org/officeDocument/2006/relationships/revisionLog" Target="revisionLog5.xml"/><Relationship Id="rId11" Type="http://schemas.openxmlformats.org/officeDocument/2006/relationships/revisionLog" Target="NULL"/><Relationship Id="rId32" Type="http://schemas.openxmlformats.org/officeDocument/2006/relationships/revisionLog" Target="NULL"/><Relationship Id="rId53" Type="http://schemas.openxmlformats.org/officeDocument/2006/relationships/revisionLog" Target="NULL"/><Relationship Id="rId74" Type="http://schemas.openxmlformats.org/officeDocument/2006/relationships/revisionLog" Target="NULL"/><Relationship Id="rId128" Type="http://schemas.openxmlformats.org/officeDocument/2006/relationships/revisionLog" Target="NULL"/><Relationship Id="rId149" Type="http://schemas.openxmlformats.org/officeDocument/2006/relationships/revisionLog" Target="NULL"/><Relationship Id="rId5" Type="http://schemas.openxmlformats.org/officeDocument/2006/relationships/revisionLog" Target="NULL"/><Relationship Id="rId95" Type="http://schemas.openxmlformats.org/officeDocument/2006/relationships/revisionLog" Target="NULL"/><Relationship Id="rId160" Type="http://schemas.openxmlformats.org/officeDocument/2006/relationships/revisionLog" Target="NULL"/><Relationship Id="rId181" Type="http://schemas.openxmlformats.org/officeDocument/2006/relationships/revisionLog" Target="NULL"/><Relationship Id="rId216" Type="http://schemas.openxmlformats.org/officeDocument/2006/relationships/revisionLog" Target="NULL"/><Relationship Id="rId237" Type="http://schemas.openxmlformats.org/officeDocument/2006/relationships/revisionLog" Target="NULL"/><Relationship Id="rId258" Type="http://schemas.openxmlformats.org/officeDocument/2006/relationships/revisionLog" Target="NULL"/><Relationship Id="rId279" Type="http://schemas.openxmlformats.org/officeDocument/2006/relationships/revisionLog" Target="NULL"/><Relationship Id="rId22" Type="http://schemas.openxmlformats.org/officeDocument/2006/relationships/revisionLog" Target="NULL"/><Relationship Id="rId43" Type="http://schemas.openxmlformats.org/officeDocument/2006/relationships/revisionLog" Target="NULL"/><Relationship Id="rId64" Type="http://schemas.openxmlformats.org/officeDocument/2006/relationships/revisionLog" Target="NULL"/><Relationship Id="rId118" Type="http://schemas.openxmlformats.org/officeDocument/2006/relationships/revisionLog" Target="NULL"/><Relationship Id="rId139" Type="http://schemas.openxmlformats.org/officeDocument/2006/relationships/revisionLog" Target="NULL"/><Relationship Id="rId290" Type="http://schemas.openxmlformats.org/officeDocument/2006/relationships/revisionLog" Target="revisionLog6.xml"/><Relationship Id="rId85" Type="http://schemas.openxmlformats.org/officeDocument/2006/relationships/revisionLog" Target="NULL"/><Relationship Id="rId150" Type="http://schemas.openxmlformats.org/officeDocument/2006/relationships/revisionLog" Target="NULL"/><Relationship Id="rId171" Type="http://schemas.openxmlformats.org/officeDocument/2006/relationships/revisionLog" Target="NULL"/><Relationship Id="rId192" Type="http://schemas.openxmlformats.org/officeDocument/2006/relationships/revisionLog" Target="NULL"/><Relationship Id="rId206" Type="http://schemas.openxmlformats.org/officeDocument/2006/relationships/revisionLog" Target="NULL"/><Relationship Id="rId227" Type="http://schemas.openxmlformats.org/officeDocument/2006/relationships/revisionLog" Target="NULL"/><Relationship Id="rId248" Type="http://schemas.openxmlformats.org/officeDocument/2006/relationships/revisionLog" Target="NULL"/><Relationship Id="rId269" Type="http://schemas.openxmlformats.org/officeDocument/2006/relationships/revisionLog" Target="NULL"/><Relationship Id="rId12" Type="http://schemas.openxmlformats.org/officeDocument/2006/relationships/revisionLog" Target="NULL"/><Relationship Id="rId33" Type="http://schemas.openxmlformats.org/officeDocument/2006/relationships/revisionLog" Target="NULL"/><Relationship Id="rId108" Type="http://schemas.openxmlformats.org/officeDocument/2006/relationships/revisionLog" Target="NULL"/><Relationship Id="rId129" Type="http://schemas.openxmlformats.org/officeDocument/2006/relationships/revisionLog" Target="NULL"/><Relationship Id="rId280" Type="http://schemas.openxmlformats.org/officeDocument/2006/relationships/revisionLog" Target="NULL"/><Relationship Id="rId54" Type="http://schemas.openxmlformats.org/officeDocument/2006/relationships/revisionLog" Target="NULL"/><Relationship Id="rId75" Type="http://schemas.openxmlformats.org/officeDocument/2006/relationships/revisionLog" Target="NULL"/><Relationship Id="rId96" Type="http://schemas.openxmlformats.org/officeDocument/2006/relationships/revisionLog" Target="NULL"/><Relationship Id="rId140" Type="http://schemas.openxmlformats.org/officeDocument/2006/relationships/revisionLog" Target="NULL"/><Relationship Id="rId161" Type="http://schemas.openxmlformats.org/officeDocument/2006/relationships/revisionLog" Target="NULL"/><Relationship Id="rId182" Type="http://schemas.openxmlformats.org/officeDocument/2006/relationships/revisionLog" Target="NULL"/><Relationship Id="rId217" Type="http://schemas.openxmlformats.org/officeDocument/2006/relationships/revisionLog" Target="NULL"/><Relationship Id="rId6" Type="http://schemas.openxmlformats.org/officeDocument/2006/relationships/revisionLog" Target="NULL"/><Relationship Id="rId238" Type="http://schemas.openxmlformats.org/officeDocument/2006/relationships/revisionLog" Target="NULL"/><Relationship Id="rId259" Type="http://schemas.openxmlformats.org/officeDocument/2006/relationships/revisionLog" Target="NULL"/><Relationship Id="rId23" Type="http://schemas.openxmlformats.org/officeDocument/2006/relationships/revisionLog" Target="NULL"/><Relationship Id="rId119" Type="http://schemas.openxmlformats.org/officeDocument/2006/relationships/revisionLog" Target="NULL"/><Relationship Id="rId270" Type="http://schemas.openxmlformats.org/officeDocument/2006/relationships/revisionLog" Target="NULL"/><Relationship Id="rId291" Type="http://schemas.openxmlformats.org/officeDocument/2006/relationships/revisionLog" Target="revisionLog7.xml"/><Relationship Id="rId44" Type="http://schemas.openxmlformats.org/officeDocument/2006/relationships/revisionLog" Target="NULL"/><Relationship Id="rId65" Type="http://schemas.openxmlformats.org/officeDocument/2006/relationships/revisionLog" Target="NULL"/><Relationship Id="rId86" Type="http://schemas.openxmlformats.org/officeDocument/2006/relationships/revisionLog" Target="NULL"/><Relationship Id="rId130" Type="http://schemas.openxmlformats.org/officeDocument/2006/relationships/revisionLog" Target="NULL"/><Relationship Id="rId151" Type="http://schemas.openxmlformats.org/officeDocument/2006/relationships/revisionLog" Target="NULL"/><Relationship Id="rId172" Type="http://schemas.openxmlformats.org/officeDocument/2006/relationships/revisionLog" Target="NULL"/><Relationship Id="rId193" Type="http://schemas.openxmlformats.org/officeDocument/2006/relationships/revisionLog" Target="NULL"/><Relationship Id="rId207" Type="http://schemas.openxmlformats.org/officeDocument/2006/relationships/revisionLog" Target="NULL"/><Relationship Id="rId228" Type="http://schemas.openxmlformats.org/officeDocument/2006/relationships/revisionLog" Target="NULL"/><Relationship Id="rId249" Type="http://schemas.openxmlformats.org/officeDocument/2006/relationships/revisionLog" Target="NULL"/><Relationship Id="rId13" Type="http://schemas.openxmlformats.org/officeDocument/2006/relationships/revisionLog" Target="NULL"/><Relationship Id="rId109" Type="http://schemas.openxmlformats.org/officeDocument/2006/relationships/revisionLog" Target="NULL"/><Relationship Id="rId260" Type="http://schemas.openxmlformats.org/officeDocument/2006/relationships/revisionLog" Target="NULL"/><Relationship Id="rId281" Type="http://schemas.openxmlformats.org/officeDocument/2006/relationships/revisionLog" Target="NULL"/><Relationship Id="rId34" Type="http://schemas.openxmlformats.org/officeDocument/2006/relationships/revisionLog" Target="NULL"/><Relationship Id="rId50" Type="http://schemas.openxmlformats.org/officeDocument/2006/relationships/revisionLog" Target="NULL"/><Relationship Id="rId55" Type="http://schemas.openxmlformats.org/officeDocument/2006/relationships/revisionLog" Target="NULL"/><Relationship Id="rId76" Type="http://schemas.openxmlformats.org/officeDocument/2006/relationships/revisionLog" Target="NULL"/><Relationship Id="rId97" Type="http://schemas.openxmlformats.org/officeDocument/2006/relationships/revisionLog" Target="NULL"/><Relationship Id="rId104" Type="http://schemas.openxmlformats.org/officeDocument/2006/relationships/revisionLog" Target="NULL"/><Relationship Id="rId120" Type="http://schemas.openxmlformats.org/officeDocument/2006/relationships/revisionLog" Target="NULL"/><Relationship Id="rId125" Type="http://schemas.openxmlformats.org/officeDocument/2006/relationships/revisionLog" Target="NULL"/><Relationship Id="rId141" Type="http://schemas.openxmlformats.org/officeDocument/2006/relationships/revisionLog" Target="NULL"/><Relationship Id="rId146" Type="http://schemas.openxmlformats.org/officeDocument/2006/relationships/revisionLog" Target="NULL"/><Relationship Id="rId167" Type="http://schemas.openxmlformats.org/officeDocument/2006/relationships/revisionLog" Target="NULL"/><Relationship Id="rId188" Type="http://schemas.openxmlformats.org/officeDocument/2006/relationships/revisionLog" Target="NULL"/><Relationship Id="rId7" Type="http://schemas.openxmlformats.org/officeDocument/2006/relationships/revisionLog" Target="NULL"/><Relationship Id="rId71" Type="http://schemas.openxmlformats.org/officeDocument/2006/relationships/revisionLog" Target="NULL"/><Relationship Id="rId92" Type="http://schemas.openxmlformats.org/officeDocument/2006/relationships/revisionLog" Target="NULL"/><Relationship Id="rId162" Type="http://schemas.openxmlformats.org/officeDocument/2006/relationships/revisionLog" Target="NULL"/><Relationship Id="rId183" Type="http://schemas.openxmlformats.org/officeDocument/2006/relationships/revisionLog" Target="NULL"/><Relationship Id="rId213" Type="http://schemas.openxmlformats.org/officeDocument/2006/relationships/revisionLog" Target="NULL"/><Relationship Id="rId218" Type="http://schemas.openxmlformats.org/officeDocument/2006/relationships/revisionLog" Target="NULL"/><Relationship Id="rId234" Type="http://schemas.openxmlformats.org/officeDocument/2006/relationships/revisionLog" Target="NULL"/><Relationship Id="rId239" Type="http://schemas.openxmlformats.org/officeDocument/2006/relationships/revisionLog" Target="NULL"/><Relationship Id="rId2" Type="http://schemas.openxmlformats.org/officeDocument/2006/relationships/revisionLog" Target="NULL"/><Relationship Id="rId29" Type="http://schemas.openxmlformats.org/officeDocument/2006/relationships/revisionLog" Target="NULL"/><Relationship Id="rId250" Type="http://schemas.openxmlformats.org/officeDocument/2006/relationships/revisionLog" Target="NULL"/><Relationship Id="rId255" Type="http://schemas.openxmlformats.org/officeDocument/2006/relationships/revisionLog" Target="NULL"/><Relationship Id="rId271" Type="http://schemas.openxmlformats.org/officeDocument/2006/relationships/revisionLog" Target="NULL"/><Relationship Id="rId276" Type="http://schemas.openxmlformats.org/officeDocument/2006/relationships/revisionLog" Target="NULL"/><Relationship Id="rId292" Type="http://schemas.openxmlformats.org/officeDocument/2006/relationships/revisionLog" Target="revisionLog8.xml"/><Relationship Id="rId24" Type="http://schemas.openxmlformats.org/officeDocument/2006/relationships/revisionLog" Target="NULL"/><Relationship Id="rId40" Type="http://schemas.openxmlformats.org/officeDocument/2006/relationships/revisionLog" Target="NULL"/><Relationship Id="rId45" Type="http://schemas.openxmlformats.org/officeDocument/2006/relationships/revisionLog" Target="NULL"/><Relationship Id="rId66" Type="http://schemas.openxmlformats.org/officeDocument/2006/relationships/revisionLog" Target="NULL"/><Relationship Id="rId87" Type="http://schemas.openxmlformats.org/officeDocument/2006/relationships/revisionLog" Target="NULL"/><Relationship Id="rId110" Type="http://schemas.openxmlformats.org/officeDocument/2006/relationships/revisionLog" Target="NULL"/><Relationship Id="rId115" Type="http://schemas.openxmlformats.org/officeDocument/2006/relationships/revisionLog" Target="NULL"/><Relationship Id="rId131" Type="http://schemas.openxmlformats.org/officeDocument/2006/relationships/revisionLog" Target="NULL"/><Relationship Id="rId136" Type="http://schemas.openxmlformats.org/officeDocument/2006/relationships/revisionLog" Target="NULL"/><Relationship Id="rId157" Type="http://schemas.openxmlformats.org/officeDocument/2006/relationships/revisionLog" Target="NULL"/><Relationship Id="rId178" Type="http://schemas.openxmlformats.org/officeDocument/2006/relationships/revisionLog" Target="NULL"/><Relationship Id="rId61" Type="http://schemas.openxmlformats.org/officeDocument/2006/relationships/revisionLog" Target="NULL"/><Relationship Id="rId82" Type="http://schemas.openxmlformats.org/officeDocument/2006/relationships/revisionLog" Target="NULL"/><Relationship Id="rId152" Type="http://schemas.openxmlformats.org/officeDocument/2006/relationships/revisionLog" Target="NULL"/><Relationship Id="rId173" Type="http://schemas.openxmlformats.org/officeDocument/2006/relationships/revisionLog" Target="NULL"/><Relationship Id="rId194" Type="http://schemas.openxmlformats.org/officeDocument/2006/relationships/revisionLog" Target="NULL"/><Relationship Id="rId199" Type="http://schemas.openxmlformats.org/officeDocument/2006/relationships/revisionLog" Target="NULL"/><Relationship Id="rId203" Type="http://schemas.openxmlformats.org/officeDocument/2006/relationships/revisionLog" Target="NULL"/><Relationship Id="rId208" Type="http://schemas.openxmlformats.org/officeDocument/2006/relationships/revisionLog" Target="NULL"/><Relationship Id="rId229" Type="http://schemas.openxmlformats.org/officeDocument/2006/relationships/revisionLog" Target="NULL"/><Relationship Id="rId19" Type="http://schemas.openxmlformats.org/officeDocument/2006/relationships/revisionLog" Target="NULL"/><Relationship Id="rId224" Type="http://schemas.openxmlformats.org/officeDocument/2006/relationships/revisionLog" Target="NULL"/><Relationship Id="rId240" Type="http://schemas.openxmlformats.org/officeDocument/2006/relationships/revisionLog" Target="NULL"/><Relationship Id="rId245" Type="http://schemas.openxmlformats.org/officeDocument/2006/relationships/revisionLog" Target="NULL"/><Relationship Id="rId261" Type="http://schemas.openxmlformats.org/officeDocument/2006/relationships/revisionLog" Target="NULL"/><Relationship Id="rId266" Type="http://schemas.openxmlformats.org/officeDocument/2006/relationships/revisionLog" Target="NULL"/><Relationship Id="rId287" Type="http://schemas.openxmlformats.org/officeDocument/2006/relationships/revisionLog" Target="revisionLog3.xml"/><Relationship Id="rId14" Type="http://schemas.openxmlformats.org/officeDocument/2006/relationships/revisionLog" Target="NULL"/><Relationship Id="rId30" Type="http://schemas.openxmlformats.org/officeDocument/2006/relationships/revisionLog" Target="NULL"/><Relationship Id="rId35" Type="http://schemas.openxmlformats.org/officeDocument/2006/relationships/revisionLog" Target="NULL"/><Relationship Id="rId56" Type="http://schemas.openxmlformats.org/officeDocument/2006/relationships/revisionLog" Target="NULL"/><Relationship Id="rId77" Type="http://schemas.openxmlformats.org/officeDocument/2006/relationships/revisionLog" Target="NULL"/><Relationship Id="rId100" Type="http://schemas.openxmlformats.org/officeDocument/2006/relationships/revisionLog" Target="NULL"/><Relationship Id="rId105" Type="http://schemas.openxmlformats.org/officeDocument/2006/relationships/revisionLog" Target="NULL"/><Relationship Id="rId126" Type="http://schemas.openxmlformats.org/officeDocument/2006/relationships/revisionLog" Target="NULL"/><Relationship Id="rId147" Type="http://schemas.openxmlformats.org/officeDocument/2006/relationships/revisionLog" Target="NULL"/><Relationship Id="rId168" Type="http://schemas.openxmlformats.org/officeDocument/2006/relationships/revisionLog" Target="NULL"/><Relationship Id="rId282" Type="http://schemas.openxmlformats.org/officeDocument/2006/relationships/revisionLog" Target="NULL"/><Relationship Id="rId8" Type="http://schemas.openxmlformats.org/officeDocument/2006/relationships/revisionLog" Target="NULL"/><Relationship Id="rId51" Type="http://schemas.openxmlformats.org/officeDocument/2006/relationships/revisionLog" Target="NULL"/><Relationship Id="rId72" Type="http://schemas.openxmlformats.org/officeDocument/2006/relationships/revisionLog" Target="NULL"/><Relationship Id="rId93" Type="http://schemas.openxmlformats.org/officeDocument/2006/relationships/revisionLog" Target="NULL"/><Relationship Id="rId98" Type="http://schemas.openxmlformats.org/officeDocument/2006/relationships/revisionLog" Target="NULL"/><Relationship Id="rId121" Type="http://schemas.openxmlformats.org/officeDocument/2006/relationships/revisionLog" Target="NULL"/><Relationship Id="rId142" Type="http://schemas.openxmlformats.org/officeDocument/2006/relationships/revisionLog" Target="NULL"/><Relationship Id="rId163" Type="http://schemas.openxmlformats.org/officeDocument/2006/relationships/revisionLog" Target="NULL"/><Relationship Id="rId184" Type="http://schemas.openxmlformats.org/officeDocument/2006/relationships/revisionLog" Target="NULL"/><Relationship Id="rId189" Type="http://schemas.openxmlformats.org/officeDocument/2006/relationships/revisionLog" Target="NULL"/><Relationship Id="rId219" Type="http://schemas.openxmlformats.org/officeDocument/2006/relationships/revisionLog" Target="NULL"/><Relationship Id="rId3" Type="http://schemas.openxmlformats.org/officeDocument/2006/relationships/revisionLog" Target="NULL"/><Relationship Id="rId214" Type="http://schemas.openxmlformats.org/officeDocument/2006/relationships/revisionLog" Target="NULL"/><Relationship Id="rId230" Type="http://schemas.openxmlformats.org/officeDocument/2006/relationships/revisionLog" Target="NULL"/><Relationship Id="rId235" Type="http://schemas.openxmlformats.org/officeDocument/2006/relationships/revisionLog" Target="NULL"/><Relationship Id="rId251" Type="http://schemas.openxmlformats.org/officeDocument/2006/relationships/revisionLog" Target="NULL"/><Relationship Id="rId256" Type="http://schemas.openxmlformats.org/officeDocument/2006/relationships/revisionLog" Target="NULL"/><Relationship Id="rId277" Type="http://schemas.openxmlformats.org/officeDocument/2006/relationships/revisionLog" Target="NULL"/><Relationship Id="rId25" Type="http://schemas.openxmlformats.org/officeDocument/2006/relationships/revisionLog" Target="NULL"/><Relationship Id="rId46" Type="http://schemas.openxmlformats.org/officeDocument/2006/relationships/revisionLog" Target="NULL"/><Relationship Id="rId67" Type="http://schemas.openxmlformats.org/officeDocument/2006/relationships/revisionLog" Target="NULL"/><Relationship Id="rId116" Type="http://schemas.openxmlformats.org/officeDocument/2006/relationships/revisionLog" Target="NULL"/><Relationship Id="rId137" Type="http://schemas.openxmlformats.org/officeDocument/2006/relationships/revisionLog" Target="NULL"/><Relationship Id="rId158" Type="http://schemas.openxmlformats.org/officeDocument/2006/relationships/revisionLog" Target="NULL"/><Relationship Id="rId272" Type="http://schemas.openxmlformats.org/officeDocument/2006/relationships/revisionLog" Target="NULL"/><Relationship Id="rId20" Type="http://schemas.openxmlformats.org/officeDocument/2006/relationships/revisionLog" Target="NULL"/><Relationship Id="rId41" Type="http://schemas.openxmlformats.org/officeDocument/2006/relationships/revisionLog" Target="NULL"/><Relationship Id="rId62" Type="http://schemas.openxmlformats.org/officeDocument/2006/relationships/revisionLog" Target="NULL"/><Relationship Id="rId83" Type="http://schemas.openxmlformats.org/officeDocument/2006/relationships/revisionLog" Target="NULL"/><Relationship Id="rId88" Type="http://schemas.openxmlformats.org/officeDocument/2006/relationships/revisionLog" Target="NULL"/><Relationship Id="rId111" Type="http://schemas.openxmlformats.org/officeDocument/2006/relationships/revisionLog" Target="NULL"/><Relationship Id="rId132" Type="http://schemas.openxmlformats.org/officeDocument/2006/relationships/revisionLog" Target="NULL"/><Relationship Id="rId153" Type="http://schemas.openxmlformats.org/officeDocument/2006/relationships/revisionLog" Target="NULL"/><Relationship Id="rId174" Type="http://schemas.openxmlformats.org/officeDocument/2006/relationships/revisionLog" Target="NULL"/><Relationship Id="rId179" Type="http://schemas.openxmlformats.org/officeDocument/2006/relationships/revisionLog" Target="NULL"/><Relationship Id="rId195" Type="http://schemas.openxmlformats.org/officeDocument/2006/relationships/revisionLog" Target="NULL"/><Relationship Id="rId209" Type="http://schemas.openxmlformats.org/officeDocument/2006/relationships/revisionLog" Target="NULL"/><Relationship Id="rId190" Type="http://schemas.openxmlformats.org/officeDocument/2006/relationships/revisionLog" Target="NULL"/><Relationship Id="rId204" Type="http://schemas.openxmlformats.org/officeDocument/2006/relationships/revisionLog" Target="NULL"/><Relationship Id="rId220" Type="http://schemas.openxmlformats.org/officeDocument/2006/relationships/revisionLog" Target="NULL"/><Relationship Id="rId225" Type="http://schemas.openxmlformats.org/officeDocument/2006/relationships/revisionLog" Target="NULL"/><Relationship Id="rId241" Type="http://schemas.openxmlformats.org/officeDocument/2006/relationships/revisionLog" Target="NULL"/><Relationship Id="rId246" Type="http://schemas.openxmlformats.org/officeDocument/2006/relationships/revisionLog" Target="NULL"/><Relationship Id="rId267" Type="http://schemas.openxmlformats.org/officeDocument/2006/relationships/revisionLog" Target="NULL"/><Relationship Id="rId288" Type="http://schemas.openxmlformats.org/officeDocument/2006/relationships/revisionLog" Target="revisionLog4.xml"/><Relationship Id="rId15" Type="http://schemas.openxmlformats.org/officeDocument/2006/relationships/revisionLog" Target="NULL"/><Relationship Id="rId36" Type="http://schemas.openxmlformats.org/officeDocument/2006/relationships/revisionLog" Target="NULL"/><Relationship Id="rId57" Type="http://schemas.openxmlformats.org/officeDocument/2006/relationships/revisionLog" Target="NULL"/><Relationship Id="rId106" Type="http://schemas.openxmlformats.org/officeDocument/2006/relationships/revisionLog" Target="NULL"/><Relationship Id="rId127" Type="http://schemas.openxmlformats.org/officeDocument/2006/relationships/revisionLog" Target="NULL"/><Relationship Id="rId262" Type="http://schemas.openxmlformats.org/officeDocument/2006/relationships/revisionLog" Target="NULL"/><Relationship Id="rId283" Type="http://schemas.openxmlformats.org/officeDocument/2006/relationships/revisionLog" Target="NULL"/><Relationship Id="rId10" Type="http://schemas.openxmlformats.org/officeDocument/2006/relationships/revisionLog" Target="NULL"/><Relationship Id="rId31" Type="http://schemas.openxmlformats.org/officeDocument/2006/relationships/revisionLog" Target="NULL"/><Relationship Id="rId52" Type="http://schemas.openxmlformats.org/officeDocument/2006/relationships/revisionLog" Target="NULL"/><Relationship Id="rId73" Type="http://schemas.openxmlformats.org/officeDocument/2006/relationships/revisionLog" Target="NULL"/><Relationship Id="rId78" Type="http://schemas.openxmlformats.org/officeDocument/2006/relationships/revisionLog" Target="NULL"/><Relationship Id="rId94" Type="http://schemas.openxmlformats.org/officeDocument/2006/relationships/revisionLog" Target="NULL"/><Relationship Id="rId99" Type="http://schemas.openxmlformats.org/officeDocument/2006/relationships/revisionLog" Target="NULL"/><Relationship Id="rId101" Type="http://schemas.openxmlformats.org/officeDocument/2006/relationships/revisionLog" Target="NULL"/><Relationship Id="rId122" Type="http://schemas.openxmlformats.org/officeDocument/2006/relationships/revisionLog" Target="NULL"/><Relationship Id="rId143" Type="http://schemas.openxmlformats.org/officeDocument/2006/relationships/revisionLog" Target="NULL"/><Relationship Id="rId148" Type="http://schemas.openxmlformats.org/officeDocument/2006/relationships/revisionLog" Target="NULL"/><Relationship Id="rId164" Type="http://schemas.openxmlformats.org/officeDocument/2006/relationships/revisionLog" Target="NULL"/><Relationship Id="rId169" Type="http://schemas.openxmlformats.org/officeDocument/2006/relationships/revisionLog" Target="NULL"/><Relationship Id="rId185" Type="http://schemas.openxmlformats.org/officeDocument/2006/relationships/revisionLog" Target="NULL"/><Relationship Id="rId4" Type="http://schemas.openxmlformats.org/officeDocument/2006/relationships/revisionLog" Target="NULL"/><Relationship Id="rId9" Type="http://schemas.openxmlformats.org/officeDocument/2006/relationships/revisionLog" Target="NULL"/><Relationship Id="rId180" Type="http://schemas.openxmlformats.org/officeDocument/2006/relationships/revisionLog" Target="NULL"/><Relationship Id="rId210" Type="http://schemas.openxmlformats.org/officeDocument/2006/relationships/revisionLog" Target="NULL"/><Relationship Id="rId215" Type="http://schemas.openxmlformats.org/officeDocument/2006/relationships/revisionLog" Target="NULL"/><Relationship Id="rId236" Type="http://schemas.openxmlformats.org/officeDocument/2006/relationships/revisionLog" Target="NULL"/><Relationship Id="rId257" Type="http://schemas.openxmlformats.org/officeDocument/2006/relationships/revisionLog" Target="NULL"/><Relationship Id="rId278" Type="http://schemas.openxmlformats.org/officeDocument/2006/relationships/revisionLog" Target="NULL"/><Relationship Id="rId26" Type="http://schemas.openxmlformats.org/officeDocument/2006/relationships/revisionLog" Target="NULL"/><Relationship Id="rId231" Type="http://schemas.openxmlformats.org/officeDocument/2006/relationships/revisionLog" Target="NULL"/><Relationship Id="rId252" Type="http://schemas.openxmlformats.org/officeDocument/2006/relationships/revisionLog" Target="NULL"/><Relationship Id="rId273" Type="http://schemas.openxmlformats.org/officeDocument/2006/relationships/revisionLog" Target="NULL"/><Relationship Id="rId47" Type="http://schemas.openxmlformats.org/officeDocument/2006/relationships/revisionLog" Target="NULL"/><Relationship Id="rId68" Type="http://schemas.openxmlformats.org/officeDocument/2006/relationships/revisionLog" Target="NULL"/><Relationship Id="rId89" Type="http://schemas.openxmlformats.org/officeDocument/2006/relationships/revisionLog" Target="NULL"/><Relationship Id="rId112" Type="http://schemas.openxmlformats.org/officeDocument/2006/relationships/revisionLog" Target="NULL"/><Relationship Id="rId133" Type="http://schemas.openxmlformats.org/officeDocument/2006/relationships/revisionLog" Target="NULL"/><Relationship Id="rId154" Type="http://schemas.openxmlformats.org/officeDocument/2006/relationships/revisionLog" Target="NULL"/><Relationship Id="rId175" Type="http://schemas.openxmlformats.org/officeDocument/2006/relationships/revisionLog" Target="NULL"/><Relationship Id="rId196" Type="http://schemas.openxmlformats.org/officeDocument/2006/relationships/revisionLog" Target="NULL"/><Relationship Id="rId200" Type="http://schemas.openxmlformats.org/officeDocument/2006/relationships/revisionLog" Target="NULL"/><Relationship Id="rId16" Type="http://schemas.openxmlformats.org/officeDocument/2006/relationships/revisionLog" Target="NULL"/><Relationship Id="rId221" Type="http://schemas.openxmlformats.org/officeDocument/2006/relationships/revisionLog" Target="NULL"/><Relationship Id="rId242" Type="http://schemas.openxmlformats.org/officeDocument/2006/relationships/revisionLog" Target="NULL"/><Relationship Id="rId263" Type="http://schemas.openxmlformats.org/officeDocument/2006/relationships/revisionLog" Target="NULL"/><Relationship Id="rId284" Type="http://schemas.openxmlformats.org/officeDocument/2006/relationships/revisionLog" Target="revisionLog284.xml"/><Relationship Id="rId37" Type="http://schemas.openxmlformats.org/officeDocument/2006/relationships/revisionLog" Target="NULL"/><Relationship Id="rId58" Type="http://schemas.openxmlformats.org/officeDocument/2006/relationships/revisionLog" Target="NULL"/><Relationship Id="rId79" Type="http://schemas.openxmlformats.org/officeDocument/2006/relationships/revisionLog" Target="NULL"/><Relationship Id="rId102" Type="http://schemas.openxmlformats.org/officeDocument/2006/relationships/revisionLog" Target="NULL"/><Relationship Id="rId123" Type="http://schemas.openxmlformats.org/officeDocument/2006/relationships/revisionLog" Target="NULL"/><Relationship Id="rId144" Type="http://schemas.openxmlformats.org/officeDocument/2006/relationships/revisionLog" Target="NULL"/><Relationship Id="rId90" Type="http://schemas.openxmlformats.org/officeDocument/2006/relationships/revisionLog" Target="NULL"/><Relationship Id="rId165" Type="http://schemas.openxmlformats.org/officeDocument/2006/relationships/revisionLog" Target="NULL"/><Relationship Id="rId186" Type="http://schemas.openxmlformats.org/officeDocument/2006/relationships/revisionLog" Target="NULL"/><Relationship Id="rId211" Type="http://schemas.openxmlformats.org/officeDocument/2006/relationships/revisionLog" Target="NULL"/><Relationship Id="rId232" Type="http://schemas.openxmlformats.org/officeDocument/2006/relationships/revisionLog" Target="NULL"/><Relationship Id="rId253" Type="http://schemas.openxmlformats.org/officeDocument/2006/relationships/revisionLog" Target="NULL"/><Relationship Id="rId274" Type="http://schemas.openxmlformats.org/officeDocument/2006/relationships/revisionLog" Target="NULL"/><Relationship Id="rId27" Type="http://schemas.openxmlformats.org/officeDocument/2006/relationships/revisionLog" Target="NULL"/><Relationship Id="rId48" Type="http://schemas.openxmlformats.org/officeDocument/2006/relationships/revisionLog" Target="NULL"/><Relationship Id="rId69" Type="http://schemas.openxmlformats.org/officeDocument/2006/relationships/revisionLog" Target="NULL"/><Relationship Id="rId113" Type="http://schemas.openxmlformats.org/officeDocument/2006/relationships/revisionLog" Target="NULL"/><Relationship Id="rId134" Type="http://schemas.openxmlformats.org/officeDocument/2006/relationships/revisionLog" Target="NULL"/><Relationship Id="rId80" Type="http://schemas.openxmlformats.org/officeDocument/2006/relationships/revisionLog" Target="NULL"/><Relationship Id="rId155" Type="http://schemas.openxmlformats.org/officeDocument/2006/relationships/revisionLog" Target="NULL"/><Relationship Id="rId176" Type="http://schemas.openxmlformats.org/officeDocument/2006/relationships/revisionLog" Target="NULL"/><Relationship Id="rId197" Type="http://schemas.openxmlformats.org/officeDocument/2006/relationships/revisionLog" Target="NULL"/><Relationship Id="rId201" Type="http://schemas.openxmlformats.org/officeDocument/2006/relationships/revisionLog" Target="NULL"/><Relationship Id="rId222" Type="http://schemas.openxmlformats.org/officeDocument/2006/relationships/revisionLog" Target="NULL"/><Relationship Id="rId243" Type="http://schemas.openxmlformats.org/officeDocument/2006/relationships/revisionLog" Target="NULL"/><Relationship Id="rId264" Type="http://schemas.openxmlformats.org/officeDocument/2006/relationships/revisionLog" Target="NULL"/><Relationship Id="rId285" Type="http://schemas.openxmlformats.org/officeDocument/2006/relationships/revisionLog" Target="revisionLog1.xml"/><Relationship Id="rId17" Type="http://schemas.openxmlformats.org/officeDocument/2006/relationships/revisionLog" Target="NULL"/><Relationship Id="rId38" Type="http://schemas.openxmlformats.org/officeDocument/2006/relationships/revisionLog" Target="NULL"/><Relationship Id="rId59" Type="http://schemas.openxmlformats.org/officeDocument/2006/relationships/revisionLog" Target="NULL"/><Relationship Id="rId103" Type="http://schemas.openxmlformats.org/officeDocument/2006/relationships/revisionLog" Target="NULL"/><Relationship Id="rId124" Type="http://schemas.openxmlformats.org/officeDocument/2006/relationships/revisionLog" Target="NULL"/><Relationship Id="rId70" Type="http://schemas.openxmlformats.org/officeDocument/2006/relationships/revisionLog" Target="NULL"/><Relationship Id="rId91" Type="http://schemas.openxmlformats.org/officeDocument/2006/relationships/revisionLog" Target="NULL"/><Relationship Id="rId145" Type="http://schemas.openxmlformats.org/officeDocument/2006/relationships/revisionLog" Target="NULL"/><Relationship Id="rId166" Type="http://schemas.openxmlformats.org/officeDocument/2006/relationships/revisionLog" Target="NULL"/><Relationship Id="rId187" Type="http://schemas.openxmlformats.org/officeDocument/2006/relationships/revisionLog" Target="NULL"/><Relationship Id="rId1" Type="http://schemas.openxmlformats.org/officeDocument/2006/relationships/revisionLog" Target="NULL"/><Relationship Id="rId212" Type="http://schemas.openxmlformats.org/officeDocument/2006/relationships/revisionLog" Target="NULL"/><Relationship Id="rId233" Type="http://schemas.openxmlformats.org/officeDocument/2006/relationships/revisionLog" Target="NULL"/><Relationship Id="rId254" Type="http://schemas.openxmlformats.org/officeDocument/2006/relationships/revisionLog" Target="NULL"/><Relationship Id="rId28" Type="http://schemas.openxmlformats.org/officeDocument/2006/relationships/revisionLog" Target="NULL"/><Relationship Id="rId49" Type="http://schemas.openxmlformats.org/officeDocument/2006/relationships/revisionLog" Target="NULL"/><Relationship Id="rId114" Type="http://schemas.openxmlformats.org/officeDocument/2006/relationships/revisionLog" Target="NULL"/><Relationship Id="rId275" Type="http://schemas.openxmlformats.org/officeDocument/2006/relationships/revisionLog" Target="NULL"/><Relationship Id="rId60" Type="http://schemas.openxmlformats.org/officeDocument/2006/relationships/revisionLog" Target="NULL"/><Relationship Id="rId81" Type="http://schemas.openxmlformats.org/officeDocument/2006/relationships/revisionLog" Target="NULL"/><Relationship Id="rId135" Type="http://schemas.openxmlformats.org/officeDocument/2006/relationships/revisionLog" Target="NULL"/><Relationship Id="rId156" Type="http://schemas.openxmlformats.org/officeDocument/2006/relationships/revisionLog" Target="NULL"/><Relationship Id="rId177" Type="http://schemas.openxmlformats.org/officeDocument/2006/relationships/revisionLog" Target="NULL"/><Relationship Id="rId198" Type="http://schemas.openxmlformats.org/officeDocument/2006/relationships/revisionLog" Target="NULL"/><Relationship Id="rId202" Type="http://schemas.openxmlformats.org/officeDocument/2006/relationships/revisionLog" Target="NULL"/><Relationship Id="rId223" Type="http://schemas.openxmlformats.org/officeDocument/2006/relationships/revisionLog" Target="NULL"/><Relationship Id="rId244" Type="http://schemas.openxmlformats.org/officeDocument/2006/relationships/revisionLog" Target="NULL"/><Relationship Id="rId18" Type="http://schemas.openxmlformats.org/officeDocument/2006/relationships/revisionLog" Target="NULL"/><Relationship Id="rId39" Type="http://schemas.openxmlformats.org/officeDocument/2006/relationships/revisionLog" Target="NULL"/><Relationship Id="rId265" Type="http://schemas.openxmlformats.org/officeDocument/2006/relationships/revisionLog" Target="NULL"/><Relationship Id="rId286" Type="http://schemas.openxmlformats.org/officeDocument/2006/relationships/revisionLog" Target="revisionLog2.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C1E6F205-EE70-4EDC-A6A3-1A6019D0BF51}" diskRevisions="1" revisionId="5144" version="10">
  <header guid="{069CF65A-1F61-4C2E-B50A-FC09AFDB9D61}" dateTime="2018-03-06T18:44:07" maxSheetId="25" userName="Шаврова Лилия Сергеевна" r:id="rId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914D24B-8C5A-41E3-93A5-A9448225DC07}" dateTime="2018-03-06T18:49:44" maxSheetId="25" userName="Шаврова Лилия Сергеевна" r:id="rId2" minRId="1" maxRId="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42F1930-3F6E-4ABF-A29E-9CA33183C81D}" dateTime="2018-03-06T18:49:58" maxSheetId="25" userName="Шаврова Лилия Сергеевна" r:id="rId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7305AD3-8FD0-4461-86CF-8FD5D004483D}" dateTime="2018-03-06T18:58:32" maxSheetId="25" userName="Пахомова Ирина Владимировна" r:id="rId4" minRId="35" maxRId="5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424BF6F-3A58-4390-AF58-78D4AE905353}" dateTime="2018-03-06T18:58:47" maxSheetId="25" userName="Пахомова Ирина Владимировна" r:id="rId5" minRId="8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43D2D5A-8D01-4CB0-9AE6-98FA44ECCA49}" dateTime="2018-03-06T19:04:51" maxSheetId="25" userName="Шаврова Лилия Сергеевна" r:id="rId6" minRId="81" maxRId="8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222787F-ECA3-4CDB-A05E-5B48F7274939}" dateTime="2018-03-06T19:05:24" maxSheetId="25" userName="Пахомова Ирина Владимировна" r:id="rId7" minRId="87" maxRId="9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8C020AC-E3B2-45BB-84E2-F25AF4E45A4C}" dateTime="2018-03-06T19:22:00" maxSheetId="25" userName="Шаврова Лилия Сергеевна" r:id="rId8" minRId="91" maxRId="9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A8C0530-5EE5-4D15-A3A0-A1D63CEF36C8}" dateTime="2018-03-06T19:22:09" maxSheetId="25" userName="Шаврова Лилия Сергеевна" r:id="rId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95025F6-B2B4-4D63-A0F9-D47593E224CE}" dateTime="2018-03-06T19:23:46" maxSheetId="25" userName="Шаврова Лилия Сергеевна" r:id="rId1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309A7AD-A57B-4699-8B58-AB210E0E6D17}" dateTime="2018-03-06T19:29:40" maxSheetId="25" userName="Шаврова Лилия Сергеевна" r:id="rId11" minRId="12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E1C3482-133B-4E80-9EA6-4345D13A49AE}" dateTime="2018-03-06T19:29:50" maxSheetId="25" userName="Шаврова Лилия Сергеевна" r:id="rId1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B6A5FF2-4A12-4673-BC81-EF3626FB5483}" dateTime="2018-03-06T19:30:42" maxSheetId="25" userName="Шаврова Лилия Сергеевна" r:id="rId1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FDF1E34-F14E-4087-970D-375CE1A54BDA}" dateTime="2018-03-06T19:31:18" maxSheetId="25" userName="Шаврова Лилия Сергеевна" r:id="rId1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A2D506F-FC39-4545-BCAE-99BAF31CF7A0}" dateTime="2018-03-06T19:33:13" maxSheetId="25" userName="Шаврова Лилия Сергеевна" r:id="rId1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0071324-D6DB-4C1F-818C-322ECBF1249B}" dateTime="2018-03-06T19:35:33" maxSheetId="25" userName="Шаврова Лилия Сергеевна" r:id="rId16" minRId="212" maxRId="21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5CB1BD3-9B70-4202-9FD5-638F38C21350}" dateTime="2018-03-06T19:35:48" maxSheetId="25" userName="Шаврова Лилия Сергеевна" r:id="rId1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CEED364-0F24-43E5-AE40-9C18B4966093}" dateTime="2018-03-06T19:37:26" maxSheetId="25" userName="Шаврова Лилия Сергеевна" r:id="rId1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EB63FE8-9738-4D76-863B-31A4C405FFA8}" dateTime="2018-03-06T19:41:26" maxSheetId="25" userName="Шаврова Лилия Сергеевна" r:id="rId19" minRId="270" maxRId="27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961D5F8-6A06-490D-BE0E-FCBA350E2B9D}" dateTime="2018-03-06T19:41:35" maxSheetId="25" userName="Шаврова Лилия Сергеевна" r:id="rId2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F897891-68A3-49E1-AA20-6433DA899A0E}" dateTime="2018-03-06T19:44:32" maxSheetId="25" userName="Шаврова Лилия Сергеевна" r:id="rId2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0B6A255-B7A3-47CC-8396-DDF14D05F7C9}" dateTime="2018-03-06T19:46:40" maxSheetId="25" userName="Шаврова Лилия Сергеевна" r:id="rId2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F91A29D-956A-4A9F-9983-3645555F1F8E}" dateTime="2018-03-06T20:07:44" maxSheetId="25" userName="Шаврова Лилия Сергеевна" r:id="rId23" minRId="33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5C49AC9-8737-4653-8D5C-9C1B70D2E732}" dateTime="2018-03-07T09:55:27" maxSheetId="25" userName="Шаврова Лилия Сергеевна" r:id="rId24" minRId="35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2C51BFE-F39E-43A2-B410-AB7E3F2104FB}" dateTime="2018-03-07T09:56:58" maxSheetId="25" userName="Шаврова Лилия Сергеевна" r:id="rId25" minRId="38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B15BE5E-AF98-431A-8B72-05BD3C8DBB39}" dateTime="2018-03-07T10:20:17" maxSheetId="25" userName="Шаврова Лилия Сергеевна" r:id="rId2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F031EC3-9AFE-4FB7-A103-DBE19CF97AF2}" dateTime="2018-03-07T10:24:10" maxSheetId="25" userName="Пахомова Ирина Владимировна" r:id="rId27" minRId="41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46D0BD2-99F2-400C-A134-0FE521C610F1}" dateTime="2018-03-07T10:25:21" maxSheetId="25" userName="Пахомова Ирина Владимировна" r:id="rId2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1ED710E-6570-42AB-A3CF-B697BE0E660A}" dateTime="2018-03-07T11:23:36" maxSheetId="25" userName="Пахомова Ирина Владимировна" r:id="rId29" minRId="476" maxRId="47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6EC59C2-D2C6-4839-9FDB-42E9024BCF39}" dateTime="2018-03-07T11:23:54" maxSheetId="25" userName="Пахомова Ирина Владимировна" r:id="rId30" minRId="50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5DC0CB4-BF6A-4913-B70D-F0250F40ED9C}" dateTime="2018-03-07T11:24:22" maxSheetId="25" userName="Пахомова Ирина Владимировна" r:id="rId3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71EAFF0-293D-49DD-8C2A-249DF9D9D83C}" dateTime="2018-03-07T12:01:29" maxSheetId="25" userName="Пахомова Ирина Владимировна" r:id="rId32" minRId="53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AD1C0CA-6D63-4E0A-85B7-0B94728ED738}" dateTime="2018-03-07T12:03:01" maxSheetId="25" userName="Пахомова Ирина Владимировна" r:id="rId3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A002408B-462B-4AC3-851B-5F52E03D50F8}" dateTime="2018-03-07T12:04:18" maxSheetId="25" userName="Пахомова Ирина Владимировна" r:id="rId34" minRId="59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FA06477-BA30-46A9-A496-0B88A463CCCA}" dateTime="2018-03-07T12:06:32" maxSheetId="25" userName="Пахомова Ирина Владимировна" r:id="rId35" minRId="598" maxRId="59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3C00DAE-AA96-4BB6-8D55-04284873BFA0}" dateTime="2018-03-07T12:22:07" maxSheetId="25" userName="Пахомова Ирина Владимировна" r:id="rId36" minRId="600" maxRId="60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75AD0B6-55F1-4160-9746-60EB1B0DA2D9}" dateTime="2018-03-07T12:22:27" maxSheetId="25" userName="Пахомова Ирина Владимировна" r:id="rId3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AA4385F-AC61-4543-80F2-2CA80C25E461}" dateTime="2018-03-07T12:30:05" maxSheetId="25" userName="Пахомова Ирина Владимировна" r:id="rId38" minRId="632" maxRId="68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1D1A3B9-5587-4D6F-8054-5D2458A88279}" dateTime="2018-03-07T12:50:32" maxSheetId="25" userName="Пахомова Ирина Владимировна" r:id="rId39" minRId="689" maxRId="69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6F052CE-84D9-4173-8772-42E66A20417E}" dateTime="2018-03-07T12:59:35" maxSheetId="25" userName="Пахомова Ирина Владимировна" r:id="rId40" minRId="696" maxRId="70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1EF6F8D-8073-47F5-AFEF-487B2536AC8F}" dateTime="2018-03-07T13:03:20" maxSheetId="25" userName="Пахомова Ирина Владимировна" r:id="rId41" minRId="70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B519B0B-FFAD-4C59-A775-554315C53FB5}" dateTime="2018-03-07T13:08:29" maxSheetId="25" userName="Пахомова Ирина Владимировна" r:id="rId42" minRId="705" maxRId="70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5E5AE58-F951-49EA-99BF-226879F98FD3}" dateTime="2018-03-07T14:07:29" maxSheetId="25" userName="Пахомова Ирина Владимировна" r:id="rId43" minRId="707" maxRId="71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2348357-7F59-45E6-92C2-362572C64A1D}" dateTime="2018-03-07T14:15:00" maxSheetId="25" userName="Пахомова Ирина Владимировна" r:id="rId44" minRId="711" maxRId="71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7348A16-5F38-4CE3-A8F8-937B21D4724A}" dateTime="2018-03-07T14:17:34" maxSheetId="25" userName="Пахомова Ирина Владимировна" r:id="rId45" minRId="74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29ECB27-4F27-4E7B-B177-E5B4B89246F3}" dateTime="2018-03-07T14:18:37" maxSheetId="25" userName="Пахомова Ирина Владимировна" r:id="rId46" minRId="750" maxRId="75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7BD97AA-D684-44D6-B138-9A04086A2D9A}" dateTime="2018-03-07T14:20:01" maxSheetId="25" userName="Пахомова Ирина Владимировна" r:id="rId47" minRId="75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A082043-C2A1-4CBF-B598-BC01345A4AEC}" dateTime="2018-03-07T14:20:18" maxSheetId="25" userName="Пахомова Ирина Владимировна" r:id="rId48" minRId="75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F84A35F-E9D7-4E35-8F03-697D267EB003}" dateTime="2018-03-07T14:34:09" maxSheetId="25" userName="Пахомова Ирина Владимировна" r:id="rId49" minRId="758" maxRId="75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9A7E297-3ED3-4E73-BF70-8B8634829B92}" dateTime="2018-03-07T14:52:41" maxSheetId="25" userName="Шаврова Лилия Сергеевна" r:id="rId50" minRId="789" maxRId="79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F4E3BC5-5339-4E78-A6CD-0711459C909F}" dateTime="2018-03-07T16:02:30" maxSheetId="25" userName="Шаврова Лилия Сергеевна" r:id="rId5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EF73D60-1B51-4975-82F5-57B87E65AF4E}" dateTime="2018-03-07T16:08:51" maxSheetId="25" userName="Шаврова Лилия Сергеевна" r:id="rId52" minRId="84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A28D7A09-54C9-4561-B5E0-00E5434C6676}" dateTime="2018-03-07T16:22:53" maxSheetId="25" userName="Пахомова Ирина Владимировна" r:id="rId53" minRId="848" maxRId="85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C753011-950B-4444-87B8-9D2F9F27A80D}" dateTime="2018-03-07T16:35:15" maxSheetId="25" userName="Пахомова Ирина Владимировна" r:id="rId54" minRId="85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8814DFC-35B2-434D-9794-B8C882009D93}" dateTime="2018-03-07T16:41:22" maxSheetId="25" userName="Пахомова Ирина Владимировна" r:id="rId55" minRId="86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13C0DE8-784D-490B-B43F-6136D3ACB9DF}" dateTime="2018-03-07T16:46:49" maxSheetId="25" userName="Шаврова Лилия Сергеевна" r:id="rId5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4A0B217-617C-4E4E-9013-F5247EB9796E}" dateTime="2018-03-07T17:07:15" maxSheetId="25" userName="Пахомова Ирина Владимировна" r:id="rId57" minRId="889" maxRId="89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4F171C9-9109-46C9-8569-D22283CC235D}" dateTime="2018-03-07T17:09:20" maxSheetId="25" userName="Пахомова Ирина Владимировна" r:id="rId58" minRId="89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2062E86-7333-4BE0-88E6-6F8F1252ADE4}" dateTime="2018-03-07T17:17:09" maxSheetId="25" userName="Пахомова Ирина Владимировна" r:id="rId5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40DA80A-A4FC-49B7-B445-684FC0279B95}" dateTime="2018-03-12T10:22:22" maxSheetId="25" userName="Пахомова Ирина Владимировна" r:id="rId60" minRId="92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7F25613-F5D2-4D63-8351-6B76675594BD}" dateTime="2018-03-12T10:23:37" maxSheetId="25" userName="Пахомова Ирина Владимировна" r:id="rId61" minRId="92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65FDBC2-7364-4DE1-90E4-C5EEC7B2F29C}" dateTime="2018-03-12T10:24:44" maxSheetId="25" userName="Пахомова Ирина Владимировна" r:id="rId62" minRId="92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A6AD873-D7FA-4756-A622-EC86C151F683}" dateTime="2018-03-12T10:30:23" maxSheetId="25" userName="Пахомова Ирина Владимировна" r:id="rId63" minRId="924" maxRId="92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03DBD48-C889-4C68-89EA-706D854D6637}" dateTime="2018-03-12T10:32:09" maxSheetId="25" userName="Пахомова Ирина Владимировна" r:id="rId6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4BCDD9A-0DC6-4FBE-9C81-2B6118C98F87}" dateTime="2018-03-12T10:38:06" maxSheetId="25" userName="Пахомова Ирина Владимировна" r:id="rId65" minRId="92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5A9177A-60C9-4F60-8EE9-4B9BE31EAC39}" dateTime="2018-03-12T10:39:23" maxSheetId="25" userName="Пахомова Ирина Владимировна" r:id="rId66" minRId="927" maxRId="92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A46B40C-F3E7-49D2-8911-F1BE43812381}" dateTime="2018-03-12T10:43:10" maxSheetId="25" userName="Пахомова Ирина Владимировна" r:id="rId67" minRId="930" maxRId="93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F71416D-ADB6-4480-A6A0-E9BCCD753C2F}" dateTime="2018-03-12T10:45:09" maxSheetId="25" userName="Пахомова Ирина Владимировна" r:id="rId68" minRId="934" maxRId="93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055F55F-84DE-4758-A333-A7F7B28E6102}" dateTime="2018-03-12T10:46:44" maxSheetId="25" userName="Пахомова Ирина Владимировна" r:id="rId69" minRId="937" maxRId="93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85DE841-162B-4258-B89F-F7FF6202E965}" dateTime="2018-03-12T10:57:59" maxSheetId="25" userName="Шаврова Лилия Сергеевна" r:id="rId70" minRId="940">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664DA53-61A4-4D43-823A-24B15DE65D97}" dateTime="2018-03-12T10:59:04" maxSheetId="25" userName="Шаврова Лилия Сергеевна" r:id="rId71" minRId="941">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21A683D-D8F8-4EE7-A0DA-B4F3A9EB28FC}" dateTime="2018-03-12T11:00:00" maxSheetId="25" userName="Шаврова Лилия Сергеевна" r:id="rId72">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91C97C3-F7B0-42EC-9FAA-FC2DBB776CFC}" dateTime="2018-03-12T11:05:13" maxSheetId="25" userName="Пахомова Ирина Владимировна" r:id="rId73" minRId="97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17E111B-596B-4951-BFE8-A358A7EAF2BA}" dateTime="2018-03-12T11:26:50" maxSheetId="25" userName="Шаврова Лилия Сергеевна" r:id="rId74" minRId="971" maxRId="975">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54329F5-FA69-4323-9998-7FDDE8674869}" dateTime="2018-03-12T11:29:13" maxSheetId="25" userName="Шаврова Лилия Сергеевна" r:id="rId75" minRId="1004" maxRId="1011">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AF76B594-11F5-45AC-B88A-BE2A826E8D18}" dateTime="2018-03-12T11:29:49" maxSheetId="25" userName="Шаврова Лилия Сергеевна" r:id="rId76">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3BD256F-9908-405C-9B76-632F76B838C0}" dateTime="2018-03-12T11:35:30" maxSheetId="25" userName="Шаврова Лилия Сергеевна" r:id="rId77" minRId="1068" maxRId="1069">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169C587-6B02-4797-BBFA-DF5FD350DBED}" dateTime="2018-03-12T11:47:03" maxSheetId="25" userName="Шаврова Лилия Сергеевна" r:id="rId78" minRId="1070">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2A4F7E0-A9B7-46DA-BDEC-554A8DC81E1C}" dateTime="2018-03-12T11:50:11" maxSheetId="25" userName="Пахомова Ирина Владимировна" r:id="rId79" minRId="1071" maxRId="107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79B2E0C-9863-44AE-B7F1-6452362D039B}" dateTime="2018-03-12T11:54:46" maxSheetId="25" userName="Пахомова Ирина Владимировна" r:id="rId80" minRId="1073" maxRId="107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27DF3A9-AB77-47A0-91F3-2E11857B41C7}" dateTime="2018-03-12T11:55:10" maxSheetId="25" userName="Пахомова Ирина Владимировна" r:id="rId81" minRId="107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E95B88C-EEC8-4B80-B28A-38C768320EDB}" dateTime="2018-03-12T11:57:58" maxSheetId="25" userName="Пахомова Ирина Владимировна" r:id="rId82" minRId="107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D4A57E1-0800-46B5-9381-788868A85CE6}" dateTime="2018-03-12T11:58:17" maxSheetId="25" userName="Пахомова Ирина Владимировна" r:id="rId83" minRId="107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A3BE339-8D29-4BF3-977D-6B0BE290D254}" dateTime="2018-03-12T11:59:05" maxSheetId="25" userName="Пахомова Ирина Владимировна" r:id="rId84" minRId="107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E17F938-D082-4C45-8241-5D686E185D82}" dateTime="2018-03-12T11:59:31" maxSheetId="25" userName="Пахомова Ирина Владимировна" r:id="rId85" minRId="107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E737449-2CB8-430C-A505-4107BB845B82}" dateTime="2018-03-12T11:59:45" maxSheetId="25" userName="Пахомова Ирина Владимировна" r:id="rId86" minRId="108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817C76C-D796-4605-BE82-509FA397129D}" dateTime="2018-03-12T11:59:56" maxSheetId="25" userName="Пахомова Ирина Владимировна" r:id="rId87" minRId="108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B90FA35-58DE-4F68-9078-670869C85633}" dateTime="2018-03-12T12:00:32" maxSheetId="25" userName="Пахомова Ирина Владимировна" r:id="rId88" minRId="108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621E343-3532-45C1-B56C-A3459154B918}" dateTime="2018-03-12T12:07:18" maxSheetId="25" userName="Пахомова Ирина Владимировна" r:id="rId89" minRId="108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5B349AC-5C95-40BB-8F2D-2C8469F4F354}" dateTime="2018-03-12T12:07:59" maxSheetId="25" userName="Пахомова Ирина Владимировна" r:id="rId90" minRId="108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915E881-3601-4398-8721-21F45B79F328}" dateTime="2018-03-12T12:10:40" maxSheetId="25" userName="Пахомова Ирина Владимировна" r:id="rId91" minRId="108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DE7CE37-D58E-43EE-AEC6-887CA7060924}" dateTime="2018-03-12T12:10:54" maxSheetId="25" userName="Пахомова Ирина Владимировна" r:id="rId92" minRId="108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F0C675A-0870-4BD8-A710-C10EA781A89E}" dateTime="2018-03-12T12:11:48" maxSheetId="25" userName="Пахомова Ирина Владимировна" r:id="rId93" minRId="108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4CB747F-15BE-4953-A6D8-2E44AEBD43BF}" dateTime="2018-03-12T12:15:34" maxSheetId="25" userName="Пахомова Ирина Владимировна" r:id="rId94" minRId="108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781D787-0268-4F80-994E-BCA1034A2443}" dateTime="2018-03-12T12:21:09" maxSheetId="25" userName="Пахомова Ирина Владимировна" r:id="rId95" minRId="108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DC0B010-8D4A-4270-A741-D49E81C46F9A}" dateTime="2018-03-12T12:22:48" maxSheetId="25" userName="Шаврова Лилия Сергеевна" r:id="rId96" minRId="1090">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9E8DD8B-A682-4642-878E-96A3D8261A22}" dateTime="2018-03-12T12:28:52" maxSheetId="25" userName="Пахомова Ирина Владимировна" r:id="rId97" minRId="1091" maxRId="109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F7E041C-EAD8-44F6-8686-48CDAAF741FC}" dateTime="2018-03-12T12:33:00" maxSheetId="25" userName="Пахомова Ирина Владимировна" r:id="rId98" minRId="1093" maxRId="109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BBB011B-ECC5-4E7A-B4BD-426ECA818BD2}" dateTime="2018-03-12T12:37:22" maxSheetId="25" userName="Пахомова Ирина Владимировна" r:id="rId99" minRId="1096" maxRId="109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08F6122-D92A-4B04-AB40-76C96829A338}" dateTime="2018-03-12T12:53:53" maxSheetId="25" userName="Шаврова Лилия Сергеевна" r:id="rId100">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68ECDE9-6D44-4146-A2EE-4474D609A9C9}" dateTime="2018-03-12T12:59:20" maxSheetId="25" userName="Пахомова Ирина Владимировна" r:id="rId101" minRId="1128" maxRId="113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612D40C-2371-48F4-8E1D-5AA6984C3B7E}" dateTime="2018-03-12T13:02:13" maxSheetId="25" userName="Пахомова Ирина Владимировна" r:id="rId102" minRId="113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0578502-5AAA-4F0F-9114-BFEE6D5B2B37}" dateTime="2018-03-12T14:06:01" maxSheetId="25" userName="Пахомова Ирина Владимировна" r:id="rId103" minRId="1133" maxRId="113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B043C89-322E-4B26-986D-6CE7DFCAF202}" dateTime="2018-03-12T14:10:39" maxSheetId="25" userName="Пахомова Ирина Владимировна" r:id="rId104" minRId="1164" maxRId="116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0FD84D6-5620-4A19-99AA-75B3865061C1}" dateTime="2018-03-12T14:13:53" maxSheetId="25" userName="Пахомова Ирина Владимировна" r:id="rId10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FFD339C-98B9-45B6-B6AF-40D45C0552D2}" dateTime="2018-03-12T14:29:04" maxSheetId="25" userName="Шаврова Лилия Сергеевна" r:id="rId106" minRId="1167" maxRId="1256">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79DB73D-BA04-455B-A3F8-4614A3D424F5}" dateTime="2018-03-12T14:30:32" maxSheetId="25" userName="Шаврова Лилия Сергеевна" r:id="rId107" minRId="1285" maxRId="1289">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FACF27E-B2AC-4BA3-B5DE-F519C9C439A7}" dateTime="2018-03-12T14:31:30" maxSheetId="25" userName="Шаврова Лилия Сергеевна" r:id="rId108" minRId="1290">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C4DD7D0-F118-4D07-84D6-1316CA388407}" dateTime="2018-03-12T14:55:28" maxSheetId="25" userName="Пахомова Ирина Владимировна" r:id="rId109" minRId="129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DDCD2CE-D31D-494C-91E5-D0D3580063C3}" dateTime="2018-03-12T15:21:34" maxSheetId="25" userName="Конивцов Владимир Сергеевич" r:id="rId110" minRId="1292" maxRId="129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A51CCE2-0105-4EA0-8407-D9F76DE160AB}" dateTime="2018-03-12T15:39:13" maxSheetId="25" userName="Пахомова Ирина Владимировна" r:id="rId111" minRId="132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80FE472-27AE-4030-8E68-66FE89877650}" dateTime="2018-03-12T15:42:17" maxSheetId="25" userName="Пахомова Ирина Владимировна" r:id="rId112" minRId="1325" maxRId="132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4B89805-2AAC-4754-AF7E-42C8B37B131D}" dateTime="2018-03-12T15:44:25" maxSheetId="25" userName="Пахомова Ирина Владимировна" r:id="rId113" minRId="132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F2CA54D-4E12-4BBE-B9F9-2633250E748F}" dateTime="2018-03-12T15:51:38" maxSheetId="25" userName="Пахомова Ирина Владимировна" r:id="rId114" minRId="1329" maxRId="133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AB60EF3-B42D-4672-99F4-5F2486116C88}" dateTime="2018-03-12T15:54:07" maxSheetId="25" userName="Пахомова Ирина Владимировна" r:id="rId11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68FD190-54F1-4842-8840-408C46F50A08}" dateTime="2018-03-12T16:34:32" maxSheetId="25" userName="Пахомова Ирина Владимировна" r:id="rId116" minRId="133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1E9B060-2B14-4232-9FBC-2C4C1D3C9665}" dateTime="2018-03-12T16:41:53" maxSheetId="25" userName="Соловьев Евгений Владиславович" r:id="rId117" minRId="1334" maxRId="143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AD4BE49-36EF-4CA2-8E9B-0D66C4A8E495}" dateTime="2018-03-12T17:25:39" maxSheetId="25" userName="Конивцов Владимир Сергеевич" r:id="rId118" minRId="1465" maxRId="146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1C870FE-2140-44F4-8BC4-53F547AB2A56}" dateTime="2018-03-12T17:33:01" maxSheetId="25" userName="Пахомова Ирина Владимировна" r:id="rId119" minRId="1496" maxRId="149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6AF350B-616E-459F-B8A0-F707A57C5EF1}" dateTime="2018-03-12T18:29:54" maxSheetId="25" userName="Шаврова Лилия Сергеевна" r:id="rId120" minRId="1499" maxRId="1530">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10ABD99-4638-4323-8423-0D48C894B19A}" dateTime="2018-03-12T18:47:48" maxSheetId="25" userName="Соловьев Евгений Владиславович" r:id="rId121" minRId="1531" maxRId="161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C83FB10-ADBB-4DD6-9FBD-6A60B877A97D}" dateTime="2018-03-12T18:57:43" maxSheetId="25" userName="Шаврова Лилия Сергеевна" r:id="rId122" minRId="1646" maxRId="1648">
    <sheetIdMap count="24">
      <sheetId val="1"/>
      <sheetId val="2"/>
      <sheetId val="3"/>
      <sheetId val="4"/>
      <sheetId val="6"/>
      <sheetId val="5"/>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AAB5948-CC0A-4FD2-AAB6-E129FA35B853}" dateTime="2018-03-12T19:09:32" maxSheetId="25" userName="Пахомова Ирина Владимировна" r:id="rId12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D4D808B-F512-4DD5-A264-10568F3C303E}" dateTime="2018-03-13T09:22:24" maxSheetId="25" userName="Пахомова Ирина Владимировна" r:id="rId124" minRId="1678" maxRId="168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89D3996-AE29-4903-ADBE-548FAC1E14B4}" dateTime="2018-03-13T09:23:09" maxSheetId="25" userName="Пахомова Ирина Владимировна" r:id="rId125" minRId="1713" maxRId="172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2920603-0D71-4F58-AB79-2A6C8067445C}" dateTime="2018-03-13T09:31:10" maxSheetId="25" userName="Пахомова Ирина Владимировна" r:id="rId126" minRId="1728" maxRId="173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998886B-3159-49CC-B1FC-2CDD50FF3A15}" dateTime="2018-03-13T09:31:32" maxSheetId="25" userName="Пахомова Ирина Владимировна" r:id="rId127" minRId="173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0752975-DF33-4657-9F26-3E51CE3CA3DA}" dateTime="2018-03-13T09:40:20" maxSheetId="25" userName="Пахомова Ирина Владимировна" r:id="rId128" minRId="1733" maxRId="174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912CF14-35E8-4A95-AA83-AE0EB627E4D7}" dateTime="2018-03-13T09:41:31" maxSheetId="25" userName="Пахомова Ирина Владимировна" r:id="rId129" minRId="174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A234A62-1EE5-4722-8D24-B14B0FB9F76D}" dateTime="2018-03-13T09:43:46" maxSheetId="25" userName="Соловьев Евгений Владиславович" r:id="rId130" minRId="1743" maxRId="179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5C6BB6D-3E2B-424C-97F0-8141F53E086D}" dateTime="2018-03-13T10:06:17" maxSheetId="25" userName="Пахомова Ирина Владимировна" r:id="rId131" minRId="1791" maxRId="179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B999940-6583-4E7A-826A-53CA41B87EAD}" dateTime="2018-03-13T11:37:02" maxSheetId="25" userName="Соловьев Евгений Владиславович" r:id="rId132" minRId="1798" maxRId="196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307321B-9261-47F6-81A7-6D4A44094EB6}" dateTime="2018-03-13T11:56:08" maxSheetId="25" userName="Пахомова Ирина Владимировна" r:id="rId133" minRId="199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C474F87-4F50-4E04-9B6F-E9638DDED608}" dateTime="2018-03-13T14:17:24" maxSheetId="25" userName="Пахомова Ирина Владимировна" r:id="rId134" minRId="199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D2EF295-893D-4297-AAC6-5CE2D5A96B30}" dateTime="2018-03-13T14:19:17" maxSheetId="25" userName="Пахомова Ирина Владимировна" r:id="rId135" minRId="199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F5F3531-1FAB-4E69-9058-9A9B445A5264}" dateTime="2018-03-13T14:28:44" maxSheetId="25" userName="Пахомова Ирина Владимировна" r:id="rId136" minRId="1995" maxRId="200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5D63A5B-7F18-4AA2-8F44-B2E99344620B}" dateTime="2018-03-13T14:36:19" maxSheetId="25" userName="Пахомова Ирина Владимировна" r:id="rId137" minRId="2002" maxRId="200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20D9929-71A1-4299-86F1-23F0089F424F}" dateTime="2018-03-13T14:40:53" maxSheetId="25" userName="Пахомова Ирина Владимировна" r:id="rId138" minRId="200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0C62D55-FF6D-40A6-BE24-847B25CB6428}" dateTime="2018-03-13T14:42:53" maxSheetId="25" userName="Пахомова Ирина Владимировна" r:id="rId139" minRId="2006" maxRId="200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B2175EA-E30B-4ACF-9836-9CC837AD91C1}" dateTime="2018-03-13T14:54:53" maxSheetId="25" userName="Пахомова Ирина Владимировна" r:id="rId140" minRId="2038" maxRId="203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9D4F9EE-D92C-4B79-91B8-00DE9F5155E7}" dateTime="2018-03-13T14:56:06" maxSheetId="25" userName="Пахомова Ирина Владимировна" r:id="rId141" minRId="204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B8D342F-A597-418E-8DD4-57511CEBE3C2}" dateTime="2018-03-13T14:59:23" maxSheetId="25" userName="Шаврова Лилия Сергеевна" r:id="rId142" minRId="204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AB74608-32A7-4499-970A-69CA08F7AD08}" dateTime="2018-03-13T15:00:38" maxSheetId="25" userName="Пахомова Ирина Владимировна" r:id="rId143" minRId="204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8FF89A2-F961-48C9-BE25-BAE64CDB8362}" dateTime="2018-03-13T15:01:36" maxSheetId="25" userName="Пахомова Ирина Владимировна" r:id="rId144" minRId="2043" maxRId="204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8B9677A-159D-448E-9378-0266947CE493}" dateTime="2018-03-13T15:02:07" maxSheetId="25" userName="Шаврова Лилия Сергеевна" r:id="rId145" minRId="2045" maxRId="205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D0EEF6F-B4A0-466A-8E1D-B5DFA9C619C7}" dateTime="2018-03-13T15:03:12" maxSheetId="25" userName="Пахомова Ирина Владимировна" r:id="rId146" minRId="2080" maxRId="208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E51DC9F-B4EF-4775-8A09-7EE8971E0847}" dateTime="2018-03-13T15:04:16" maxSheetId="25" userName="Пахомова Ирина Владимировна" r:id="rId147" minRId="208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BD2E545-7080-43EF-ACFE-6BE3081803D8}" dateTime="2018-03-13T15:06:18" maxSheetId="25" userName="Шаврова Лилия Сергеевна" r:id="rId148" minRId="208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AC0E7BD-FD30-45F2-8F0B-1D7BF4DA596B}" dateTime="2018-03-13T15:06:55" maxSheetId="25" userName="Пахомова Ирина Владимировна" r:id="rId149" minRId="208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BF7C48D-4474-4DA2-9327-C87F7937BE95}" dateTime="2018-03-13T15:11:50" maxSheetId="25" userName="Шаврова Лилия Сергеевна" r:id="rId150" minRId="2114" maxRId="211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9B45C94-65E4-4FFA-8146-9C0A79854798}" dateTime="2018-03-13T15:13:53" maxSheetId="25" userName="Шаврова Лилия Сергеевна" r:id="rId151" minRId="2116" maxRId="212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1826E51-EB05-476F-81AF-1CA871740959}" dateTime="2018-03-13T15:18:32" maxSheetId="25" userName="Шаврова Лилия Сергеевна" r:id="rId152" minRId="2152" maxRId="215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244ADFF-5C61-43C1-A91F-0EC5B71C5377}" dateTime="2018-03-13T15:22:01" maxSheetId="25" userName="Шаврова Лилия Сергеевна" r:id="rId15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FD3A7C3-CF8B-4F05-92F7-C812266ECDF7}" dateTime="2018-03-13T15:29:32" maxSheetId="25" userName="Шаврова Лилия Сергеевна" r:id="rId154" minRId="2160" maxRId="216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1BF5CF2-7561-4B64-84A1-5BCB8E228C5D}" dateTime="2018-03-13T15:37:52" maxSheetId="25" userName="Шаврова Лилия Сергеевна" r:id="rId15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A3BB3086-9A58-477F-AAB3-848101C647C5}" dateTime="2018-03-13T15:48:24" maxSheetId="25" userName="Шаврова Лилия Сергеевна" r:id="rId156" minRId="2165" maxRId="216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BEB2A25-0321-48DF-AB4E-62C29E730E89}" dateTime="2018-03-13T15:53:47" maxSheetId="25" userName="Пахомова Ирина Владимировна" r:id="rId157" minRId="216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F855EFD-1102-41A0-87BD-B2530EC24DF1}" dateTime="2018-03-13T16:01:54" maxSheetId="25" userName="Пахомова Ирина Владимировна" r:id="rId158" minRId="2199" maxRId="220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C7D52B9-39C0-4A1F-B05E-77EDFED3A842}" dateTime="2018-03-13T16:29:25" maxSheetId="25" userName="Шаврова Лилия Сергеевна" r:id="rId159" minRId="2202" maxRId="220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1688DBE-2D97-4CA7-AB00-29DFBB0DC1E6}" dateTime="2018-03-13T17:04:13" maxSheetId="25" userName="Шаврова Лилия Сергеевна" r:id="rId160" minRId="2204" maxRId="220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70A1EFB1-036D-4C64-BB31-75ADFD1AF90E}" dateTime="2018-03-13T17:15:53" maxSheetId="25" userName="Шаврова Лилия Сергеевна" r:id="rId161" minRId="2206" maxRId="220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7CC8379-4A6D-4C9D-BF23-25A9BEC421D3}" dateTime="2018-03-13T17:45:38" maxSheetId="25" userName="Соловьев Евгений Владиславович" r:id="rId162" minRId="2236" maxRId="249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DB5A219-BA3F-4B81-A203-F01C229BAFC9}" dateTime="2018-03-13T17:47:59" maxSheetId="25" userName="Пахомова Ирина Владимировна" r:id="rId163" minRId="2491" maxRId="249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93192A8B-5C60-4CBD-AE0D-C08DC5E2636E}" dateTime="2018-03-13T18:29:18" maxSheetId="25" userName="Пахомова Ирина Владимировна" r:id="rId164" minRId="2493" maxRId="249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D4929E8-D856-4C68-8119-6560EBCF8DFA}" dateTime="2018-03-13T18:34:37" maxSheetId="25" userName="Шаврова Лилия Сергеевна" r:id="rId16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7A43368-EB67-468E-AE24-70F2815CDB49}" dateTime="2018-03-13T18:47:56" maxSheetId="25" userName="Пахомова Ирина Владимировна" r:id="rId166" minRId="2552" maxRId="255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AAA5E0D3-A75C-4AA9-9438-4E2316822EB8}" dateTime="2018-03-13T18:49:17" maxSheetId="25" userName="Соловьев Евгений Владиславович" r:id="rId167" minRId="2557" maxRId="259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161BD79-4757-46A1-9FC9-434E424612C4}" dateTime="2018-03-13T18:50:47" maxSheetId="25" userName="Пахомова Ирина Владимировна" r:id="rId168" minRId="259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7AEDF49-3EF2-47CC-B44D-1B009F22600F}" dateTime="2018-03-13T18:55:38" maxSheetId="25" userName="Соловьев Евгений Владиславович" r:id="rId169" minRId="259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1D354B9-9F44-4CB0-A19B-9C87757FD55E}" dateTime="2018-03-13T19:05:26" maxSheetId="25" userName="Соловьев Евгений Владиславович" r:id="rId170" minRId="2599" maxRId="260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AE5C60F3-166B-441F-A07E-9837FBF22E75}" dateTime="2018-03-13T20:27:04" maxSheetId="25" userName="Пахомова Ирина Владимировна" r:id="rId171" minRId="2601" maxRId="260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15B27EB-D689-4A02-9698-9E2470B30A19}" dateTime="2018-03-13T20:43:47" maxSheetId="25" userName="Конивцов Владимир Сергеевич" r:id="rId172" minRId="2605" maxRId="260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653C42A-6570-4387-902C-2449120EB0AB}" dateTime="2018-03-14T10:26:40" maxSheetId="25" userName="Шаврова Лилия Сергеевна" r:id="rId173" minRId="260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6E9EE19-D39B-4208-996D-27C95A82A163}" dateTime="2018-03-14T10:58:39" maxSheetId="25" userName="Шаврова Лилия Сергеевна" r:id="rId174" minRId="2610" maxRId="261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EEC50DF-A1F5-444E-8994-B8F4F9C28EFD}" dateTime="2018-03-14T11:31:52" maxSheetId="25" userName="Пахомова Ирина Владимировна" r:id="rId17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A4CB47B-72B1-4E69-982F-4EC6E1ECDD6F}" dateTime="2018-03-14T12:14:30" maxSheetId="25" userName="Пахомова Ирина Владимировна" r:id="rId176" minRId="264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83F0F14-70AB-4B1E-BBBF-D6339603A41C}" dateTime="2018-03-14T12:57:12" maxSheetId="25" userName="Шаврова Лилия Сергеевна" r:id="rId177" minRId="2671" maxRId="267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CF36E4E-F85C-4820-845F-07EE25031389}" dateTime="2018-03-14T15:50:58" maxSheetId="25" userName="Пахомова Ирина Владимировна" r:id="rId178" minRId="2673" maxRId="267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7B63BDA-BADE-4A84-A3FC-EACCDE63A073}" dateTime="2018-03-14T15:51:29" maxSheetId="25" userName="Конивцов Владимир Сергеевич" r:id="rId179" minRId="2680" maxRId="268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DD14862-5F90-4B61-8537-5DAED596F86A}" dateTime="2018-03-14T15:58:43" maxSheetId="25" userName="Шаврова Лилия Сергеевна" r:id="rId180" minRId="2682" maxRId="269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F502CD4-4708-4F15-8AF7-801DACC465EF}" dateTime="2018-03-14T15:59:36" maxSheetId="25" userName="Шаврова Лилия Сергеевна" r:id="rId18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C7380DE-A439-4E9E-A102-8CF900DDFD1F}" dateTime="2018-03-14T16:04:12" maxSheetId="25" userName="Конивцов Владимир Сергеевич" r:id="rId182" minRId="2749" maxRId="276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86CAE99-1F6F-4BAF-94FA-35B8DC58821C}" dateTime="2018-03-14T16:05:53" maxSheetId="25" userName="Конивцов Владимир Сергеевич" r:id="rId183" minRId="279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DACB3E78-62AB-4CAE-818E-D89DBC623F73}" dateTime="2018-03-14T16:09:59" maxSheetId="25" userName="Конивцов Владимир Сергеевич" r:id="rId184" minRId="2794" maxRId="279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16E71BF-4262-4616-8868-E2F239C306AF}" dateTime="2018-03-14T16:33:31" maxSheetId="25" userName="Шаврова Лилия Сергеевна" r:id="rId185" minRId="2796" maxRId="279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E6D41B2-D13D-451D-A67D-F06379E3E0E0}" dateTime="2018-03-14T16:42:32" maxSheetId="25" userName="Шаврова Лилия Сергеевна" r:id="rId18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53225CF-AAA6-449F-BD30-4206257D9588}" dateTime="2018-03-14T17:02:57" maxSheetId="25" userName="Соловьев Евгений Владиславович" r:id="rId187" minRId="2798" maxRId="281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FBCE3CC-E429-489E-92B3-CCD4D601F145}" dateTime="2018-03-14T18:02:33" maxSheetId="25" userName="Шаврова Лилия Сергеевна" r:id="rId188" minRId="2844" maxRId="284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6413339-9384-43DF-AEAF-389D1BC4E168}" dateTime="2018-03-14T18:57:35" maxSheetId="25" userName="Конивцов Владимир Сергеевич" r:id="rId189" minRId="284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F26754B-9841-4999-8407-62D13C00FA19}" dateTime="2018-03-14T19:00:15" maxSheetId="25" userName="Конивцов Владимир Сергеевич" r:id="rId190" minRId="284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7D4CFC4-74F0-4211-9BC7-2C4E5E5369FC}" dateTime="2018-03-14T19:07:51" maxSheetId="25" userName="Шаврова Лилия Сергеевна" r:id="rId191" minRId="2849" maxRId="285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6B2FC20-6850-42E6-9FD6-D777818979BF}" dateTime="2018-03-15T11:04:14" maxSheetId="25" userName="Шаврова Лилия Сергеевна" r:id="rId192" minRId="2851" maxRId="287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8C09862-7EC4-4436-8DF3-ECBBF2FD89A5}" dateTime="2018-03-15T11:23:45" maxSheetId="25" userName="Шаврова Лилия Сергеевна" r:id="rId193" minRId="290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9477D3A-4CB4-4417-BCAF-9BEB91CEE918}" dateTime="2018-03-15T11:45:33" maxSheetId="25" userName="Шаврова Лилия Сергеевна" r:id="rId194" minRId="2908" maxRId="294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D6FC049-47DD-427F-82DB-3862F87911FC}" dateTime="2018-03-15T11:50:02" maxSheetId="25" userName="Шаврова Лилия Сергеевна" r:id="rId195" minRId="2971" maxRId="297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BDFACF5-6624-4C8B-918D-2257F0F2588C}" dateTime="2018-03-15T12:55:09" maxSheetId="25" userName="Пахомова Ирина Владимировна" r:id="rId196" minRId="2973" maxRId="299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A71393C8-C404-4B70-B755-CDD939D35B29}" dateTime="2018-03-15T12:57:07" maxSheetId="25" userName="Пахомова Ирина Владимировна" r:id="rId197" minRId="3000" maxRId="300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3DA2A68-B32E-4369-8FC8-EDD9976DB4DF}" dateTime="2018-03-15T13:18:44" maxSheetId="25" userName="Соловьев Евгений Владиславович" r:id="rId198" minRId="3007" maxRId="301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935F903-1D7F-484A-BF5D-A7C27A29E889}" dateTime="2018-03-15T14:09:27" maxSheetId="25" userName="Пахомова Ирина Владимировна" r:id="rId199" minRId="3017" maxRId="303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A1AC684-B826-411A-BAD6-3A7B2F892347}" dateTime="2018-03-15T14:17:48" maxSheetId="25" userName="Пахомова Ирина Владимировна" r:id="rId200" minRId="3035" maxRId="304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77BF548-F37C-43B4-994C-4430CAA5CBE5}" dateTime="2018-03-15T14:24:40" maxSheetId="25" userName="Пахомова Ирина Владимировна" r:id="rId201" minRId="3076" maxRId="315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CBEDAD9-D045-45A4-BCBB-3A9E70094B46}" dateTime="2018-03-15T14:29:31" maxSheetId="25" userName="Пахомова Ирина Владимировна" r:id="rId202" minRId="3153" maxRId="315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46C84BF-B56C-4571-BBEE-5C9DCA3AFA9E}" dateTime="2018-03-15T14:31:38" maxSheetId="25" userName="Пахомова Ирина Владимировна" r:id="rId203" minRId="3160" maxRId="316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EDE4389-2C5B-4266-9A39-EBD699155F45}" dateTime="2018-03-15T14:55:49" maxSheetId="25" userName="Шаврова Лилия Сергеевна" r:id="rId204" minRId="3163" maxRId="316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3BB0E10-7AAC-44AD-B9EE-447208879DB3}" dateTime="2018-03-15T16:07:00" maxSheetId="25" userName="Пахомова Ирина Владимировна" r:id="rId205" minRId="3167" maxRId="318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432DA2EF-FDCC-49BE-AD96-D1D3813D999D}" dateTime="2018-03-15T16:35:35" maxSheetId="25" userName="Пахомова Ирина Владимировна" r:id="rId206" minRId="321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318D509-CC25-4F68-91C6-99D717B14242}" dateTime="2018-03-15T16:47:40" maxSheetId="25" userName="Конивцов Владимир Сергеевич" r:id="rId207" minRId="3219" maxRId="322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F94DEBA9-AC7D-4D93-8B6C-4EA068243EE7}" dateTime="2018-03-15T17:07:09" maxSheetId="25" userName="Соловьев Евгений Владиславович" r:id="rId208" minRId="3254" maxRId="327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5BC88CC4-0E14-4247-BF40-94B0860C33A8}" dateTime="2018-03-15T17:14:16" maxSheetId="25" userName="Пахомова Ирина Владимировна" r:id="rId209" minRId="3274" maxRId="327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C51552F-056D-46E5-8557-E9D9E74A0F27}" dateTime="2018-03-15T17:19:06" maxSheetId="25" userName="Соловьев Евгений Владиславович" r:id="rId210" minRId="3277" maxRId="3278">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8B36288-9308-4762-B19B-0DF37590D5B0}" dateTime="2018-03-15T17:22:34" maxSheetId="25" userName="Пахомова Ирина Владимировна" r:id="rId211" minRId="327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B5F8A7C-1DD8-459E-B0B3-78143F68ADED}" dateTime="2018-03-15T17:25:10" maxSheetId="25" userName="Соловьев Евгений Владиславович" r:id="rId212" minRId="3280" maxRId="328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27471F3-C4EA-4BB0-A0BA-478ECDA33270}" dateTime="2018-03-15T17:43:51" maxSheetId="25" userName="Соловьев Евгений Владиславович" r:id="rId213" minRId="3285" maxRId="328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5EF9892-5919-4FF2-ABEE-2D27A1F12309}" dateTime="2018-03-15T17:54:24" maxSheetId="25" userName="Шаврова Лилия Сергеевна" r:id="rId214" minRId="3290" maxRId="329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CC06D5F2-CF8B-4535-B53F-3090D020A6F5}" dateTime="2018-03-15T18:04:00" maxSheetId="25" userName="Конивцов Владимир Сергеевич" r:id="rId215" minRId="329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65AAC91-E511-4D85-A039-DF61B918A59A}" dateTime="2018-03-15T18:05:48" maxSheetId="25" userName="Пахомова Ирина Владимировна" r:id="rId216" minRId="3323" maxRId="332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BEF585B-91E2-417E-A106-784AE482F36C}" dateTime="2018-03-15T18:12:09" maxSheetId="25" userName="Конивцов Владимир Сергеевич" r:id="rId217" minRId="3327" maxRId="333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07F5878-DAA8-4F09-8460-A67576A7B8FA}" dateTime="2018-03-15T18:35:11" maxSheetId="25" userName="Шаврова Лилия Сергеевна" r:id="rId218" minRId="3338" maxRId="335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4953D49-9067-4831-8155-105B67FFB19A}" dateTime="2018-03-15T18:35:54" maxSheetId="25" userName="Шаврова Лилия Сергеевна" r:id="rId219" minRId="3351" maxRId="335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BAE0EBE-9054-4396-89D2-C1531A9C318F}" dateTime="2018-03-15T18:36:40" maxSheetId="25" userName="Конивцов Владимир Сергеевич" r:id="rId220" minRId="335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2E794535-1B86-4C1C-A526-3EFCDDED2D14}" dateTime="2018-03-15T18:45:58" maxSheetId="25" userName="Конивцов Владимир Сергеевич" r:id="rId221" minRId="335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53F0325-3F33-4533-98DC-A1E4792C39DD}" dateTime="2018-03-15T18:47:41" maxSheetId="25" userName="Шаврова Лилия Сергеевна" r:id="rId222" minRId="3357" maxRId="336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B727203-D7EE-42EA-9260-1AAE99898D89}" dateTime="2018-03-15T19:10:35" maxSheetId="25" userName="Пахомова Ирина Владимировна" r:id="rId223" minRId="3366" maxRId="337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82C2D52-D2DC-4D69-A7F0-9753104A12D5}" dateTime="2018-03-15T19:28:12" maxSheetId="25" userName="Конивцов Владимир Сергеевич" r:id="rId224" minRId="3380" maxRId="3406">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B000F98-EBA7-4C96-8A49-1C7EE5065269}" dateTime="2018-03-16T15:47:54" maxSheetId="25" userName="Шаврова Лилия Сергеевна" r:id="rId225" minRId="3407" maxRId="344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BE1A470-8151-4D61-A6EE-697B341F9D20}" dateTime="2018-03-16T15:51:58" maxSheetId="25" userName="Шаврова Лилия Сергеевна" r:id="rId226" minRId="3469">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5DBAD4E-1742-46C8-B515-FF367DDC21E3}" dateTime="2018-03-16T15:55:49" maxSheetId="25" userName="Шаврова Лилия Сергеевна" r:id="rId227" minRId="3470" maxRId="347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969C145-F99C-4683-BC1C-BFD3DCF7E497}" dateTime="2018-03-16T15:57:20" maxSheetId="25" userName="Конивцов Владимир Сергеевич" r:id="rId228" minRId="3478" maxRId="348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3C0B37C1-E2D3-49C3-89F4-7BE38921F100}" dateTime="2018-03-16T16:00:10" maxSheetId="25" userName="Шаврова Лилия Сергеевна" r:id="rId229" minRId="3481" maxRId="3484">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FD4926C-B4B3-421D-B9F5-D1C96A1CEACA}" dateTime="2018-03-16T16:01:56" maxSheetId="25" userName="Конивцов Владимир Сергеевич" r:id="rId230">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6F705AF2-E0D6-4D33-83C5-AE3ECD9B4953}" dateTime="2018-03-16T16:18:58" maxSheetId="25" userName="Шаврова Лилия Сергеевна" r:id="rId231" minRId="3514" maxRId="3515">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B5A96D38-6CFE-4DEC-ABF2-1FBAD7A03411}" dateTime="2018-03-16T18:53:49" maxSheetId="25" userName="Конивцов Владимир Сергеевич" r:id="rId232" minRId="3516" maxRId="3521">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8611F0CA-0B31-4025-8763-DDA48AB8F2EE}" dateTime="2018-03-19T09:51:34" maxSheetId="25" userName="Шаврова Лилия Сергеевна" r:id="rId233" minRId="3522" maxRId="3523">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0CEBB45A-1C75-41DE-949C-D542ED8C7C60}" dateTime="2018-03-19T09:52:58" maxSheetId="25" userName="Шаврова Лилия Сергеевна" r:id="rId234" minRId="3552">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E4B67B56-D5E4-42F8-A352-A4B337024BAC}" dateTime="2018-03-19T11:59:53" maxSheetId="25" userName="Конивцов Владимир Сергеевич" r:id="rId235" minRId="3553" maxRId="3587">
    <sheetIdMap count="24">
      <sheetId val="1"/>
      <sheetId val="2"/>
      <sheetId val="3"/>
      <sheetId val="4"/>
      <sheetId val="5"/>
      <sheetId val="6"/>
      <sheetId val="7"/>
      <sheetId val="8"/>
      <sheetId val="9"/>
      <sheetId val="10"/>
      <sheetId val="11"/>
      <sheetId val="12"/>
      <sheetId val="13"/>
      <sheetId val="14"/>
      <sheetId val="15"/>
      <sheetId val="16"/>
      <sheetId val="17"/>
      <sheetId val="18"/>
      <sheetId val="19"/>
      <sheetId val="20"/>
      <sheetId val="21"/>
      <sheetId val="22"/>
      <sheetId val="23"/>
      <sheetId val="24"/>
    </sheetIdMap>
  </header>
  <header guid="{1FE6B43F-A0F7-4DF6-B0D1-EB487331EC3D}" dateTime="2018-03-19T12:41:30" maxSheetId="26" userName="Конивцов Владимир Сергеевич" r:id="rId236" minRId="3617" maxRId="3636">
    <sheetIdMap count="25">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4"/>
    </sheetIdMap>
  </header>
  <header guid="{8B94E8F2-EC41-46ED-B683-6F9B65205D5B}" dateTime="2018-03-19T12:43:37" maxSheetId="26" userName="Конивцов Владимир Сергеевич" r:id="rId237">
    <sheetIdMap count="25">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4"/>
    </sheetIdMap>
  </header>
  <header guid="{3B64886B-45C7-4E00-8291-F690733F3C7D}" dateTime="2018-03-19T15:53:53" maxSheetId="26" userName="Конивцов Владимир Сергеевич" r:id="rId238" minRId="3666" maxRId="3669">
    <sheetIdMap count="25">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4"/>
    </sheetIdMap>
  </header>
  <header guid="{47A51AB3-39BF-45FB-AD52-8F4D2E0D314D}" dateTime="2018-03-19T19:44:02" maxSheetId="26" userName="Приемная ЖКХ" r:id="rId239" minRId="3699" maxRId="3705">
    <sheetIdMap count="25">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4"/>
    </sheetIdMap>
  </header>
  <header guid="{6F00D40F-2EDE-4C95-BD91-8B51D5BE28E8}" dateTime="2018-03-19T19:55:41" maxSheetId="26" userName="Приемная ЖКХ" r:id="rId240" minRId="3735" maxRId="3777">
    <sheetIdMap count="25">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4"/>
    </sheetIdMap>
  </header>
  <header guid="{F1FD57F2-7E8B-4C19-8BC4-F85DEE2D8429}" dateTime="2018-03-19T20:07:38" maxSheetId="26" userName="Приемная ЖКХ" r:id="rId241" minRId="3807" maxRId="3812">
    <sheetIdMap count="25">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4"/>
    </sheetIdMap>
  </header>
  <header guid="{6CFD7AB0-088E-48E9-ACE7-01CFCA7384CD}" dateTime="2018-03-19T20:11:49" maxSheetId="26" userName="Приемная ЖКХ" r:id="rId242" minRId="3813">
    <sheetIdMap count="25">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4"/>
    </sheetIdMap>
  </header>
  <header guid="{41959B09-65CD-4210-B8A1-35ABAA4DDBA0}" dateTime="2018-03-20T14:28:33" maxSheetId="27" userName="Конивцов Владимир Сергеевич" r:id="rId243" minRId="3843" maxRId="3847">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7ABBBE8F-B8AA-4F70-ACA6-7F3A1A14D5FA}" dateTime="2018-03-20T15:54:51" maxSheetId="27" userName="Конивцов Владимир Сергеевич" r:id="rId244">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7D8C1358-B158-4794-8688-CFF1F7C6827D}" dateTime="2018-03-20T16:00:32" maxSheetId="27" userName="Конивцов Владимир Сергеевич" r:id="rId245">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4AF39430-6603-41DE-9548-3F713551343F}" dateTime="2018-03-20T16:16:24" maxSheetId="27" userName="Шаврова Лилия Сергеевна" r:id="rId246">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5AB3DE8D-406A-444C-8C52-59F5DFDCE9A1}" dateTime="2018-03-20T16:41:08" maxSheetId="27" userName="Шаврова Лилия Сергеевна" r:id="rId247" minRId="3876">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A7A231E8-8A82-48D9-A8CE-E23E6EC57AB0}" dateTime="2018-03-20T17:53:29" maxSheetId="27" userName="Шаврова Лилия Сергеевна" r:id="rId248" minRId="3877" maxRId="3935">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D862FC10-0ED1-472D-BF1C-260058DC06B7}" dateTime="2018-03-20T18:57:39" maxSheetId="27" userName="Конивцов Владимир Сергеевич" r:id="rId249" minRId="3936" maxRId="3958">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D43D66FA-DA6A-48C2-B158-2E71D2F952B1}" dateTime="2018-03-21T11:19:31" maxSheetId="27" userName="Пахомова Ирина Владимировна" r:id="rId250" minRId="3959" maxRId="3960">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DCCA2AFF-7C5E-46A3-938C-777B98120C9E}" dateTime="2018-03-21T11:48:00" maxSheetId="27" userName="Шаврова Лилия Сергеевна" r:id="rId251" minRId="3990" maxRId="3992">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FF107610-5821-4607-B986-26CF630BDDF3}" dateTime="2018-03-21T11:57:14" maxSheetId="27" userName="Шаврова Лилия Сергеевна" r:id="rId252" minRId="3993">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1FB5DDE6-862E-49DF-888B-E474ACE00EC2}" dateTime="2018-03-21T11:57:38" maxSheetId="27" userName="Шаврова Лилия Сергеевна" r:id="rId253" minRId="4022">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245D6D32-EA88-4D8F-BDC8-7DFDA19795F1}" dateTime="2018-03-21T12:00:28" maxSheetId="27" userName="Пахомова Ирина Владимировна" r:id="rId254" minRId="4023" maxRId="4030">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E3AA6987-C4CE-414C-B358-EF4677E234EB}" dateTime="2018-03-21T12:01:03" maxSheetId="27" userName="Шаврова Лилия Сергеевна" r:id="rId255" minRId="4031" maxRId="4034">
    <sheetIdMap count="26">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6"/>
      <sheetId val="24"/>
    </sheetIdMap>
  </header>
  <header guid="{04D831C8-6FF6-44EB-85C2-0D60093F7B86}" dateTime="2018-03-21T12:11:56" maxSheetId="28" userName="Конивцов Владимир Сергеевич" r:id="rId256" minRId="4035">
    <sheetIdMap count="27">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7"/>
      <sheetId val="26"/>
      <sheetId val="24"/>
    </sheetIdMap>
  </header>
  <header guid="{97CAF256-BE00-44EF-9C57-8CBD40E86A4A}" dateTime="2018-03-21T12:19:44" maxSheetId="28" userName="Шаврова Лилия Сергеевна" r:id="rId257" minRId="4036" maxRId="4038">
    <sheetIdMap count="27">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7"/>
      <sheetId val="26"/>
      <sheetId val="24"/>
    </sheetIdMap>
  </header>
  <header guid="{54242D59-F97C-4CBF-991B-CF1687B98B56}" dateTime="2018-03-21T12:20:54" maxSheetId="28" userName="Конивцов Владимир Сергеевич" r:id="rId258" minRId="4067" maxRId="4068">
    <sheetIdMap count="27">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7"/>
      <sheetId val="26"/>
      <sheetId val="24"/>
    </sheetIdMap>
  </header>
  <header guid="{5CBFB854-1957-4930-9E37-2CB93F5EB1B4}" dateTime="2018-03-21T18:59:20" maxSheetId="28" userName="Конивцов Владимир Сергеевич" r:id="rId259" minRId="4069" maxRId="4157">
    <sheetIdMap count="27">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7"/>
      <sheetId val="26"/>
      <sheetId val="24"/>
    </sheetIdMap>
  </header>
  <header guid="{CCEA24E9-21D6-46E5-9760-019CB5027B79}" dateTime="2018-03-21T19:01:18" maxSheetId="28" userName="Конивцов Владимир Сергеевич" r:id="rId260">
    <sheetIdMap count="27">
      <sheetId val="1"/>
      <sheetId val="2"/>
      <sheetId val="3"/>
      <sheetId val="4"/>
      <sheetId val="5"/>
      <sheetId val="6"/>
      <sheetId val="7"/>
      <sheetId val="8"/>
      <sheetId val="9"/>
      <sheetId val="10"/>
      <sheetId val="25"/>
      <sheetId val="11"/>
      <sheetId val="12"/>
      <sheetId val="13"/>
      <sheetId val="14"/>
      <sheetId val="15"/>
      <sheetId val="16"/>
      <sheetId val="17"/>
      <sheetId val="18"/>
      <sheetId val="19"/>
      <sheetId val="20"/>
      <sheetId val="21"/>
      <sheetId val="22"/>
      <sheetId val="23"/>
      <sheetId val="27"/>
      <sheetId val="26"/>
      <sheetId val="24"/>
    </sheetIdMap>
  </header>
  <header guid="{C955F306-0409-460E-99CC-CCC9EA086733}" dateTime="2018-03-21T19:08:11" maxSheetId="29" userName="Конивцов Владимир Сергеевич" r:id="rId261" minRId="4187" maxRId="4217">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FA2C7AC8-0EB1-492D-90A9-688FC172AEDF}" dateTime="2018-03-21T19:12:27" maxSheetId="29" userName="Конивцов Владимир Сергеевич" r:id="rId262" minRId="4247" maxRId="4301">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A4E03F91-0FAB-43D1-84AC-B5E1A5E3652D}" dateTime="2018-03-21T19:32:29" maxSheetId="29" userName="Шаврова Лилия Сергеевна" r:id="rId263">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06EF233F-3980-4F7C-8A68-066200FA5E73}" dateTime="2018-03-22T10:02:37" maxSheetId="29" userName="Шаврова Лилия Сергеевна" r:id="rId264" minRId="4302" maxRId="4307">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D99CBD1B-B746-480C-92DA-98EC5542A759}" dateTime="2018-03-22T10:04:35" maxSheetId="29" userName="Шаврова Лилия Сергеевна" r:id="rId265" minRId="4336" maxRId="4337">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4D2E169C-A1AF-487D-9C9F-592EFFE0179C}" dateTime="2018-03-22T10:08:10" maxSheetId="29" userName="Шаврова Лилия Сергеевна" r:id="rId266" minRId="4338" maxRId="4341">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790F1467-3879-4A0F-9246-3D98CD6C8549}" dateTime="2018-03-22T10:09:11" maxSheetId="29" userName="Шаврова Лилия Сергеевна" r:id="rId267" minRId="4370" maxRId="4375">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4420ED9C-7A31-4E0F-961D-C76B4C354DB7}" dateTime="2018-03-22T10:39:23" maxSheetId="29" userName="Шаврова Лилия Сергеевна" r:id="rId268" minRId="4376" maxRId="4437">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F6A04972-315D-4D37-8181-F838DED56489}" dateTime="2018-03-22T10:39:52" maxSheetId="29" userName="Пахомова Ирина Владимировна" r:id="rId269">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979A57D5-F009-4F6F-B8E8-BCDDAE5879FF}" dateTime="2018-03-22T10:40:21" maxSheetId="29" userName="Шаврова Лилия Сергеевна" r:id="rId270" minRId="4467" maxRId="4468">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ACD71E66-0142-4811-8ECA-738F0F1DB143}" dateTime="2018-03-22T14:07:45" maxSheetId="29" userName="Шаврова Лилия Сергеевна" r:id="rId271" minRId="4469" maxRId="4474">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0BF2722A-FABE-4704-B528-FDCBCB31E525}" dateTime="2018-03-22T16:26:40" maxSheetId="29" userName="Пахомова Ирина Владимировна" r:id="rId272">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C2D6CD1B-7726-4376-873D-0A7D8FBDD99B}" dateTime="2018-03-22T17:14:37" maxSheetId="29" userName="Шаврова Лилия Сергеевна" r:id="rId273" minRId="4532" maxRId="4541">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AF3B884D-72DB-4AD1-90B2-49D18F470DB1}" dateTime="2018-03-22T17:26:10" maxSheetId="29" userName="Шаврова Лилия Сергеевна" r:id="rId274" minRId="4570" maxRId="4600">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2CC8ACCD-FDAB-4411-B0CA-338C538EB234}" dateTime="2018-03-22T18:43:33" maxSheetId="29" userName="Шаврова Лилия Сергеевна" r:id="rId275" minRId="4629" maxRId="4730">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694BAAC2-D901-4CC0-981F-C553AA912384}" dateTime="2018-03-22T19:13:52" maxSheetId="29" userName="Шаврова Лилия Сергеевна" r:id="rId276" minRId="4731" maxRId="4739">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6B53ED24-B5F3-439A-97E8-63ED3FB4E97E}" dateTime="2018-03-22T19:15:30" maxSheetId="29" userName="Шаврова Лилия Сергеевна" r:id="rId277" minRId="4768" maxRId="4783">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119C3F85-DA48-4229-BBC3-207B12C8AD92}" dateTime="2018-03-22T19:31:16" maxSheetId="29" userName="Шаврова Лилия Сергеевна" r:id="rId278" minRId="4812" maxRId="4851">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10561AD6-AA9F-4C14-990F-587108019A0E}" dateTime="2018-03-22T20:06:01" maxSheetId="29" userName="Шаврова Лилия Сергеевна" r:id="rId279" minRId="4852" maxRId="4883">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5ACA4991-A896-407E-95A8-C129CA27BCF4}" dateTime="2018-03-26T10:40:08" maxSheetId="29" userName="Шаврова Лилия Сергеевна" r:id="rId280" minRId="4884">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18937EEB-B1BC-4DD3-9BFD-0D0F51D7D68F}" dateTime="2018-03-26T14:57:05" maxSheetId="29" userName="Шаврова Лилия Сергеевна" r:id="rId281" minRId="4885">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8D3817F1-47BD-4B43-ABB7-B578250F7E2D}" dateTime="2018-03-26T18:35:08" maxSheetId="29" userName="Шаврова Лилия Сергеевна" r:id="rId282" minRId="4914">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4ED0D60F-8F88-4FA7-B2EC-613FC89F8268}" dateTime="2018-03-26T18:35:45" maxSheetId="29" userName="Шаврова Лилия Сергеевна" r:id="rId283">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29D28E40-EF4D-451C-A454-E201379AA258}" dateTime="2018-03-27T17:50:16" maxSheetId="29" userName="Шаврова Лилия Сергеевна" r:id="rId284" minRId="4943" maxRId="4982">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5A3BCF54-E2E8-4A02-B176-5B766D3C970B}" dateTime="2018-03-27T19:37:30" maxSheetId="29" userName="Шаврова Лилия Сергеевна" r:id="rId285" minRId="4983" maxRId="4987">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466E4809-1674-40BF-B764-C1A74DFED676}" dateTime="2018-03-28T11:34:28" maxSheetId="29" userName="Шаврова Лилия Сергеевна" r:id="rId286" minRId="4988" maxRId="4995">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A3F7C852-F9A7-4B00-86E8-BE4CA39D2AB4}" dateTime="2018-03-28T11:37:34" maxSheetId="29" userName="Шаврова Лилия Сергеевна" r:id="rId287" minRId="5024" maxRId="5026">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D2259A4C-1CF8-4E38-973A-E6EE22CB9F82}" dateTime="2018-03-28T11:40:56" maxSheetId="29" userName="Шаврова Лилия Сергеевна" r:id="rId288" minRId="5027" maxRId="5038">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8666861A-82B1-443A-8C43-0C61899EEE0C}" dateTime="2018-03-28T16:46:42" maxSheetId="29" userName="Шаврова Лилия Сергеевна" r:id="rId289" minRId="5039" maxRId="5043">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5EB2A9EE-2942-4C53-8F2B-9E4C53D71A98}" dateTime="2018-03-28T18:07:13" maxSheetId="29" userName="Шаврова Лилия Сергеевна" r:id="rId290" minRId="5072" maxRId="5082">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FB0CDB77-0054-4D43-A9B2-DB933A9DFF6E}" dateTime="2018-03-28T18:19:38" maxSheetId="29" userName="Шаврова Лилия Сергеевна" r:id="rId291" minRId="5111" maxRId="5115">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 guid="{C1E6F205-EE70-4EDC-A6A3-1A6019D0BF51}" dateTime="2018-03-30T17:36:10" maxSheetId="29" userName="Соловьев Евгений Владиславович" r:id="rId292">
    <sheetIdMap count="28">
      <sheetId val="1"/>
      <sheetId val="2"/>
      <sheetId val="3"/>
      <sheetId val="4"/>
      <sheetId val="5"/>
      <sheetId val="6"/>
      <sheetId val="7"/>
      <sheetId val="8"/>
      <sheetId val="9"/>
      <sheetId val="10"/>
      <sheetId val="25"/>
      <sheetId val="28"/>
      <sheetId val="11"/>
      <sheetId val="12"/>
      <sheetId val="13"/>
      <sheetId val="14"/>
      <sheetId val="15"/>
      <sheetId val="16"/>
      <sheetId val="17"/>
      <sheetId val="18"/>
      <sheetId val="19"/>
      <sheetId val="20"/>
      <sheetId val="21"/>
      <sheetId val="22"/>
      <sheetId val="23"/>
      <sheetId val="27"/>
      <sheetId val="26"/>
      <sheetId val="24"/>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3" sId="11">
    <nc r="P250">
      <f>H250*70%</f>
    </nc>
  </rcc>
  <rfmt sheetId="11" sqref="P250:Q250" start="0" length="2147483647">
    <dxf>
      <font>
        <sz val="14"/>
      </font>
    </dxf>
  </rfmt>
  <rcc rId="4984" sId="11">
    <nc r="Q250">
      <f>H250*74.5%</f>
    </nc>
  </rcc>
  <rcc rId="4985" sId="11">
    <nc r="P249">
      <f>Q250-P250</f>
    </nc>
  </rcc>
  <rcc rId="4986" sId="11">
    <nc r="Q251">
      <f>H250*30%</f>
    </nc>
  </rcc>
  <rcc rId="4987" sId="11" odxf="1" dxf="1">
    <nc r="Q252">
      <f>Q251-I252</f>
    </nc>
    <odxf>
      <numFmt numFmtId="0" formatCode="General"/>
    </odxf>
    <ndxf>
      <numFmt numFmtId="4" formatCode="#,##0.00"/>
    </ndxf>
  </rcc>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8" sId="11">
    <oc r="B686" t="inlineStr">
      <is>
        <t xml:space="preserve">НОВЫЙ Капитальный ремонт ЦТП-15 г.о. Краснознаменск </t>
      </is>
    </oc>
    <nc r="B686" t="inlineStr">
      <is>
        <t xml:space="preserve">Капитальный ремонт ЦТП-15 г.о. Краснознаменск </t>
      </is>
    </nc>
  </rcc>
  <rcc rId="4989" sId="11">
    <oc r="B689" t="inlineStr">
      <is>
        <t xml:space="preserve">НОВЫЙ Капитальный ремонт наружных сетей ливневой канализации г.о.Краснознаменск </t>
      </is>
    </oc>
    <nc r="B689" t="inlineStr">
      <is>
        <t xml:space="preserve">Капитальный ремонт наружных сетей ливневой канализации г.о.Краснознаменск </t>
      </is>
    </nc>
  </rcc>
  <rcc rId="4990" sId="11">
    <oc r="B692" t="inlineStr">
      <is>
        <t xml:space="preserve">НОВЫЙ Капитальный ремонт наружных сетей хозбытовой канализации г.о.Краснознаменск </t>
      </is>
    </oc>
    <nc r="B692" t="inlineStr">
      <is>
        <t xml:space="preserve">Капитальный ремонт наружных сетей хозбытовой канализации г.о.Краснознаменск </t>
      </is>
    </nc>
  </rcc>
  <rcc rId="4991" sId="11">
    <oc r="B695" t="inlineStr">
      <is>
        <t xml:space="preserve">НОВЫЙ Капитальный ремонт наружных сетей водопровода г.о.Краснознаменск </t>
      </is>
    </oc>
    <nc r="B695" t="inlineStr">
      <is>
        <t xml:space="preserve"> Капитальный ремонт наружных сетей водопровода г.о.Краснознаменск </t>
      </is>
    </nc>
  </rcc>
  <rcc rId="4992" sId="11">
    <oc r="B698" t="inlineStr">
      <is>
        <t xml:space="preserve">НОВЫЙ Капитальный ремонт КНС-105-бис г.о.Краснознаменск </t>
      </is>
    </oc>
    <nc r="B698" t="inlineStr">
      <is>
        <t xml:space="preserve">Капитальный ремонт КНС-105-бис г.о.Краснознаменск </t>
      </is>
    </nc>
  </rcc>
  <rcc rId="4993" sId="11">
    <oc r="B701" t="inlineStr">
      <is>
        <t xml:space="preserve">НОВЫЙ Капитальный ремонт ВНС 3-го подъема в здании ЦТП-15 г.о.Краснознаменск </t>
      </is>
    </oc>
    <nc r="B701" t="inlineStr">
      <is>
        <t xml:space="preserve"> Капитальный ремонт ВНС 3-го подъема в здании ЦТП-15 г.о.Краснознаменск </t>
      </is>
    </nc>
  </rcc>
  <rcc rId="4994" sId="11">
    <oc r="B707" t="inlineStr">
      <is>
        <t xml:space="preserve">НОВЫЙ Приобритение оборудования для  котельной № 17 в/г 3 27 г.п. Некрасовский мкр. Некрасовский Дмитровский м.р. </t>
      </is>
    </oc>
    <nc r="B707" t="inlineStr">
      <is>
        <t xml:space="preserve">Приобритение оборудования для  котельной № 17 в/г 3 27 г.п. Некрасовский мкр. Некрасовский Дмитровский м.р. </t>
      </is>
    </nc>
  </rcc>
  <rcc rId="4995" sId="11">
    <oc r="B713" t="inlineStr">
      <is>
        <t>НОВЫЙ Капитальный ремонт котельной № 6 (допработы) военный городок № 18, п. Чернецкое, г. Чехов -7, ул. Победы г.о. Чехов</t>
      </is>
    </oc>
    <nc r="B713" t="inlineStr">
      <is>
        <t>Капитальный ремонт котельной № 6 (допработы) военный городок № 18, п. Чернецкое, г. Чехов -7, ул. Победы г.о. Чехов</t>
      </is>
    </nc>
  </rcc>
  <rfmt sheetId="11" sqref="B686:E703">
    <dxf>
      <alignment vertical="center" readingOrder="0"/>
    </dxf>
  </rfmt>
  <rfmt sheetId="11" sqref="B683:E685">
    <dxf>
      <alignment vertical="center" readingOrder="0"/>
    </dxf>
  </rfmt>
  <rcv guid="{6592EBC0-D945-4F6F-93D1-49FCB588A4A0}" action="delete"/>
  <rdn rId="0" localSheetId="1" customView="1" name="Z_6592EBC0_D945_4F6F_93D1_49FCB588A4A0_.wvu.PrintArea" hidden="1" oldHidden="1">
    <formula>'П ГОСПРОГРАММЫ'!$A$1:$M$19</formula>
    <oldFormula>'П ГОСПРОГРАММЫ'!$A$1:$M$19</oldFormula>
  </rdn>
  <rdn rId="0" localSheetId="2" customView="1" name="Z_6592EBC0_D945_4F6F_93D1_49FCB588A4A0_.wvu.PrintArea" hidden="1" oldHidden="1">
    <formula>'ПЛАНИРУЕМЫ ПОКАЗ'!$A$1:$K$38</formula>
    <oldFormula>'ПЛАНИРУЕМЫ ПОКАЗ'!$A$1:$K$38</oldFormula>
  </rdn>
  <rdn rId="0" localSheetId="3" customView="1" name="Z_6592EBC0_D945_4F6F_93D1_49FCB588A4A0_.wvu.PrintArea" hidden="1" oldHidden="1">
    <formula>'ПП 1'!$A$1:$K$9</formula>
    <oldFormula>'ПП 1'!$A$1:$K$9</oldFormula>
  </rdn>
  <rdn rId="0" localSheetId="4" customView="1" name="Z_6592EBC0_D945_4F6F_93D1_49FCB588A4A0_.wvu.PrintArea" hidden="1" oldHidden="1">
    <formula>'ПМ П1'!$A$1:$M$28</formula>
    <oldFormula>'ПМ П1'!$A$1:$M$28</oldFormula>
  </rdn>
  <rdn rId="0" localSheetId="4" customView="1" name="Z_6592EBC0_D945_4F6F_93D1_49FCB588A4A0_.wvu.Rows" hidden="1" oldHidden="1">
    <formula>'ПМ П1'!$79:$86</formula>
    <oldFormula>'ПМ П1'!$79:$86</oldFormula>
  </rdn>
  <rdn rId="0" localSheetId="5" customView="1" name="Z_6592EBC0_D945_4F6F_93D1_49FCB588A4A0_.wvu.PrintArea" hidden="1" oldHidden="1">
    <formula>'А П 1 '!$A$1:$O$407</formula>
    <oldFormula>'А П 1 '!$A$1:$O$407</oldFormula>
  </rdn>
  <rdn rId="0" localSheetId="5" customView="1" name="Z_6592EBC0_D945_4F6F_93D1_49FCB588A4A0_.wvu.Rows" hidden="1" oldHidden="1">
    <formula>'А П 1 '!$76:$77</formula>
    <oldFormula>'А П 1 '!$76:$77</oldFormula>
  </rdn>
  <rdn rId="0" localSheetId="6" customView="1" name="Z_6592EBC0_D945_4F6F_93D1_49FCB588A4A0_.wvu.PrintArea" hidden="1" oldHidden="1">
    <formula>'ПП 2'!$A$1:$K$11</formula>
    <oldFormula>'ПП 2'!$A$1:$K$11</oldFormula>
  </rdn>
  <rdn rId="0" localSheetId="7" customView="1" name="Z_6592EBC0_D945_4F6F_93D1_49FCB588A4A0_.wvu.PrintArea" hidden="1" oldHidden="1">
    <formula>'ПМ П2'!$A$1:$M$46</formula>
    <oldFormula>'ПМ П2'!$A$1:$M$46</oldFormula>
  </rdn>
  <rdn rId="0" localSheetId="7" customView="1" name="Z_6592EBC0_D945_4F6F_93D1_49FCB588A4A0_.wvu.Rows" hidden="1" oldHidden="1">
    <formula>'ПМ П2'!$75:$82</formula>
    <oldFormula>'ПМ П2'!$75:$82</oldFormula>
  </rdn>
  <rdn rId="0" localSheetId="8" customView="1" name="Z_6592EBC0_D945_4F6F_93D1_49FCB588A4A0_.wvu.Rows" hidden="1" oldHidden="1">
    <formula>'А П 2'!$55:$56</formula>
    <oldFormula>'А П 2'!$55:$56</oldFormula>
  </rdn>
  <rdn rId="0" localSheetId="9" customView="1" name="Z_6592EBC0_D945_4F6F_93D1_49FCB588A4A0_.wvu.PrintArea" hidden="1" oldHidden="1">
    <formula>'ПП 3'!$A$1:$K$17</formula>
    <oldFormula>'ПП 3'!$A$1:$K$17</oldFormula>
  </rdn>
  <rdn rId="0" localSheetId="10" customView="1" name="Z_6592EBC0_D945_4F6F_93D1_49FCB588A4A0_.wvu.PrintArea" hidden="1" oldHidden="1">
    <formula>'ПМ П 3'!$A$1:$M$66</formula>
    <oldFormula>'ПМ П 3'!$A$1:$M$66</oldFormula>
  </rdn>
  <rdn rId="0" localSheetId="10" customView="1" name="Z_6592EBC0_D945_4F6F_93D1_49FCB588A4A0_.wvu.Rows" hidden="1" oldHidden="1">
    <formula>'ПМ П 3'!$97:$104</formula>
    <oldFormula>'ПМ П 3'!$97:$104</oldFormula>
  </rdn>
  <rdn rId="0" localSheetId="10" customView="1" name="Z_6592EBC0_D945_4F6F_93D1_49FCB588A4A0_.wvu.FilterData" hidden="1" oldHidden="1">
    <formula>'ПМ П 3'!$A$4:$AL$64</formula>
    <oldFormula>'ПМ П 3'!$A$4:$AL$64</oldFormula>
  </rdn>
  <rdn rId="0" localSheetId="11" customView="1" name="Z_6592EBC0_D945_4F6F_93D1_49FCB588A4A0_.wvu.PrintArea" hidden="1" oldHidden="1">
    <formula>'А П 3'!$A$1:$O$1014</formula>
    <oldFormula>'А П 3'!$A$1:$O$1014</oldFormula>
  </rdn>
  <rdn rId="0" localSheetId="11" customView="1" name="Z_6592EBC0_D945_4F6F_93D1_49FCB588A4A0_.wvu.Rows" hidden="1" oldHidden="1">
    <formula>'А П 3'!$166:$166</formula>
    <oldFormula>'А П 3'!$166:$166</oldFormula>
  </rdn>
  <rdn rId="0" localSheetId="12" customView="1" name="Z_6592EBC0_D945_4F6F_93D1_49FCB588A4A0_.wvu.PrintArea" hidden="1" oldHidden="1">
    <formula>РМВГ!$A$1:$L$526</formula>
    <oldFormula>РМВГ!$A$1:$L$526</oldFormula>
  </rdn>
  <rdn rId="0" localSheetId="12" customView="1" name="Z_6592EBC0_D945_4F6F_93D1_49FCB588A4A0_.wvu.Rows" hidden="1" oldHidden="1">
    <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formula>
    <old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oldFormula>
  </rdn>
  <rdn rId="0" localSheetId="12" customView="1" name="Z_6592EBC0_D945_4F6F_93D1_49FCB588A4A0_.wvu.Cols" hidden="1" oldHidden="1">
    <formula>РМВГ!$C:$E</formula>
    <oldFormula>РМВГ!$C:$E</oldFormula>
  </rdn>
  <rdn rId="0" localSheetId="14" customView="1" name="Z_6592EBC0_D945_4F6F_93D1_49FCB588A4A0_.wvu.PrintArea" hidden="1" oldHidden="1">
    <formula>'МП 4'!$A$1:$M$42</formula>
    <oldFormula>'МП 4'!$A$1:$M$42</oldFormula>
  </rdn>
  <rdn rId="0" localSheetId="14" customView="1" name="Z_6592EBC0_D945_4F6F_93D1_49FCB588A4A0_.wvu.PrintTitles" hidden="1" oldHidden="1">
    <formula>'МП 4'!$1:$4</formula>
    <oldFormula>'МП 4'!$1:$4</oldFormula>
  </rdn>
  <rdn rId="0" localSheetId="16" customView="1" name="Z_6592EBC0_D945_4F6F_93D1_49FCB588A4A0_.wvu.PrintArea" hidden="1" oldHidden="1">
    <formula>'МП 5'!$A$1:$M$10</formula>
    <oldFormula>'МП 5'!$A$1:$M$10</oldFormula>
  </rdn>
  <rdn rId="0" localSheetId="17" customView="1" name="Z_6592EBC0_D945_4F6F_93D1_49FCB588A4A0_.wvu.PrintArea" hidden="1" oldHidden="1">
    <formula>' АП П 5'!$A$1:$O$12</formula>
    <oldFormula>' АП П 5'!$A$1:$O$12</oldFormula>
  </rdn>
  <rdn rId="0" localSheetId="19" customView="1" name="Z_6592EBC0_D945_4F6F_93D1_49FCB588A4A0_.wvu.PrintArea" hidden="1" oldHidden="1">
    <formula>'МП 6'!$A$1:$M$17</formula>
    <oldFormula>'МП 6'!$A$1:$M$17</oldFormula>
  </rdn>
  <rdn rId="0" localSheetId="20" customView="1" name="Z_6592EBC0_D945_4F6F_93D1_49FCB588A4A0_.wvu.PrintArea" hidden="1" oldHidden="1">
    <formula>'АП П 6'!$A$1:$O$8</formula>
    <oldFormula>'АП П 6'!$A$1:$O$8</oldFormula>
  </rdn>
  <rdn rId="0" localSheetId="23" customView="1" name="Z_6592EBC0_D945_4F6F_93D1_49FCB588A4A0_.wvu.PrintArea" hidden="1" oldHidden="1">
    <formula>'ПП 8'!$A$1:$K$10</formula>
    <oldFormula>'ПП 8'!$A$1:$K$10</oldFormula>
  </rdn>
  <rdn rId="0" localSheetId="24" customView="1" name="Z_6592EBC0_D945_4F6F_93D1_49FCB588A4A0_.wvu.PrintArea" hidden="1" oldHidden="1">
    <formula>'ПМ П8'!$A$1:$M$34</formula>
    <oldFormula>'ПМ П8'!$A$1:$M$34</oldFormula>
  </rdn>
  <rcv guid="{6592EBC0-D945-4F6F-93D1-49FCB588A4A0}"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1" sqref="B45:B47" start="0" length="2147483647">
    <dxf>
      <font>
        <sz val="11"/>
      </font>
    </dxf>
  </rfmt>
  <rfmt sheetId="11" sqref="B48:B50" start="0" length="2147483647">
    <dxf>
      <font>
        <sz val="11"/>
      </font>
    </dxf>
  </rfmt>
  <rcc rId="5024" sId="11">
    <oc r="B45" t="inlineStr">
      <is>
        <t>Строительство ливневой канализации,  в том числе: 1)</t>
      </is>
    </oc>
    <nc r="B45" t="inlineStr">
      <is>
        <t>Строительство ливневой канализации, ( в том числе ПИР, погашение кредиторской задолженности)  1)</t>
      </is>
    </nc>
  </rcc>
  <rfmt sheetId="11" sqref="B45:B47">
    <dxf>
      <fill>
        <patternFill patternType="solid">
          <bgColor rgb="FFFFFF00"/>
        </patternFill>
      </fill>
    </dxf>
  </rfmt>
  <rfmt sheetId="11" sqref="C45:C50">
    <dxf>
      <fill>
        <patternFill patternType="none">
          <bgColor auto="1"/>
        </patternFill>
      </fill>
    </dxf>
  </rfmt>
  <rcc rId="5025" sId="11">
    <oc r="C48">
      <v>2018</v>
    </oc>
    <nc r="C48" t="inlineStr">
      <is>
        <t>2017- 2018</t>
      </is>
    </nc>
  </rcc>
  <rfmt sheetId="11" sqref="C48:C50">
    <dxf>
      <fill>
        <patternFill patternType="solid">
          <bgColor rgb="FF00FFCC"/>
        </patternFill>
      </fill>
    </dxf>
  </rfmt>
  <rfmt sheetId="11" sqref="B45:B47">
    <dxf>
      <fill>
        <patternFill>
          <bgColor rgb="FF00FFCC"/>
        </patternFill>
      </fill>
    </dxf>
  </rfmt>
  <rfmt sheetId="11" sqref="H50:I50">
    <dxf>
      <fill>
        <patternFill>
          <bgColor rgb="FF00FFCC"/>
        </patternFill>
      </fill>
    </dxf>
  </rfmt>
  <rfmt sheetId="11" sqref="H50:I50">
    <dxf>
      <alignment horizontal="center" readingOrder="0"/>
    </dxf>
  </rfmt>
  <rcc rId="5026" sId="11" numFmtId="4">
    <oc r="F50">
      <v>0</v>
    </oc>
    <nc r="F50">
      <v>326.87</v>
    </nc>
  </rcc>
  <rfmt sheetId="11" sqref="F50">
    <dxf>
      <alignment horizontal="center" readingOrder="0"/>
    </dxf>
  </rfmt>
  <rfmt sheetId="11" sqref="F50">
    <dxf>
      <fill>
        <patternFill patternType="solid">
          <bgColor rgb="FF00FFCC"/>
        </patternFill>
      </fill>
    </dxf>
  </rfmt>
  <rfmt sheetId="11" sqref="F48">
    <dxf>
      <fill>
        <patternFill patternType="solid">
          <bgColor rgb="FF00FFCC"/>
        </patternFill>
      </fill>
    </dxf>
  </rfmt>
  <rfmt sheetId="11" sqref="F50">
    <dxf>
      <alignment vertical="center" readingOrder="0"/>
    </dxf>
  </rfmt>
  <rfmt sheetId="11" sqref="F50">
    <dxf>
      <alignment horizontal="left" readingOrder="0"/>
    </dxf>
  </rfmt>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1" sqref="B656:E664">
    <dxf>
      <alignment vertical="center" readingOrder="0"/>
    </dxf>
  </rfmt>
  <rcc rId="5027" sId="11">
    <oc r="B662" t="inlineStr">
      <is>
        <t>НОВЫЙ Капитальный ремонт наружной водопроводных сетей  мкр. Северный Балашиха г.о.</t>
      </is>
    </oc>
    <nc r="B662" t="inlineStr">
      <is>
        <t>Капитальный ремонт наружной водопроводных сетей  мкр. Северный Балашиха г.о.</t>
      </is>
    </nc>
  </rcc>
  <rcc rId="5028" sId="11">
    <oc r="B578" t="inlineStr">
      <is>
        <t>НОВЫЙ Капитальный ремонт (замену) электропитающего кабеля к скважине № 4 от ВЗУ в/г  19 г.п. Софрино</t>
      </is>
    </oc>
    <nc r="B578" t="inlineStr">
      <is>
        <t>Капитальный ремонт (замену) электропитающего кабеля к скважине № 4 от ВЗУ в/г  19 г.п. Софрино</t>
      </is>
    </nc>
  </rcc>
  <rcc rId="5029" sId="11">
    <oc r="B572" t="inlineStr">
      <is>
        <t>НОВЫЙ Капитальный ремонт участка водопроводной сети от ВК-1 к многоквартирным домам № 3, 4, 5 и дер.Нововоронино в/г  19 г.п. Софрино</t>
      </is>
    </oc>
    <nc r="B572" t="inlineStr">
      <is>
        <t>Капитальный ремонт участка водопроводной сети от ВК-1 к многоквартирным домам № 3, 4, 5 и дер.Нововоронино в/г  19 г.п. Софрино</t>
      </is>
    </nc>
  </rcc>
  <rcc rId="5030" sId="11">
    <oc r="B569" t="inlineStr">
      <is>
        <t>НОВЫЙ Капитальный ремонт подающих трубпроводов холодного водоснабжения на участке от скважины № 2 до наземного резервуара ВЗУ диам.150 мм. протяженностью 600 п/м в/г  19 г.п. Софрино</t>
      </is>
    </oc>
    <nc r="B569" t="inlineStr">
      <is>
        <t>Капитальный ремонт подающих трубпроводов холодного водоснабжения на участке от скважины № 2 до наземного резервуара ВЗУ диам.150 мм. протяженностью 600 п/м в/г  19 г.п. Софрино</t>
      </is>
    </nc>
  </rcc>
  <rcc rId="5031" sId="11">
    <oc r="B563" t="inlineStr">
      <is>
        <t>НОВЫЙ Капитальный ремонт напорного коллектора канализации диамю 200 мм., протяж. 1104 п/м от очистных сооружений ОС-110 до КНС-108 в/г  19 г.п. Софрино</t>
      </is>
    </oc>
    <nc r="B563" t="inlineStr">
      <is>
        <t xml:space="preserve"> Капитальный ремонт напорного коллектора канализации диамю 200 мм., протяж. 1104 п/м от очистных сооружений ОС-110 до КНС-108 в/г  19 г.п. Софрино</t>
      </is>
    </nc>
  </rcc>
  <rcc rId="5032" sId="11">
    <oc r="B560" t="inlineStr">
      <is>
        <t>НОВЫЙ Капитальный ремонт напорного коллектора канализации диам. 150 мм. Протяж. 1200 п/м от от КНС-150 до КНС-108 в/г  19 г.п. Софрино</t>
      </is>
    </oc>
    <nc r="B560" t="inlineStr">
      <is>
        <t xml:space="preserve"> Капитальный ремонт напорного коллектора канализации диам. 150 мм. Протяж. 1200 п/м от от КНС-150 до КНС-108 в/г  19 г.п. Софрино</t>
      </is>
    </nc>
  </rcc>
  <rcc rId="5033" sId="11">
    <oc r="B557" t="inlineStr">
      <is>
        <t>НОВЫЙ  Капитальный ремонт артскважины № 4 ВНС в/г  19 г.п. Софрино</t>
      </is>
    </oc>
    <nc r="B557" t="inlineStr">
      <is>
        <t>Капитальный ремонт артскважины № 4 ВНС в/г  19 г.п. Софрино</t>
      </is>
    </nc>
  </rcc>
  <rcc rId="5034" sId="11">
    <oc r="B554" t="inlineStr">
      <is>
        <t>НОВЫЙ Капитальный ремонт артскважины № 3 ВНС в/г  19 г.п. Софрино</t>
      </is>
    </oc>
    <nc r="B554" t="inlineStr">
      <is>
        <t>Капитальный ремонт артскважины № 3 ВНС в/г  19 г.п. Софрино</t>
      </is>
    </nc>
  </rcc>
  <rcc rId="5035" sId="11">
    <oc r="B500" t="inlineStr">
      <is>
        <t>НОВЫЙ Капитальный ремонт наружных водопроводных и канализационных сетей  в/г Ногинск-9, с.п. Мамонтовское Ногинский м.р.</t>
      </is>
    </oc>
    <nc r="B500" t="inlineStr">
      <is>
        <t>Капитальный ремонт наружных водопроводных и канализационных сетей  в/г Ногинск-9, с.п. Мамонтовское Ногинский м.р.</t>
      </is>
    </nc>
  </rcc>
  <rcc rId="5036" sId="11">
    <oc r="B497" t="inlineStr">
      <is>
        <t>НОВЫЙ Капитальный ремонт наружных сетей водоотведения в/г 1 с. Ямкино  Ногинский м.р.</t>
      </is>
    </oc>
    <nc r="B497" t="inlineStr">
      <is>
        <t>Капитальный ремонт наружных сетей водоотведения в/г 1 с. Ямкино  Ногинский м.р.</t>
      </is>
    </nc>
  </rcc>
  <rcc rId="5037" sId="11">
    <oc r="B494" t="inlineStr">
      <is>
        <t>НОВЫЙ Капитальный ремонт наружных водопроводных сетей от ВК-3 до жилых домов в/г 415 с.Ивашево  Ногинский м.р.</t>
      </is>
    </oc>
    <nc r="B494" t="inlineStr">
      <is>
        <t>Капитальный ремонт наружных водопроводных сетей от ВК-3 до жилых домов в/г 415 с.Ивашево  Ногинский м.р.</t>
      </is>
    </nc>
  </rcc>
  <rcc rId="5038" sId="11">
    <oc r="B491" t="inlineStr">
      <is>
        <t>НОВЫЙ Капитальный ремонт наружных водопроводных сетей от ВК-16 до потребителей в/г 41 с. Воскресенское, с.п. Ямкинское  Ногинский м.р.</t>
      </is>
    </oc>
    <nc r="B491" t="inlineStr">
      <is>
        <t>Капитальный ремонт наружных водопроводных сетей от ВК-16 до потребителей в/г 41 с. Воскресенское, с.п. Ямкинское  Ногинский м.р.</t>
      </is>
    </nc>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8" sqref="B23:B25">
    <dxf>
      <fill>
        <patternFill patternType="none">
          <bgColor auto="1"/>
        </patternFill>
      </fill>
    </dxf>
  </rfmt>
  <rcc rId="5039" sId="8">
    <oc r="B23" t="inlineStr">
      <is>
        <t>Строительство очистных сооружений ливневого стока (перекачивающая КНС), ( в том числе: ПИР , погашение кредиторской задолженности) 1)</t>
      </is>
    </oc>
    <nc r="B23" t="inlineStr">
      <is>
        <t>Строительство очистных сооружений ливневого стока (перекачивающая КНС),  в том числе:   1)</t>
      </is>
    </nc>
  </rcc>
  <rfmt sheetId="11" sqref="C45:C47">
    <dxf>
      <alignment vertical="center" readingOrder="0"/>
    </dxf>
  </rfmt>
  <rfmt sheetId="11" sqref="C45:C47">
    <dxf>
      <alignment horizontal="center" readingOrder="0"/>
    </dxf>
  </rfmt>
  <rfmt sheetId="11" sqref="C45:C47">
    <dxf>
      <alignment vertical="top" readingOrder="0"/>
    </dxf>
  </rfmt>
  <rcc rId="5040" sId="11">
    <oc r="C45">
      <v>2018</v>
    </oc>
    <nc r="C45" t="inlineStr">
      <is>
        <t>2017-2018</t>
      </is>
    </nc>
  </rcc>
  <rfmt sheetId="11" sqref="C45:C47">
    <dxf>
      <fill>
        <patternFill patternType="solid">
          <bgColor rgb="FF00FFCC"/>
        </patternFill>
      </fill>
    </dxf>
  </rfmt>
  <rcc rId="5041" sId="11" numFmtId="4">
    <oc r="F47">
      <v>0</v>
    </oc>
    <nc r="F47">
      <v>326.87</v>
    </nc>
  </rcc>
  <rfmt sheetId="11" sqref="F45">
    <dxf>
      <fill>
        <patternFill patternType="solid">
          <bgColor rgb="FF00FFCC"/>
        </patternFill>
      </fill>
    </dxf>
  </rfmt>
  <rcc rId="5042" sId="11">
    <oc r="B48" t="inlineStr">
      <is>
        <t>проектно-изыскательские работы:</t>
      </is>
    </oc>
    <nc r="B48" t="inlineStr">
      <is>
        <t xml:space="preserve">проектно-изыскательские работы: (в том числе:  погашение кредиторской задолженности) </t>
      </is>
    </nc>
  </rcc>
  <rcc rId="5043" sId="11">
    <oc r="B45" t="inlineStr">
      <is>
        <t>Строительство ливневой канализации, ( в том числе ПИР, погашение кредиторской задолженности)  1)</t>
      </is>
    </oc>
    <nc r="B45" t="inlineStr">
      <is>
        <t xml:space="preserve">Строительство ливневой канализации,  в том числе:  1) </t>
      </is>
    </nc>
  </rcc>
  <rfmt sheetId="8" sqref="A293:XFD293">
    <dxf>
      <alignment vertical="center" readingOrder="0"/>
    </dxf>
  </rfmt>
  <rfmt sheetId="8" sqref="P290:Q290">
    <dxf>
      <fill>
        <patternFill patternType="none">
          <bgColor auto="1"/>
        </patternFill>
      </fill>
    </dxf>
  </rfmt>
  <rfmt sheetId="8" sqref="P283:Q285">
    <dxf>
      <fill>
        <patternFill patternType="none">
          <bgColor auto="1"/>
        </patternFill>
      </fill>
    </dxf>
  </rfmt>
  <rcv guid="{6592EBC0-D945-4F6F-93D1-49FCB588A4A0}" action="delete"/>
  <rdn rId="0" localSheetId="1" customView="1" name="Z_6592EBC0_D945_4F6F_93D1_49FCB588A4A0_.wvu.PrintArea" hidden="1" oldHidden="1">
    <formula>'П ГОСПРОГРАММЫ'!$A$1:$M$19</formula>
    <oldFormula>'П ГОСПРОГРАММЫ'!$A$1:$M$19</oldFormula>
  </rdn>
  <rdn rId="0" localSheetId="2" customView="1" name="Z_6592EBC0_D945_4F6F_93D1_49FCB588A4A0_.wvu.PrintArea" hidden="1" oldHidden="1">
    <formula>'ПЛАНИРУЕМЫ ПОКАЗ'!$A$1:$K$38</formula>
    <oldFormula>'ПЛАНИРУЕМЫ ПОКАЗ'!$A$1:$K$38</oldFormula>
  </rdn>
  <rdn rId="0" localSheetId="3" customView="1" name="Z_6592EBC0_D945_4F6F_93D1_49FCB588A4A0_.wvu.PrintArea" hidden="1" oldHidden="1">
    <formula>'ПП 1'!$A$1:$K$9</formula>
    <oldFormula>'ПП 1'!$A$1:$K$9</oldFormula>
  </rdn>
  <rdn rId="0" localSheetId="4" customView="1" name="Z_6592EBC0_D945_4F6F_93D1_49FCB588A4A0_.wvu.PrintArea" hidden="1" oldHidden="1">
    <formula>'ПМ П1'!$A$1:$M$28</formula>
    <oldFormula>'ПМ П1'!$A$1:$M$28</oldFormula>
  </rdn>
  <rdn rId="0" localSheetId="4" customView="1" name="Z_6592EBC0_D945_4F6F_93D1_49FCB588A4A0_.wvu.Rows" hidden="1" oldHidden="1">
    <formula>'ПМ П1'!$79:$86</formula>
    <oldFormula>'ПМ П1'!$79:$86</oldFormula>
  </rdn>
  <rdn rId="0" localSheetId="5" customView="1" name="Z_6592EBC0_D945_4F6F_93D1_49FCB588A4A0_.wvu.PrintArea" hidden="1" oldHidden="1">
    <formula>'А П 1 '!$A$1:$O$407</formula>
    <oldFormula>'А П 1 '!$A$1:$O$407</oldFormula>
  </rdn>
  <rdn rId="0" localSheetId="5" customView="1" name="Z_6592EBC0_D945_4F6F_93D1_49FCB588A4A0_.wvu.Rows" hidden="1" oldHidden="1">
    <formula>'А П 1 '!$76:$77</formula>
    <oldFormula>'А П 1 '!$76:$77</oldFormula>
  </rdn>
  <rdn rId="0" localSheetId="6" customView="1" name="Z_6592EBC0_D945_4F6F_93D1_49FCB588A4A0_.wvu.PrintArea" hidden="1" oldHidden="1">
    <formula>'ПП 2'!$A$1:$K$11</formula>
    <oldFormula>'ПП 2'!$A$1:$K$11</oldFormula>
  </rdn>
  <rdn rId="0" localSheetId="7" customView="1" name="Z_6592EBC0_D945_4F6F_93D1_49FCB588A4A0_.wvu.PrintArea" hidden="1" oldHidden="1">
    <formula>'ПМ П2'!$A$1:$M$46</formula>
    <oldFormula>'ПМ П2'!$A$1:$M$46</oldFormula>
  </rdn>
  <rdn rId="0" localSheetId="7" customView="1" name="Z_6592EBC0_D945_4F6F_93D1_49FCB588A4A0_.wvu.Rows" hidden="1" oldHidden="1">
    <formula>'ПМ П2'!$75:$82</formula>
    <oldFormula>'ПМ П2'!$75:$82</oldFormula>
  </rdn>
  <rdn rId="0" localSheetId="8" customView="1" name="Z_6592EBC0_D945_4F6F_93D1_49FCB588A4A0_.wvu.Rows" hidden="1" oldHidden="1">
    <formula>'А П 2'!$55:$56</formula>
    <oldFormula>'А П 2'!$55:$56</oldFormula>
  </rdn>
  <rdn rId="0" localSheetId="9" customView="1" name="Z_6592EBC0_D945_4F6F_93D1_49FCB588A4A0_.wvu.PrintArea" hidden="1" oldHidden="1">
    <formula>'ПП 3'!$A$1:$K$17</formula>
    <oldFormula>'ПП 3'!$A$1:$K$17</oldFormula>
  </rdn>
  <rdn rId="0" localSheetId="10" customView="1" name="Z_6592EBC0_D945_4F6F_93D1_49FCB588A4A0_.wvu.PrintArea" hidden="1" oldHidden="1">
    <formula>'ПМ П 3'!$A$1:$M$66</formula>
    <oldFormula>'ПМ П 3'!$A$1:$M$66</oldFormula>
  </rdn>
  <rdn rId="0" localSheetId="10" customView="1" name="Z_6592EBC0_D945_4F6F_93D1_49FCB588A4A0_.wvu.Rows" hidden="1" oldHidden="1">
    <formula>'ПМ П 3'!$97:$104</formula>
    <oldFormula>'ПМ П 3'!$97:$104</oldFormula>
  </rdn>
  <rdn rId="0" localSheetId="10" customView="1" name="Z_6592EBC0_D945_4F6F_93D1_49FCB588A4A0_.wvu.FilterData" hidden="1" oldHidden="1">
    <formula>'ПМ П 3'!$A$4:$AL$64</formula>
    <oldFormula>'ПМ П 3'!$A$4:$AL$64</oldFormula>
  </rdn>
  <rdn rId="0" localSheetId="11" customView="1" name="Z_6592EBC0_D945_4F6F_93D1_49FCB588A4A0_.wvu.PrintArea" hidden="1" oldHidden="1">
    <formula>'А П 3'!$A$1:$O$1014</formula>
    <oldFormula>'А П 3'!$A$1:$O$1014</oldFormula>
  </rdn>
  <rdn rId="0" localSheetId="11" customView="1" name="Z_6592EBC0_D945_4F6F_93D1_49FCB588A4A0_.wvu.Rows" hidden="1" oldHidden="1">
    <formula>'А П 3'!$166:$166</formula>
    <oldFormula>'А П 3'!$166:$166</oldFormula>
  </rdn>
  <rdn rId="0" localSheetId="12" customView="1" name="Z_6592EBC0_D945_4F6F_93D1_49FCB588A4A0_.wvu.PrintArea" hidden="1" oldHidden="1">
    <formula>РМВГ!$A$1:$L$526</formula>
    <oldFormula>РМВГ!$A$1:$L$526</oldFormula>
  </rdn>
  <rdn rId="0" localSheetId="12" customView="1" name="Z_6592EBC0_D945_4F6F_93D1_49FCB588A4A0_.wvu.Rows" hidden="1" oldHidden="1">
    <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formula>
    <old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oldFormula>
  </rdn>
  <rdn rId="0" localSheetId="12" customView="1" name="Z_6592EBC0_D945_4F6F_93D1_49FCB588A4A0_.wvu.Cols" hidden="1" oldHidden="1">
    <formula>РМВГ!$C:$E</formula>
    <oldFormula>РМВГ!$C:$E</oldFormula>
  </rdn>
  <rdn rId="0" localSheetId="14" customView="1" name="Z_6592EBC0_D945_4F6F_93D1_49FCB588A4A0_.wvu.PrintArea" hidden="1" oldHidden="1">
    <formula>'МП 4'!$A$1:$M$42</formula>
    <oldFormula>'МП 4'!$A$1:$M$42</oldFormula>
  </rdn>
  <rdn rId="0" localSheetId="14" customView="1" name="Z_6592EBC0_D945_4F6F_93D1_49FCB588A4A0_.wvu.PrintTitles" hidden="1" oldHidden="1">
    <formula>'МП 4'!$1:$4</formula>
    <oldFormula>'МП 4'!$1:$4</oldFormula>
  </rdn>
  <rdn rId="0" localSheetId="16" customView="1" name="Z_6592EBC0_D945_4F6F_93D1_49FCB588A4A0_.wvu.PrintArea" hidden="1" oldHidden="1">
    <formula>'МП 5'!$A$1:$M$10</formula>
    <oldFormula>'МП 5'!$A$1:$M$10</oldFormula>
  </rdn>
  <rdn rId="0" localSheetId="17" customView="1" name="Z_6592EBC0_D945_4F6F_93D1_49FCB588A4A0_.wvu.PrintArea" hidden="1" oldHidden="1">
    <formula>' АП П 5'!$A$1:$O$12</formula>
    <oldFormula>' АП П 5'!$A$1:$O$12</oldFormula>
  </rdn>
  <rdn rId="0" localSheetId="19" customView="1" name="Z_6592EBC0_D945_4F6F_93D1_49FCB588A4A0_.wvu.PrintArea" hidden="1" oldHidden="1">
    <formula>'МП 6'!$A$1:$M$17</formula>
    <oldFormula>'МП 6'!$A$1:$M$17</oldFormula>
  </rdn>
  <rdn rId="0" localSheetId="20" customView="1" name="Z_6592EBC0_D945_4F6F_93D1_49FCB588A4A0_.wvu.PrintArea" hidden="1" oldHidden="1">
    <formula>'АП П 6'!$A$1:$O$8</formula>
    <oldFormula>'АП П 6'!$A$1:$O$8</oldFormula>
  </rdn>
  <rdn rId="0" localSheetId="23" customView="1" name="Z_6592EBC0_D945_4F6F_93D1_49FCB588A4A0_.wvu.PrintArea" hidden="1" oldHidden="1">
    <formula>'ПП 8'!$A$1:$K$10</formula>
    <oldFormula>'ПП 8'!$A$1:$K$10</oldFormula>
  </rdn>
  <rdn rId="0" localSheetId="24" customView="1" name="Z_6592EBC0_D945_4F6F_93D1_49FCB588A4A0_.wvu.PrintArea" hidden="1" oldHidden="1">
    <formula>'ПМ П8'!$A$1:$M$34</formula>
    <oldFormula>'ПМ П8'!$A$1:$M$34</oldFormula>
  </rdn>
  <rcv guid="{6592EBC0-D945-4F6F-93D1-49FCB588A4A0}"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72" sId="8">
    <oc r="B32" t="inlineStr">
      <is>
        <t>Реконструкция канализационных очистных сооружений производительностью 800 куб.м/сут. по адресу: Московская область, Коломенский район, д. Зарудня, д.118 "Б" в том числе ПИР   1)</t>
      </is>
    </oc>
    <nc r="B32" t="inlineStr">
      <is>
        <t>Реконструкция канализационных очистных сооружений производительностью 800 куб.м/сут. по адресу: Московская область, Коломенский г о , д. Зарудня, д.118 "Б" в том числе ПИР   1)</t>
      </is>
    </nc>
  </rcc>
  <rfmt sheetId="8" sqref="B32:B34">
    <dxf>
      <fill>
        <patternFill>
          <bgColor rgb="FF00FFCC"/>
        </patternFill>
      </fill>
    </dxf>
  </rfmt>
  <rcc rId="5073" sId="11">
    <oc r="I251">
      <v>16241</v>
    </oc>
    <nc r="I251">
      <f>(16241)</f>
    </nc>
  </rcc>
  <rcc rId="5074" sId="11">
    <oc r="I252">
      <f>I250*0.255</f>
    </oc>
    <nc r="I252">
      <f>I250*0.255</f>
    </nc>
  </rcc>
  <rcc rId="5075" sId="11">
    <oc r="Q251">
      <f>H250*30%</f>
    </oc>
    <nc r="Q251">
      <f>(5559)</f>
    </nc>
  </rcc>
  <rfmt sheetId="11" sqref="Q251" start="0" length="2147483647">
    <dxf>
      <font>
        <sz val="18"/>
      </font>
    </dxf>
  </rfmt>
  <rcc rId="5076" sId="11">
    <oc r="Q252">
      <f>Q251-I252</f>
    </oc>
    <nc r="Q252"/>
  </rcc>
  <rcc rId="5077" sId="11">
    <oc r="Q250">
      <f>H250*74.5%</f>
    </oc>
    <nc r="Q250">
      <v>16241</v>
    </nc>
  </rcc>
  <rcc rId="5078" sId="11">
    <oc r="P249">
      <f>Q250-P250</f>
    </oc>
    <nc r="P249"/>
  </rcc>
  <rm rId="5079" sheetId="11" source="Q250:Q251" destination="Q249:Q250" sourceSheetId="11">
    <rfmt sheetId="11" sqref="Q249" start="0" length="0">
      <dxf>
        <font>
          <sz val="11"/>
          <color rgb="FF7030A0"/>
          <name val="Calibri"/>
          <scheme val="minor"/>
        </font>
      </dxf>
    </rfmt>
  </rm>
  <rfmt sheetId="11" sqref="Q250" start="0" length="0">
    <dxf>
      <border>
        <bottom style="thin">
          <color indexed="64"/>
        </bottom>
      </border>
    </dxf>
  </rfmt>
  <rfmt sheetId="11" sqref="P249:P250" start="0" length="0">
    <dxf>
      <border>
        <left style="thin">
          <color indexed="64"/>
        </left>
      </border>
    </dxf>
  </rfmt>
  <rfmt sheetId="11" sqref="P249:Q249" start="0" length="0">
    <dxf>
      <border>
        <top style="thin">
          <color indexed="64"/>
        </top>
      </border>
    </dxf>
  </rfmt>
  <rfmt sheetId="11" sqref="Q249:Q250" start="0" length="0">
    <dxf>
      <border>
        <right style="thin">
          <color indexed="64"/>
        </right>
      </border>
    </dxf>
  </rfmt>
  <rfmt sheetId="11" sqref="P250:Q250" start="0" length="0">
    <dxf>
      <border>
        <bottom style="thin">
          <color indexed="64"/>
        </bottom>
      </border>
    </dxf>
  </rfmt>
  <rfmt sheetId="11" sqref="Q249:Q250">
    <dxf>
      <alignment vertical="center" readingOrder="0"/>
    </dxf>
  </rfmt>
  <rcc rId="5080" sId="11">
    <oc r="I252">
      <f>I250*0.255</f>
    </oc>
    <nc r="I252">
      <f>(5559*0)+6960.43</f>
    </nc>
  </rcc>
  <rcc rId="5081" sId="11">
    <oc r="I250">
      <f>I251/0.745</f>
    </oc>
    <nc r="I250">
      <f>I251+I252</f>
    </nc>
  </rcc>
  <rcc rId="5082" sId="11" odxf="1" dxf="1">
    <oc r="P250">
      <f>H250*70%</f>
    </oc>
    <nc r="P250">
      <f>I252-Q250</f>
    </nc>
    <ndxf>
      <numFmt numFmtId="4" formatCode="#,##0.00"/>
    </ndxf>
  </rcc>
  <rcv guid="{6592EBC0-D945-4F6F-93D1-49FCB588A4A0}" action="delete"/>
  <rdn rId="0" localSheetId="1" customView="1" name="Z_6592EBC0_D945_4F6F_93D1_49FCB588A4A0_.wvu.PrintArea" hidden="1" oldHidden="1">
    <formula>'П ГОСПРОГРАММЫ'!$A$1:$M$19</formula>
    <oldFormula>'П ГОСПРОГРАММЫ'!$A$1:$M$19</oldFormula>
  </rdn>
  <rdn rId="0" localSheetId="2" customView="1" name="Z_6592EBC0_D945_4F6F_93D1_49FCB588A4A0_.wvu.PrintArea" hidden="1" oldHidden="1">
    <formula>'ПЛАНИРУЕМЫ ПОКАЗ'!$A$1:$K$38</formula>
    <oldFormula>'ПЛАНИРУЕМЫ ПОКАЗ'!$A$1:$K$38</oldFormula>
  </rdn>
  <rdn rId="0" localSheetId="3" customView="1" name="Z_6592EBC0_D945_4F6F_93D1_49FCB588A4A0_.wvu.PrintArea" hidden="1" oldHidden="1">
    <formula>'ПП 1'!$A$1:$K$9</formula>
    <oldFormula>'ПП 1'!$A$1:$K$9</oldFormula>
  </rdn>
  <rdn rId="0" localSheetId="4" customView="1" name="Z_6592EBC0_D945_4F6F_93D1_49FCB588A4A0_.wvu.PrintArea" hidden="1" oldHidden="1">
    <formula>'ПМ П1'!$A$1:$M$28</formula>
    <oldFormula>'ПМ П1'!$A$1:$M$28</oldFormula>
  </rdn>
  <rdn rId="0" localSheetId="4" customView="1" name="Z_6592EBC0_D945_4F6F_93D1_49FCB588A4A0_.wvu.Rows" hidden="1" oldHidden="1">
    <formula>'ПМ П1'!$79:$86</formula>
    <oldFormula>'ПМ П1'!$79:$86</oldFormula>
  </rdn>
  <rdn rId="0" localSheetId="5" customView="1" name="Z_6592EBC0_D945_4F6F_93D1_49FCB588A4A0_.wvu.PrintArea" hidden="1" oldHidden="1">
    <formula>'А П 1 '!$A$1:$O$407</formula>
    <oldFormula>'А П 1 '!$A$1:$O$407</oldFormula>
  </rdn>
  <rdn rId="0" localSheetId="5" customView="1" name="Z_6592EBC0_D945_4F6F_93D1_49FCB588A4A0_.wvu.Rows" hidden="1" oldHidden="1">
    <formula>'А П 1 '!$76:$77</formula>
    <oldFormula>'А П 1 '!$76:$77</oldFormula>
  </rdn>
  <rdn rId="0" localSheetId="6" customView="1" name="Z_6592EBC0_D945_4F6F_93D1_49FCB588A4A0_.wvu.PrintArea" hidden="1" oldHidden="1">
    <formula>'ПП 2'!$A$1:$K$11</formula>
    <oldFormula>'ПП 2'!$A$1:$K$11</oldFormula>
  </rdn>
  <rdn rId="0" localSheetId="7" customView="1" name="Z_6592EBC0_D945_4F6F_93D1_49FCB588A4A0_.wvu.PrintArea" hidden="1" oldHidden="1">
    <formula>'ПМ П2'!$A$1:$M$46</formula>
    <oldFormula>'ПМ П2'!$A$1:$M$46</oldFormula>
  </rdn>
  <rdn rId="0" localSheetId="7" customView="1" name="Z_6592EBC0_D945_4F6F_93D1_49FCB588A4A0_.wvu.Rows" hidden="1" oldHidden="1">
    <formula>'ПМ П2'!$75:$82</formula>
    <oldFormula>'ПМ П2'!$75:$82</oldFormula>
  </rdn>
  <rdn rId="0" localSheetId="8" customView="1" name="Z_6592EBC0_D945_4F6F_93D1_49FCB588A4A0_.wvu.Rows" hidden="1" oldHidden="1">
    <formula>'А П 2'!$55:$56</formula>
    <oldFormula>'А П 2'!$55:$56</oldFormula>
  </rdn>
  <rdn rId="0" localSheetId="9" customView="1" name="Z_6592EBC0_D945_4F6F_93D1_49FCB588A4A0_.wvu.PrintArea" hidden="1" oldHidden="1">
    <formula>'ПП 3'!$A$1:$K$17</formula>
    <oldFormula>'ПП 3'!$A$1:$K$17</oldFormula>
  </rdn>
  <rdn rId="0" localSheetId="10" customView="1" name="Z_6592EBC0_D945_4F6F_93D1_49FCB588A4A0_.wvu.PrintArea" hidden="1" oldHidden="1">
    <formula>'ПМ П 3'!$A$1:$M$66</formula>
    <oldFormula>'ПМ П 3'!$A$1:$M$66</oldFormula>
  </rdn>
  <rdn rId="0" localSheetId="10" customView="1" name="Z_6592EBC0_D945_4F6F_93D1_49FCB588A4A0_.wvu.Rows" hidden="1" oldHidden="1">
    <formula>'ПМ П 3'!$97:$104</formula>
    <oldFormula>'ПМ П 3'!$97:$104</oldFormula>
  </rdn>
  <rdn rId="0" localSheetId="10" customView="1" name="Z_6592EBC0_D945_4F6F_93D1_49FCB588A4A0_.wvu.FilterData" hidden="1" oldHidden="1">
    <formula>'ПМ П 3'!$A$4:$AL$64</formula>
    <oldFormula>'ПМ П 3'!$A$4:$AL$64</oldFormula>
  </rdn>
  <rdn rId="0" localSheetId="11" customView="1" name="Z_6592EBC0_D945_4F6F_93D1_49FCB588A4A0_.wvu.PrintArea" hidden="1" oldHidden="1">
    <formula>'А П 3'!$A$1:$O$1014</formula>
    <oldFormula>'А П 3'!$A$1:$O$1014</oldFormula>
  </rdn>
  <rdn rId="0" localSheetId="11" customView="1" name="Z_6592EBC0_D945_4F6F_93D1_49FCB588A4A0_.wvu.Rows" hidden="1" oldHidden="1">
    <formula>'А П 3'!$166:$166</formula>
    <oldFormula>'А П 3'!$166:$166</oldFormula>
  </rdn>
  <rdn rId="0" localSheetId="12" customView="1" name="Z_6592EBC0_D945_4F6F_93D1_49FCB588A4A0_.wvu.PrintArea" hidden="1" oldHidden="1">
    <formula>РМВГ!$A$1:$L$526</formula>
    <oldFormula>РМВГ!$A$1:$L$526</oldFormula>
  </rdn>
  <rdn rId="0" localSheetId="12" customView="1" name="Z_6592EBC0_D945_4F6F_93D1_49FCB588A4A0_.wvu.Rows" hidden="1" oldHidden="1">
    <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formula>
    <old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oldFormula>
  </rdn>
  <rdn rId="0" localSheetId="12" customView="1" name="Z_6592EBC0_D945_4F6F_93D1_49FCB588A4A0_.wvu.Cols" hidden="1" oldHidden="1">
    <formula>РМВГ!$C:$E</formula>
    <oldFormula>РМВГ!$C:$E</oldFormula>
  </rdn>
  <rdn rId="0" localSheetId="14" customView="1" name="Z_6592EBC0_D945_4F6F_93D1_49FCB588A4A0_.wvu.PrintArea" hidden="1" oldHidden="1">
    <formula>'МП 4'!$A$1:$M$42</formula>
    <oldFormula>'МП 4'!$A$1:$M$42</oldFormula>
  </rdn>
  <rdn rId="0" localSheetId="14" customView="1" name="Z_6592EBC0_D945_4F6F_93D1_49FCB588A4A0_.wvu.PrintTitles" hidden="1" oldHidden="1">
    <formula>'МП 4'!$1:$4</formula>
    <oldFormula>'МП 4'!$1:$4</oldFormula>
  </rdn>
  <rdn rId="0" localSheetId="16" customView="1" name="Z_6592EBC0_D945_4F6F_93D1_49FCB588A4A0_.wvu.PrintArea" hidden="1" oldHidden="1">
    <formula>'МП 5'!$A$1:$M$10</formula>
    <oldFormula>'МП 5'!$A$1:$M$10</oldFormula>
  </rdn>
  <rdn rId="0" localSheetId="17" customView="1" name="Z_6592EBC0_D945_4F6F_93D1_49FCB588A4A0_.wvu.PrintArea" hidden="1" oldHidden="1">
    <formula>' АП П 5'!$A$1:$O$12</formula>
    <oldFormula>' АП П 5'!$A$1:$O$12</oldFormula>
  </rdn>
  <rdn rId="0" localSheetId="19" customView="1" name="Z_6592EBC0_D945_4F6F_93D1_49FCB588A4A0_.wvu.PrintArea" hidden="1" oldHidden="1">
    <formula>'МП 6'!$A$1:$M$17</formula>
    <oldFormula>'МП 6'!$A$1:$M$17</oldFormula>
  </rdn>
  <rdn rId="0" localSheetId="20" customView="1" name="Z_6592EBC0_D945_4F6F_93D1_49FCB588A4A0_.wvu.PrintArea" hidden="1" oldHidden="1">
    <formula>'АП П 6'!$A$1:$O$8</formula>
    <oldFormula>'АП П 6'!$A$1:$O$8</oldFormula>
  </rdn>
  <rdn rId="0" localSheetId="23" customView="1" name="Z_6592EBC0_D945_4F6F_93D1_49FCB588A4A0_.wvu.PrintArea" hidden="1" oldHidden="1">
    <formula>'ПП 8'!$A$1:$K$10</formula>
    <oldFormula>'ПП 8'!$A$1:$K$10</oldFormula>
  </rdn>
  <rdn rId="0" localSheetId="24" customView="1" name="Z_6592EBC0_D945_4F6F_93D1_49FCB588A4A0_.wvu.PrintArea" hidden="1" oldHidden="1">
    <formula>'ПМ П8'!$A$1:$M$34</formula>
    <oldFormula>'ПМ П8'!$A$1:$M$34</oldFormula>
  </rdn>
  <rcv guid="{6592EBC0-D945-4F6F-93D1-49FCB588A4A0}" action="add"/>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11" sId="11">
    <oc r="I235">
      <f>I236+I237</f>
    </oc>
    <nc r="I235">
      <f>I236+I237</f>
    </nc>
  </rcc>
  <rcc rId="5112" sId="11">
    <oc r="I236">
      <f>I239+I242+I245+I251</f>
    </oc>
    <nc r="I236">
      <f>I239+I242+I245</f>
    </nc>
  </rcc>
  <rcc rId="5113" sId="11">
    <oc r="I237">
      <f>I240+I243+I246+I252</f>
    </oc>
    <nc r="I237">
      <f>I240+I243+I246</f>
    </nc>
  </rcc>
  <rcc rId="5114" sId="11">
    <oc r="I297">
      <f>I266+I260+I254+I236+I227+I272+I295+I290</f>
    </oc>
    <nc r="I297">
      <f>I266+I260+I254+I236+I227+I272+I295+I248+I290</f>
    </nc>
  </rcc>
  <rcc rId="5115" sId="11">
    <oc r="I298">
      <f>I267+I261+I255+I237+I228+I291</f>
    </oc>
    <nc r="I298">
      <f>I267+I261+I255+I237+I228+I249+I291</f>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DDEA387-EEC9-4633-99BE-C0D9299FB093}" action="delete"/>
  <rdn rId="0" localSheetId="1" customView="1" name="Z_7DDEA387_EEC9_4633_99BE_C0D9299FB093_.wvu.PrintArea" hidden="1" oldHidden="1">
    <formula>'П ГОСПРОГРАММЫ'!$A$1:$M$19</formula>
    <oldFormula>'П ГОСПРОГРАММЫ'!$A$1:$M$19</oldFormula>
  </rdn>
  <rdn rId="0" localSheetId="2" customView="1" name="Z_7DDEA387_EEC9_4633_99BE_C0D9299FB093_.wvu.PrintArea" hidden="1" oldHidden="1">
    <formula>'ПЛАНИРУЕМЫ ПОКАЗ'!$A$1:$K$38</formula>
    <oldFormula>'ПЛАНИРУЕМЫ ПОКАЗ'!$A$1:$K$38</oldFormula>
  </rdn>
  <rdn rId="0" localSheetId="3" customView="1" name="Z_7DDEA387_EEC9_4633_99BE_C0D9299FB093_.wvu.PrintArea" hidden="1" oldHidden="1">
    <formula>'ПП 1'!$A$1:$K$9</formula>
    <oldFormula>'ПП 1'!$A$1:$K$9</oldFormula>
  </rdn>
  <rdn rId="0" localSheetId="4" customView="1" name="Z_7DDEA387_EEC9_4633_99BE_C0D9299FB093_.wvu.PrintArea" hidden="1" oldHidden="1">
    <formula>'ПМ П1'!$A$1:$M$28</formula>
    <oldFormula>'ПМ П1'!$A$1:$M$28</oldFormula>
  </rdn>
  <rdn rId="0" localSheetId="4" customView="1" name="Z_7DDEA387_EEC9_4633_99BE_C0D9299FB093_.wvu.Rows" hidden="1" oldHidden="1">
    <formula>'ПМ П1'!$79:$86</formula>
    <oldFormula>'ПМ П1'!$79:$86</oldFormula>
  </rdn>
  <rdn rId="0" localSheetId="5" customView="1" name="Z_7DDEA387_EEC9_4633_99BE_C0D9299FB093_.wvu.PrintArea" hidden="1" oldHidden="1">
    <formula>'А П 1 '!$A$1:$O$407</formula>
    <oldFormula>'А П 1 '!$A$1:$O$407</oldFormula>
  </rdn>
  <rdn rId="0" localSheetId="5" customView="1" name="Z_7DDEA387_EEC9_4633_99BE_C0D9299FB093_.wvu.Rows" hidden="1" oldHidden="1">
    <formula>'А П 1 '!$76:$77</formula>
    <oldFormula>'А П 1 '!$76:$77</oldFormula>
  </rdn>
  <rdn rId="0" localSheetId="6" customView="1" name="Z_7DDEA387_EEC9_4633_99BE_C0D9299FB093_.wvu.PrintArea" hidden="1" oldHidden="1">
    <formula>'ПП 2'!$A$1:$K$11</formula>
    <oldFormula>'ПП 2'!$A$1:$K$11</oldFormula>
  </rdn>
  <rdn rId="0" localSheetId="7" customView="1" name="Z_7DDEA387_EEC9_4633_99BE_C0D9299FB093_.wvu.PrintArea" hidden="1" oldHidden="1">
    <formula>'ПМ П2'!$A$1:$M$46</formula>
    <oldFormula>'ПМ П2'!$A$1:$M$46</oldFormula>
  </rdn>
  <rdn rId="0" localSheetId="7" customView="1" name="Z_7DDEA387_EEC9_4633_99BE_C0D9299FB093_.wvu.Rows" hidden="1" oldHidden="1">
    <formula>'ПМ П2'!$75:$82</formula>
    <oldFormula>'ПМ П2'!$75:$82</oldFormula>
  </rdn>
  <rdn rId="0" localSheetId="8" customView="1" name="Z_7DDEA387_EEC9_4633_99BE_C0D9299FB093_.wvu.PrintArea" hidden="1" oldHidden="1">
    <formula>'А П 2'!$A$1:$O$366</formula>
    <oldFormula>'А П 2'!$A$1:$O$366</oldFormula>
  </rdn>
  <rdn rId="0" localSheetId="8" customView="1" name="Z_7DDEA387_EEC9_4633_99BE_C0D9299FB093_.wvu.Rows" hidden="1" oldHidden="1">
    <formula>'А П 2'!$55:$56</formula>
    <oldFormula>'А П 2'!$55:$56</oldFormula>
  </rdn>
  <rdn rId="0" localSheetId="9" customView="1" name="Z_7DDEA387_EEC9_4633_99BE_C0D9299FB093_.wvu.PrintArea" hidden="1" oldHidden="1">
    <formula>'ПП 3'!$A$1:$K$17</formula>
    <oldFormula>'ПП 3'!$A$1:$K$17</oldFormula>
  </rdn>
  <rdn rId="0" localSheetId="10" customView="1" name="Z_7DDEA387_EEC9_4633_99BE_C0D9299FB093_.wvu.PrintArea" hidden="1" oldHidden="1">
    <formula>'ПМ П 3'!$A$1:$M$66</formula>
    <oldFormula>'ПМ П 3'!$A$1:$M$66</oldFormula>
  </rdn>
  <rdn rId="0" localSheetId="10" customView="1" name="Z_7DDEA387_EEC9_4633_99BE_C0D9299FB093_.wvu.Rows" hidden="1" oldHidden="1">
    <formula>'ПМ П 3'!$97:$104</formula>
    <oldFormula>'ПМ П 3'!$97:$104</oldFormula>
  </rdn>
  <rdn rId="0" localSheetId="10" customView="1" name="Z_7DDEA387_EEC9_4633_99BE_C0D9299FB093_.wvu.FilterData" hidden="1" oldHidden="1">
    <formula>'ПМ П 3'!$A$4:$AL$64</formula>
    <oldFormula>'ПМ П 3'!$A$4:$AL$64</oldFormula>
  </rdn>
  <rdn rId="0" localSheetId="11" customView="1" name="Z_7DDEA387_EEC9_4633_99BE_C0D9299FB093_.wvu.PrintArea" hidden="1" oldHidden="1">
    <formula>'А П 3'!$A$1:$O$1014</formula>
    <oldFormula>'А П 3'!$A$1:$O$1014</oldFormula>
  </rdn>
  <rdn rId="0" localSheetId="11" customView="1" name="Z_7DDEA387_EEC9_4633_99BE_C0D9299FB093_.wvu.Rows" hidden="1" oldHidden="1">
    <formula>'А П 3'!$166:$166</formula>
    <oldFormula>'А П 3'!$166:$166</oldFormula>
  </rdn>
  <rdn rId="0" localSheetId="12" customView="1" name="Z_7DDEA387_EEC9_4633_99BE_C0D9299FB093_.wvu.PrintArea" hidden="1" oldHidden="1">
    <formula>РМВГ!$A$1:$L$526</formula>
    <oldFormula>РМВГ!$A$1:$L$526</oldFormula>
  </rdn>
  <rdn rId="0" localSheetId="12" customView="1" name="Z_7DDEA387_EEC9_4633_99BE_C0D9299FB093_.wvu.Rows" hidden="1" oldHidden="1">
    <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formula>
    <oldFormula>РМВГ!$22:$36,РМВГ!$40:$75,РМВГ!$79:$87,РМВГ!$91:$159,РМВГ!$163:$171,РМВГ!$175:$189,РМВГ!$193:$195,РМВГ!$199:$201,РМВГ!$205:$231,РМВГ!$235:$252,РМВГ!$256:$258,РМВГ!$262:$267,РМВГ!$271:$273,РМВГ!$277:$279,РМВГ!$283:$285,РМВГ!$293:$295,РМВГ!$299:$301,РМВГ!$305:$307,РМВГ!$311:$313,РМВГ!$317:$319,РМВГ!$323:$325,РМВГ!$329:$331,РМВГ!$335:$337,РМВГ!$341:$346,РМВГ!$350:$352,РМВГ!$356:$358,РМВГ!$362:$364,РМВГ!$368:$370,РМВГ!$374:$377,РМВГ!$384:$392,РМВГ!$396:$398,РМВГ!$402:$404,РМВГ!$408:$410,РМВГ!$414:$416,РМВГ!$420:$425,РМВГ!$429:$434,РМВГ!$438:$440,РМВГ!$448:$459,РМВГ!$463:$468,РМВГ!$472:$474,РМВГ!$478:$486,РМВГ!$490:$492,РМВГ!$496:$499,РМВГ!$509:$511,РМВГ!$515:$517,РМВГ!$521:$523</oldFormula>
  </rdn>
  <rdn rId="0" localSheetId="12" customView="1" name="Z_7DDEA387_EEC9_4633_99BE_C0D9299FB093_.wvu.Cols" hidden="1" oldHidden="1">
    <formula>РМВГ!$C:$E</formula>
    <oldFormula>РМВГ!$C:$E</oldFormula>
  </rdn>
  <rdn rId="0" localSheetId="14" customView="1" name="Z_7DDEA387_EEC9_4633_99BE_C0D9299FB093_.wvu.PrintArea" hidden="1" oldHidden="1">
    <formula>'МП 4'!$A$1:$M$42</formula>
    <oldFormula>'МП 4'!$A$1:$M$42</oldFormula>
  </rdn>
  <rdn rId="0" localSheetId="14" customView="1" name="Z_7DDEA387_EEC9_4633_99BE_C0D9299FB093_.wvu.PrintTitles" hidden="1" oldHidden="1">
    <formula>'МП 4'!$1:$4</formula>
    <oldFormula>'МП 4'!$1:$4</oldFormula>
  </rdn>
  <rdn rId="0" localSheetId="16" customView="1" name="Z_7DDEA387_EEC9_4633_99BE_C0D9299FB093_.wvu.PrintArea" hidden="1" oldHidden="1">
    <formula>'МП 5'!$A$1:$M$10</formula>
    <oldFormula>'МП 5'!$A$1:$M$10</oldFormula>
  </rdn>
  <rdn rId="0" localSheetId="17" customView="1" name="Z_7DDEA387_EEC9_4633_99BE_C0D9299FB093_.wvu.PrintArea" hidden="1" oldHidden="1">
    <formula>' АП П 5'!$A$1:$O$12</formula>
    <oldFormula>' АП П 5'!$A$1:$O$12</oldFormula>
  </rdn>
  <rdn rId="0" localSheetId="19" customView="1" name="Z_7DDEA387_EEC9_4633_99BE_C0D9299FB093_.wvu.PrintArea" hidden="1" oldHidden="1">
    <formula>'МП 6'!$A$1:$M$17</formula>
    <oldFormula>'МП 6'!$A$1:$M$17</oldFormula>
  </rdn>
  <rdn rId="0" localSheetId="20" customView="1" name="Z_7DDEA387_EEC9_4633_99BE_C0D9299FB093_.wvu.PrintArea" hidden="1" oldHidden="1">
    <formula>'АП П 6'!$A$1:$O$8</formula>
    <oldFormula>'АП П 6'!$A$1:$O$8</oldFormula>
  </rdn>
  <rdn rId="0" localSheetId="23" customView="1" name="Z_7DDEA387_EEC9_4633_99BE_C0D9299FB093_.wvu.PrintArea" hidden="1" oldHidden="1">
    <formula>'ПП 8'!$A$1:$K$10</formula>
    <oldFormula>'ПП 8'!$A$1:$K$10</oldFormula>
  </rdn>
  <rdn rId="0" localSheetId="24" customView="1" name="Z_7DDEA387_EEC9_4633_99BE_C0D9299FB093_.wvu.PrintArea" hidden="1" oldHidden="1">
    <formula>'ПМ П8'!$A$1:$M$34</formula>
    <oldFormula>'ПМ П8'!$A$1:$M$34</oldFormula>
  </rdn>
  <rcv guid="{7DDEA387-EEC9-4633-99BE-C0D9299FB093}" action="add"/>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3" sId="11">
    <oc r="B84" t="inlineStr">
      <is>
        <t>Реконструкция с увеличением мощности  ЦТП ПДХ  Архангельское, ЦТП № 3, ЦТП № 4, с отключением и выводом из эксплуатации ЦТП № 3с последующим его демонтажем по адресу: пос. Архангельское г.о. Красногорск (в  том числе ПИР) 1)</t>
      </is>
    </oc>
    <nc r="B84" t="inlineStr">
      <is>
        <t>Реконструкция с увеличением мощности  ЦТП ПДХ  Архангельское, ЦТП № 4,  с отключением и выводом из эксплуатации ЦТП № 3 с последующим его демонтажем по адресу: пос. Архангельское г.о. Красногорск (в  том числе ПИР) 1)</t>
      </is>
    </nc>
  </rcc>
  <rcc rId="4944" sId="8">
    <oc r="B23" t="inlineStr">
      <is>
        <t>Строительство очистных сооружений ливневого стока (перекачивающая КНС), в том числе:  1)</t>
      </is>
    </oc>
    <nc r="B23" t="inlineStr">
      <is>
        <t>Строительство очистных сооружений ливневого стока (перекачивающая КНС), ( в том числе: ПИР , погашение кредиторской задолженности) 1)</t>
      </is>
    </nc>
  </rcc>
  <rfmt sheetId="8" sqref="B23:B25">
    <dxf>
      <fill>
        <patternFill>
          <bgColor rgb="FFFFFF00"/>
        </patternFill>
      </fill>
    </dxf>
  </rfmt>
  <rfmt sheetId="8" sqref="O75" start="0" length="0">
    <dxf>
      <numFmt numFmtId="4" formatCode="#,##0.00"/>
    </dxf>
  </rfmt>
  <rcc rId="4945" sId="8">
    <nc r="O75">
      <f>H76-H79</f>
    </nc>
  </rcc>
  <rfmt sheetId="8" sqref="H76">
    <dxf>
      <fill>
        <patternFill>
          <bgColor rgb="FF00FFCC"/>
        </patternFill>
      </fill>
    </dxf>
  </rfmt>
  <rfmt sheetId="8" sqref="B75:F77">
    <dxf>
      <fill>
        <patternFill>
          <bgColor rgb="FF00FFCC"/>
        </patternFill>
      </fill>
    </dxf>
  </rfmt>
  <rfmt sheetId="11" sqref="A247:M249">
    <dxf>
      <fill>
        <patternFill patternType="solid">
          <bgColor rgb="FF00FFCC"/>
        </patternFill>
      </fill>
    </dxf>
  </rfmt>
  <rcc rId="4946" sId="8">
    <oc r="H76">
      <f>I76+J76+K76+L76+L76+M76</f>
    </oc>
    <nc r="H76">
      <f>I76+J76+K76+L76+M76</f>
    </nc>
  </rcc>
  <rfmt sheetId="8" sqref="H76">
    <dxf>
      <fill>
        <patternFill patternType="none">
          <bgColor auto="1"/>
        </patternFill>
      </fill>
    </dxf>
  </rfmt>
  <rrc rId="4947" sId="11" ref="A247:XFD247" action="insertRow"/>
  <rrc rId="4948" sId="11" ref="A247:XFD247" action="insertRow"/>
  <rrc rId="4949" sId="11" ref="A247:XFD247" action="insertRow"/>
  <rfmt sheetId="11" sqref="A247" start="0" length="0">
    <dxf>
      <border outline="0">
        <bottom/>
      </border>
    </dxf>
  </rfmt>
  <rfmt sheetId="11" sqref="B247" start="0" length="0">
    <dxf>
      <border outline="0">
        <right/>
        <bottom/>
      </border>
    </dxf>
  </rfmt>
  <rcc rId="4950" sId="11">
    <nc r="G247" t="inlineStr">
      <is>
        <t>Итого</t>
      </is>
    </nc>
  </rcc>
  <rcc rId="4951" sId="11">
    <nc r="H247">
      <f>H248+H249</f>
    </nc>
  </rcc>
  <rfmt sheetId="11" sqref="I247" start="0" length="0">
    <dxf>
      <alignment wrapText="0" readingOrder="0"/>
    </dxf>
  </rfmt>
  <rcc rId="4952" sId="11" odxf="1" dxf="1">
    <nc r="J247">
      <f>J248+J249</f>
    </nc>
    <odxf>
      <alignment wrapText="1" readingOrder="0"/>
    </odxf>
    <ndxf>
      <alignment wrapText="0" readingOrder="0"/>
    </ndxf>
  </rcc>
  <rcc rId="4953" sId="11" odxf="1" dxf="1">
    <nc r="K247">
      <f>K248+K249</f>
    </nc>
    <odxf>
      <alignment wrapText="1" readingOrder="0"/>
    </odxf>
    <ndxf>
      <alignment wrapText="0" readingOrder="0"/>
    </ndxf>
  </rcc>
  <rcc rId="4954" sId="11" odxf="1" dxf="1">
    <nc r="L247">
      <f>L248+L249</f>
    </nc>
    <odxf>
      <alignment wrapText="1" readingOrder="0"/>
    </odxf>
    <ndxf>
      <alignment wrapText="0" readingOrder="0"/>
    </ndxf>
  </rcc>
  <rcc rId="4955" sId="11" odxf="1" dxf="1">
    <nc r="M247">
      <f>M248+M249</f>
    </nc>
    <odxf>
      <alignment wrapText="1" readingOrder="0"/>
    </odxf>
    <ndxf>
      <alignment wrapText="0" readingOrder="0"/>
    </ndxf>
  </rcc>
  <rcc rId="4956" sId="11" odxf="1" dxf="1">
    <nc r="O247" t="inlineStr">
      <is>
        <t>Министерство жилищно-коммунального хозяйства Московской области</t>
      </is>
    </nc>
    <odxf>
      <border outline="0">
        <left/>
        <right/>
        <top/>
      </border>
    </odxf>
    <ndxf>
      <border outline="0">
        <left style="thin">
          <color indexed="64"/>
        </left>
        <right style="thin">
          <color indexed="64"/>
        </right>
        <top style="thin">
          <color indexed="64"/>
        </top>
      </border>
    </ndxf>
  </rcc>
  <rfmt sheetId="11" sqref="P247" start="0" length="0">
    <dxf>
      <border outline="0">
        <left style="thin">
          <color indexed="64"/>
        </left>
        <right style="thin">
          <color indexed="64"/>
        </right>
        <top style="thin">
          <color indexed="64"/>
        </top>
        <bottom style="thin">
          <color indexed="64"/>
        </bottom>
      </border>
    </dxf>
  </rfmt>
  <rcc rId="4957" sId="11">
    <nc r="G248" t="inlineStr">
      <is>
        <t>Средства бюджета Московской области</t>
      </is>
    </nc>
  </rcc>
  <rfmt sheetId="11" sqref="P248" start="0" length="0">
    <dxf>
      <border outline="0">
        <left style="thin">
          <color indexed="64"/>
        </left>
        <right style="thin">
          <color indexed="64"/>
        </right>
        <top style="thin">
          <color indexed="64"/>
        </top>
        <bottom style="thin">
          <color indexed="64"/>
        </bottom>
      </border>
    </dxf>
  </rfmt>
  <rcc rId="4958" sId="11">
    <nc r="G249" t="inlineStr">
      <is>
        <t xml:space="preserve">Средства бюджетов муниципальных образований Московской области
</t>
      </is>
    </nc>
  </rcc>
  <rfmt sheetId="11" sqref="P249" start="0" length="0">
    <dxf>
      <border outline="0">
        <left style="thin">
          <color indexed="64"/>
        </left>
        <right style="thin">
          <color indexed="64"/>
        </right>
        <top style="thin">
          <color indexed="64"/>
        </top>
        <bottom style="thin">
          <color indexed="64"/>
        </bottom>
      </border>
    </dxf>
  </rfmt>
  <rfmt sheetId="11" sqref="B247:B249">
    <dxf>
      <fill>
        <patternFill patternType="solid">
          <bgColor rgb="FF66FF99"/>
        </patternFill>
      </fill>
    </dxf>
  </rfmt>
  <rcc rId="4959" sId="11">
    <nc r="B247" t="inlineStr">
      <is>
        <t>городское поселение Солнечногорск</t>
      </is>
    </nc>
  </rcc>
  <rcc rId="4960" sId="11">
    <nc r="H249">
      <f>H252</f>
    </nc>
  </rcc>
  <rcc rId="4961" sId="11" odxf="1" dxf="1">
    <nc r="I249">
      <f>I252</f>
    </nc>
    <ndxf>
      <alignment wrapText="0" readingOrder="0"/>
    </ndxf>
  </rcc>
  <rcc rId="4962" sId="11" odxf="1" dxf="1">
    <nc r="J249">
      <f>J252</f>
    </nc>
    <ndxf>
      <alignment wrapText="0" readingOrder="0"/>
    </ndxf>
  </rcc>
  <rcc rId="4963" sId="11" odxf="1" dxf="1">
    <nc r="K249">
      <f>K252</f>
    </nc>
    <ndxf>
      <alignment wrapText="0" readingOrder="0"/>
    </ndxf>
  </rcc>
  <rcc rId="4964" sId="11" odxf="1" dxf="1">
    <nc r="L249">
      <f>L252</f>
    </nc>
    <ndxf>
      <alignment wrapText="0" readingOrder="0"/>
    </ndxf>
  </rcc>
  <rcc rId="4965" sId="11" odxf="1" dxf="1">
    <nc r="M249">
      <f>M252</f>
    </nc>
    <ndxf>
      <alignment wrapText="0" readingOrder="0"/>
    </ndxf>
  </rcc>
  <rcc rId="4966" sId="11">
    <nc r="H248">
      <f>H251</f>
    </nc>
  </rcc>
  <rcc rId="4967" sId="11" odxf="1" dxf="1">
    <nc r="I248">
      <f>I251</f>
    </nc>
    <ndxf>
      <alignment wrapText="0" readingOrder="0"/>
    </ndxf>
  </rcc>
  <rcc rId="4968" sId="11" odxf="1" dxf="1">
    <nc r="J248">
      <f>J251</f>
    </nc>
    <ndxf>
      <alignment wrapText="0" readingOrder="0"/>
    </ndxf>
  </rcc>
  <rcc rId="4969" sId="11" odxf="1" dxf="1">
    <nc r="K248">
      <f>K251</f>
    </nc>
    <ndxf>
      <alignment wrapText="0" readingOrder="0"/>
    </ndxf>
  </rcc>
  <rcc rId="4970" sId="11" odxf="1" dxf="1">
    <nc r="L248">
      <f>L251</f>
    </nc>
    <ndxf>
      <alignment wrapText="0" readingOrder="0"/>
    </ndxf>
  </rcc>
  <rcc rId="4971" sId="11" odxf="1" dxf="1">
    <nc r="M248">
      <f>M251</f>
    </nc>
    <ndxf>
      <alignment wrapText="0" readingOrder="0"/>
    </ndxf>
  </rcc>
  <rcc rId="4972" sId="11">
    <nc r="I247">
      <f>I248+I249</f>
    </nc>
  </rcc>
  <rfmt sheetId="11" sqref="C250:F252">
    <dxf>
      <fill>
        <patternFill patternType="none">
          <bgColor auto="1"/>
        </patternFill>
      </fill>
    </dxf>
  </rfmt>
  <rfmt sheetId="11" sqref="B249">
    <dxf>
      <fill>
        <patternFill>
          <bgColor rgb="FF00FFCC"/>
        </patternFill>
      </fill>
    </dxf>
  </rfmt>
  <rfmt sheetId="11" sqref="B247:B249">
    <dxf>
      <fill>
        <patternFill>
          <bgColor rgb="FF00FFCC"/>
        </patternFill>
      </fill>
    </dxf>
  </rfmt>
  <rfmt sheetId="11" sqref="C247:C249">
    <dxf>
      <border>
        <top/>
        <bottom/>
        <horizontal/>
      </border>
    </dxf>
  </rfmt>
  <rfmt sheetId="11" sqref="D247:D249">
    <dxf>
      <border>
        <top/>
        <bottom/>
        <horizontal/>
      </border>
    </dxf>
  </rfmt>
  <rfmt sheetId="11" sqref="E247:E249">
    <dxf>
      <border>
        <top/>
        <bottom/>
        <horizontal/>
      </border>
    </dxf>
  </rfmt>
  <rcc rId="4973" sId="11">
    <nc r="A247" t="inlineStr">
      <is>
        <t>3</t>
      </is>
    </nc>
  </rcc>
  <rcc rId="4974" sId="11">
    <oc r="A250" t="inlineStr">
      <is>
        <t>2.4</t>
      </is>
    </oc>
    <nc r="A250" t="inlineStr">
      <is>
        <t>3.1</t>
      </is>
    </nc>
  </rcc>
  <rcc rId="4975" sId="11">
    <oc r="A253" t="inlineStr">
      <is>
        <t>3</t>
      </is>
    </oc>
    <nc r="A253" t="inlineStr">
      <is>
        <t>4</t>
      </is>
    </nc>
  </rcc>
  <rcc rId="4976" sId="11">
    <oc r="A256" t="inlineStr">
      <is>
        <t>3.1</t>
      </is>
    </oc>
    <nc r="A256" t="inlineStr">
      <is>
        <t>4.1</t>
      </is>
    </nc>
  </rcc>
  <rfmt sheetId="11" sqref="A274" start="0" length="0">
    <dxf>
      <numFmt numFmtId="21" formatCode="dd/mmm"/>
    </dxf>
  </rfmt>
  <rfmt sheetId="11" sqref="A274:A276">
    <dxf>
      <numFmt numFmtId="30" formatCode="@"/>
    </dxf>
  </rfmt>
  <rcc rId="4977" sId="11" numFmtId="30">
    <oc r="A274" t="inlineStr">
      <is>
        <t>1.3.2.1.1</t>
      </is>
    </oc>
    <nc r="A274" t="inlineStr">
      <is>
        <t>6.1</t>
      </is>
    </nc>
  </rcc>
  <rfmt sheetId="11" sqref="A277" start="0" length="0">
    <dxf>
      <numFmt numFmtId="21" formatCode="dd/mmm"/>
    </dxf>
  </rfmt>
  <rfmt sheetId="11" sqref="A277:A288">
    <dxf>
      <numFmt numFmtId="30" formatCode="@"/>
    </dxf>
  </rfmt>
  <rcc rId="4978" sId="11" numFmtId="30">
    <oc r="A277" t="inlineStr">
      <is>
        <t>1.3.2.1.2</t>
      </is>
    </oc>
    <nc r="A277" t="inlineStr">
      <is>
        <t>6.2</t>
      </is>
    </nc>
  </rcc>
  <rcc rId="4979" sId="11">
    <oc r="A280" t="inlineStr">
      <is>
        <t>1.3.2.1.3</t>
      </is>
    </oc>
    <nc r="A280" t="inlineStr">
      <is>
        <t>6.3</t>
      </is>
    </nc>
  </rcc>
  <rcc rId="4980" sId="11">
    <oc r="A283" t="inlineStr">
      <is>
        <t>1.3.2.1.4</t>
      </is>
    </oc>
    <nc r="A283" t="inlineStr">
      <is>
        <t>6.4</t>
      </is>
    </nc>
  </rcc>
  <rcc rId="4981" sId="11">
    <oc r="A286" t="inlineStr">
      <is>
        <t>1.3.2.1.5</t>
      </is>
    </oc>
    <nc r="A286" t="inlineStr">
      <is>
        <t>6.5</t>
      </is>
    </nc>
  </rcc>
  <rfmt sheetId="11" sqref="A292" start="0" length="0">
    <dxf>
      <numFmt numFmtId="21" formatCode="dd/mmm"/>
    </dxf>
  </rfmt>
  <rfmt sheetId="11" sqref="A292">
    <dxf>
      <numFmt numFmtId="30" formatCode="@"/>
    </dxf>
  </rfmt>
  <rcc rId="4982" sId="11" numFmtId="30">
    <nc r="A292" t="inlineStr">
      <is>
        <t>7.1</t>
      </is>
    </nc>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
  <userInfo guid="{4ED0D60F-8F88-4FA7-B2EC-613FC89F8268}" name="Шаврова Лилия Сергеевна" id="-2043218647" dateTime="2018-03-27T17:50:16"/>
  <userInfo guid="{5EB2A9EE-2942-4C53-8F2B-9E4C53D71A98}" name="Соловьев Евгений Владиславович" id="-1378201458" dateTime="2018-03-28T18:09:00"/>
  <userInfo guid="{C1E6F205-EE70-4EDC-A6A3-1A6019D0BF51}" name="Соловьев Евгений Владиславович" id="-1378201963" dateTime="2018-03-30T15:17:38"/>
</user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6" Type="http://schemas.openxmlformats.org/officeDocument/2006/relationships/printerSettings" Target="../printerSettings/printerSettings12.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5" Type="http://schemas.openxmlformats.org/officeDocument/2006/relationships/printerSettings" Target="../printerSettings/printerSettings17.bin"/><Relationship Id="rId4" Type="http://schemas.openxmlformats.org/officeDocument/2006/relationships/printerSettings" Target="../printerSettings/printerSettings1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s>
</file>

<file path=xl/worksheets/_rels/sheet5.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27.bin"/><Relationship Id="rId7" Type="http://schemas.openxmlformats.org/officeDocument/2006/relationships/vmlDrawing" Target="../drawings/vmlDrawing1.v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5" Type="http://schemas.openxmlformats.org/officeDocument/2006/relationships/printerSettings" Target="../printerSettings/printerSettings29.bin"/><Relationship Id="rId4" Type="http://schemas.openxmlformats.org/officeDocument/2006/relationships/printerSettings" Target="../printerSettings/printerSettings28.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6" Type="http://schemas.openxmlformats.org/officeDocument/2006/relationships/printerSettings" Target="../printerSettings/printerSettings36.bin"/><Relationship Id="rId5" Type="http://schemas.openxmlformats.org/officeDocument/2006/relationships/printerSettings" Target="../printerSettings/printerSettings35.bin"/><Relationship Id="rId4" Type="http://schemas.openxmlformats.org/officeDocument/2006/relationships/printerSettings" Target="../printerSettings/printerSettings3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5" Type="http://schemas.openxmlformats.org/officeDocument/2006/relationships/printerSettings" Target="../printerSettings/printerSettings41.bin"/><Relationship Id="rId4" Type="http://schemas.openxmlformats.org/officeDocument/2006/relationships/printerSettings" Target="../printerSettings/printerSettings40.bin"/></Relationships>
</file>

<file path=xl/worksheets/_rels/sheet8.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printerSettings" Target="../printerSettings/printerSettings45.bin"/><Relationship Id="rId7" Type="http://schemas.openxmlformats.org/officeDocument/2006/relationships/vmlDrawing" Target="../drawings/vmlDrawing2.vml"/><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printerSettings" Target="../printerSettings/printerSettings48.bin"/><Relationship Id="rId5" Type="http://schemas.openxmlformats.org/officeDocument/2006/relationships/printerSettings" Target="../printerSettings/printerSettings47.bin"/><Relationship Id="rId4" Type="http://schemas.openxmlformats.org/officeDocument/2006/relationships/printerSettings" Target="../printerSettings/printerSettings46.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1.bin"/><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6" Type="http://schemas.openxmlformats.org/officeDocument/2006/relationships/printerSettings" Target="../printerSettings/printerSettings54.bin"/><Relationship Id="rId5" Type="http://schemas.openxmlformats.org/officeDocument/2006/relationships/printerSettings" Target="../printerSettings/printerSettings53.bin"/><Relationship Id="rId4" Type="http://schemas.openxmlformats.org/officeDocument/2006/relationships/printerSettings" Target="../printerSettings/printerSettings52.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6" Type="http://schemas.openxmlformats.org/officeDocument/2006/relationships/printerSettings" Target="../printerSettings/printerSettings60.bin"/><Relationship Id="rId5" Type="http://schemas.openxmlformats.org/officeDocument/2006/relationships/printerSettings" Target="../printerSettings/printerSettings59.bin"/><Relationship Id="rId4" Type="http://schemas.openxmlformats.org/officeDocument/2006/relationships/printerSettings" Target="../printerSettings/printerSettings58.bin"/></Relationships>
</file>

<file path=xl/worksheets/_rels/sheet13.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printerSettings" Target="../printerSettings/printerSettings63.bin"/><Relationship Id="rId7" Type="http://schemas.openxmlformats.org/officeDocument/2006/relationships/vmlDrawing" Target="../drawings/vmlDrawing3.vml"/><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printerSettings" Target="../printerSettings/printerSettings66.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6" Type="http://schemas.openxmlformats.org/officeDocument/2006/relationships/printerSettings" Target="../printerSettings/printerSettings72.bin"/><Relationship Id="rId5" Type="http://schemas.openxmlformats.org/officeDocument/2006/relationships/printerSettings" Target="../printerSettings/printerSettings71.bin"/><Relationship Id="rId4" Type="http://schemas.openxmlformats.org/officeDocument/2006/relationships/printerSettings" Target="../printerSettings/printerSettings70.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6" Type="http://schemas.openxmlformats.org/officeDocument/2006/relationships/printerSettings" Target="../printerSettings/printerSettings78.bin"/><Relationship Id="rId5" Type="http://schemas.openxmlformats.org/officeDocument/2006/relationships/printerSettings" Target="../printerSettings/printerSettings77.bin"/><Relationship Id="rId4" Type="http://schemas.openxmlformats.org/officeDocument/2006/relationships/printerSettings" Target="../printerSettings/printerSettings76.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1.bin"/><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 Id="rId6" Type="http://schemas.openxmlformats.org/officeDocument/2006/relationships/printerSettings" Target="../printerSettings/printerSettings84.bin"/><Relationship Id="rId5" Type="http://schemas.openxmlformats.org/officeDocument/2006/relationships/printerSettings" Target="../printerSettings/printerSettings83.bin"/><Relationship Id="rId4" Type="http://schemas.openxmlformats.org/officeDocument/2006/relationships/printerSettings" Target="../printerSettings/printerSettings82.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90.bin"/><Relationship Id="rId5" Type="http://schemas.openxmlformats.org/officeDocument/2006/relationships/printerSettings" Target="../printerSettings/printerSettings89.bin"/><Relationship Id="rId4" Type="http://schemas.openxmlformats.org/officeDocument/2006/relationships/printerSettings" Target="../printerSettings/printerSettings88.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6" Type="http://schemas.openxmlformats.org/officeDocument/2006/relationships/printerSettings" Target="../printerSettings/printerSettings96.bin"/><Relationship Id="rId5" Type="http://schemas.openxmlformats.org/officeDocument/2006/relationships/printerSettings" Target="../printerSettings/printerSettings95.bin"/><Relationship Id="rId4" Type="http://schemas.openxmlformats.org/officeDocument/2006/relationships/printerSettings" Target="../printerSettings/printerSettings94.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2.bin"/><Relationship Id="rId5" Type="http://schemas.openxmlformats.org/officeDocument/2006/relationships/printerSettings" Target="../printerSettings/printerSettings101.bin"/><Relationship Id="rId4" Type="http://schemas.openxmlformats.org/officeDocument/2006/relationships/printerSettings" Target="../printerSettings/printerSettings100.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05.bin"/><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6" Type="http://schemas.openxmlformats.org/officeDocument/2006/relationships/printerSettings" Target="../printerSettings/printerSettings108.bin"/><Relationship Id="rId5" Type="http://schemas.openxmlformats.org/officeDocument/2006/relationships/printerSettings" Target="../printerSettings/printerSettings107.bin"/><Relationship Id="rId4" Type="http://schemas.openxmlformats.org/officeDocument/2006/relationships/printerSettings" Target="../printerSettings/printerSettings106.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6" Type="http://schemas.openxmlformats.org/officeDocument/2006/relationships/printerSettings" Target="../printerSettings/printerSettings114.bin"/><Relationship Id="rId5" Type="http://schemas.openxmlformats.org/officeDocument/2006/relationships/printerSettings" Target="../printerSettings/printerSettings113.bin"/><Relationship Id="rId4" Type="http://schemas.openxmlformats.org/officeDocument/2006/relationships/printerSettings" Target="../printerSettings/printerSettings112.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17.bin"/><Relationship Id="rId2" Type="http://schemas.openxmlformats.org/officeDocument/2006/relationships/printerSettings" Target="../printerSettings/printerSettings116.bin"/><Relationship Id="rId1" Type="http://schemas.openxmlformats.org/officeDocument/2006/relationships/printerSettings" Target="../printerSettings/printerSettings115.bin"/><Relationship Id="rId6" Type="http://schemas.openxmlformats.org/officeDocument/2006/relationships/printerSettings" Target="../printerSettings/printerSettings120.bin"/><Relationship Id="rId5" Type="http://schemas.openxmlformats.org/officeDocument/2006/relationships/printerSettings" Target="../printerSettings/printerSettings119.bin"/><Relationship Id="rId4" Type="http://schemas.openxmlformats.org/officeDocument/2006/relationships/printerSettings" Target="../printerSettings/printerSettings118.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23.bin"/><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6" Type="http://schemas.openxmlformats.org/officeDocument/2006/relationships/printerSettings" Target="../printerSettings/printerSettings126.bin"/><Relationship Id="rId5" Type="http://schemas.openxmlformats.org/officeDocument/2006/relationships/printerSettings" Target="../printerSettings/printerSettings125.bin"/><Relationship Id="rId4" Type="http://schemas.openxmlformats.org/officeDocument/2006/relationships/printerSettings" Target="../printerSettings/printerSettings124.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2.bin"/><Relationship Id="rId5" Type="http://schemas.openxmlformats.org/officeDocument/2006/relationships/printerSettings" Target="../printerSettings/printerSettings131.bin"/><Relationship Id="rId4" Type="http://schemas.openxmlformats.org/officeDocument/2006/relationships/printerSettings" Target="../printerSettings/printerSettings130.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135.bin"/><Relationship Id="rId2" Type="http://schemas.openxmlformats.org/officeDocument/2006/relationships/printerSettings" Target="../printerSettings/printerSettings134.bin"/><Relationship Id="rId1" Type="http://schemas.openxmlformats.org/officeDocument/2006/relationships/printerSettings" Target="../printerSettings/printerSettings133.bin"/><Relationship Id="rId6" Type="http://schemas.openxmlformats.org/officeDocument/2006/relationships/printerSettings" Target="../printerSettings/printerSettings138.bin"/><Relationship Id="rId5" Type="http://schemas.openxmlformats.org/officeDocument/2006/relationships/printerSettings" Target="../printerSettings/printerSettings137.bin"/><Relationship Id="rId4" Type="http://schemas.openxmlformats.org/officeDocument/2006/relationships/printerSettings" Target="../printerSettings/printerSettings136.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41.bin"/><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 Id="rId6" Type="http://schemas.openxmlformats.org/officeDocument/2006/relationships/printerSettings" Target="../printerSettings/printerSettings144.bin"/><Relationship Id="rId5" Type="http://schemas.openxmlformats.org/officeDocument/2006/relationships/printerSettings" Target="../printerSettings/printerSettings143.bin"/><Relationship Id="rId4" Type="http://schemas.openxmlformats.org/officeDocument/2006/relationships/printerSettings" Target="../printerSettings/printerSettings1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R35"/>
  <sheetViews>
    <sheetView view="pageBreakPreview" topLeftCell="A22" zoomScale="90" zoomScaleNormal="90" zoomScaleSheetLayoutView="90" zoomScalePageLayoutView="90" workbookViewId="0">
      <selection activeCell="S19" sqref="S19"/>
    </sheetView>
  </sheetViews>
  <sheetFormatPr defaultColWidth="8.6640625" defaultRowHeight="14.4" x14ac:dyDescent="0.3"/>
  <cols>
    <col min="1" max="6" width="8.6640625" style="1"/>
    <col min="7" max="7" width="22" style="1" customWidth="1"/>
    <col min="8" max="8" width="15.6640625" style="1" customWidth="1"/>
    <col min="9" max="9" width="14.6640625" style="1" customWidth="1"/>
    <col min="10" max="11" width="16.33203125" style="1" customWidth="1"/>
    <col min="12" max="12" width="14.6640625" style="1" customWidth="1"/>
    <col min="13" max="13" width="16.109375" style="1" customWidth="1"/>
    <col min="14" max="14" width="16.44140625" customWidth="1"/>
    <col min="15" max="15" width="16.33203125" customWidth="1"/>
    <col min="16" max="16" width="15.88671875" customWidth="1"/>
    <col min="17" max="17" width="13.5546875" bestFit="1" customWidth="1"/>
    <col min="18" max="18" width="32.88671875" customWidth="1"/>
  </cols>
  <sheetData>
    <row r="1" spans="1:18" s="36" customFormat="1" ht="72.75" customHeight="1" x14ac:dyDescent="0.3">
      <c r="A1" s="1500" t="s">
        <v>430</v>
      </c>
      <c r="B1" s="1500"/>
      <c r="C1" s="1500"/>
      <c r="D1" s="1500"/>
      <c r="E1" s="1500"/>
      <c r="F1" s="1500"/>
      <c r="G1" s="1500"/>
      <c r="H1" s="1500"/>
      <c r="I1" s="1500"/>
      <c r="J1" s="1500"/>
      <c r="K1" s="1500"/>
      <c r="L1" s="1500"/>
      <c r="M1" s="1500"/>
    </row>
    <row r="2" spans="1:18" s="1" customFormat="1" ht="30.75" customHeight="1" x14ac:dyDescent="0.3">
      <c r="A2" s="1501" t="s">
        <v>37</v>
      </c>
      <c r="B2" s="1501"/>
      <c r="C2" s="1501"/>
      <c r="D2" s="1501"/>
      <c r="E2" s="1501"/>
      <c r="F2" s="1501"/>
      <c r="G2" s="1501"/>
      <c r="H2" s="1488" t="s">
        <v>38</v>
      </c>
      <c r="I2" s="1488"/>
      <c r="J2" s="1488"/>
      <c r="K2" s="1488"/>
      <c r="L2" s="1488"/>
      <c r="M2" s="1488"/>
    </row>
    <row r="3" spans="1:18" s="1" customFormat="1" ht="29.25" customHeight="1" x14ac:dyDescent="0.3">
      <c r="A3" s="1501" t="s">
        <v>39</v>
      </c>
      <c r="B3" s="1501"/>
      <c r="C3" s="1501"/>
      <c r="D3" s="1501"/>
      <c r="E3" s="1501"/>
      <c r="F3" s="1501"/>
      <c r="G3" s="1501"/>
      <c r="H3" s="1488" t="s">
        <v>431</v>
      </c>
      <c r="I3" s="1488"/>
      <c r="J3" s="1488"/>
      <c r="K3" s="1488"/>
      <c r="L3" s="1488"/>
      <c r="M3" s="1488"/>
    </row>
    <row r="4" spans="1:18" s="1" customFormat="1" ht="44.25" customHeight="1" x14ac:dyDescent="0.3">
      <c r="A4" s="1501" t="s">
        <v>35</v>
      </c>
      <c r="B4" s="1501"/>
      <c r="C4" s="1501"/>
      <c r="D4" s="1501"/>
      <c r="E4" s="1501"/>
      <c r="F4" s="1501"/>
      <c r="G4" s="1501"/>
      <c r="H4" s="1488" t="s">
        <v>36</v>
      </c>
      <c r="I4" s="1488"/>
      <c r="J4" s="1488"/>
      <c r="K4" s="1488"/>
      <c r="L4" s="1488"/>
      <c r="M4" s="1488"/>
    </row>
    <row r="5" spans="1:18" s="36" customFormat="1" x14ac:dyDescent="0.3">
      <c r="A5" s="1489" t="s">
        <v>64</v>
      </c>
      <c r="B5" s="1490"/>
      <c r="C5" s="1490"/>
      <c r="D5" s="1490"/>
      <c r="E5" s="1490"/>
      <c r="F5" s="1490"/>
      <c r="G5" s="1491"/>
      <c r="H5" s="1488" t="s">
        <v>85</v>
      </c>
      <c r="I5" s="1488"/>
      <c r="J5" s="1488"/>
      <c r="K5" s="1488"/>
      <c r="L5" s="1488"/>
      <c r="M5" s="1488"/>
    </row>
    <row r="6" spans="1:18" s="36" customFormat="1" x14ac:dyDescent="0.3">
      <c r="A6" s="1492"/>
      <c r="B6" s="1493"/>
      <c r="C6" s="1493"/>
      <c r="D6" s="1493"/>
      <c r="E6" s="1493"/>
      <c r="F6" s="1493"/>
      <c r="G6" s="1494"/>
      <c r="H6" s="1495" t="s">
        <v>992</v>
      </c>
      <c r="I6" s="1495"/>
      <c r="J6" s="1495"/>
      <c r="K6" s="1495"/>
      <c r="L6" s="1495"/>
      <c r="M6" s="1495"/>
    </row>
    <row r="7" spans="1:18" s="36" customFormat="1" ht="15" customHeight="1" x14ac:dyDescent="0.3">
      <c r="A7" s="1492"/>
      <c r="B7" s="1493"/>
      <c r="C7" s="1493"/>
      <c r="D7" s="1493"/>
      <c r="E7" s="1493"/>
      <c r="F7" s="1493"/>
      <c r="G7" s="1494"/>
      <c r="H7" s="1495" t="s">
        <v>432</v>
      </c>
      <c r="I7" s="1495"/>
      <c r="J7" s="1495"/>
      <c r="K7" s="1495"/>
      <c r="L7" s="1495"/>
      <c r="M7" s="1495"/>
    </row>
    <row r="8" spans="1:18" s="36" customFormat="1" x14ac:dyDescent="0.3">
      <c r="A8" s="1492"/>
      <c r="B8" s="1493"/>
      <c r="C8" s="1493"/>
      <c r="D8" s="1493"/>
      <c r="E8" s="1493"/>
      <c r="F8" s="1493"/>
      <c r="G8" s="1494"/>
      <c r="H8" s="1488" t="s">
        <v>433</v>
      </c>
      <c r="I8" s="1488"/>
      <c r="J8" s="1488"/>
      <c r="K8" s="1488"/>
      <c r="L8" s="1488"/>
      <c r="M8" s="1488"/>
    </row>
    <row r="9" spans="1:18" s="36" customFormat="1" x14ac:dyDescent="0.3">
      <c r="A9" s="1492"/>
      <c r="B9" s="1493"/>
      <c r="C9" s="1493"/>
      <c r="D9" s="1493"/>
      <c r="E9" s="1493"/>
      <c r="F9" s="1493"/>
      <c r="G9" s="1494"/>
      <c r="H9" s="1501" t="s">
        <v>497</v>
      </c>
      <c r="I9" s="1501"/>
      <c r="J9" s="1501"/>
      <c r="K9" s="1501"/>
      <c r="L9" s="1501"/>
      <c r="M9" s="1501"/>
    </row>
    <row r="10" spans="1:18" s="36" customFormat="1" x14ac:dyDescent="0.3">
      <c r="A10" s="1492"/>
      <c r="B10" s="1493"/>
      <c r="C10" s="1493"/>
      <c r="D10" s="1493"/>
      <c r="E10" s="1493"/>
      <c r="F10" s="1493"/>
      <c r="G10" s="1494"/>
      <c r="H10" s="1501" t="s">
        <v>510</v>
      </c>
      <c r="I10" s="1501"/>
      <c r="J10" s="1501"/>
      <c r="K10" s="1501"/>
      <c r="L10" s="1501"/>
      <c r="M10" s="1501"/>
    </row>
    <row r="11" spans="1:18" s="36" customFormat="1" x14ac:dyDescent="0.3">
      <c r="A11" s="1492"/>
      <c r="B11" s="1493"/>
      <c r="C11" s="1493"/>
      <c r="D11" s="1493"/>
      <c r="E11" s="1493"/>
      <c r="F11" s="1493"/>
      <c r="G11" s="1494"/>
      <c r="H11" s="1501" t="s">
        <v>520</v>
      </c>
      <c r="I11" s="1501"/>
      <c r="J11" s="1501"/>
      <c r="K11" s="1501"/>
      <c r="L11" s="1501"/>
      <c r="M11" s="1501"/>
    </row>
    <row r="12" spans="1:18" s="36" customFormat="1" x14ac:dyDescent="0.3">
      <c r="A12" s="1492"/>
      <c r="B12" s="1493"/>
      <c r="C12" s="1493"/>
      <c r="D12" s="1493"/>
      <c r="E12" s="1493"/>
      <c r="F12" s="1493"/>
      <c r="G12" s="1494"/>
      <c r="H12" s="1501" t="s">
        <v>521</v>
      </c>
      <c r="I12" s="1501"/>
      <c r="J12" s="1501"/>
      <c r="K12" s="1501"/>
      <c r="L12" s="1501"/>
      <c r="M12" s="1501"/>
    </row>
    <row r="13" spans="1:18" s="1" customFormat="1" ht="34.5" customHeight="1" x14ac:dyDescent="0.3">
      <c r="A13" s="1502" t="s">
        <v>40</v>
      </c>
      <c r="B13" s="1502"/>
      <c r="C13" s="1502"/>
      <c r="D13" s="1502"/>
      <c r="E13" s="1502"/>
      <c r="F13" s="1502"/>
      <c r="G13" s="1502"/>
      <c r="H13" s="1496" t="s">
        <v>41</v>
      </c>
      <c r="I13" s="1496"/>
      <c r="J13" s="1496"/>
      <c r="K13" s="1496"/>
      <c r="L13" s="1496"/>
      <c r="M13" s="1496"/>
      <c r="P13" s="1446" t="s">
        <v>4</v>
      </c>
    </row>
    <row r="14" spans="1:18" s="1" customFormat="1" x14ac:dyDescent="0.3">
      <c r="A14" s="1502"/>
      <c r="B14" s="1502"/>
      <c r="C14" s="1502"/>
      <c r="D14" s="1502"/>
      <c r="E14" s="1502"/>
      <c r="F14" s="1502"/>
      <c r="G14" s="1502"/>
      <c r="H14" s="113" t="s">
        <v>33</v>
      </c>
      <c r="I14" s="114" t="s">
        <v>4</v>
      </c>
      <c r="J14" s="114" t="s">
        <v>91</v>
      </c>
      <c r="K14" s="114" t="s">
        <v>90</v>
      </c>
      <c r="L14" s="114" t="s">
        <v>522</v>
      </c>
      <c r="M14" s="115" t="s">
        <v>221</v>
      </c>
      <c r="N14" s="1418" t="s">
        <v>1672</v>
      </c>
      <c r="O14" s="1419" t="s">
        <v>1673</v>
      </c>
      <c r="P14" s="1418" t="s">
        <v>1682</v>
      </c>
      <c r="Q14" s="1418" t="s">
        <v>1683</v>
      </c>
    </row>
    <row r="15" spans="1:18" s="1" customFormat="1" ht="24.75" customHeight="1" x14ac:dyDescent="0.3">
      <c r="A15" s="1488" t="s">
        <v>13</v>
      </c>
      <c r="B15" s="1488"/>
      <c r="C15" s="1488"/>
      <c r="D15" s="1488"/>
      <c r="E15" s="1488"/>
      <c r="F15" s="1488"/>
      <c r="G15" s="1488"/>
      <c r="H15" s="304">
        <f>I15+J15+K15+L15+M15</f>
        <v>36383127.630000003</v>
      </c>
      <c r="I15" s="220">
        <f>'ПП 1'!F6+'ПП 2'!F6+'ПП 3'!F6+'ПП 4'!D7+'ПП 6'!D8+'ПП 8'!F6</f>
        <v>14094961.460000001</v>
      </c>
      <c r="J15" s="220">
        <f>'ПП 1'!G6+'ПП 2'!G6+'ПП 3'!G6+'ПП 4'!E7+'ПП 6'!E8+'ПП 8'!G6</f>
        <v>9831161.5899999999</v>
      </c>
      <c r="K15" s="220">
        <f>'ПП 1'!H6+'ПП 2'!H6+'ПП 3'!H6+'ПП 4'!F7+'ПП 6'!F8+'ПП 8'!H6</f>
        <v>5903679.5800000001</v>
      </c>
      <c r="L15" s="220">
        <f>'ПП 1'!I6+'ПП 2'!I6+'ПП 3'!I6+'ПП 4'!G7+'ПП 6'!G8+'ПП 8'!I6</f>
        <v>4219083</v>
      </c>
      <c r="M15" s="220">
        <f>'ПП 1'!J6+'ПП 2'!J6+'ПП 3'!J6+'ПП 4'!H7+'ПП 6'!H8+'ПП 8'!J6</f>
        <v>2334242</v>
      </c>
      <c r="N15" s="126">
        <v>27205571</v>
      </c>
      <c r="O15" s="1444">
        <f>H15-N15</f>
        <v>9177556.6300000008</v>
      </c>
      <c r="P15" s="1444">
        <v>12033941</v>
      </c>
      <c r="Q15" s="1444">
        <f>I15-P15</f>
        <v>2061020.46</v>
      </c>
      <c r="R15" s="1448" t="s">
        <v>13</v>
      </c>
    </row>
    <row r="16" spans="1:18" s="1" customFormat="1" ht="24.75" customHeight="1" x14ac:dyDescent="0.3">
      <c r="A16" s="1488" t="s">
        <v>14</v>
      </c>
      <c r="B16" s="1488"/>
      <c r="C16" s="1488"/>
      <c r="D16" s="1488"/>
      <c r="E16" s="1488"/>
      <c r="F16" s="1488"/>
      <c r="G16" s="1488"/>
      <c r="H16" s="264">
        <f>I16+J16+K16+L16+M16</f>
        <v>2719991.7</v>
      </c>
      <c r="I16" s="264">
        <f>'ПП 1'!F8+'ПП 2'!F9+'ПП 3'!F16</f>
        <v>1354569.8</v>
      </c>
      <c r="J16" s="264">
        <f>'ПП 1'!G8+'ПП 2'!G9+'ПП 3'!G16</f>
        <v>854832.04</v>
      </c>
      <c r="K16" s="264">
        <f>'ПП 1'!H8+'ПП 2'!H9+'ПП 3'!H16</f>
        <v>286799.15999999997</v>
      </c>
      <c r="L16" s="264">
        <f>'ПП 1'!I8+'ПП 2'!I9+'ПП 3'!I16</f>
        <v>223790.7</v>
      </c>
      <c r="M16" s="264">
        <f>'ПП 1'!J8+'ПП 2'!J9+'ПП 3'!J16</f>
        <v>0</v>
      </c>
      <c r="N16" s="72">
        <v>1602839.04</v>
      </c>
      <c r="O16" s="1444">
        <f t="shared" ref="O16:O18" si="0">H16-N16</f>
        <v>1117152.6599999999</v>
      </c>
      <c r="P16" s="1444">
        <v>1144398</v>
      </c>
      <c r="Q16" s="1444">
        <f t="shared" ref="Q16:Q19" si="1">I16-P16</f>
        <v>210171.8</v>
      </c>
      <c r="R16" s="1448" t="s">
        <v>14</v>
      </c>
    </row>
    <row r="17" spans="1:18" s="1" customFormat="1" ht="24.75" customHeight="1" x14ac:dyDescent="0.3">
      <c r="A17" s="1488" t="s">
        <v>15</v>
      </c>
      <c r="B17" s="1488"/>
      <c r="C17" s="1488"/>
      <c r="D17" s="1488"/>
      <c r="E17" s="1488"/>
      <c r="F17" s="1488"/>
      <c r="G17" s="1488"/>
      <c r="H17" s="264">
        <f>I17+J17+K17+L17+M17</f>
        <v>172766111.53</v>
      </c>
      <c r="I17" s="264">
        <f>'ПП 1'!F9+'ПП 2'!F10+'ПП 3'!F17+'ПП 4'!D8+'ПП 5'!D7+'ПП 6'!D9+'ПП 7'!D6</f>
        <v>50380409.780000001</v>
      </c>
      <c r="J17" s="264">
        <f>'ПП 1'!G9+'ПП 2'!G10+'ПП 3'!G17+'ПП 4'!E8+'ПП 5'!E7+'ПП 6'!E9+'ПП 7'!E6</f>
        <v>33128585.149999999</v>
      </c>
      <c r="K17" s="264">
        <f>'ПП 1'!H9+'ПП 2'!H10+'ПП 3'!H17+'ПП 4'!F8+'ПП 5'!F7+'ПП 6'!F9+'ПП 7'!F6</f>
        <v>31812446.879999999</v>
      </c>
      <c r="L17" s="264">
        <f>'ПП 1'!I9+'ПП 2'!I10+'ПП 3'!I17+'ПП 4'!G8+'ПП 5'!G7+'ПП 6'!G9+'ПП 7'!G6</f>
        <v>28466767.359999999</v>
      </c>
      <c r="M17" s="264">
        <f>'ПП 1'!J9+'ПП 2'!J10+'ПП 3'!J17+'ПП 4'!H8+'ПП 5'!H7+'ПП 6'!H9+'ПП 7'!H6</f>
        <v>28977902.359999999</v>
      </c>
      <c r="N17" s="72">
        <v>173191452.25</v>
      </c>
      <c r="O17" s="1444">
        <f t="shared" si="0"/>
        <v>-425340.72</v>
      </c>
      <c r="P17" s="1444">
        <v>50026557.5</v>
      </c>
      <c r="Q17" s="1444">
        <f t="shared" si="1"/>
        <v>353852.28</v>
      </c>
      <c r="R17" s="1448" t="s">
        <v>15</v>
      </c>
    </row>
    <row r="18" spans="1:18" s="1" customFormat="1" ht="30" customHeight="1" x14ac:dyDescent="0.3">
      <c r="A18" s="1488" t="s">
        <v>144</v>
      </c>
      <c r="B18" s="1488"/>
      <c r="C18" s="1488"/>
      <c r="D18" s="1488"/>
      <c r="E18" s="1488"/>
      <c r="F18" s="1488"/>
      <c r="G18" s="1488"/>
      <c r="H18" s="304">
        <f>I18+J18+K18+L18+M18</f>
        <v>325000</v>
      </c>
      <c r="I18" s="304">
        <f>'ПП 2'!F11</f>
        <v>325000</v>
      </c>
      <c r="J18" s="304">
        <f>'ПП 2'!G11</f>
        <v>0</v>
      </c>
      <c r="K18" s="304">
        <f>'ПП 2'!H11</f>
        <v>0</v>
      </c>
      <c r="L18" s="304">
        <f>'ПП 2'!I11</f>
        <v>0</v>
      </c>
      <c r="M18" s="304">
        <f>'ПП 2'!J11</f>
        <v>0</v>
      </c>
      <c r="N18" s="1444">
        <v>115000</v>
      </c>
      <c r="O18" s="1444">
        <f t="shared" si="0"/>
        <v>210000</v>
      </c>
      <c r="P18" s="1444">
        <v>115000</v>
      </c>
      <c r="Q18" s="1444">
        <f t="shared" si="1"/>
        <v>210000</v>
      </c>
      <c r="R18" s="1448" t="s">
        <v>144</v>
      </c>
    </row>
    <row r="19" spans="1:18" s="1" customFormat="1" ht="30" customHeight="1" x14ac:dyDescent="0.3">
      <c r="A19" s="1497" t="s">
        <v>150</v>
      </c>
      <c r="B19" s="1498"/>
      <c r="C19" s="1498"/>
      <c r="D19" s="1498"/>
      <c r="E19" s="1498"/>
      <c r="F19" s="1498"/>
      <c r="G19" s="1499"/>
      <c r="H19" s="264">
        <f>I19+J19+K19+L19+M19</f>
        <v>212194230.86000001</v>
      </c>
      <c r="I19" s="264">
        <f>I15+I16+I17+I18</f>
        <v>66154941.039999999</v>
      </c>
      <c r="J19" s="264">
        <f>J15+J16+J17+J18</f>
        <v>43814578.780000001</v>
      </c>
      <c r="K19" s="264">
        <f>K15+K16+K17+K18</f>
        <v>38002925.619999997</v>
      </c>
      <c r="L19" s="264">
        <f>L15+L16+L17+L18</f>
        <v>32909641.059999999</v>
      </c>
      <c r="M19" s="264">
        <f>M15+M16+M17+M18</f>
        <v>31312144.359999999</v>
      </c>
      <c r="N19" s="1444">
        <f t="shared" ref="N19:P19" si="2">N15+N16+N17+N18</f>
        <v>202114862.28999999</v>
      </c>
      <c r="O19" s="1444">
        <f t="shared" si="2"/>
        <v>10079368.57</v>
      </c>
      <c r="P19" s="1444">
        <f t="shared" si="2"/>
        <v>63319896.5</v>
      </c>
      <c r="Q19" s="1447">
        <f t="shared" si="1"/>
        <v>2835044.54</v>
      </c>
      <c r="R19" s="1448" t="s">
        <v>150</v>
      </c>
    </row>
    <row r="20" spans="1:18" x14ac:dyDescent="0.3">
      <c r="R20" s="1449"/>
    </row>
    <row r="21" spans="1:18" x14ac:dyDescent="0.3">
      <c r="I21" s="126">
        <v>12033941</v>
      </c>
      <c r="J21" s="126">
        <v>6347061</v>
      </c>
      <c r="K21" s="126">
        <v>3854796</v>
      </c>
      <c r="L21" s="126"/>
      <c r="M21" s="126"/>
    </row>
    <row r="22" spans="1:18" x14ac:dyDescent="0.3">
      <c r="I22" s="130">
        <f>I21-I15</f>
        <v>-2061020.46</v>
      </c>
      <c r="J22" s="130">
        <f>J21-J15</f>
        <v>-3484100.59</v>
      </c>
      <c r="K22" s="130">
        <f>K21-K15</f>
        <v>-2048883.58</v>
      </c>
      <c r="L22" s="130"/>
      <c r="M22" s="130"/>
    </row>
    <row r="23" spans="1:18" x14ac:dyDescent="0.3">
      <c r="G23" s="72"/>
      <c r="H23" s="126" t="e">
        <f t="shared" ref="H23:M23" si="3">H24+H25+H26+H27+H28+H29+H30+H31+H32+H33</f>
        <v>#REF!</v>
      </c>
      <c r="I23" s="126" t="e">
        <f t="shared" si="3"/>
        <v>#REF!</v>
      </c>
      <c r="J23" s="126" t="e">
        <f t="shared" si="3"/>
        <v>#REF!</v>
      </c>
      <c r="K23" s="126" t="e">
        <f t="shared" si="3"/>
        <v>#REF!</v>
      </c>
      <c r="L23" s="126" t="e">
        <f t="shared" si="3"/>
        <v>#REF!</v>
      </c>
      <c r="M23" s="126" t="e">
        <f t="shared" si="3"/>
        <v>#REF!</v>
      </c>
    </row>
    <row r="24" spans="1:18" x14ac:dyDescent="0.3">
      <c r="G24" s="72" t="s">
        <v>348</v>
      </c>
      <c r="H24" s="126" t="e">
        <f t="shared" ref="H24:H33" si="4">I24+J24+K24+L24+M24</f>
        <v>#REF!</v>
      </c>
      <c r="I24" s="127" t="e">
        <f>'ПП 8'!F7+'[1]ПП 3'!F7+#REF!+'[1]ПП 1'!F7</f>
        <v>#REF!</v>
      </c>
      <c r="J24" s="128" t="e">
        <f>'[1]ПП 1'!G7+#REF!+'[1]ПП 3'!G7+'ПП 8'!G7</f>
        <v>#REF!</v>
      </c>
      <c r="K24" s="132" t="e">
        <f>'[1]ПП 1'!H7+#REF!+'[1]ПП 3'!H7+'ПП 8'!H7</f>
        <v>#REF!</v>
      </c>
      <c r="L24" s="126" t="e">
        <f>'[1]ПП 1'!I7+#REF!+'[1]ПП 3'!I7+'ПП 8'!I7</f>
        <v>#REF!</v>
      </c>
      <c r="M24" s="126" t="e">
        <f>'[1]ПП 1'!J7+#REF!+'[1]ПП 3'!J7+'ПП 8'!J7</f>
        <v>#REF!</v>
      </c>
    </row>
    <row r="25" spans="1:18" x14ac:dyDescent="0.3">
      <c r="G25" s="72" t="s">
        <v>349</v>
      </c>
      <c r="H25" s="126" t="e">
        <f t="shared" si="4"/>
        <v>#REF!</v>
      </c>
      <c r="I25" s="128" t="e">
        <f>#REF!+'[1]ПП 3'!F8</f>
        <v>#REF!</v>
      </c>
      <c r="J25" s="128" t="e">
        <f>#REF!+'[1]ПП 3'!G8</f>
        <v>#REF!</v>
      </c>
      <c r="K25" s="128" t="e">
        <f>#REF!+'[1]ПП 3'!H8</f>
        <v>#REF!</v>
      </c>
      <c r="L25" s="126" t="e">
        <f>#REF!+'[1]ПП 3'!I8</f>
        <v>#REF!</v>
      </c>
      <c r="M25" s="126" t="e">
        <f>#REF!+'[1]ПП 3'!J8</f>
        <v>#REF!</v>
      </c>
    </row>
    <row r="26" spans="1:18" x14ac:dyDescent="0.3">
      <c r="G26" s="72" t="s">
        <v>722</v>
      </c>
      <c r="H26" s="126">
        <f t="shared" si="4"/>
        <v>874570</v>
      </c>
      <c r="I26" s="128">
        <f>'[1]ПП 3'!F11+'[1]ПП 6'!D8+'ПП 8'!F8</f>
        <v>284218</v>
      </c>
      <c r="J26" s="128">
        <f>'[1]ПП 3'!G11+'[1]ПП 6'!E8+'ПП 8'!G8</f>
        <v>163808</v>
      </c>
      <c r="K26" s="128">
        <f>'[1]ПП 3'!H11+'[1]ПП 6'!F8+'ПП 8'!H8</f>
        <v>163890</v>
      </c>
      <c r="L26" s="126">
        <f>'[1]ПП 3'!I11+'[1]ПП 6'!G8+'ПП 8'!I8</f>
        <v>131327</v>
      </c>
      <c r="M26" s="126">
        <f>'[1]ПП 3'!J11+'[1]ПП 6'!H8+'ПП 8'!J8</f>
        <v>131327</v>
      </c>
    </row>
    <row r="27" spans="1:18" x14ac:dyDescent="0.3">
      <c r="G27" s="72" t="s">
        <v>723</v>
      </c>
      <c r="H27" s="126">
        <f t="shared" si="4"/>
        <v>140952</v>
      </c>
      <c r="I27" s="128">
        <f>'[1]ПП 3'!F12</f>
        <v>77798</v>
      </c>
      <c r="J27" s="128">
        <f>'[1]ПП 3'!G12</f>
        <v>63154</v>
      </c>
      <c r="K27" s="126">
        <f>'[1]ПП 3'!H12</f>
        <v>0</v>
      </c>
      <c r="L27" s="126">
        <f>'[1]ПП 3'!I12</f>
        <v>0</v>
      </c>
      <c r="M27" s="126">
        <f>'[1]ПП 3'!J12</f>
        <v>0</v>
      </c>
    </row>
    <row r="28" spans="1:18" x14ac:dyDescent="0.3">
      <c r="G28" s="72" t="s">
        <v>724</v>
      </c>
      <c r="H28" s="126">
        <f t="shared" si="4"/>
        <v>859576</v>
      </c>
      <c r="I28" s="128">
        <f>'[1]ПП 3'!F9</f>
        <v>369717</v>
      </c>
      <c r="J28" s="128">
        <f>'[1]ПП 3'!G9</f>
        <v>281595</v>
      </c>
      <c r="K28" s="128">
        <f>'[1]ПП 3'!H9</f>
        <v>208264</v>
      </c>
      <c r="L28" s="126">
        <f>'[1]ПП 3'!I9</f>
        <v>0</v>
      </c>
      <c r="M28" s="126">
        <f>'[1]ПП 3'!J9</f>
        <v>0</v>
      </c>
    </row>
    <row r="29" spans="1:18" x14ac:dyDescent="0.3">
      <c r="G29" s="72" t="s">
        <v>725</v>
      </c>
      <c r="H29" s="126">
        <f t="shared" si="4"/>
        <v>444416</v>
      </c>
      <c r="I29" s="128">
        <f>'[1]ПП 3'!F10</f>
        <v>350030</v>
      </c>
      <c r="J29" s="128">
        <f>'[1]ПП 3'!G10</f>
        <v>94386</v>
      </c>
      <c r="K29" s="126">
        <f>'[1]ПП 3'!H10</f>
        <v>0</v>
      </c>
      <c r="L29" s="126">
        <f>'[1]ПП 3'!I10</f>
        <v>0</v>
      </c>
      <c r="M29" s="126">
        <f>'[1]ПП 3'!J10</f>
        <v>0</v>
      </c>
    </row>
    <row r="30" spans="1:18" x14ac:dyDescent="0.3">
      <c r="G30" s="72" t="s">
        <v>726</v>
      </c>
      <c r="H30" s="126">
        <f t="shared" si="4"/>
        <v>4874</v>
      </c>
      <c r="I30" s="128">
        <f>'[1]ПП 3'!F13</f>
        <v>971</v>
      </c>
      <c r="J30" s="128">
        <f>'[1]ПП 3'!G13</f>
        <v>975</v>
      </c>
      <c r="K30" s="128">
        <f>'[1]ПП 3'!H13</f>
        <v>976</v>
      </c>
      <c r="L30" s="128">
        <f>'[1]ПП 3'!I13</f>
        <v>976</v>
      </c>
      <c r="M30" s="126">
        <f>'[1]ПП 3'!J13</f>
        <v>976</v>
      </c>
    </row>
    <row r="31" spans="1:18" x14ac:dyDescent="0.3">
      <c r="G31" s="72" t="s">
        <v>717</v>
      </c>
      <c r="H31" s="126">
        <f t="shared" si="4"/>
        <v>2565150</v>
      </c>
      <c r="I31" s="128">
        <f>'ПП 8'!F9</f>
        <v>512316</v>
      </c>
      <c r="J31" s="128">
        <f>'ПП 8'!G9</f>
        <v>512940</v>
      </c>
      <c r="K31" s="128">
        <f>'ПП 8'!H9</f>
        <v>513298</v>
      </c>
      <c r="L31" s="126">
        <f>'ПП 8'!I9</f>
        <v>513298</v>
      </c>
      <c r="M31" s="126">
        <f>'ПП 8'!J9</f>
        <v>513298</v>
      </c>
    </row>
    <row r="32" spans="1:18" x14ac:dyDescent="0.3">
      <c r="G32" s="72" t="s">
        <v>727</v>
      </c>
      <c r="H32" s="126">
        <f t="shared" si="4"/>
        <v>3987606</v>
      </c>
      <c r="I32" s="128">
        <f>'ПП 8'!F10</f>
        <v>799764</v>
      </c>
      <c r="J32" s="128">
        <f>'ПП 8'!G10</f>
        <v>796884</v>
      </c>
      <c r="K32" s="128">
        <f>'ПП 8'!H10</f>
        <v>796986</v>
      </c>
      <c r="L32" s="126">
        <f>'ПП 8'!I10</f>
        <v>796986</v>
      </c>
      <c r="M32" s="126">
        <f>'ПП 8'!J10</f>
        <v>796986</v>
      </c>
    </row>
    <row r="33" spans="7:13" x14ac:dyDescent="0.3">
      <c r="G33" s="72" t="s">
        <v>728</v>
      </c>
      <c r="H33" s="126">
        <f t="shared" si="4"/>
        <v>247076</v>
      </c>
      <c r="I33" s="128">
        <f>'[1]ПП 3'!F14</f>
        <v>126246</v>
      </c>
      <c r="J33" s="128">
        <f>'[1]ПП 3'!G14</f>
        <v>64607</v>
      </c>
      <c r="K33" s="128">
        <f>'[1]ПП 3'!H14</f>
        <v>18741</v>
      </c>
      <c r="L33" s="126">
        <f>'[1]ПП 3'!I14</f>
        <v>18741</v>
      </c>
      <c r="M33" s="126">
        <f>'[1]ПП 3'!J14</f>
        <v>18741</v>
      </c>
    </row>
    <row r="34" spans="7:13" x14ac:dyDescent="0.3">
      <c r="I34" s="126">
        <v>8818409</v>
      </c>
      <c r="J34" s="126"/>
      <c r="K34" s="126"/>
      <c r="L34" s="126"/>
      <c r="M34" s="72"/>
    </row>
    <row r="35" spans="7:13" x14ac:dyDescent="0.3">
      <c r="I35" s="105" t="e">
        <f>I24-I34</f>
        <v>#REF!</v>
      </c>
      <c r="J35" s="105"/>
      <c r="K35" s="105"/>
    </row>
  </sheetData>
  <customSheetViews>
    <customSheetView guid="{7DDEA387-EEC9-4633-99BE-C0D9299FB093}" scale="90" showPageBreaks="1" printArea="1" view="pageBreakPreview" topLeftCell="A22">
      <selection activeCell="S19" sqref="S19"/>
      <pageMargins left="0.70866141732283472" right="0.70866141732283472" top="0.74803149606299213" bottom="0.74803149606299213" header="0.31496062992125984" footer="0.31496062992125984"/>
      <pageSetup paperSize="9" scale="65" orientation="landscape" r:id="rId1"/>
    </customSheetView>
    <customSheetView guid="{6592EBC0-D945-4F6F-93D1-49FCB588A4A0}" scale="90" showPageBreaks="1" printArea="1" view="pageBreakPreview" topLeftCell="A4">
      <selection activeCell="O21" sqref="O21"/>
      <pageMargins left="0.70866141732283472" right="0.70866141732283472" top="0.74803149606299213" bottom="0.74803149606299213" header="0.31496062992125984" footer="0.31496062992125984"/>
      <pageSetup paperSize="9" scale="65" orientation="landscape" r:id="rId2"/>
    </customSheetView>
    <customSheetView guid="{001F394D-7E32-49E0-9108-A9790B233A9D}" scale="90" showPageBreaks="1" printArea="1" view="pageBreakPreview">
      <selection activeCell="I18" sqref="I18"/>
      <pageMargins left="0.70866141732283472" right="0.70866141732283472" top="0.74803149606299213" bottom="0.74803149606299213" header="0.31496062992125984" footer="0.31496062992125984"/>
      <pageSetup paperSize="9" scale="65" orientation="landscape" r:id="rId3"/>
    </customSheetView>
    <customSheetView guid="{F08E63B0-D6C4-4E18-B2B6-E1E751FE7DF2}" scale="90" showPageBreaks="1" printArea="1" view="pageBreakPreview" topLeftCell="A22">
      <selection activeCell="S19" sqref="S19"/>
      <pageMargins left="0.70866141732283472" right="0.70866141732283472" top="0.74803149606299213" bottom="0.74803149606299213" header="0.31496062992125984" footer="0.31496062992125984"/>
      <pageSetup paperSize="9" scale="65" orientation="landscape" r:id="rId4"/>
    </customSheetView>
    <customSheetView guid="{D32E4BC6-6FD7-4441-855E-C6B8F80A132E}" scale="90" showPageBreaks="1" printArea="1" view="pageBreakPreview" topLeftCell="A7">
      <selection activeCell="H15" sqref="H15:M19"/>
      <pageMargins left="0.70866141732283472" right="0.70866141732283472" top="0.74803149606299213" bottom="0.74803149606299213" header="0.31496062992125984" footer="0.31496062992125984"/>
      <pageSetup paperSize="9" scale="65" orientation="landscape" r:id="rId5"/>
    </customSheetView>
  </customSheetViews>
  <mergeCells count="23">
    <mergeCell ref="A19:G19"/>
    <mergeCell ref="A18:G18"/>
    <mergeCell ref="A1:M1"/>
    <mergeCell ref="A2:G2"/>
    <mergeCell ref="H2:M2"/>
    <mergeCell ref="A3:G3"/>
    <mergeCell ref="H3:M3"/>
    <mergeCell ref="A4:G4"/>
    <mergeCell ref="H4:M4"/>
    <mergeCell ref="H8:M8"/>
    <mergeCell ref="A13:G14"/>
    <mergeCell ref="A17:G17"/>
    <mergeCell ref="H9:M9"/>
    <mergeCell ref="H10:M10"/>
    <mergeCell ref="H11:M11"/>
    <mergeCell ref="H12:M12"/>
    <mergeCell ref="A15:G15"/>
    <mergeCell ref="A16:G16"/>
    <mergeCell ref="A5:G12"/>
    <mergeCell ref="H5:M5"/>
    <mergeCell ref="H6:M6"/>
    <mergeCell ref="H7:M7"/>
    <mergeCell ref="H13:M13"/>
  </mergeCells>
  <pageMargins left="0.70866141732283472" right="0.70866141732283472" top="0.74803149606299213" bottom="0.74803149606299213" header="0.31496062992125984" footer="0.31496062992125984"/>
  <pageSetup paperSize="9" scale="65" orientation="landscape"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FF"/>
    <pageSetUpPr fitToPage="1"/>
  </sheetPr>
  <dimension ref="A1:L38"/>
  <sheetViews>
    <sheetView tabSelected="1" view="pageBreakPreview" zoomScaleNormal="100" zoomScaleSheetLayoutView="100" workbookViewId="0">
      <pane ySplit="4" topLeftCell="A38" activePane="bottomLeft" state="frozen"/>
      <selection activeCell="F9" sqref="F9"/>
      <selection pane="bottomLeft" activeCell="F9" sqref="F9"/>
    </sheetView>
  </sheetViews>
  <sheetFormatPr defaultRowHeight="14.4" x14ac:dyDescent="0.3"/>
  <cols>
    <col min="1" max="1" width="8.88671875" style="1"/>
    <col min="2" max="2" width="66.109375" style="1" customWidth="1"/>
    <col min="3" max="3" width="16.5546875" style="1" customWidth="1"/>
    <col min="4" max="4" width="17.33203125" style="1" customWidth="1"/>
    <col min="5" max="5" width="19.109375" style="11" customWidth="1"/>
    <col min="6" max="6" width="10.6640625" style="11" customWidth="1"/>
    <col min="7" max="7" width="10.88671875" style="11" customWidth="1"/>
    <col min="8" max="8" width="11.6640625" style="11" customWidth="1"/>
    <col min="9" max="9" width="11.33203125" style="11" customWidth="1"/>
    <col min="10" max="10" width="11.88671875" style="11" customWidth="1"/>
    <col min="11" max="11" width="17.33203125" style="1" customWidth="1"/>
    <col min="12" max="12" width="14.33203125" customWidth="1"/>
    <col min="13" max="13" width="11.6640625" customWidth="1"/>
  </cols>
  <sheetData>
    <row r="1" spans="1:12" s="2" customFormat="1" ht="37.5" customHeight="1" x14ac:dyDescent="0.25">
      <c r="A1" s="1510" t="s">
        <v>523</v>
      </c>
      <c r="B1" s="1510"/>
      <c r="C1" s="1510"/>
      <c r="D1" s="1510"/>
      <c r="E1" s="1510"/>
      <c r="F1" s="1510"/>
      <c r="G1" s="1510"/>
      <c r="H1" s="1510"/>
      <c r="I1" s="1510"/>
      <c r="J1" s="1510"/>
      <c r="K1" s="1510"/>
    </row>
    <row r="2" spans="1:12" s="2" customFormat="1" ht="52.5" customHeight="1" x14ac:dyDescent="0.25">
      <c r="A2" s="1505" t="s">
        <v>43</v>
      </c>
      <c r="B2" s="1505" t="s">
        <v>524</v>
      </c>
      <c r="C2" s="1505" t="s">
        <v>525</v>
      </c>
      <c r="D2" s="1505" t="s">
        <v>526</v>
      </c>
      <c r="E2" s="1505" t="s">
        <v>527</v>
      </c>
      <c r="F2" s="1507" t="s">
        <v>44</v>
      </c>
      <c r="G2" s="1508"/>
      <c r="H2" s="1508"/>
      <c r="I2" s="1508"/>
      <c r="J2" s="1509"/>
      <c r="K2" s="1505" t="s">
        <v>528</v>
      </c>
    </row>
    <row r="3" spans="1:12" s="2" customFormat="1" ht="33.75" customHeight="1" x14ac:dyDescent="0.25">
      <c r="A3" s="1506"/>
      <c r="B3" s="1506"/>
      <c r="C3" s="1506"/>
      <c r="D3" s="1506"/>
      <c r="E3" s="1506"/>
      <c r="F3" s="54" t="s">
        <v>4</v>
      </c>
      <c r="G3" s="54" t="s">
        <v>91</v>
      </c>
      <c r="H3" s="54" t="s">
        <v>90</v>
      </c>
      <c r="I3" s="54" t="s">
        <v>89</v>
      </c>
      <c r="J3" s="54" t="s">
        <v>221</v>
      </c>
      <c r="K3" s="1506"/>
    </row>
    <row r="4" spans="1:12" s="37" customFormat="1" ht="13.8" x14ac:dyDescent="0.25">
      <c r="A4" s="54">
        <v>1</v>
      </c>
      <c r="B4" s="54">
        <v>2</v>
      </c>
      <c r="C4" s="54">
        <v>3</v>
      </c>
      <c r="D4" s="54">
        <v>4</v>
      </c>
      <c r="E4" s="54">
        <v>5</v>
      </c>
      <c r="F4" s="54">
        <v>6</v>
      </c>
      <c r="G4" s="54">
        <v>7</v>
      </c>
      <c r="H4" s="54">
        <v>8</v>
      </c>
      <c r="I4" s="54">
        <v>9</v>
      </c>
      <c r="J4" s="54">
        <v>10</v>
      </c>
      <c r="K4" s="54">
        <v>11</v>
      </c>
    </row>
    <row r="5" spans="1:12" s="56" customFormat="1" ht="23.4" customHeight="1" x14ac:dyDescent="0.25">
      <c r="A5" s="1504" t="s">
        <v>529</v>
      </c>
      <c r="B5" s="1504"/>
      <c r="C5" s="1504"/>
      <c r="D5" s="1504"/>
      <c r="E5" s="1504"/>
      <c r="F5" s="1504"/>
      <c r="G5" s="1504"/>
      <c r="H5" s="1504"/>
      <c r="I5" s="1504"/>
      <c r="J5" s="1504"/>
      <c r="K5" s="135"/>
    </row>
    <row r="6" spans="1:12" s="37" customFormat="1" ht="51.75" customHeight="1" x14ac:dyDescent="0.25">
      <c r="A6" s="55">
        <v>1</v>
      </c>
      <c r="B6" s="133" t="s">
        <v>867</v>
      </c>
      <c r="C6" s="136" t="s">
        <v>539</v>
      </c>
      <c r="D6" s="54" t="s">
        <v>530</v>
      </c>
      <c r="E6" s="54">
        <v>93.3</v>
      </c>
      <c r="F6" s="54">
        <v>94</v>
      </c>
      <c r="G6" s="54">
        <v>95</v>
      </c>
      <c r="H6" s="54">
        <v>96</v>
      </c>
      <c r="I6" s="54">
        <v>97</v>
      </c>
      <c r="J6" s="54">
        <v>98</v>
      </c>
      <c r="K6" s="78" t="s">
        <v>643</v>
      </c>
    </row>
    <row r="7" spans="1:12" s="37" customFormat="1" ht="31.5" customHeight="1" x14ac:dyDescent="0.25">
      <c r="A7" s="55">
        <v>2</v>
      </c>
      <c r="B7" s="133" t="s">
        <v>869</v>
      </c>
      <c r="C7" s="55" t="s">
        <v>531</v>
      </c>
      <c r="D7" s="54" t="s">
        <v>532</v>
      </c>
      <c r="E7" s="54">
        <v>121</v>
      </c>
      <c r="F7" s="246">
        <v>79</v>
      </c>
      <c r="G7" s="246">
        <v>6</v>
      </c>
      <c r="H7" s="54"/>
      <c r="I7" s="54"/>
      <c r="J7" s="54"/>
      <c r="K7" s="78">
        <v>1</v>
      </c>
    </row>
    <row r="8" spans="1:12" s="37" customFormat="1" ht="30.75" customHeight="1" x14ac:dyDescent="0.25">
      <c r="A8" s="55">
        <v>3</v>
      </c>
      <c r="B8" s="133" t="s">
        <v>870</v>
      </c>
      <c r="C8" s="55" t="s">
        <v>853</v>
      </c>
      <c r="D8" s="54" t="s">
        <v>530</v>
      </c>
      <c r="E8" s="54">
        <v>71.88</v>
      </c>
      <c r="F8" s="54">
        <v>83.72</v>
      </c>
      <c r="G8" s="54"/>
      <c r="H8" s="54"/>
      <c r="I8" s="54"/>
      <c r="J8" s="54"/>
      <c r="K8" s="78">
        <v>2</v>
      </c>
    </row>
    <row r="9" spans="1:12" s="56" customFormat="1" ht="23.4" customHeight="1" x14ac:dyDescent="0.25">
      <c r="A9" s="1504" t="s">
        <v>733</v>
      </c>
      <c r="B9" s="1504"/>
      <c r="C9" s="1504"/>
      <c r="D9" s="1504"/>
      <c r="E9" s="1504"/>
      <c r="F9" s="1504"/>
      <c r="G9" s="1504"/>
      <c r="H9" s="1504"/>
      <c r="I9" s="1504"/>
      <c r="J9" s="1504"/>
      <c r="K9" s="135"/>
    </row>
    <row r="10" spans="1:12" s="37" customFormat="1" ht="44.25" customHeight="1" x14ac:dyDescent="0.25">
      <c r="A10" s="55">
        <v>4</v>
      </c>
      <c r="B10" s="133" t="s">
        <v>868</v>
      </c>
      <c r="C10" s="136" t="s">
        <v>539</v>
      </c>
      <c r="D10" s="54" t="s">
        <v>530</v>
      </c>
      <c r="E10" s="54">
        <v>49.6</v>
      </c>
      <c r="F10" s="54">
        <v>52.1</v>
      </c>
      <c r="G10" s="54">
        <v>54.7</v>
      </c>
      <c r="H10" s="54">
        <v>57.4</v>
      </c>
      <c r="I10" s="54">
        <v>60</v>
      </c>
      <c r="J10" s="54">
        <v>62.6</v>
      </c>
      <c r="K10" s="78" t="s">
        <v>643</v>
      </c>
    </row>
    <row r="11" spans="1:12" s="37" customFormat="1" ht="33.75" customHeight="1" x14ac:dyDescent="0.25">
      <c r="A11" s="55">
        <v>5</v>
      </c>
      <c r="B11" s="133" t="s">
        <v>871</v>
      </c>
      <c r="C11" s="136" t="s">
        <v>539</v>
      </c>
      <c r="D11" s="54" t="s">
        <v>533</v>
      </c>
      <c r="E11" s="89" t="s">
        <v>734</v>
      </c>
      <c r="F11" s="246">
        <v>6</v>
      </c>
      <c r="G11" s="246">
        <v>4</v>
      </c>
      <c r="H11" s="246">
        <v>0</v>
      </c>
      <c r="I11" s="246">
        <v>8</v>
      </c>
      <c r="J11" s="54"/>
      <c r="K11" s="78">
        <v>1</v>
      </c>
    </row>
    <row r="12" spans="1:12" s="37" customFormat="1" ht="31.5" customHeight="1" x14ac:dyDescent="0.25">
      <c r="A12" s="55">
        <v>6</v>
      </c>
      <c r="B12" s="133" t="s">
        <v>872</v>
      </c>
      <c r="C12" s="55" t="s">
        <v>853</v>
      </c>
      <c r="D12" s="54" t="s">
        <v>532</v>
      </c>
      <c r="E12" s="54">
        <v>10</v>
      </c>
      <c r="F12" s="973" t="s">
        <v>1453</v>
      </c>
      <c r="G12" s="246" t="s">
        <v>1463</v>
      </c>
      <c r="H12" s="973" t="s">
        <v>1454</v>
      </c>
      <c r="I12" s="246" t="s">
        <v>1455</v>
      </c>
      <c r="J12" s="54"/>
      <c r="K12" s="78">
        <v>2</v>
      </c>
    </row>
    <row r="13" spans="1:12" s="56" customFormat="1" ht="31.5" customHeight="1" x14ac:dyDescent="0.25">
      <c r="A13" s="1503" t="s">
        <v>432</v>
      </c>
      <c r="B13" s="1504"/>
      <c r="C13" s="1504"/>
      <c r="D13" s="1504"/>
      <c r="E13" s="1504"/>
      <c r="F13" s="1504"/>
      <c r="G13" s="1504"/>
      <c r="H13" s="1504"/>
      <c r="I13" s="1504"/>
      <c r="J13" s="1504"/>
      <c r="K13" s="135"/>
    </row>
    <row r="14" spans="1:12" s="37" customFormat="1" ht="28.5" customHeight="1" x14ac:dyDescent="0.25">
      <c r="A14" s="55">
        <v>7</v>
      </c>
      <c r="B14" s="1196" t="s">
        <v>1535</v>
      </c>
      <c r="C14" s="1200" t="s">
        <v>539</v>
      </c>
      <c r="D14" s="1201" t="s">
        <v>532</v>
      </c>
      <c r="E14" s="1201">
        <v>3</v>
      </c>
      <c r="F14" s="1201">
        <v>16</v>
      </c>
      <c r="G14" s="1201">
        <v>0</v>
      </c>
      <c r="H14" s="1201">
        <v>0</v>
      </c>
      <c r="I14" s="1201">
        <v>0</v>
      </c>
      <c r="J14" s="54"/>
      <c r="K14" s="78"/>
    </row>
    <row r="15" spans="1:12" s="37" customFormat="1" ht="33.75" customHeight="1" x14ac:dyDescent="0.25">
      <c r="A15" s="55">
        <v>8</v>
      </c>
      <c r="B15" s="133" t="s">
        <v>873</v>
      </c>
      <c r="C15" s="137" t="s">
        <v>539</v>
      </c>
      <c r="D15" s="54" t="s">
        <v>534</v>
      </c>
      <c r="E15" s="54">
        <v>41</v>
      </c>
      <c r="F15" s="246">
        <v>65</v>
      </c>
      <c r="G15" s="246">
        <v>14</v>
      </c>
      <c r="H15" s="246">
        <v>3</v>
      </c>
      <c r="I15" s="54"/>
      <c r="J15" s="54"/>
      <c r="K15" s="78">
        <v>2</v>
      </c>
      <c r="L15" s="37" t="s">
        <v>840</v>
      </c>
    </row>
    <row r="16" spans="1:12" s="37" customFormat="1" ht="43.5" customHeight="1" x14ac:dyDescent="0.25">
      <c r="A16" s="55">
        <v>9</v>
      </c>
      <c r="B16" s="247" t="s">
        <v>929</v>
      </c>
      <c r="C16" s="55" t="s">
        <v>853</v>
      </c>
      <c r="D16" s="54" t="s">
        <v>532</v>
      </c>
      <c r="E16" s="54">
        <v>120</v>
      </c>
      <c r="F16" s="246">
        <v>86</v>
      </c>
      <c r="G16" s="246">
        <v>27</v>
      </c>
      <c r="H16" s="246">
        <v>9</v>
      </c>
      <c r="I16" s="54"/>
      <c r="J16" s="54"/>
      <c r="K16" s="78">
        <v>3</v>
      </c>
    </row>
    <row r="17" spans="1:11" s="37" customFormat="1" ht="33.75" customHeight="1" x14ac:dyDescent="0.25">
      <c r="A17" s="55">
        <v>10</v>
      </c>
      <c r="B17" s="133" t="s">
        <v>1536</v>
      </c>
      <c r="C17" s="137" t="s">
        <v>539</v>
      </c>
      <c r="D17" s="54" t="s">
        <v>532</v>
      </c>
      <c r="E17" s="54" t="s">
        <v>540</v>
      </c>
      <c r="F17" s="54" t="s">
        <v>541</v>
      </c>
      <c r="G17" s="54" t="s">
        <v>541</v>
      </c>
      <c r="H17" s="54" t="s">
        <v>541</v>
      </c>
      <c r="I17" s="54" t="s">
        <v>541</v>
      </c>
      <c r="J17" s="54" t="s">
        <v>541</v>
      </c>
      <c r="K17" s="78">
        <v>4</v>
      </c>
    </row>
    <row r="18" spans="1:11" s="56" customFormat="1" ht="23.25" customHeight="1" x14ac:dyDescent="0.25">
      <c r="A18" s="1504" t="s">
        <v>736</v>
      </c>
      <c r="B18" s="1504"/>
      <c r="C18" s="1504"/>
      <c r="D18" s="1504"/>
      <c r="E18" s="1504"/>
      <c r="F18" s="1504"/>
      <c r="G18" s="1504"/>
      <c r="H18" s="1504"/>
      <c r="I18" s="1504"/>
      <c r="J18" s="1504"/>
      <c r="K18" s="135"/>
    </row>
    <row r="19" spans="1:11" s="56" customFormat="1" ht="40.5" customHeight="1" x14ac:dyDescent="0.25">
      <c r="A19" s="138">
        <v>11</v>
      </c>
      <c r="B19" s="133" t="s">
        <v>874</v>
      </c>
      <c r="C19" s="137" t="s">
        <v>536</v>
      </c>
      <c r="D19" s="137" t="s">
        <v>535</v>
      </c>
      <c r="E19" s="138">
        <v>65</v>
      </c>
      <c r="F19" s="138">
        <v>63</v>
      </c>
      <c r="G19" s="138">
        <v>61.5</v>
      </c>
      <c r="H19" s="138">
        <v>60</v>
      </c>
      <c r="I19" s="138">
        <v>58.5</v>
      </c>
      <c r="J19" s="138">
        <v>57</v>
      </c>
      <c r="K19" s="139" t="s">
        <v>715</v>
      </c>
    </row>
    <row r="20" spans="1:11" s="56" customFormat="1" ht="46.5" customHeight="1" x14ac:dyDescent="0.25">
      <c r="A20" s="140" t="s">
        <v>703</v>
      </c>
      <c r="B20" s="133" t="s">
        <v>875</v>
      </c>
      <c r="C20" s="136" t="s">
        <v>539</v>
      </c>
      <c r="D20" s="138" t="s">
        <v>530</v>
      </c>
      <c r="E20" s="138">
        <v>57</v>
      </c>
      <c r="F20" s="138">
        <v>64</v>
      </c>
      <c r="G20" s="138">
        <v>80</v>
      </c>
      <c r="H20" s="138">
        <v>100</v>
      </c>
      <c r="I20" s="138">
        <v>100</v>
      </c>
      <c r="J20" s="138">
        <v>100</v>
      </c>
      <c r="K20" s="137">
        <v>1</v>
      </c>
    </row>
    <row r="21" spans="1:11" s="56" customFormat="1" ht="65.25" customHeight="1" x14ac:dyDescent="0.25">
      <c r="A21" s="140" t="s">
        <v>704</v>
      </c>
      <c r="B21" s="133" t="s">
        <v>876</v>
      </c>
      <c r="C21" s="136" t="s">
        <v>539</v>
      </c>
      <c r="D21" s="138" t="s">
        <v>530</v>
      </c>
      <c r="E21" s="57">
        <v>18.399999999999999</v>
      </c>
      <c r="F21" s="57">
        <v>20.6</v>
      </c>
      <c r="G21" s="57">
        <v>22.8</v>
      </c>
      <c r="H21" s="57">
        <v>25</v>
      </c>
      <c r="I21" s="57">
        <v>27.2</v>
      </c>
      <c r="J21" s="57">
        <v>29.4</v>
      </c>
      <c r="K21" s="137">
        <v>2</v>
      </c>
    </row>
    <row r="22" spans="1:11" s="56" customFormat="1" ht="47.25" customHeight="1" x14ac:dyDescent="0.25">
      <c r="A22" s="140" t="s">
        <v>705</v>
      </c>
      <c r="B22" s="133" t="s">
        <v>877</v>
      </c>
      <c r="C22" s="136" t="s">
        <v>539</v>
      </c>
      <c r="D22" s="138" t="s">
        <v>530</v>
      </c>
      <c r="E22" s="138">
        <v>54.3</v>
      </c>
      <c r="F22" s="138">
        <v>63.5</v>
      </c>
      <c r="G22" s="138">
        <v>72.599999999999994</v>
      </c>
      <c r="H22" s="138">
        <v>81.7</v>
      </c>
      <c r="I22" s="138">
        <v>90.9</v>
      </c>
      <c r="J22" s="138">
        <v>100</v>
      </c>
      <c r="K22" s="137">
        <v>3</v>
      </c>
    </row>
    <row r="23" spans="1:11" s="56" customFormat="1" ht="44.25" customHeight="1" x14ac:dyDescent="0.25">
      <c r="A23" s="140" t="s">
        <v>706</v>
      </c>
      <c r="B23" s="133" t="s">
        <v>878</v>
      </c>
      <c r="C23" s="136" t="s">
        <v>539</v>
      </c>
      <c r="D23" s="138" t="s">
        <v>530</v>
      </c>
      <c r="E23" s="138">
        <v>12.1</v>
      </c>
      <c r="F23" s="138">
        <v>13.2</v>
      </c>
      <c r="G23" s="138">
        <v>14.3</v>
      </c>
      <c r="H23" s="138">
        <v>15.4</v>
      </c>
      <c r="I23" s="138">
        <v>16.5</v>
      </c>
      <c r="J23" s="138">
        <v>17.600000000000001</v>
      </c>
      <c r="K23" s="137">
        <v>4</v>
      </c>
    </row>
    <row r="24" spans="1:11" s="56" customFormat="1" ht="44.25" customHeight="1" x14ac:dyDescent="0.25">
      <c r="A24" s="140" t="s">
        <v>707</v>
      </c>
      <c r="B24" s="133" t="s">
        <v>879</v>
      </c>
      <c r="C24" s="136" t="s">
        <v>539</v>
      </c>
      <c r="D24" s="138" t="s">
        <v>45</v>
      </c>
      <c r="E24" s="138"/>
      <c r="F24" s="138">
        <v>300</v>
      </c>
      <c r="G24" s="138">
        <v>600</v>
      </c>
      <c r="H24" s="138">
        <v>900</v>
      </c>
      <c r="I24" s="138">
        <v>1200</v>
      </c>
      <c r="J24" s="138">
        <v>1500</v>
      </c>
      <c r="K24" s="137">
        <v>5</v>
      </c>
    </row>
    <row r="25" spans="1:11" s="56" customFormat="1" ht="75.75" customHeight="1" x14ac:dyDescent="0.25">
      <c r="A25" s="140" t="s">
        <v>708</v>
      </c>
      <c r="B25" s="133" t="s">
        <v>880</v>
      </c>
      <c r="C25" s="136" t="s">
        <v>539</v>
      </c>
      <c r="D25" s="138" t="s">
        <v>45</v>
      </c>
      <c r="E25" s="138">
        <v>180</v>
      </c>
      <c r="F25" s="138">
        <v>190</v>
      </c>
      <c r="G25" s="138">
        <v>200</v>
      </c>
      <c r="H25" s="138">
        <v>210</v>
      </c>
      <c r="I25" s="138"/>
      <c r="J25" s="138"/>
      <c r="K25" s="137">
        <v>6</v>
      </c>
    </row>
    <row r="26" spans="1:11" s="56" customFormat="1" ht="23.4" customHeight="1" x14ac:dyDescent="0.25">
      <c r="A26" s="1504" t="s">
        <v>497</v>
      </c>
      <c r="B26" s="1504"/>
      <c r="C26" s="1504"/>
      <c r="D26" s="1504"/>
      <c r="E26" s="1504"/>
      <c r="F26" s="1504"/>
      <c r="G26" s="1504"/>
      <c r="H26" s="1504"/>
      <c r="I26" s="1504"/>
      <c r="J26" s="1504"/>
      <c r="K26" s="135"/>
    </row>
    <row r="27" spans="1:11" s="56" customFormat="1" ht="32.25" customHeight="1" x14ac:dyDescent="0.25">
      <c r="A27" s="1515" t="s">
        <v>709</v>
      </c>
      <c r="B27" s="1513" t="s">
        <v>881</v>
      </c>
      <c r="C27" s="136" t="s">
        <v>539</v>
      </c>
      <c r="D27" s="138" t="s">
        <v>538</v>
      </c>
      <c r="E27" s="138">
        <v>440</v>
      </c>
      <c r="F27" s="138">
        <v>2359</v>
      </c>
      <c r="G27" s="138">
        <v>2203.86</v>
      </c>
      <c r="H27" s="138">
        <v>1269.32</v>
      </c>
      <c r="I27" s="138">
        <v>1269.32</v>
      </c>
      <c r="J27" s="138">
        <v>1269.32</v>
      </c>
      <c r="K27" s="1511">
        <v>1</v>
      </c>
    </row>
    <row r="28" spans="1:11" s="56" customFormat="1" ht="32.25" customHeight="1" x14ac:dyDescent="0.25">
      <c r="A28" s="1516"/>
      <c r="B28" s="1514"/>
      <c r="C28" s="138"/>
      <c r="D28" s="138" t="s">
        <v>202</v>
      </c>
      <c r="E28" s="138">
        <v>3739</v>
      </c>
      <c r="F28" s="138">
        <v>1944.3</v>
      </c>
      <c r="G28" s="138">
        <v>2791.23</v>
      </c>
      <c r="H28" s="138">
        <v>2469.0300000000002</v>
      </c>
      <c r="I28" s="138">
        <v>2469.0300000000002</v>
      </c>
      <c r="J28" s="138">
        <v>2469.0300000000002</v>
      </c>
      <c r="K28" s="1512"/>
    </row>
    <row r="29" spans="1:11" s="56" customFormat="1" ht="44.25" customHeight="1" x14ac:dyDescent="0.25">
      <c r="A29" s="140" t="s">
        <v>710</v>
      </c>
      <c r="B29" s="133" t="s">
        <v>882</v>
      </c>
      <c r="C29" s="206" t="s">
        <v>853</v>
      </c>
      <c r="D29" s="138" t="s">
        <v>537</v>
      </c>
      <c r="E29" s="138">
        <v>80</v>
      </c>
      <c r="F29" s="138">
        <v>80</v>
      </c>
      <c r="G29" s="138">
        <v>80</v>
      </c>
      <c r="H29" s="138">
        <v>80</v>
      </c>
      <c r="I29" s="138">
        <v>80</v>
      </c>
      <c r="J29" s="138"/>
      <c r="K29" s="137">
        <v>2</v>
      </c>
    </row>
    <row r="30" spans="1:11" s="56" customFormat="1" ht="29.25" customHeight="1" x14ac:dyDescent="0.25">
      <c r="A30" s="140" t="s">
        <v>711</v>
      </c>
      <c r="B30" s="133" t="s">
        <v>883</v>
      </c>
      <c r="C30" s="136" t="s">
        <v>539</v>
      </c>
      <c r="D30" s="138" t="s">
        <v>532</v>
      </c>
      <c r="E30" s="138">
        <v>4</v>
      </c>
      <c r="F30" s="138">
        <v>3</v>
      </c>
      <c r="G30" s="138">
        <v>3</v>
      </c>
      <c r="H30" s="138">
        <v>3</v>
      </c>
      <c r="I30" s="138">
        <v>3</v>
      </c>
      <c r="J30" s="138"/>
      <c r="K30" s="137">
        <v>3</v>
      </c>
    </row>
    <row r="31" spans="1:11" s="56" customFormat="1" ht="23.4" customHeight="1" x14ac:dyDescent="0.25">
      <c r="A31" s="1504" t="s">
        <v>510</v>
      </c>
      <c r="B31" s="1504"/>
      <c r="C31" s="1504"/>
      <c r="D31" s="1504"/>
      <c r="E31" s="1504"/>
      <c r="F31" s="1504"/>
      <c r="G31" s="1504"/>
      <c r="H31" s="1504"/>
      <c r="I31" s="1504"/>
      <c r="J31" s="1504"/>
      <c r="K31" s="135"/>
    </row>
    <row r="32" spans="1:11" s="56" customFormat="1" ht="47.25" customHeight="1" x14ac:dyDescent="0.25">
      <c r="A32" s="141">
        <v>21</v>
      </c>
      <c r="B32" s="136" t="s">
        <v>884</v>
      </c>
      <c r="C32" s="136" t="s">
        <v>539</v>
      </c>
      <c r="D32" s="138" t="s">
        <v>530</v>
      </c>
      <c r="E32" s="142">
        <v>95.6</v>
      </c>
      <c r="F32" s="142">
        <v>96.3</v>
      </c>
      <c r="G32" s="142">
        <v>97</v>
      </c>
      <c r="H32" s="142">
        <v>97.3</v>
      </c>
      <c r="I32" s="138">
        <v>97.5</v>
      </c>
      <c r="J32" s="138">
        <v>97.7</v>
      </c>
      <c r="K32" s="139" t="s">
        <v>716</v>
      </c>
    </row>
    <row r="33" spans="1:11" s="56" customFormat="1" ht="44.25" customHeight="1" x14ac:dyDescent="0.25">
      <c r="A33" s="143" t="s">
        <v>712</v>
      </c>
      <c r="B33" s="136" t="s">
        <v>885</v>
      </c>
      <c r="C33" s="206" t="s">
        <v>853</v>
      </c>
      <c r="D33" s="138" t="s">
        <v>530</v>
      </c>
      <c r="E33" s="142">
        <v>95.6</v>
      </c>
      <c r="F33" s="142">
        <v>96.3</v>
      </c>
      <c r="G33" s="142">
        <v>97</v>
      </c>
      <c r="H33" s="142">
        <v>97.3</v>
      </c>
      <c r="I33" s="138">
        <v>97.5</v>
      </c>
      <c r="J33" s="138">
        <v>97.7</v>
      </c>
      <c r="K33" s="137">
        <v>1</v>
      </c>
    </row>
    <row r="34" spans="1:11" s="56" customFormat="1" ht="44.25" customHeight="1" x14ac:dyDescent="0.25">
      <c r="A34" s="143" t="s">
        <v>713</v>
      </c>
      <c r="B34" s="136" t="s">
        <v>886</v>
      </c>
      <c r="C34" s="206" t="s">
        <v>853</v>
      </c>
      <c r="D34" s="138" t="s">
        <v>532</v>
      </c>
      <c r="E34" s="144">
        <v>7</v>
      </c>
      <c r="F34" s="144">
        <v>2</v>
      </c>
      <c r="G34" s="144"/>
      <c r="H34" s="144"/>
      <c r="I34" s="144"/>
      <c r="J34" s="144"/>
      <c r="K34" s="137">
        <v>2</v>
      </c>
    </row>
    <row r="35" spans="1:11" s="56" customFormat="1" ht="27" customHeight="1" x14ac:dyDescent="0.25">
      <c r="A35" s="145" t="s">
        <v>714</v>
      </c>
      <c r="B35" s="146" t="s">
        <v>887</v>
      </c>
      <c r="C35" s="136" t="s">
        <v>539</v>
      </c>
      <c r="D35" s="147" t="s">
        <v>45</v>
      </c>
      <c r="E35" s="147"/>
      <c r="F35" s="147">
        <v>2</v>
      </c>
      <c r="G35" s="147">
        <v>1</v>
      </c>
      <c r="H35" s="147">
        <v>1</v>
      </c>
      <c r="I35" s="147">
        <v>1</v>
      </c>
      <c r="J35" s="147">
        <v>1</v>
      </c>
      <c r="K35" s="207">
        <v>3</v>
      </c>
    </row>
    <row r="36" spans="1:11" s="56" customFormat="1" ht="23.4" customHeight="1" x14ac:dyDescent="0.25">
      <c r="A36" s="1504" t="s">
        <v>520</v>
      </c>
      <c r="B36" s="1504"/>
      <c r="C36" s="1504"/>
      <c r="D36" s="1504"/>
      <c r="E36" s="1504"/>
      <c r="F36" s="1504"/>
      <c r="G36" s="1504"/>
      <c r="H36" s="1504"/>
      <c r="I36" s="1504"/>
      <c r="J36" s="1504"/>
      <c r="K36" s="135"/>
    </row>
    <row r="37" spans="1:11" ht="52.5" customHeight="1" x14ac:dyDescent="0.3">
      <c r="A37" s="143" t="s">
        <v>915</v>
      </c>
      <c r="B37" s="239" t="s">
        <v>916</v>
      </c>
      <c r="C37" s="240" t="s">
        <v>853</v>
      </c>
      <c r="D37" s="239" t="s">
        <v>917</v>
      </c>
      <c r="E37" s="241" t="s">
        <v>918</v>
      </c>
      <c r="F37" s="241" t="s">
        <v>919</v>
      </c>
      <c r="G37" s="241" t="s">
        <v>920</v>
      </c>
      <c r="H37" s="241" t="s">
        <v>921</v>
      </c>
      <c r="I37" s="241" t="s">
        <v>922</v>
      </c>
      <c r="J37" s="241" t="s">
        <v>923</v>
      </c>
      <c r="K37" s="242">
        <v>1</v>
      </c>
    </row>
    <row r="38" spans="1:11" s="56" customFormat="1" ht="23.4" customHeight="1" x14ac:dyDescent="0.25">
      <c r="A38" s="1504" t="s">
        <v>521</v>
      </c>
      <c r="B38" s="1504"/>
      <c r="C38" s="1504"/>
      <c r="D38" s="1504"/>
      <c r="E38" s="1504"/>
      <c r="F38" s="1504"/>
      <c r="G38" s="1504"/>
      <c r="H38" s="1504"/>
      <c r="I38" s="1504"/>
      <c r="J38" s="1504"/>
      <c r="K38" s="135"/>
    </row>
  </sheetData>
  <customSheetViews>
    <customSheetView guid="{7DDEA387-EEC9-4633-99BE-C0D9299FB093}" showPageBreaks="1" fitToPage="1" printArea="1" view="pageBreakPreview">
      <pane ySplit="4" topLeftCell="A38" activePane="bottomLeft" state="frozen"/>
      <selection pane="bottomLeft" activeCell="F9" sqref="F9"/>
      <rowBreaks count="1" manualBreakCount="1">
        <brk id="20" max="10" man="1"/>
      </rowBreaks>
      <pageMargins left="0.7" right="0.7" top="0.75" bottom="0.75" header="0.3" footer="0.3"/>
      <pageSetup paperSize="9" scale="65" fitToHeight="0" orientation="landscape" horizontalDpi="4294967294" verticalDpi="4294967294" r:id="rId1"/>
    </customSheetView>
    <customSheetView guid="{6592EBC0-D945-4F6F-93D1-49FCB588A4A0}" showPageBreaks="1" fitToPage="1" printArea="1" view="pageBreakPreview" topLeftCell="B1">
      <pane ySplit="4" topLeftCell="A12" activePane="bottomLeft" state="frozen"/>
      <selection pane="bottomLeft" activeCell="B14" sqref="B14:K14"/>
      <rowBreaks count="1" manualBreakCount="1">
        <brk id="20" max="10" man="1"/>
      </rowBreaks>
      <pageMargins left="0.7" right="0.7" top="0.75" bottom="0.75" header="0.3" footer="0.3"/>
      <pageSetup paperSize="9" scale="65" fitToHeight="0" orientation="landscape" horizontalDpi="4294967294" verticalDpi="4294967294" r:id="rId2"/>
    </customSheetView>
    <customSheetView guid="{001F394D-7E32-49E0-9108-A9790B233A9D}" showPageBreaks="1" fitToPage="1" printArea="1" view="pageBreakPreview">
      <pane ySplit="4" topLeftCell="A38" activePane="bottomLeft" state="frozen"/>
      <selection pane="bottomLeft" activeCell="A13" sqref="A13:J13"/>
      <rowBreaks count="1" manualBreakCount="1">
        <brk id="20" max="10" man="1"/>
      </rowBreaks>
      <pageMargins left="0.7" right="0.7" top="0.75" bottom="0.75" header="0.3" footer="0.3"/>
      <pageSetup paperSize="9" scale="65" fitToHeight="0" orientation="landscape" horizontalDpi="4294967294" verticalDpi="4294967294" r:id="rId3"/>
    </customSheetView>
    <customSheetView guid="{F08E63B0-D6C4-4E18-B2B6-E1E751FE7DF2}" showPageBreaks="1" fitToPage="1" printArea="1" view="pageBreakPreview">
      <pane ySplit="4" topLeftCell="A38" activePane="bottomLeft" state="frozen"/>
      <selection pane="bottomLeft" activeCell="A13" sqref="A13:J13"/>
      <rowBreaks count="1" manualBreakCount="1">
        <brk id="20" max="10" man="1"/>
      </rowBreaks>
      <pageMargins left="0.7" right="0.7" top="0.75" bottom="0.75" header="0.3" footer="0.3"/>
      <pageSetup paperSize="9" scale="65" fitToHeight="0" orientation="landscape" horizontalDpi="4294967294" verticalDpi="4294967294" r:id="rId4"/>
    </customSheetView>
    <customSheetView guid="{D32E4BC6-6FD7-4441-855E-C6B8F80A132E}" showPageBreaks="1" fitToPage="1" printArea="1" view="pageBreakPreview">
      <pane ySplit="4" topLeftCell="A29" activePane="bottomLeft" state="frozen"/>
      <selection pane="bottomLeft" activeCell="M19" sqref="M19"/>
      <rowBreaks count="1" manualBreakCount="1">
        <brk id="20" max="10" man="1"/>
      </rowBreaks>
      <pageMargins left="0.7" right="0.7" top="0.75" bottom="0.75" header="0.3" footer="0.3"/>
      <pageSetup paperSize="9" scale="65" fitToHeight="0" orientation="landscape" horizontalDpi="4294967294" verticalDpi="4294967294" r:id="rId5"/>
    </customSheetView>
  </customSheetViews>
  <mergeCells count="19">
    <mergeCell ref="K27:K28"/>
    <mergeCell ref="A18:J18"/>
    <mergeCell ref="A26:J26"/>
    <mergeCell ref="A36:J36"/>
    <mergeCell ref="A38:J38"/>
    <mergeCell ref="A31:J31"/>
    <mergeCell ref="B27:B28"/>
    <mergeCell ref="A27:A28"/>
    <mergeCell ref="A1:K1"/>
    <mergeCell ref="C2:C3"/>
    <mergeCell ref="D2:D3"/>
    <mergeCell ref="E2:E3"/>
    <mergeCell ref="K2:K3"/>
    <mergeCell ref="A13:J13"/>
    <mergeCell ref="A9:J9"/>
    <mergeCell ref="B2:B3"/>
    <mergeCell ref="A5:J5"/>
    <mergeCell ref="A2:A3"/>
    <mergeCell ref="F2:J2"/>
  </mergeCells>
  <pageMargins left="0.7" right="0.7" top="0.75" bottom="0.75" header="0.3" footer="0.3"/>
  <pageSetup paperSize="9" scale="65" fitToHeight="0" orientation="landscape" horizontalDpi="4294967294" verticalDpi="4294967294" r:id="rId6"/>
  <rowBreaks count="1" manualBreakCount="1">
    <brk id="20" max="10"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O9"/>
  <sheetViews>
    <sheetView tabSelected="1" zoomScale="70" zoomScaleNormal="70" zoomScaleSheetLayoutView="70" workbookViewId="0">
      <selection activeCell="F9" sqref="F9"/>
    </sheetView>
  </sheetViews>
  <sheetFormatPr defaultRowHeight="14.4" x14ac:dyDescent="0.3"/>
  <cols>
    <col min="1" max="1" width="13.5546875" style="6" customWidth="1"/>
    <col min="2" max="2" width="12.88671875" style="6" customWidth="1"/>
    <col min="3" max="3" width="18" style="6" customWidth="1"/>
    <col min="4" max="4" width="24.109375" style="6" customWidth="1"/>
    <col min="5" max="6" width="15.88671875" style="6" customWidth="1"/>
    <col min="7" max="7" width="12.88671875" style="6" customWidth="1"/>
    <col min="8" max="8" width="10.6640625" style="6" customWidth="1"/>
    <col min="9" max="9" width="10.109375" style="6" customWidth="1"/>
    <col min="10" max="10" width="9.44140625" style="6" customWidth="1"/>
    <col min="11" max="11" width="14.44140625" style="6" customWidth="1"/>
    <col min="13" max="13" width="17.33203125" customWidth="1"/>
    <col min="14" max="14" width="30.109375" customWidth="1"/>
    <col min="15" max="15" width="25.44140625" customWidth="1"/>
  </cols>
  <sheetData>
    <row r="1" spans="1:15" s="1421" customFormat="1" ht="38.25" customHeight="1" x14ac:dyDescent="0.3">
      <c r="A1" s="1510" t="s">
        <v>438</v>
      </c>
      <c r="B1" s="1510"/>
      <c r="C1" s="1510"/>
      <c r="D1" s="1510"/>
      <c r="E1" s="1510"/>
      <c r="F1" s="1510"/>
      <c r="G1" s="1510"/>
      <c r="H1" s="1510"/>
      <c r="I1" s="1510"/>
      <c r="J1" s="1510"/>
      <c r="K1" s="1510"/>
      <c r="N1" s="1403" t="s">
        <v>1676</v>
      </c>
    </row>
    <row r="2" spans="1:15" ht="24" customHeight="1" x14ac:dyDescent="0.3">
      <c r="A2" s="1523" t="s">
        <v>0</v>
      </c>
      <c r="B2" s="1524"/>
      <c r="C2" s="1525"/>
      <c r="D2" s="1526" t="s">
        <v>1</v>
      </c>
      <c r="E2" s="1527"/>
      <c r="F2" s="1527"/>
      <c r="G2" s="1527"/>
      <c r="H2" s="1527"/>
      <c r="I2" s="1527"/>
      <c r="J2" s="1527"/>
      <c r="K2" s="1528"/>
    </row>
    <row r="3" spans="1:15" ht="18.75" customHeight="1" x14ac:dyDescent="0.3">
      <c r="A3" s="1529" t="s">
        <v>435</v>
      </c>
      <c r="B3" s="1530"/>
      <c r="C3" s="1531"/>
      <c r="D3" s="1538" t="s">
        <v>61</v>
      </c>
      <c r="E3" s="1538" t="s">
        <v>62</v>
      </c>
      <c r="F3" s="1539" t="s">
        <v>63</v>
      </c>
      <c r="G3" s="1539"/>
      <c r="H3" s="1539"/>
      <c r="I3" s="1539"/>
      <c r="J3" s="1539"/>
      <c r="K3" s="1539"/>
      <c r="M3" s="1420" t="s">
        <v>1674</v>
      </c>
      <c r="N3" s="1422" t="s">
        <v>1675</v>
      </c>
    </row>
    <row r="4" spans="1:15" ht="20.25" customHeight="1" x14ac:dyDescent="0.3">
      <c r="A4" s="1532"/>
      <c r="B4" s="1533"/>
      <c r="C4" s="1534"/>
      <c r="D4" s="1538"/>
      <c r="E4" s="1538"/>
      <c r="F4" s="282" t="s">
        <v>4</v>
      </c>
      <c r="G4" s="282" t="s">
        <v>91</v>
      </c>
      <c r="H4" s="282" t="s">
        <v>90</v>
      </c>
      <c r="I4" s="282" t="s">
        <v>89</v>
      </c>
      <c r="J4" s="282" t="s">
        <v>221</v>
      </c>
      <c r="K4" s="282" t="s">
        <v>12</v>
      </c>
      <c r="M4" s="1420"/>
      <c r="N4" s="1423"/>
    </row>
    <row r="5" spans="1:15" ht="32.25" customHeight="1" x14ac:dyDescent="0.3">
      <c r="A5" s="1535"/>
      <c r="B5" s="1536"/>
      <c r="C5" s="1537"/>
      <c r="D5" s="281"/>
      <c r="E5" s="1328" t="s">
        <v>222</v>
      </c>
      <c r="F5" s="304">
        <f>F6+F8+F9</f>
        <v>3225313.2799999998</v>
      </c>
      <c r="G5" s="304">
        <f t="shared" ref="G5:K5" si="0">G6+G8+G9</f>
        <v>396634.16</v>
      </c>
      <c r="H5" s="304">
        <f t="shared" si="0"/>
        <v>0</v>
      </c>
      <c r="I5" s="304">
        <f t="shared" si="0"/>
        <v>0</v>
      </c>
      <c r="J5" s="304">
        <f t="shared" si="0"/>
        <v>0</v>
      </c>
      <c r="K5" s="304">
        <f t="shared" si="0"/>
        <v>3621947.44</v>
      </c>
      <c r="M5" s="304">
        <f>M6+M8+M9</f>
        <v>2968306.78</v>
      </c>
      <c r="N5" s="1425">
        <f>N6+N8+N9</f>
        <v>653640.66</v>
      </c>
      <c r="O5" s="1404" t="s">
        <v>12</v>
      </c>
    </row>
    <row r="6" spans="1:15" ht="61.5" customHeight="1" x14ac:dyDescent="0.3">
      <c r="A6" s="1517"/>
      <c r="B6" s="1518"/>
      <c r="C6" s="1521"/>
      <c r="D6" s="281"/>
      <c r="E6" s="281" t="s">
        <v>223</v>
      </c>
      <c r="F6" s="238">
        <f>F7</f>
        <v>2765572</v>
      </c>
      <c r="G6" s="238">
        <f>G7</f>
        <v>347568</v>
      </c>
      <c r="H6" s="76">
        <f t="shared" ref="H6:J6" si="1">H7</f>
        <v>0</v>
      </c>
      <c r="I6" s="76">
        <f t="shared" si="1"/>
        <v>0</v>
      </c>
      <c r="J6" s="76">
        <f t="shared" si="1"/>
        <v>0</v>
      </c>
      <c r="K6" s="76">
        <f>F6+G6+H6+I6+J6</f>
        <v>3113140</v>
      </c>
      <c r="M6" s="304">
        <f>M7</f>
        <v>2586524</v>
      </c>
      <c r="N6" s="304">
        <f>N7</f>
        <v>526616</v>
      </c>
      <c r="O6" s="1403" t="s">
        <v>223</v>
      </c>
    </row>
    <row r="7" spans="1:15" ht="63.75" customHeight="1" x14ac:dyDescent="0.3">
      <c r="A7" s="1517"/>
      <c r="B7" s="1518"/>
      <c r="C7" s="1521"/>
      <c r="D7" s="281" t="s">
        <v>16</v>
      </c>
      <c r="E7" s="281" t="s">
        <v>13</v>
      </c>
      <c r="F7" s="76">
        <f>'ПМ П1'!G10+'ПМ П1'!G13+'ПМ П1'!G26</f>
        <v>2765572</v>
      </c>
      <c r="G7" s="76">
        <f>'ПМ П1'!H10+'ПМ П1'!H13+'ПМ П1'!H26</f>
        <v>347568</v>
      </c>
      <c r="H7" s="76">
        <f>'ПМ П1'!I10+'ПМ П1'!I13+'ПМ П1'!I26</f>
        <v>0</v>
      </c>
      <c r="I7" s="76">
        <f>'ПМ П1'!J10+'ПМ П1'!J13+'ПМ П1'!J26</f>
        <v>0</v>
      </c>
      <c r="J7" s="76">
        <f>'ПМ П1'!K10+'ПМ П1'!K13+'ПМ П1'!K26</f>
        <v>0</v>
      </c>
      <c r="K7" s="76">
        <f>F7+G7+H7+I7+J7</f>
        <v>3113140</v>
      </c>
      <c r="M7" s="1424">
        <v>2586524</v>
      </c>
      <c r="N7" s="1424">
        <f>K7-M7</f>
        <v>526616</v>
      </c>
      <c r="O7" s="1403"/>
    </row>
    <row r="8" spans="1:15" ht="90.75" customHeight="1" x14ac:dyDescent="0.3">
      <c r="A8" s="1517"/>
      <c r="B8" s="1518"/>
      <c r="C8" s="1521"/>
      <c r="D8" s="281"/>
      <c r="E8" s="281" t="s">
        <v>14</v>
      </c>
      <c r="F8" s="196">
        <f>'ПМ П1'!G7</f>
        <v>372542.84</v>
      </c>
      <c r="G8" s="76">
        <f>'ПМ П1'!H7</f>
        <v>49066.16</v>
      </c>
      <c r="H8" s="76">
        <f>'ПМ П1'!I7</f>
        <v>0</v>
      </c>
      <c r="I8" s="76">
        <f>'ПМ П1'!J7</f>
        <v>0</v>
      </c>
      <c r="J8" s="76">
        <f>'ПМ П1'!K7</f>
        <v>0</v>
      </c>
      <c r="K8" s="196">
        <f>F8+G8+H8+I8+J8</f>
        <v>421609</v>
      </c>
      <c r="M8" s="304">
        <v>334573.84999999998</v>
      </c>
      <c r="N8" s="1425">
        <f t="shared" ref="N8:N9" si="2">K8-M8</f>
        <v>87035.15</v>
      </c>
      <c r="O8" s="1403" t="s">
        <v>14</v>
      </c>
    </row>
    <row r="9" spans="1:15" ht="32.25" customHeight="1" x14ac:dyDescent="0.3">
      <c r="A9" s="1519"/>
      <c r="B9" s="1520"/>
      <c r="C9" s="1522"/>
      <c r="D9" s="281"/>
      <c r="E9" s="281" t="s">
        <v>231</v>
      </c>
      <c r="F9" s="76">
        <f>'ПМ П1'!G8+'ПМ П1'!G24</f>
        <v>87198.44</v>
      </c>
      <c r="G9" s="76">
        <f>'ПМ П1'!H8+'ПМ П1'!H24</f>
        <v>0</v>
      </c>
      <c r="H9" s="76">
        <f>'ПМ П1'!I8+'ПМ П1'!I24</f>
        <v>0</v>
      </c>
      <c r="I9" s="76">
        <f>'ПМ П1'!J8+'ПМ П1'!J24</f>
        <v>0</v>
      </c>
      <c r="J9" s="76">
        <f>'ПМ П1'!K8+'ПМ П1'!K24</f>
        <v>0</v>
      </c>
      <c r="K9" s="76">
        <f t="shared" ref="K9" si="3">F9+G9+H9+I9+J9</f>
        <v>87198.44</v>
      </c>
      <c r="M9" s="304">
        <v>47208.93</v>
      </c>
      <c r="N9" s="1425">
        <f t="shared" si="2"/>
        <v>39989.51</v>
      </c>
      <c r="O9" s="1403" t="s">
        <v>231</v>
      </c>
    </row>
  </sheetData>
  <customSheetViews>
    <customSheetView guid="{7DDEA387-EEC9-4633-99BE-C0D9299FB093}" scale="70" showPageBreaks="1" printArea="1">
      <selection activeCell="F9" sqref="F9"/>
      <pageMargins left="0.70866141732283472" right="0.70866141732283472" top="0.74803149606299213" bottom="0.74803149606299213" header="0.31496062992125984" footer="0.31496062992125984"/>
      <pageSetup paperSize="9" scale="60" orientation="landscape" r:id="rId1"/>
    </customSheetView>
    <customSheetView guid="{6592EBC0-D945-4F6F-93D1-49FCB588A4A0}" scale="70" showPageBreaks="1" printArea="1">
      <selection activeCell="T14" sqref="T14"/>
      <pageMargins left="0.70866141732283472" right="0.70866141732283472" top="0.74803149606299213" bottom="0.74803149606299213" header="0.31496062992125984" footer="0.31496062992125984"/>
      <pageSetup paperSize="9" scale="95" orientation="portrait" r:id="rId2"/>
    </customSheetView>
    <customSheetView guid="{001F394D-7E32-49E0-9108-A9790B233A9D}" scale="70" showPageBreaks="1" printArea="1">
      <selection activeCell="G18" sqref="G18"/>
      <pageMargins left="0.70866141732283472" right="0.70866141732283472" top="0.74803149606299213" bottom="0.74803149606299213" header="0.31496062992125984" footer="0.31496062992125984"/>
      <pageSetup paperSize="9" scale="60" orientation="landscape" r:id="rId3"/>
    </customSheetView>
    <customSheetView guid="{F08E63B0-D6C4-4E18-B2B6-E1E751FE7DF2}" scale="70" showPageBreaks="1" printArea="1">
      <selection activeCell="G18" sqref="G18"/>
      <pageMargins left="0.70866141732283472" right="0.70866141732283472" top="0.74803149606299213" bottom="0.74803149606299213" header="0.31496062992125984" footer="0.31496062992125984"/>
      <pageSetup paperSize="9" scale="60" orientation="landscape" r:id="rId4"/>
    </customSheetView>
    <customSheetView guid="{D32E4BC6-6FD7-4441-855E-C6B8F80A132E}" scale="70" showPageBreaks="1" printArea="1">
      <selection activeCell="G18" sqref="G18"/>
      <pageMargins left="0.70866141732283472" right="0.70866141732283472" top="0.74803149606299213" bottom="0.74803149606299213" header="0.31496062992125984" footer="0.31496062992125984"/>
      <pageSetup paperSize="9" scale="60" orientation="landscape" r:id="rId5"/>
    </customSheetView>
  </customSheetViews>
  <mergeCells count="9">
    <mergeCell ref="A6:B9"/>
    <mergeCell ref="C6:C9"/>
    <mergeCell ref="A1:K1"/>
    <mergeCell ref="A2:C2"/>
    <mergeCell ref="D2:K2"/>
    <mergeCell ref="A3:C5"/>
    <mergeCell ref="D3:D4"/>
    <mergeCell ref="E3:E4"/>
    <mergeCell ref="F3:K3"/>
  </mergeCells>
  <pageMargins left="0.70866141732283472" right="0.70866141732283472" top="0.74803149606299213" bottom="0.74803149606299213" header="0.31496062992125984" footer="0.31496062992125984"/>
  <pageSetup paperSize="9" scale="60" orientation="landscape"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264"/>
  <sheetViews>
    <sheetView tabSelected="1" view="pageBreakPreview" zoomScale="85" zoomScaleNormal="85" zoomScaleSheetLayoutView="85" workbookViewId="0">
      <pane ySplit="4" topLeftCell="A14" activePane="bottomLeft" state="frozen"/>
      <selection activeCell="F9" sqref="F9"/>
      <selection pane="bottomLeft" activeCell="F9" sqref="F9"/>
    </sheetView>
  </sheetViews>
  <sheetFormatPr defaultColWidth="9.109375" defaultRowHeight="12" x14ac:dyDescent="0.25"/>
  <cols>
    <col min="1" max="1" width="7.33203125" style="461" customWidth="1"/>
    <col min="2" max="2" width="30.88671875" style="461" customWidth="1"/>
    <col min="3" max="3" width="12.33203125" style="461" customWidth="1"/>
    <col min="4" max="4" width="22.88671875" style="461" customWidth="1"/>
    <col min="5" max="5" width="13.6640625" style="462" customWidth="1"/>
    <col min="6" max="6" width="12.109375" style="462" customWidth="1"/>
    <col min="7" max="7" width="14.88671875" style="462" customWidth="1"/>
    <col min="8" max="8" width="10.5546875" style="462" customWidth="1"/>
    <col min="9" max="9" width="10.6640625" style="462" customWidth="1"/>
    <col min="10" max="10" width="9.88671875" style="462" customWidth="1"/>
    <col min="11" max="11" width="9.5546875" style="462" customWidth="1"/>
    <col min="12" max="12" width="27.33203125" style="461" customWidth="1"/>
    <col min="13" max="13" width="32.44140625" style="461" customWidth="1"/>
    <col min="14" max="14" width="15.88671875" style="428" customWidth="1"/>
    <col min="15" max="15" width="14.109375" style="428" customWidth="1"/>
    <col min="16" max="17" width="9.109375" style="428"/>
    <col min="18" max="18" width="11.6640625" style="428" bestFit="1" customWidth="1"/>
    <col min="19" max="19" width="17.6640625" style="460" customWidth="1"/>
    <col min="20" max="20" width="14.6640625" style="460" customWidth="1"/>
    <col min="21" max="21" width="13.6640625" style="460" customWidth="1"/>
    <col min="22" max="16384" width="9.109375" style="460"/>
  </cols>
  <sheetData>
    <row r="1" spans="1:23" s="428" customFormat="1" ht="24" customHeight="1" x14ac:dyDescent="0.25">
      <c r="A1" s="1543" t="s">
        <v>1362</v>
      </c>
      <c r="B1" s="1543"/>
      <c r="C1" s="1543"/>
      <c r="D1" s="1543"/>
      <c r="E1" s="1543"/>
      <c r="F1" s="1543"/>
      <c r="G1" s="1543"/>
      <c r="H1" s="1543"/>
      <c r="I1" s="1543"/>
      <c r="J1" s="1543"/>
      <c r="K1" s="1543"/>
      <c r="L1" s="1543"/>
      <c r="M1" s="1543"/>
    </row>
    <row r="2" spans="1:23" s="428" customFormat="1" ht="29.25" customHeight="1" x14ac:dyDescent="0.25">
      <c r="A2" s="1544" t="s">
        <v>46</v>
      </c>
      <c r="B2" s="1544" t="s">
        <v>224</v>
      </c>
      <c r="C2" s="1544" t="s">
        <v>428</v>
      </c>
      <c r="D2" s="1544" t="s">
        <v>6</v>
      </c>
      <c r="E2" s="1545" t="s">
        <v>1451</v>
      </c>
      <c r="F2" s="1546" t="s">
        <v>8</v>
      </c>
      <c r="G2" s="1546" t="s">
        <v>1363</v>
      </c>
      <c r="H2" s="1546"/>
      <c r="I2" s="1546"/>
      <c r="J2" s="1546"/>
      <c r="K2" s="1546"/>
      <c r="L2" s="1547" t="s">
        <v>10</v>
      </c>
      <c r="M2" s="1547" t="s">
        <v>429</v>
      </c>
    </row>
    <row r="3" spans="1:23" s="428" customFormat="1" ht="39" customHeight="1" x14ac:dyDescent="0.25">
      <c r="A3" s="1544"/>
      <c r="B3" s="1544"/>
      <c r="C3" s="1544"/>
      <c r="D3" s="1544"/>
      <c r="E3" s="1545"/>
      <c r="F3" s="1546"/>
      <c r="G3" s="463" t="s">
        <v>4</v>
      </c>
      <c r="H3" s="464" t="s">
        <v>91</v>
      </c>
      <c r="I3" s="464" t="s">
        <v>859</v>
      </c>
      <c r="J3" s="464" t="s">
        <v>860</v>
      </c>
      <c r="K3" s="464" t="s">
        <v>221</v>
      </c>
      <c r="L3" s="1548"/>
      <c r="M3" s="1548"/>
      <c r="N3" s="426" t="s">
        <v>1356</v>
      </c>
      <c r="S3" s="429"/>
      <c r="T3" s="429"/>
      <c r="U3" s="429"/>
      <c r="V3" s="429"/>
      <c r="W3" s="429"/>
    </row>
    <row r="4" spans="1:23" s="429" customFormat="1" ht="15" customHeight="1" x14ac:dyDescent="0.25">
      <c r="A4" s="334">
        <v>1</v>
      </c>
      <c r="B4" s="333">
        <v>2</v>
      </c>
      <c r="C4" s="333">
        <v>3</v>
      </c>
      <c r="D4" s="333">
        <v>4</v>
      </c>
      <c r="E4" s="333">
        <v>5</v>
      </c>
      <c r="F4" s="151">
        <v>6</v>
      </c>
      <c r="G4" s="151">
        <v>7</v>
      </c>
      <c r="H4" s="151">
        <v>8</v>
      </c>
      <c r="I4" s="151">
        <v>9</v>
      </c>
      <c r="J4" s="151">
        <v>10</v>
      </c>
      <c r="K4" s="151">
        <v>11</v>
      </c>
      <c r="L4" s="333">
        <v>12</v>
      </c>
      <c r="M4" s="333">
        <v>13</v>
      </c>
    </row>
    <row r="5" spans="1:23" s="429" customFormat="1" ht="27" customHeight="1" x14ac:dyDescent="0.25">
      <c r="A5" s="1549">
        <v>1</v>
      </c>
      <c r="B5" s="1552" t="s">
        <v>924</v>
      </c>
      <c r="C5" s="1555" t="s">
        <v>208</v>
      </c>
      <c r="D5" s="335" t="s">
        <v>12</v>
      </c>
      <c r="E5" s="283"/>
      <c r="F5" s="834">
        <f>F6+F7+F8</f>
        <v>2855974.44</v>
      </c>
      <c r="G5" s="834">
        <f t="shared" ref="G5:K5" si="0">G6+G7+G8</f>
        <v>2459340.2799999998</v>
      </c>
      <c r="H5" s="834">
        <f t="shared" si="0"/>
        <v>396634.16</v>
      </c>
      <c r="I5" s="834">
        <f t="shared" si="0"/>
        <v>0</v>
      </c>
      <c r="J5" s="834">
        <f t="shared" si="0"/>
        <v>0</v>
      </c>
      <c r="K5" s="834">
        <f t="shared" si="0"/>
        <v>0</v>
      </c>
      <c r="L5" s="1558"/>
      <c r="M5" s="1561"/>
      <c r="R5" s="429" t="s">
        <v>12</v>
      </c>
      <c r="S5" s="430">
        <f>S6+S7+S8</f>
        <v>3225313.2799999998</v>
      </c>
      <c r="T5" s="430">
        <f t="shared" ref="T5:U5" si="1">T6+T7+T8</f>
        <v>396634.16</v>
      </c>
      <c r="U5" s="430">
        <f t="shared" si="1"/>
        <v>0</v>
      </c>
    </row>
    <row r="6" spans="1:23" s="429" customFormat="1" ht="27" customHeight="1" x14ac:dyDescent="0.25">
      <c r="A6" s="1550"/>
      <c r="B6" s="1553"/>
      <c r="C6" s="1556"/>
      <c r="D6" s="831" t="s">
        <v>13</v>
      </c>
      <c r="E6" s="834"/>
      <c r="F6" s="834">
        <f t="shared" ref="F6:F8" si="2">G6+H6+I6+J6+K6</f>
        <v>2398680</v>
      </c>
      <c r="G6" s="929">
        <f>G10+G13</f>
        <v>2051112</v>
      </c>
      <c r="H6" s="929">
        <f>H10+H13</f>
        <v>347568</v>
      </c>
      <c r="I6" s="834">
        <f t="shared" ref="I6:K6" si="3">I10+I13</f>
        <v>0</v>
      </c>
      <c r="J6" s="834">
        <f t="shared" si="3"/>
        <v>0</v>
      </c>
      <c r="K6" s="834">
        <f t="shared" si="3"/>
        <v>0</v>
      </c>
      <c r="L6" s="1559"/>
      <c r="M6" s="1562"/>
      <c r="N6" s="431">
        <v>2018</v>
      </c>
      <c r="O6" s="431">
        <v>2019</v>
      </c>
      <c r="R6" s="432" t="s">
        <v>563</v>
      </c>
      <c r="S6" s="432">
        <f>G6+F23</f>
        <v>2765572</v>
      </c>
      <c r="T6" s="432">
        <f>H6+H23</f>
        <v>347568</v>
      </c>
      <c r="U6" s="432">
        <f t="shared" ref="U6" si="4">I6+H23</f>
        <v>0</v>
      </c>
    </row>
    <row r="7" spans="1:23" s="429" customFormat="1" ht="39.75" customHeight="1" x14ac:dyDescent="0.25">
      <c r="A7" s="1550"/>
      <c r="B7" s="1553"/>
      <c r="C7" s="1556"/>
      <c r="D7" s="831" t="s">
        <v>14</v>
      </c>
      <c r="E7" s="834"/>
      <c r="F7" s="834">
        <f t="shared" si="2"/>
        <v>421609</v>
      </c>
      <c r="G7" s="834">
        <f>G11+G14+G17</f>
        <v>372542.84</v>
      </c>
      <c r="H7" s="1207">
        <f>H11+H14+H17</f>
        <v>49066.16</v>
      </c>
      <c r="I7" s="834">
        <f t="shared" ref="I7:K7" si="5">I11+I14+I17</f>
        <v>0</v>
      </c>
      <c r="J7" s="834">
        <f t="shared" si="5"/>
        <v>0</v>
      </c>
      <c r="K7" s="834">
        <f t="shared" si="5"/>
        <v>0</v>
      </c>
      <c r="L7" s="1559"/>
      <c r="M7" s="1562"/>
      <c r="N7" s="431">
        <f>9+65+2</f>
        <v>76</v>
      </c>
      <c r="O7" s="431">
        <v>1</v>
      </c>
      <c r="R7" s="429" t="s">
        <v>1135</v>
      </c>
      <c r="S7" s="432">
        <f>G7</f>
        <v>372542.84</v>
      </c>
      <c r="T7" s="432">
        <f>H7+H23</f>
        <v>49066.16</v>
      </c>
      <c r="U7" s="432">
        <f t="shared" ref="U7" si="6">I7</f>
        <v>0</v>
      </c>
    </row>
    <row r="8" spans="1:23" s="429" customFormat="1" ht="21.75" customHeight="1" x14ac:dyDescent="0.25">
      <c r="A8" s="1551"/>
      <c r="B8" s="1554"/>
      <c r="C8" s="1557"/>
      <c r="D8" s="831" t="s">
        <v>231</v>
      </c>
      <c r="E8" s="834"/>
      <c r="F8" s="834">
        <f t="shared" si="2"/>
        <v>35685.440000000002</v>
      </c>
      <c r="G8" s="834">
        <f>G15+G18</f>
        <v>35685.440000000002</v>
      </c>
      <c r="H8" s="834">
        <f>H15+H18</f>
        <v>0</v>
      </c>
      <c r="I8" s="834">
        <f>I15+I18</f>
        <v>0</v>
      </c>
      <c r="J8" s="834">
        <f>J15+J18</f>
        <v>0</v>
      </c>
      <c r="K8" s="834">
        <f>K15+K18</f>
        <v>0</v>
      </c>
      <c r="L8" s="1560"/>
      <c r="M8" s="1563"/>
      <c r="R8" s="429" t="s">
        <v>1136</v>
      </c>
      <c r="S8" s="433">
        <f>G8+G24</f>
        <v>87198.44</v>
      </c>
      <c r="T8" s="433">
        <f t="shared" ref="T8:U8" si="7">H8+H24</f>
        <v>0</v>
      </c>
      <c r="U8" s="433">
        <f t="shared" si="7"/>
        <v>0</v>
      </c>
      <c r="V8" s="434"/>
      <c r="W8" s="434"/>
    </row>
    <row r="9" spans="1:23" s="434" customFormat="1" ht="19.5" customHeight="1" x14ac:dyDescent="0.25">
      <c r="A9" s="1540" t="s">
        <v>115</v>
      </c>
      <c r="B9" s="1541" t="s">
        <v>229</v>
      </c>
      <c r="C9" s="868" t="s">
        <v>208</v>
      </c>
      <c r="D9" s="831" t="s">
        <v>12</v>
      </c>
      <c r="E9" s="834"/>
      <c r="F9" s="834">
        <f>F10+F11</f>
        <v>1217108.24</v>
      </c>
      <c r="G9" s="834">
        <f t="shared" ref="G9:K9" si="8">G10+G11</f>
        <v>902108.24</v>
      </c>
      <c r="H9" s="834">
        <f t="shared" si="8"/>
        <v>315000</v>
      </c>
      <c r="I9" s="834">
        <f t="shared" si="8"/>
        <v>0</v>
      </c>
      <c r="J9" s="834">
        <f t="shared" si="8"/>
        <v>0</v>
      </c>
      <c r="K9" s="834">
        <f t="shared" si="8"/>
        <v>0</v>
      </c>
      <c r="L9" s="1541" t="s">
        <v>100</v>
      </c>
      <c r="M9" s="1542" t="s">
        <v>1441</v>
      </c>
      <c r="N9" s="435" t="s">
        <v>1137</v>
      </c>
      <c r="O9" s="435" t="s">
        <v>572</v>
      </c>
    </row>
    <row r="10" spans="1:23" s="434" customFormat="1" ht="30" customHeight="1" x14ac:dyDescent="0.25">
      <c r="A10" s="1540"/>
      <c r="B10" s="1541"/>
      <c r="C10" s="868" t="s">
        <v>208</v>
      </c>
      <c r="D10" s="831" t="s">
        <v>13</v>
      </c>
      <c r="E10" s="834"/>
      <c r="F10" s="834">
        <f>G10+H10+I10+J10+K10</f>
        <v>1111666</v>
      </c>
      <c r="G10" s="928">
        <f>'А П 1 '!I71</f>
        <v>828166</v>
      </c>
      <c r="H10" s="929">
        <f>'А П 1 '!J71</f>
        <v>283500</v>
      </c>
      <c r="I10" s="834">
        <f>'А П 1 '!K71</f>
        <v>0</v>
      </c>
      <c r="J10" s="834">
        <f>'А П 1 '!L71</f>
        <v>0</v>
      </c>
      <c r="K10" s="834">
        <f>'А П 1 '!M71</f>
        <v>0</v>
      </c>
      <c r="L10" s="1541"/>
      <c r="M10" s="1542"/>
      <c r="N10" s="434" t="s">
        <v>1138</v>
      </c>
      <c r="R10" s="436"/>
    </row>
    <row r="11" spans="1:23" s="434" customFormat="1" ht="35.25" customHeight="1" x14ac:dyDescent="0.25">
      <c r="A11" s="1540"/>
      <c r="B11" s="1541"/>
      <c r="C11" s="868" t="s">
        <v>208</v>
      </c>
      <c r="D11" s="831" t="s">
        <v>14</v>
      </c>
      <c r="E11" s="834"/>
      <c r="F11" s="834">
        <f>G11+H11+I11+J11+K11</f>
        <v>105442.24000000001</v>
      </c>
      <c r="G11" s="834">
        <f>'А П 1 '!I72</f>
        <v>73942.240000000005</v>
      </c>
      <c r="H11" s="834">
        <f>'А П 1 '!J72</f>
        <v>31500</v>
      </c>
      <c r="I11" s="834">
        <f>'А П 1 '!K72</f>
        <v>0</v>
      </c>
      <c r="J11" s="834">
        <f>'А П 1 '!L72</f>
        <v>0</v>
      </c>
      <c r="K11" s="834">
        <f>'А П 1 '!M72</f>
        <v>0</v>
      </c>
      <c r="L11" s="1541"/>
      <c r="M11" s="1542"/>
    </row>
    <row r="12" spans="1:23" s="434" customFormat="1" ht="12.75" customHeight="1" x14ac:dyDescent="0.25">
      <c r="A12" s="1567" t="s">
        <v>116</v>
      </c>
      <c r="B12" s="1570" t="s">
        <v>228</v>
      </c>
      <c r="C12" s="868">
        <v>2018</v>
      </c>
      <c r="D12" s="831" t="s">
        <v>12</v>
      </c>
      <c r="E12" s="834"/>
      <c r="F12" s="834">
        <f>F13+F14+F15</f>
        <v>1638866.2</v>
      </c>
      <c r="G12" s="834">
        <f t="shared" ref="G12:K12" si="9">G13+G14+G15</f>
        <v>1557232.04</v>
      </c>
      <c r="H12" s="834">
        <f t="shared" si="9"/>
        <v>81634.16</v>
      </c>
      <c r="I12" s="834">
        <f t="shared" si="9"/>
        <v>0</v>
      </c>
      <c r="J12" s="834">
        <f t="shared" si="9"/>
        <v>0</v>
      </c>
      <c r="K12" s="834">
        <f t="shared" si="9"/>
        <v>0</v>
      </c>
      <c r="L12" s="1570" t="s">
        <v>100</v>
      </c>
      <c r="M12" s="1570" t="s">
        <v>1139</v>
      </c>
      <c r="N12" s="435" t="s">
        <v>1140</v>
      </c>
      <c r="O12" s="434" t="s">
        <v>1141</v>
      </c>
    </row>
    <row r="13" spans="1:23" s="434" customFormat="1" ht="24" customHeight="1" x14ac:dyDescent="0.25">
      <c r="A13" s="1568"/>
      <c r="B13" s="1571"/>
      <c r="C13" s="868">
        <v>2018</v>
      </c>
      <c r="D13" s="831" t="s">
        <v>13</v>
      </c>
      <c r="E13" s="834"/>
      <c r="F13" s="834">
        <f>G13+H13+I13+J13+K13</f>
        <v>1287014</v>
      </c>
      <c r="G13" s="834">
        <f>'А П 1 '!I391</f>
        <v>1222946</v>
      </c>
      <c r="H13" s="834">
        <f>'А П 1 '!J391</f>
        <v>64068</v>
      </c>
      <c r="I13" s="834">
        <f>'А П 1 '!K391</f>
        <v>0</v>
      </c>
      <c r="J13" s="834">
        <f>'А П 1 '!L391</f>
        <v>0</v>
      </c>
      <c r="K13" s="834">
        <f>'А П 1 '!M391</f>
        <v>0</v>
      </c>
      <c r="L13" s="1571"/>
      <c r="M13" s="1571"/>
      <c r="R13" s="436"/>
    </row>
    <row r="14" spans="1:23" s="434" customFormat="1" ht="36" customHeight="1" x14ac:dyDescent="0.25">
      <c r="A14" s="1568"/>
      <c r="B14" s="1571"/>
      <c r="C14" s="868">
        <v>2018</v>
      </c>
      <c r="D14" s="831" t="s">
        <v>14</v>
      </c>
      <c r="E14" s="834"/>
      <c r="F14" s="834">
        <f t="shared" ref="F14:F15" si="10">G14+H14+I14+J14+K14</f>
        <v>316166.76</v>
      </c>
      <c r="G14" s="834">
        <f>'А П 1 '!I392</f>
        <v>298600.59999999998</v>
      </c>
      <c r="H14" s="834">
        <f>'А П 1 '!J392</f>
        <v>17566.16</v>
      </c>
      <c r="I14" s="834">
        <f>'А П 1 '!K392</f>
        <v>0</v>
      </c>
      <c r="J14" s="834">
        <f>'А П 1 '!L392</f>
        <v>0</v>
      </c>
      <c r="K14" s="834">
        <f>'А П 1 '!M392</f>
        <v>0</v>
      </c>
      <c r="L14" s="1571"/>
      <c r="M14" s="1571"/>
    </row>
    <row r="15" spans="1:23" s="434" customFormat="1" ht="21" customHeight="1" x14ac:dyDescent="0.25">
      <c r="A15" s="1569"/>
      <c r="B15" s="1572"/>
      <c r="C15" s="868">
        <v>2018</v>
      </c>
      <c r="D15" s="831" t="s">
        <v>15</v>
      </c>
      <c r="E15" s="834"/>
      <c r="F15" s="834">
        <f t="shared" si="10"/>
        <v>35685.440000000002</v>
      </c>
      <c r="G15" s="834">
        <f>'А П 1 '!I393</f>
        <v>35685.440000000002</v>
      </c>
      <c r="H15" s="834">
        <f>'А П 1 '!J393</f>
        <v>0</v>
      </c>
      <c r="I15" s="834">
        <f>'А П 1 '!K393</f>
        <v>0</v>
      </c>
      <c r="J15" s="834">
        <f>'А П 1 '!L393</f>
        <v>0</v>
      </c>
      <c r="K15" s="834">
        <f>'А П 1 '!M393</f>
        <v>0</v>
      </c>
      <c r="L15" s="1572"/>
      <c r="M15" s="1572"/>
    </row>
    <row r="16" spans="1:23" s="469" customFormat="1" ht="17.25" customHeight="1" x14ac:dyDescent="0.25">
      <c r="A16" s="1573" t="s">
        <v>119</v>
      </c>
      <c r="B16" s="1574" t="s">
        <v>571</v>
      </c>
      <c r="C16" s="470" t="s">
        <v>82</v>
      </c>
      <c r="D16" s="471" t="s">
        <v>12</v>
      </c>
      <c r="E16" s="472"/>
      <c r="F16" s="472">
        <f>F17+F18</f>
        <v>0</v>
      </c>
      <c r="G16" s="472">
        <f t="shared" ref="G16:K16" si="11">G17+G18</f>
        <v>0</v>
      </c>
      <c r="H16" s="472">
        <f t="shared" si="11"/>
        <v>0</v>
      </c>
      <c r="I16" s="472">
        <f t="shared" si="11"/>
        <v>0</v>
      </c>
      <c r="J16" s="472">
        <f t="shared" si="11"/>
        <v>0</v>
      </c>
      <c r="K16" s="472">
        <f t="shared" si="11"/>
        <v>0</v>
      </c>
      <c r="L16" s="1575" t="s">
        <v>100</v>
      </c>
      <c r="M16" s="1575" t="s">
        <v>546</v>
      </c>
      <c r="N16" s="468" t="s">
        <v>1365</v>
      </c>
      <c r="O16" s="468"/>
      <c r="P16" s="468"/>
    </row>
    <row r="17" spans="1:23" s="469" customFormat="1" ht="17.25" customHeight="1" x14ac:dyDescent="0.25">
      <c r="A17" s="1573"/>
      <c r="B17" s="1574"/>
      <c r="C17" s="471">
        <v>2017</v>
      </c>
      <c r="D17" s="471" t="s">
        <v>14</v>
      </c>
      <c r="E17" s="472"/>
      <c r="F17" s="472">
        <f>G17+H17+I17+J17+K17</f>
        <v>0</v>
      </c>
      <c r="G17" s="472">
        <v>0</v>
      </c>
      <c r="H17" s="472">
        <v>0</v>
      </c>
      <c r="I17" s="472">
        <v>0</v>
      </c>
      <c r="J17" s="472">
        <v>0</v>
      </c>
      <c r="K17" s="472">
        <v>0</v>
      </c>
      <c r="L17" s="1575"/>
      <c r="M17" s="1575"/>
    </row>
    <row r="18" spans="1:23" s="469" customFormat="1" ht="39" customHeight="1" x14ac:dyDescent="0.25">
      <c r="A18" s="1573"/>
      <c r="B18" s="1574"/>
      <c r="C18" s="470" t="s">
        <v>82</v>
      </c>
      <c r="D18" s="471" t="s">
        <v>231</v>
      </c>
      <c r="E18" s="472"/>
      <c r="F18" s="472">
        <f>G18+H18+I18+J18+K18</f>
        <v>0</v>
      </c>
      <c r="G18" s="472">
        <f>'А П 1 '!I420</f>
        <v>0</v>
      </c>
      <c r="H18" s="472">
        <f>'А П 1 '!J420</f>
        <v>0</v>
      </c>
      <c r="I18" s="472">
        <f>'А П 1 '!K420</f>
        <v>0</v>
      </c>
      <c r="J18" s="472">
        <f>'А П 1 '!L420</f>
        <v>0</v>
      </c>
      <c r="K18" s="472">
        <f>'А П 1 '!M420</f>
        <v>0</v>
      </c>
      <c r="L18" s="1575"/>
      <c r="M18" s="1575"/>
    </row>
    <row r="19" spans="1:23" s="434" customFormat="1" ht="30" customHeight="1" x14ac:dyDescent="0.25">
      <c r="A19" s="1576" t="s">
        <v>147</v>
      </c>
      <c r="B19" s="1564" t="s">
        <v>1334</v>
      </c>
      <c r="C19" s="1564" t="s">
        <v>227</v>
      </c>
      <c r="D19" s="1579" t="s">
        <v>1361</v>
      </c>
      <c r="E19" s="1580"/>
      <c r="F19" s="1580"/>
      <c r="G19" s="1580"/>
      <c r="H19" s="1580"/>
      <c r="I19" s="1580"/>
      <c r="J19" s="1580"/>
      <c r="K19" s="1581"/>
      <c r="L19" s="1564" t="s">
        <v>100</v>
      </c>
      <c r="M19" s="1564" t="s">
        <v>1360</v>
      </c>
      <c r="N19" s="474" t="s">
        <v>1366</v>
      </c>
    </row>
    <row r="20" spans="1:23" s="434" customFormat="1" ht="33.75" customHeight="1" x14ac:dyDescent="0.25">
      <c r="A20" s="1577"/>
      <c r="B20" s="1565"/>
      <c r="C20" s="1565"/>
      <c r="D20" s="1582"/>
      <c r="E20" s="1583"/>
      <c r="F20" s="1583"/>
      <c r="G20" s="1583"/>
      <c r="H20" s="1583"/>
      <c r="I20" s="1583"/>
      <c r="J20" s="1583"/>
      <c r="K20" s="1584"/>
      <c r="L20" s="1565"/>
      <c r="M20" s="1565"/>
      <c r="R20" s="436"/>
    </row>
    <row r="21" spans="1:23" s="434" customFormat="1" ht="62.25" customHeight="1" x14ac:dyDescent="0.25">
      <c r="A21" s="1578"/>
      <c r="B21" s="1566"/>
      <c r="C21" s="1566"/>
      <c r="D21" s="1585"/>
      <c r="E21" s="1586"/>
      <c r="F21" s="1586"/>
      <c r="G21" s="1586"/>
      <c r="H21" s="1586"/>
      <c r="I21" s="1586"/>
      <c r="J21" s="1586"/>
      <c r="K21" s="1587"/>
      <c r="L21" s="1566"/>
      <c r="M21" s="1566"/>
      <c r="S21" s="429"/>
      <c r="T21" s="429"/>
      <c r="U21" s="429"/>
      <c r="V21" s="429"/>
      <c r="W21" s="429"/>
    </row>
    <row r="22" spans="1:23" s="429" customFormat="1" ht="19.5" customHeight="1" x14ac:dyDescent="0.25">
      <c r="A22" s="1590">
        <v>2</v>
      </c>
      <c r="B22" s="1564" t="s">
        <v>230</v>
      </c>
      <c r="C22" s="1591">
        <v>2018</v>
      </c>
      <c r="D22" s="335" t="s">
        <v>12</v>
      </c>
      <c r="E22" s="283">
        <f>E23+E24</f>
        <v>1238801</v>
      </c>
      <c r="F22" s="283">
        <f>F23+F24</f>
        <v>765973</v>
      </c>
      <c r="G22" s="283">
        <f t="shared" ref="G22:K22" si="12">G23+G24</f>
        <v>765973</v>
      </c>
      <c r="H22" s="283">
        <f t="shared" si="12"/>
        <v>0</v>
      </c>
      <c r="I22" s="283">
        <f t="shared" si="12"/>
        <v>0</v>
      </c>
      <c r="J22" s="283">
        <f t="shared" si="12"/>
        <v>0</v>
      </c>
      <c r="K22" s="283">
        <f t="shared" si="12"/>
        <v>0</v>
      </c>
      <c r="L22" s="1588"/>
      <c r="M22" s="1588"/>
    </row>
    <row r="23" spans="1:23" s="429" customFormat="1" ht="30.75" customHeight="1" x14ac:dyDescent="0.25">
      <c r="A23" s="1590"/>
      <c r="B23" s="1565"/>
      <c r="C23" s="1591"/>
      <c r="D23" s="831" t="s">
        <v>13</v>
      </c>
      <c r="E23" s="283">
        <f>E26</f>
        <v>1207000</v>
      </c>
      <c r="F23" s="834">
        <f>G23+H23+I23+J23+K23</f>
        <v>714460</v>
      </c>
      <c r="G23" s="834">
        <f>G26</f>
        <v>714460</v>
      </c>
      <c r="H23" s="834">
        <f t="shared" ref="H23:K23" si="13">H26</f>
        <v>0</v>
      </c>
      <c r="I23" s="834">
        <f t="shared" si="13"/>
        <v>0</v>
      </c>
      <c r="J23" s="834">
        <f t="shared" si="13"/>
        <v>0</v>
      </c>
      <c r="K23" s="834">
        <f t="shared" si="13"/>
        <v>0</v>
      </c>
      <c r="L23" s="1588"/>
      <c r="M23" s="1588"/>
    </row>
    <row r="24" spans="1:23" s="429" customFormat="1" ht="12" customHeight="1" x14ac:dyDescent="0.25">
      <c r="A24" s="1590"/>
      <c r="B24" s="1566"/>
      <c r="C24" s="1591"/>
      <c r="D24" s="831" t="s">
        <v>231</v>
      </c>
      <c r="E24" s="283">
        <f>E28</f>
        <v>31801</v>
      </c>
      <c r="F24" s="834">
        <f>G24+H24+I24+J24+K24</f>
        <v>51513</v>
      </c>
      <c r="G24" s="834">
        <f>G28</f>
        <v>51513</v>
      </c>
      <c r="H24" s="834">
        <f t="shared" ref="H24:K24" si="14">H28</f>
        <v>0</v>
      </c>
      <c r="I24" s="834">
        <f t="shared" si="14"/>
        <v>0</v>
      </c>
      <c r="J24" s="834">
        <f t="shared" si="14"/>
        <v>0</v>
      </c>
      <c r="K24" s="834">
        <f t="shared" si="14"/>
        <v>0</v>
      </c>
      <c r="L24" s="1588"/>
      <c r="M24" s="1588"/>
      <c r="S24" s="437"/>
      <c r="T24" s="437"/>
      <c r="U24" s="437"/>
      <c r="V24" s="437"/>
      <c r="W24" s="437"/>
    </row>
    <row r="25" spans="1:23" s="437" customFormat="1" ht="37.5" customHeight="1" x14ac:dyDescent="0.25">
      <c r="A25" s="1589" t="s">
        <v>149</v>
      </c>
      <c r="B25" s="1541" t="s">
        <v>122</v>
      </c>
      <c r="C25" s="1541">
        <v>2018</v>
      </c>
      <c r="D25" s="831" t="s">
        <v>12</v>
      </c>
      <c r="E25" s="343">
        <f>E26</f>
        <v>1207000</v>
      </c>
      <c r="F25" s="834">
        <f>F26</f>
        <v>714460</v>
      </c>
      <c r="G25" s="834">
        <f t="shared" ref="G25:K25" si="15">G26</f>
        <v>714460</v>
      </c>
      <c r="H25" s="834">
        <f t="shared" si="15"/>
        <v>0</v>
      </c>
      <c r="I25" s="834">
        <f t="shared" si="15"/>
        <v>0</v>
      </c>
      <c r="J25" s="834">
        <f t="shared" si="15"/>
        <v>0</v>
      </c>
      <c r="K25" s="834">
        <f t="shared" si="15"/>
        <v>0</v>
      </c>
      <c r="L25" s="1541" t="s">
        <v>101</v>
      </c>
      <c r="M25" s="1541" t="s">
        <v>547</v>
      </c>
      <c r="N25" s="473" t="s">
        <v>1355</v>
      </c>
    </row>
    <row r="26" spans="1:23" s="437" customFormat="1" ht="43.5" customHeight="1" x14ac:dyDescent="0.25">
      <c r="A26" s="1589"/>
      <c r="B26" s="1541"/>
      <c r="C26" s="1541"/>
      <c r="D26" s="831" t="s">
        <v>13</v>
      </c>
      <c r="E26" s="343">
        <v>1207000</v>
      </c>
      <c r="F26" s="834">
        <f>G26+H26+I26+J26+K26</f>
        <v>714460</v>
      </c>
      <c r="G26" s="834">
        <f>'А П 1 '!I406</f>
        <v>714460</v>
      </c>
      <c r="H26" s="834">
        <f>'А П 1 '!J406</f>
        <v>0</v>
      </c>
      <c r="I26" s="834">
        <f>'А П 1 '!K406</f>
        <v>0</v>
      </c>
      <c r="J26" s="834">
        <f>'А П 1 '!L406</f>
        <v>0</v>
      </c>
      <c r="K26" s="834">
        <f>'А П 1 '!M406</f>
        <v>0</v>
      </c>
      <c r="L26" s="1541"/>
      <c r="M26" s="1541"/>
    </row>
    <row r="27" spans="1:23" s="437" customFormat="1" ht="35.25" customHeight="1" x14ac:dyDescent="0.25">
      <c r="A27" s="1589" t="s">
        <v>160</v>
      </c>
      <c r="B27" s="1541" t="s">
        <v>72</v>
      </c>
      <c r="C27" s="1541">
        <v>2018</v>
      </c>
      <c r="D27" s="831" t="s">
        <v>12</v>
      </c>
      <c r="E27" s="834">
        <f>E28</f>
        <v>31801</v>
      </c>
      <c r="F27" s="834">
        <f t="shared" ref="F27:K27" si="16">F28</f>
        <v>51513</v>
      </c>
      <c r="G27" s="834">
        <f>G28</f>
        <v>51513</v>
      </c>
      <c r="H27" s="834">
        <f t="shared" si="16"/>
        <v>0</v>
      </c>
      <c r="I27" s="834">
        <f t="shared" si="16"/>
        <v>0</v>
      </c>
      <c r="J27" s="834">
        <f t="shared" si="16"/>
        <v>0</v>
      </c>
      <c r="K27" s="834">
        <f t="shared" si="16"/>
        <v>0</v>
      </c>
      <c r="L27" s="1541" t="s">
        <v>71</v>
      </c>
      <c r="M27" s="1541" t="s">
        <v>548</v>
      </c>
    </row>
    <row r="28" spans="1:23" s="437" customFormat="1" ht="39.75" customHeight="1" x14ac:dyDescent="0.25">
      <c r="A28" s="1589"/>
      <c r="B28" s="1541"/>
      <c r="C28" s="1541"/>
      <c r="D28" s="831" t="s">
        <v>231</v>
      </c>
      <c r="E28" s="834">
        <v>31801</v>
      </c>
      <c r="F28" s="834">
        <f>G28+H28+I28+J28+K28</f>
        <v>51513</v>
      </c>
      <c r="G28" s="834">
        <v>51513</v>
      </c>
      <c r="H28" s="834">
        <v>0</v>
      </c>
      <c r="I28" s="834">
        <v>0</v>
      </c>
      <c r="J28" s="834">
        <v>0</v>
      </c>
      <c r="K28" s="834">
        <v>0</v>
      </c>
      <c r="L28" s="1541"/>
      <c r="M28" s="1541"/>
    </row>
    <row r="29" spans="1:23" s="437" customFormat="1" ht="36.75" customHeight="1" x14ac:dyDescent="0.25">
      <c r="A29" s="152"/>
      <c r="B29" s="345"/>
      <c r="C29" s="345"/>
      <c r="D29" s="345"/>
      <c r="E29" s="153"/>
      <c r="F29" s="153"/>
      <c r="G29" s="153"/>
      <c r="H29" s="153"/>
      <c r="I29" s="153"/>
      <c r="J29" s="153"/>
      <c r="K29" s="153"/>
      <c r="L29" s="345"/>
      <c r="M29" s="345"/>
    </row>
    <row r="30" spans="1:23" s="437" customFormat="1" ht="36.75" customHeight="1" x14ac:dyDescent="0.25">
      <c r="A30" s="152"/>
      <c r="B30" s="345"/>
      <c r="C30" s="345"/>
      <c r="D30" s="345"/>
      <c r="E30" s="153"/>
      <c r="F30" s="339"/>
      <c r="G30" s="339"/>
      <c r="H30" s="339"/>
      <c r="I30" s="339"/>
      <c r="J30" s="339"/>
      <c r="K30" s="339"/>
      <c r="L30" s="345"/>
      <c r="M30" s="345"/>
    </row>
    <row r="31" spans="1:23" s="437" customFormat="1" ht="36.75" customHeight="1" x14ac:dyDescent="0.25">
      <c r="A31" s="152"/>
      <c r="B31" s="345"/>
      <c r="C31" s="345"/>
      <c r="D31" s="345"/>
      <c r="E31" s="153"/>
      <c r="F31" s="339">
        <f>G31+H31+I31+J31+K31</f>
        <v>3113140</v>
      </c>
      <c r="G31" s="339">
        <f>G6+G23</f>
        <v>2765572</v>
      </c>
      <c r="H31" s="339">
        <f t="shared" ref="H31:K31" si="17">H6+H23</f>
        <v>347568</v>
      </c>
      <c r="I31" s="339">
        <f t="shared" si="17"/>
        <v>0</v>
      </c>
      <c r="J31" s="339">
        <f t="shared" si="17"/>
        <v>0</v>
      </c>
      <c r="K31" s="339">
        <f t="shared" si="17"/>
        <v>0</v>
      </c>
      <c r="L31" s="345"/>
      <c r="M31" s="345"/>
    </row>
    <row r="32" spans="1:23" s="437" customFormat="1" ht="36.75" customHeight="1" x14ac:dyDescent="0.25">
      <c r="A32" s="152"/>
      <c r="B32" s="345"/>
      <c r="C32" s="345"/>
      <c r="D32" s="345"/>
      <c r="E32" s="153"/>
      <c r="F32" s="339">
        <f>F7</f>
        <v>421609</v>
      </c>
      <c r="G32" s="339">
        <f>G7</f>
        <v>372542.84</v>
      </c>
      <c r="H32" s="339">
        <f t="shared" ref="H32:K32" si="18">H7</f>
        <v>49066.16</v>
      </c>
      <c r="I32" s="339">
        <f t="shared" si="18"/>
        <v>0</v>
      </c>
      <c r="J32" s="339">
        <f t="shared" si="18"/>
        <v>0</v>
      </c>
      <c r="K32" s="339">
        <f t="shared" si="18"/>
        <v>0</v>
      </c>
      <c r="L32" s="345"/>
      <c r="M32" s="345"/>
    </row>
    <row r="33" spans="1:23" s="437" customFormat="1" ht="36.75" customHeight="1" x14ac:dyDescent="0.25">
      <c r="A33" s="152"/>
      <c r="B33" s="345"/>
      <c r="C33" s="345"/>
      <c r="D33" s="345"/>
      <c r="E33" s="153"/>
      <c r="F33" s="339">
        <f>F8+F24</f>
        <v>87198.44</v>
      </c>
      <c r="G33" s="339">
        <f>G8+G24</f>
        <v>87198.44</v>
      </c>
      <c r="H33" s="339">
        <f t="shared" ref="H33:K33" si="19">H8+H24</f>
        <v>0</v>
      </c>
      <c r="I33" s="339">
        <f t="shared" si="19"/>
        <v>0</v>
      </c>
      <c r="J33" s="339">
        <f t="shared" si="19"/>
        <v>0</v>
      </c>
      <c r="K33" s="339">
        <f t="shared" si="19"/>
        <v>0</v>
      </c>
      <c r="L33" s="345"/>
      <c r="M33" s="345"/>
    </row>
    <row r="34" spans="1:23" s="437" customFormat="1" ht="36.75" customHeight="1" x14ac:dyDescent="0.25">
      <c r="A34" s="152"/>
      <c r="B34" s="345"/>
      <c r="C34" s="345"/>
      <c r="D34" s="345"/>
      <c r="E34" s="153"/>
      <c r="F34" s="153"/>
      <c r="G34" s="153"/>
      <c r="H34" s="153"/>
      <c r="I34" s="153"/>
      <c r="J34" s="153"/>
      <c r="K34" s="153"/>
      <c r="L34" s="345"/>
      <c r="M34" s="345"/>
    </row>
    <row r="35" spans="1:23" s="437" customFormat="1" ht="36.75" customHeight="1" x14ac:dyDescent="0.25">
      <c r="A35" s="152"/>
      <c r="B35" s="345"/>
      <c r="C35" s="345"/>
      <c r="D35" s="345"/>
      <c r="E35" s="153"/>
      <c r="F35" s="153"/>
      <c r="G35" s="153"/>
      <c r="H35" s="153"/>
      <c r="I35" s="153"/>
      <c r="J35" s="153"/>
      <c r="K35" s="153"/>
      <c r="L35" s="345"/>
      <c r="M35" s="345"/>
    </row>
    <row r="36" spans="1:23" s="437" customFormat="1" ht="36.75" customHeight="1" x14ac:dyDescent="0.25">
      <c r="A36" s="152"/>
      <c r="B36" s="345"/>
      <c r="C36" s="345"/>
      <c r="D36" s="345"/>
      <c r="E36" s="153"/>
      <c r="F36" s="153"/>
      <c r="G36" s="153"/>
      <c r="H36" s="153"/>
      <c r="I36" s="153"/>
      <c r="J36" s="153"/>
      <c r="K36" s="153"/>
      <c r="L36" s="345"/>
      <c r="M36" s="345"/>
    </row>
    <row r="37" spans="1:23" s="437" customFormat="1" ht="36.75" customHeight="1" x14ac:dyDescent="0.25">
      <c r="A37" s="152"/>
      <c r="B37" s="345"/>
      <c r="C37" s="345"/>
      <c r="D37" s="345"/>
      <c r="E37" s="153"/>
      <c r="F37" s="153"/>
      <c r="G37" s="153"/>
      <c r="H37" s="153"/>
      <c r="I37" s="153"/>
      <c r="J37" s="153"/>
      <c r="K37" s="153"/>
      <c r="L37" s="345"/>
      <c r="M37" s="345"/>
      <c r="S37" s="434"/>
      <c r="T37" s="434"/>
      <c r="U37" s="434"/>
      <c r="V37" s="434"/>
      <c r="W37" s="434"/>
    </row>
    <row r="38" spans="1:23" s="434" customFormat="1" ht="108" customHeight="1" x14ac:dyDescent="0.25">
      <c r="A38" s="438"/>
      <c r="B38" s="438"/>
      <c r="C38" s="345"/>
      <c r="D38" s="345"/>
      <c r="E38" s="439"/>
      <c r="F38" s="153"/>
      <c r="G38" s="153"/>
      <c r="H38" s="153"/>
      <c r="I38" s="153"/>
      <c r="J38" s="153"/>
      <c r="K38" s="153"/>
      <c r="L38" s="345"/>
      <c r="M38" s="345"/>
    </row>
    <row r="39" spans="1:23" s="434" customFormat="1" ht="23.4" customHeight="1" x14ac:dyDescent="0.25">
      <c r="A39" s="438"/>
      <c r="B39" s="438"/>
      <c r="C39" s="1596" t="s">
        <v>618</v>
      </c>
      <c r="D39" s="335" t="s">
        <v>12</v>
      </c>
      <c r="E39" s="283"/>
      <c r="F39" s="339">
        <f>F40+F41+F42</f>
        <v>3621947.44</v>
      </c>
      <c r="G39" s="339">
        <f>G40+G41+G42</f>
        <v>3225313.2799999998</v>
      </c>
      <c r="H39" s="339">
        <f t="shared" ref="H39:K39" si="20">H40+H41+H42</f>
        <v>396634.16</v>
      </c>
      <c r="I39" s="339">
        <f t="shared" si="20"/>
        <v>0</v>
      </c>
      <c r="J39" s="339">
        <f t="shared" si="20"/>
        <v>0</v>
      </c>
      <c r="K39" s="339">
        <f t="shared" si="20"/>
        <v>0</v>
      </c>
      <c r="L39" s="438"/>
      <c r="M39" s="438"/>
    </row>
    <row r="40" spans="1:23" s="434" customFormat="1" ht="27" customHeight="1" x14ac:dyDescent="0.25">
      <c r="A40" s="438"/>
      <c r="B40" s="438"/>
      <c r="C40" s="1596"/>
      <c r="D40" s="332" t="s">
        <v>13</v>
      </c>
      <c r="E40" s="339"/>
      <c r="F40" s="339">
        <f>G40+H40+I40+J40+K40</f>
        <v>3113140</v>
      </c>
      <c r="G40" s="339">
        <f>G6+G23</f>
        <v>2765572</v>
      </c>
      <c r="H40" s="339">
        <f t="shared" ref="H40:K40" si="21">H6+H23</f>
        <v>347568</v>
      </c>
      <c r="I40" s="339">
        <f t="shared" si="21"/>
        <v>0</v>
      </c>
      <c r="J40" s="339">
        <f t="shared" si="21"/>
        <v>0</v>
      </c>
      <c r="K40" s="339">
        <f t="shared" si="21"/>
        <v>0</v>
      </c>
      <c r="L40" s="438"/>
      <c r="M40" s="438"/>
    </row>
    <row r="41" spans="1:23" s="434" customFormat="1" ht="54.6" customHeight="1" x14ac:dyDescent="0.25">
      <c r="A41" s="438"/>
      <c r="B41" s="438"/>
      <c r="C41" s="1596"/>
      <c r="D41" s="332" t="s">
        <v>14</v>
      </c>
      <c r="E41" s="339"/>
      <c r="F41" s="339">
        <f t="shared" ref="F41:F42" si="22">G41+H41+I41+J41+K41</f>
        <v>421609</v>
      </c>
      <c r="G41" s="339">
        <f>G7</f>
        <v>372542.84</v>
      </c>
      <c r="H41" s="339">
        <f t="shared" ref="H41:K41" si="23">H7</f>
        <v>49066.16</v>
      </c>
      <c r="I41" s="339">
        <f t="shared" si="23"/>
        <v>0</v>
      </c>
      <c r="J41" s="339">
        <f t="shared" si="23"/>
        <v>0</v>
      </c>
      <c r="K41" s="339">
        <f t="shared" si="23"/>
        <v>0</v>
      </c>
      <c r="L41" s="438"/>
      <c r="M41" s="438"/>
    </row>
    <row r="42" spans="1:23" s="434" customFormat="1" ht="27.6" customHeight="1" x14ac:dyDescent="0.25">
      <c r="A42" s="438"/>
      <c r="B42" s="438"/>
      <c r="C42" s="1596"/>
      <c r="D42" s="332" t="s">
        <v>231</v>
      </c>
      <c r="E42" s="339"/>
      <c r="F42" s="339">
        <f t="shared" si="22"/>
        <v>87198.44</v>
      </c>
      <c r="G42" s="339">
        <f>G8+G24</f>
        <v>87198.44</v>
      </c>
      <c r="H42" s="339">
        <f t="shared" ref="H42:K42" si="24">H8+H24</f>
        <v>0</v>
      </c>
      <c r="I42" s="339">
        <f t="shared" si="24"/>
        <v>0</v>
      </c>
      <c r="J42" s="339">
        <f t="shared" si="24"/>
        <v>0</v>
      </c>
      <c r="K42" s="339">
        <f t="shared" si="24"/>
        <v>0</v>
      </c>
      <c r="L42" s="438"/>
      <c r="M42" s="438"/>
    </row>
    <row r="43" spans="1:23" s="434" customFormat="1" ht="27" customHeight="1" x14ac:dyDescent="0.25">
      <c r="A43" s="152"/>
      <c r="B43" s="440"/>
      <c r="C43" s="441"/>
      <c r="D43" s="440"/>
      <c r="E43" s="442"/>
      <c r="F43" s="443"/>
      <c r="G43" s="443"/>
      <c r="H43" s="443"/>
      <c r="I43" s="443"/>
      <c r="J43" s="443"/>
      <c r="K43" s="443"/>
      <c r="L43" s="440"/>
      <c r="M43" s="440"/>
    </row>
    <row r="44" spans="1:23" s="434" customFormat="1" ht="56.4" customHeight="1" x14ac:dyDescent="0.25">
      <c r="A44" s="152"/>
      <c r="B44" s="440"/>
      <c r="C44" s="441"/>
      <c r="D44" s="440"/>
      <c r="E44" s="442"/>
      <c r="F44" s="443"/>
      <c r="G44" s="443"/>
      <c r="H44" s="443"/>
      <c r="I44" s="443"/>
      <c r="J44" s="443"/>
      <c r="K44" s="443"/>
      <c r="L44" s="440"/>
      <c r="M44" s="440"/>
    </row>
    <row r="45" spans="1:23" s="434" customFormat="1" ht="30" customHeight="1" x14ac:dyDescent="0.25">
      <c r="A45" s="152"/>
      <c r="B45" s="440"/>
      <c r="C45" s="441"/>
      <c r="D45" s="440"/>
      <c r="E45" s="442"/>
      <c r="F45" s="443"/>
      <c r="G45" s="443"/>
      <c r="H45" s="443"/>
      <c r="I45" s="443"/>
      <c r="J45" s="443"/>
      <c r="K45" s="443"/>
      <c r="L45" s="440"/>
      <c r="M45" s="440"/>
    </row>
    <row r="46" spans="1:23" s="434" customFormat="1" ht="22.2" customHeight="1" x14ac:dyDescent="0.25">
      <c r="A46" s="1594"/>
      <c r="B46" s="1592"/>
      <c r="C46" s="1595"/>
      <c r="D46" s="440"/>
      <c r="E46" s="442"/>
      <c r="F46" s="443"/>
      <c r="G46" s="443"/>
      <c r="H46" s="443"/>
      <c r="I46" s="443"/>
      <c r="J46" s="443"/>
      <c r="K46" s="443"/>
      <c r="L46" s="1592"/>
      <c r="M46" s="1592"/>
    </row>
    <row r="47" spans="1:23" s="434" customFormat="1" ht="27.6" customHeight="1" x14ac:dyDescent="0.25">
      <c r="A47" s="1594"/>
      <c r="B47" s="1592"/>
      <c r="C47" s="1595"/>
      <c r="D47" s="326"/>
      <c r="E47" s="442"/>
      <c r="F47" s="443"/>
      <c r="G47" s="443"/>
      <c r="H47" s="443"/>
      <c r="I47" s="443"/>
      <c r="J47" s="443"/>
      <c r="K47" s="443"/>
      <c r="L47" s="1593"/>
      <c r="M47" s="1593"/>
    </row>
    <row r="48" spans="1:23" s="434" customFormat="1" ht="58.2" customHeight="1" x14ac:dyDescent="0.25">
      <c r="A48" s="1594"/>
      <c r="B48" s="1592"/>
      <c r="C48" s="1595"/>
      <c r="D48" s="326"/>
      <c r="E48" s="442"/>
      <c r="F48" s="443"/>
      <c r="G48" s="443"/>
      <c r="H48" s="443"/>
      <c r="I48" s="443"/>
      <c r="J48" s="443"/>
      <c r="K48" s="443"/>
      <c r="L48" s="1593"/>
      <c r="M48" s="1593"/>
    </row>
    <row r="49" spans="1:13" s="434" customFormat="1" ht="27.6" customHeight="1" x14ac:dyDescent="0.25">
      <c r="A49" s="1594"/>
      <c r="B49" s="1592"/>
      <c r="C49" s="1595"/>
      <c r="D49" s="326"/>
      <c r="E49" s="442"/>
      <c r="F49" s="443"/>
      <c r="G49" s="443"/>
      <c r="H49" s="443"/>
      <c r="I49" s="443"/>
      <c r="J49" s="443"/>
      <c r="K49" s="443"/>
      <c r="L49" s="1593"/>
      <c r="M49" s="1593"/>
    </row>
    <row r="50" spans="1:13" s="434" customFormat="1" ht="32.25" customHeight="1" x14ac:dyDescent="0.25">
      <c r="A50" s="1594"/>
      <c r="B50" s="1592"/>
      <c r="C50" s="1595"/>
      <c r="D50" s="440"/>
      <c r="E50" s="442"/>
      <c r="F50" s="443"/>
      <c r="G50" s="443"/>
      <c r="H50" s="443"/>
      <c r="I50" s="443"/>
      <c r="J50" s="443"/>
      <c r="K50" s="443"/>
      <c r="L50" s="1592"/>
      <c r="M50" s="1592"/>
    </row>
    <row r="51" spans="1:13" s="434" customFormat="1" x14ac:dyDescent="0.25">
      <c r="A51" s="1594"/>
      <c r="B51" s="1592"/>
      <c r="C51" s="1595"/>
      <c r="D51" s="326"/>
      <c r="E51" s="442"/>
      <c r="F51" s="443"/>
      <c r="G51" s="443"/>
      <c r="H51" s="443"/>
      <c r="I51" s="443"/>
      <c r="J51" s="443"/>
      <c r="K51" s="443"/>
      <c r="L51" s="1593"/>
      <c r="M51" s="1593"/>
    </row>
    <row r="52" spans="1:13" s="434" customFormat="1" ht="68.25" customHeight="1" x14ac:dyDescent="0.25">
      <c r="A52" s="1594"/>
      <c r="B52" s="1592"/>
      <c r="C52" s="1595"/>
      <c r="D52" s="326"/>
      <c r="E52" s="442"/>
      <c r="F52" s="443"/>
      <c r="G52" s="443"/>
      <c r="H52" s="443"/>
      <c r="I52" s="443"/>
      <c r="J52" s="443"/>
      <c r="K52" s="443"/>
      <c r="L52" s="1593"/>
      <c r="M52" s="1593"/>
    </row>
    <row r="53" spans="1:13" s="434" customFormat="1" ht="31.2" customHeight="1" x14ac:dyDescent="0.25">
      <c r="A53" s="1594"/>
      <c r="B53" s="1592"/>
      <c r="C53" s="1595"/>
      <c r="D53" s="326"/>
      <c r="E53" s="442"/>
      <c r="F53" s="443"/>
      <c r="G53" s="443"/>
      <c r="H53" s="443"/>
      <c r="I53" s="443"/>
      <c r="J53" s="443"/>
      <c r="K53" s="443"/>
      <c r="L53" s="1593"/>
      <c r="M53" s="1593"/>
    </row>
    <row r="54" spans="1:13" s="434" customFormat="1" ht="26.4" customHeight="1" x14ac:dyDescent="0.25">
      <c r="A54" s="1594"/>
      <c r="B54" s="1592"/>
      <c r="C54" s="1594"/>
      <c r="D54" s="326"/>
      <c r="E54" s="442"/>
      <c r="F54" s="443"/>
      <c r="G54" s="443"/>
      <c r="H54" s="443"/>
      <c r="I54" s="443"/>
      <c r="J54" s="443"/>
      <c r="K54" s="443"/>
      <c r="L54" s="1598"/>
      <c r="M54" s="1592"/>
    </row>
    <row r="55" spans="1:13" s="434" customFormat="1" ht="93" customHeight="1" x14ac:dyDescent="0.25">
      <c r="A55" s="1594"/>
      <c r="B55" s="1592"/>
      <c r="C55" s="1594"/>
      <c r="D55" s="326"/>
      <c r="E55" s="442"/>
      <c r="F55" s="443"/>
      <c r="G55" s="443"/>
      <c r="H55" s="443"/>
      <c r="I55" s="443"/>
      <c r="J55" s="443"/>
      <c r="K55" s="443"/>
      <c r="L55" s="1598"/>
      <c r="M55" s="1592"/>
    </row>
    <row r="56" spans="1:13" s="434" customFormat="1" ht="26.4" customHeight="1" x14ac:dyDescent="0.25">
      <c r="A56" s="1594"/>
      <c r="B56" s="1597"/>
      <c r="C56" s="1594"/>
      <c r="D56" s="326"/>
      <c r="E56" s="439"/>
      <c r="F56" s="153"/>
      <c r="G56" s="153"/>
      <c r="H56" s="153"/>
      <c r="I56" s="153"/>
      <c r="J56" s="153"/>
      <c r="K56" s="153"/>
      <c r="L56" s="1598"/>
      <c r="M56" s="1592"/>
    </row>
    <row r="57" spans="1:13" s="434" customFormat="1" ht="82.95" customHeight="1" x14ac:dyDescent="0.25">
      <c r="A57" s="1594"/>
      <c r="B57" s="1597"/>
      <c r="C57" s="1594"/>
      <c r="D57" s="326"/>
      <c r="E57" s="439"/>
      <c r="F57" s="153"/>
      <c r="G57" s="153"/>
      <c r="H57" s="153"/>
      <c r="I57" s="153"/>
      <c r="J57" s="153"/>
      <c r="K57" s="153"/>
      <c r="L57" s="1598"/>
      <c r="M57" s="1592"/>
    </row>
    <row r="58" spans="1:13" s="434" customFormat="1" ht="36" customHeight="1" x14ac:dyDescent="0.25">
      <c r="A58" s="1594"/>
      <c r="B58" s="1597"/>
      <c r="C58" s="1594"/>
      <c r="D58" s="326"/>
      <c r="E58" s="439"/>
      <c r="F58" s="153"/>
      <c r="G58" s="153"/>
      <c r="H58" s="153"/>
      <c r="I58" s="153"/>
      <c r="J58" s="153"/>
      <c r="K58" s="153"/>
      <c r="L58" s="1598"/>
      <c r="M58" s="1592"/>
    </row>
    <row r="59" spans="1:13" s="434" customFormat="1" ht="73.2" customHeight="1" x14ac:dyDescent="0.25">
      <c r="A59" s="1594"/>
      <c r="B59" s="1597"/>
      <c r="C59" s="1594"/>
      <c r="D59" s="326"/>
      <c r="E59" s="439"/>
      <c r="F59" s="153"/>
      <c r="G59" s="153"/>
      <c r="H59" s="153"/>
      <c r="I59" s="153"/>
      <c r="J59" s="153"/>
      <c r="K59" s="153"/>
      <c r="L59" s="1598"/>
      <c r="M59" s="1592"/>
    </row>
    <row r="60" spans="1:13" s="434" customFormat="1" ht="41.4" customHeight="1" x14ac:dyDescent="0.25">
      <c r="A60" s="438"/>
      <c r="B60" s="345"/>
      <c r="C60" s="444"/>
      <c r="D60" s="1598"/>
      <c r="E60" s="1598"/>
      <c r="F60" s="1598"/>
      <c r="G60" s="1598"/>
      <c r="H60" s="1598"/>
      <c r="I60" s="1598"/>
      <c r="J60" s="1598"/>
      <c r="K60" s="1598"/>
      <c r="L60" s="444"/>
      <c r="M60" s="444"/>
    </row>
    <row r="61" spans="1:13" s="434" customFormat="1" ht="91.95" customHeight="1" x14ac:dyDescent="0.25">
      <c r="A61" s="438"/>
      <c r="B61" s="345"/>
      <c r="C61" s="438"/>
      <c r="D61" s="345"/>
      <c r="E61" s="413"/>
      <c r="F61" s="413"/>
      <c r="G61" s="1599"/>
      <c r="H61" s="1599"/>
      <c r="I61" s="1599"/>
      <c r="J61" s="413"/>
      <c r="K61" s="413"/>
      <c r="L61" s="345"/>
      <c r="M61" s="345"/>
    </row>
    <row r="62" spans="1:13" s="434" customFormat="1" ht="174" customHeight="1" x14ac:dyDescent="0.25">
      <c r="A62" s="438"/>
      <c r="B62" s="345"/>
      <c r="C62" s="438"/>
      <c r="D62" s="345"/>
      <c r="E62" s="413"/>
      <c r="F62" s="413"/>
      <c r="G62" s="413"/>
      <c r="H62" s="413"/>
      <c r="I62" s="413"/>
      <c r="J62" s="413"/>
      <c r="K62" s="413"/>
      <c r="L62" s="345"/>
      <c r="M62" s="345"/>
    </row>
    <row r="63" spans="1:13" s="434" customFormat="1" ht="9" customHeight="1" x14ac:dyDescent="0.25">
      <c r="A63" s="438"/>
      <c r="B63" s="345"/>
      <c r="C63" s="438"/>
      <c r="D63" s="345"/>
      <c r="E63" s="413"/>
      <c r="F63" s="413"/>
      <c r="G63" s="413"/>
      <c r="H63" s="413"/>
      <c r="I63" s="413"/>
      <c r="J63" s="413"/>
      <c r="K63" s="413"/>
      <c r="L63" s="345"/>
      <c r="M63" s="345"/>
    </row>
    <row r="64" spans="1:13" s="434" customFormat="1" ht="180.6" customHeight="1" x14ac:dyDescent="0.25">
      <c r="A64" s="1598"/>
      <c r="B64" s="1598"/>
      <c r="C64" s="1598"/>
      <c r="D64" s="1598"/>
      <c r="E64" s="1598"/>
      <c r="F64" s="1598"/>
      <c r="G64" s="1598"/>
      <c r="H64" s="1598"/>
      <c r="I64" s="1598"/>
      <c r="J64" s="1598"/>
      <c r="K64" s="1598"/>
      <c r="L64" s="1598"/>
      <c r="M64" s="1598"/>
    </row>
    <row r="65" spans="1:13" s="434" customFormat="1" ht="45.75" customHeight="1" x14ac:dyDescent="0.25">
      <c r="A65" s="1597"/>
      <c r="B65" s="1594"/>
      <c r="C65" s="1594"/>
      <c r="D65" s="1594"/>
      <c r="E65" s="1594"/>
      <c r="F65" s="1594"/>
      <c r="G65" s="1594"/>
      <c r="H65" s="1594"/>
      <c r="I65" s="1594"/>
      <c r="J65" s="1594"/>
      <c r="K65" s="1594"/>
      <c r="L65" s="1594"/>
      <c r="M65" s="1594"/>
    </row>
    <row r="66" spans="1:13" s="434" customFormat="1" ht="84.6" customHeight="1" x14ac:dyDescent="0.25">
      <c r="A66" s="152"/>
      <c r="B66" s="445"/>
      <c r="C66" s="445"/>
      <c r="D66" s="446"/>
      <c r="E66" s="447"/>
      <c r="F66" s="448"/>
      <c r="G66" s="448"/>
      <c r="H66" s="448"/>
      <c r="I66" s="448"/>
      <c r="J66" s="448"/>
      <c r="K66" s="448"/>
      <c r="L66" s="445"/>
      <c r="M66" s="446"/>
    </row>
    <row r="67" spans="1:13" s="434" customFormat="1" ht="51.75" customHeight="1" x14ac:dyDescent="0.25">
      <c r="A67" s="152"/>
      <c r="B67" s="445"/>
      <c r="C67" s="449"/>
      <c r="D67" s="449"/>
      <c r="E67" s="450"/>
      <c r="F67" s="451"/>
      <c r="G67" s="451"/>
      <c r="H67" s="451"/>
      <c r="I67" s="451"/>
      <c r="J67" s="451"/>
      <c r="K67" s="451"/>
      <c r="L67" s="446"/>
      <c r="M67" s="446"/>
    </row>
    <row r="68" spans="1:13" s="434" customFormat="1" ht="49.5" customHeight="1" x14ac:dyDescent="0.25">
      <c r="A68" s="152"/>
      <c r="B68" s="445"/>
      <c r="C68" s="452"/>
      <c r="D68" s="446"/>
      <c r="E68" s="450"/>
      <c r="F68" s="451"/>
      <c r="G68" s="451"/>
      <c r="H68" s="451"/>
      <c r="I68" s="451"/>
      <c r="J68" s="451"/>
      <c r="K68" s="451"/>
      <c r="L68" s="449"/>
      <c r="M68" s="449"/>
    </row>
    <row r="69" spans="1:13" s="434" customFormat="1" ht="100.95" customHeight="1" x14ac:dyDescent="0.25">
      <c r="A69" s="152"/>
      <c r="B69" s="445"/>
      <c r="C69" s="449"/>
      <c r="D69" s="446"/>
      <c r="E69" s="450"/>
      <c r="F69" s="451"/>
      <c r="G69" s="451"/>
      <c r="H69" s="451"/>
      <c r="I69" s="451"/>
      <c r="J69" s="451"/>
      <c r="K69" s="451"/>
      <c r="L69" s="449"/>
      <c r="M69" s="449"/>
    </row>
    <row r="70" spans="1:13" s="434" customFormat="1" ht="15" customHeight="1" x14ac:dyDescent="0.25">
      <c r="A70" s="453"/>
      <c r="B70" s="446"/>
      <c r="C70" s="449"/>
      <c r="D70" s="449"/>
      <c r="E70" s="450"/>
      <c r="F70" s="451"/>
      <c r="G70" s="451"/>
      <c r="H70" s="451"/>
      <c r="I70" s="451"/>
      <c r="J70" s="451"/>
      <c r="K70" s="451"/>
      <c r="L70" s="446"/>
      <c r="M70" s="446"/>
    </row>
    <row r="71" spans="1:13" s="434" customFormat="1" ht="142.94999999999999" customHeight="1" x14ac:dyDescent="0.25">
      <c r="A71" s="453"/>
      <c r="B71" s="446"/>
      <c r="C71" s="452"/>
      <c r="D71" s="446"/>
      <c r="E71" s="450"/>
      <c r="F71" s="451"/>
      <c r="G71" s="451"/>
      <c r="H71" s="451"/>
      <c r="I71" s="451"/>
      <c r="J71" s="451"/>
      <c r="K71" s="451"/>
      <c r="L71" s="446"/>
      <c r="M71" s="446"/>
    </row>
    <row r="72" spans="1:13" s="434" customFormat="1" ht="55.2" customHeight="1" x14ac:dyDescent="0.25">
      <c r="A72" s="453"/>
      <c r="B72" s="446"/>
      <c r="C72" s="454"/>
      <c r="D72" s="446"/>
      <c r="E72" s="450"/>
      <c r="F72" s="451"/>
      <c r="G72" s="451"/>
      <c r="H72" s="451"/>
      <c r="I72" s="451"/>
      <c r="J72" s="451"/>
      <c r="K72" s="451"/>
      <c r="L72" s="446"/>
      <c r="M72" s="446"/>
    </row>
    <row r="73" spans="1:13" s="434" customFormat="1" ht="57" customHeight="1" x14ac:dyDescent="0.25">
      <c r="A73" s="453"/>
      <c r="B73" s="446"/>
      <c r="C73" s="454"/>
      <c r="D73" s="446"/>
      <c r="E73" s="450"/>
      <c r="F73" s="451"/>
      <c r="G73" s="451"/>
      <c r="H73" s="451"/>
      <c r="I73" s="451"/>
      <c r="J73" s="451"/>
      <c r="K73" s="451"/>
      <c r="L73" s="446"/>
      <c r="M73" s="446"/>
    </row>
    <row r="74" spans="1:13" s="434" customFormat="1" x14ac:dyDescent="0.25">
      <c r="A74" s="152"/>
      <c r="B74" s="446"/>
      <c r="C74" s="449"/>
      <c r="D74" s="449"/>
      <c r="E74" s="450"/>
      <c r="F74" s="451"/>
      <c r="G74" s="451"/>
      <c r="H74" s="451"/>
      <c r="I74" s="451"/>
      <c r="J74" s="451"/>
      <c r="K74" s="451"/>
      <c r="L74" s="446"/>
      <c r="M74" s="446"/>
    </row>
    <row r="75" spans="1:13" s="434" customFormat="1" ht="41.4" customHeight="1" x14ac:dyDescent="0.25">
      <c r="A75" s="152"/>
      <c r="B75" s="446"/>
      <c r="C75" s="449"/>
      <c r="D75" s="446"/>
      <c r="E75" s="450"/>
      <c r="F75" s="451"/>
      <c r="G75" s="451"/>
      <c r="H75" s="451"/>
      <c r="I75" s="451"/>
      <c r="J75" s="451"/>
      <c r="K75" s="451"/>
      <c r="L75" s="446"/>
      <c r="M75" s="446"/>
    </row>
    <row r="76" spans="1:13" s="434" customFormat="1" ht="99.75" customHeight="1" x14ac:dyDescent="0.25">
      <c r="A76" s="152"/>
      <c r="B76" s="446"/>
      <c r="C76" s="449"/>
      <c r="D76" s="446"/>
      <c r="E76" s="450"/>
      <c r="F76" s="451"/>
      <c r="G76" s="451"/>
      <c r="H76" s="451"/>
      <c r="I76" s="451"/>
      <c r="J76" s="451"/>
      <c r="K76" s="451"/>
      <c r="L76" s="446"/>
      <c r="M76" s="446"/>
    </row>
    <row r="77" spans="1:13" s="434" customFormat="1" ht="27" customHeight="1" x14ac:dyDescent="0.25">
      <c r="A77" s="152"/>
      <c r="B77" s="446"/>
      <c r="C77" s="454"/>
      <c r="D77" s="449"/>
      <c r="E77" s="450"/>
      <c r="F77" s="451"/>
      <c r="G77" s="451"/>
      <c r="H77" s="451"/>
      <c r="I77" s="451"/>
      <c r="J77" s="451"/>
      <c r="K77" s="451"/>
      <c r="L77" s="446"/>
      <c r="M77" s="446"/>
    </row>
    <row r="78" spans="1:13" s="434" customFormat="1" ht="79.5" customHeight="1" x14ac:dyDescent="0.25">
      <c r="A78" s="152"/>
      <c r="B78" s="449"/>
      <c r="C78" s="454"/>
      <c r="D78" s="446"/>
      <c r="E78" s="450"/>
      <c r="F78" s="451"/>
      <c r="G78" s="451"/>
      <c r="H78" s="451"/>
      <c r="I78" s="451"/>
      <c r="J78" s="451"/>
      <c r="K78" s="451"/>
      <c r="L78" s="449"/>
      <c r="M78" s="449"/>
    </row>
    <row r="79" spans="1:13" s="434" customFormat="1" ht="96" hidden="1" customHeight="1" x14ac:dyDescent="0.25">
      <c r="A79" s="152"/>
      <c r="B79" s="449"/>
      <c r="C79" s="449"/>
      <c r="D79" s="449"/>
      <c r="E79" s="450"/>
      <c r="F79" s="451"/>
      <c r="G79" s="451"/>
      <c r="H79" s="451"/>
      <c r="I79" s="451"/>
      <c r="J79" s="451"/>
      <c r="K79" s="451"/>
      <c r="L79" s="449"/>
      <c r="M79" s="449"/>
    </row>
    <row r="80" spans="1:13" s="434" customFormat="1" ht="96" hidden="1" customHeight="1" x14ac:dyDescent="0.25">
      <c r="A80" s="152"/>
      <c r="B80" s="449"/>
      <c r="C80" s="449"/>
      <c r="D80" s="449"/>
      <c r="E80" s="450"/>
      <c r="F80" s="451"/>
      <c r="G80" s="451"/>
      <c r="H80" s="451"/>
      <c r="I80" s="451"/>
      <c r="J80" s="451"/>
      <c r="K80" s="451"/>
      <c r="L80" s="449"/>
      <c r="M80" s="449"/>
    </row>
    <row r="81" spans="1:13" s="434" customFormat="1" ht="96" hidden="1" customHeight="1" x14ac:dyDescent="0.25">
      <c r="A81" s="152"/>
      <c r="B81" s="449"/>
      <c r="C81" s="449"/>
      <c r="D81" s="449"/>
      <c r="E81" s="450"/>
      <c r="F81" s="451"/>
      <c r="G81" s="451"/>
      <c r="H81" s="451"/>
      <c r="I81" s="451"/>
      <c r="J81" s="451"/>
      <c r="K81" s="451"/>
      <c r="L81" s="449"/>
      <c r="M81" s="449"/>
    </row>
    <row r="82" spans="1:13" s="434" customFormat="1" ht="96" hidden="1" customHeight="1" x14ac:dyDescent="0.25">
      <c r="A82" s="152"/>
      <c r="B82" s="449"/>
      <c r="C82" s="449"/>
      <c r="D82" s="449"/>
      <c r="E82" s="450"/>
      <c r="F82" s="451"/>
      <c r="G82" s="451"/>
      <c r="H82" s="451"/>
      <c r="I82" s="451"/>
      <c r="J82" s="451"/>
      <c r="K82" s="451"/>
      <c r="L82" s="449"/>
      <c r="M82" s="449"/>
    </row>
    <row r="83" spans="1:13" s="434" customFormat="1" ht="96" hidden="1" customHeight="1" x14ac:dyDescent="0.25">
      <c r="A83" s="152"/>
      <c r="B83" s="449"/>
      <c r="C83" s="449"/>
      <c r="D83" s="449"/>
      <c r="E83" s="450"/>
      <c r="F83" s="451"/>
      <c r="G83" s="451"/>
      <c r="H83" s="451"/>
      <c r="I83" s="451"/>
      <c r="J83" s="451"/>
      <c r="K83" s="451"/>
      <c r="L83" s="449"/>
      <c r="M83" s="449"/>
    </row>
    <row r="84" spans="1:13" s="434" customFormat="1" ht="96" hidden="1" customHeight="1" x14ac:dyDescent="0.25">
      <c r="A84" s="152"/>
      <c r="B84" s="449"/>
      <c r="C84" s="449"/>
      <c r="D84" s="449"/>
      <c r="E84" s="450"/>
      <c r="F84" s="451"/>
      <c r="G84" s="451"/>
      <c r="H84" s="451"/>
      <c r="I84" s="451"/>
      <c r="J84" s="451"/>
      <c r="K84" s="451"/>
      <c r="L84" s="449"/>
      <c r="M84" s="449"/>
    </row>
    <row r="85" spans="1:13" s="434" customFormat="1" ht="96" hidden="1" customHeight="1" x14ac:dyDescent="0.25">
      <c r="A85" s="152"/>
      <c r="B85" s="449"/>
      <c r="C85" s="449"/>
      <c r="D85" s="449"/>
      <c r="E85" s="450"/>
      <c r="F85" s="451"/>
      <c r="G85" s="451"/>
      <c r="H85" s="451"/>
      <c r="I85" s="451"/>
      <c r="J85" s="451"/>
      <c r="K85" s="451"/>
      <c r="L85" s="449"/>
      <c r="M85" s="449"/>
    </row>
    <row r="86" spans="1:13" s="434" customFormat="1" ht="96" hidden="1" customHeight="1" x14ac:dyDescent="0.25">
      <c r="A86" s="152"/>
      <c r="B86" s="449"/>
      <c r="C86" s="449"/>
      <c r="D86" s="449"/>
      <c r="E86" s="450"/>
      <c r="F86" s="451"/>
      <c r="G86" s="451"/>
      <c r="H86" s="451"/>
      <c r="I86" s="451"/>
      <c r="J86" s="451"/>
      <c r="K86" s="451"/>
      <c r="L86" s="449"/>
      <c r="M86" s="449"/>
    </row>
    <row r="87" spans="1:13" s="434" customFormat="1" ht="15" customHeight="1" x14ac:dyDescent="0.25">
      <c r="A87" s="152"/>
      <c r="B87" s="446"/>
      <c r="C87" s="449"/>
      <c r="D87" s="446"/>
      <c r="E87" s="450"/>
      <c r="F87" s="451"/>
      <c r="G87" s="451"/>
      <c r="H87" s="451"/>
      <c r="I87" s="451"/>
      <c r="J87" s="451"/>
      <c r="K87" s="451"/>
      <c r="L87" s="446"/>
      <c r="M87" s="446"/>
    </row>
    <row r="88" spans="1:13" s="434" customFormat="1" ht="106.95" customHeight="1" x14ac:dyDescent="0.25">
      <c r="A88" s="152"/>
      <c r="B88" s="446"/>
      <c r="C88" s="449"/>
      <c r="D88" s="446"/>
      <c r="E88" s="450"/>
      <c r="F88" s="451"/>
      <c r="G88" s="451"/>
      <c r="H88" s="451"/>
      <c r="I88" s="451"/>
      <c r="J88" s="451"/>
      <c r="K88" s="451"/>
      <c r="L88" s="446"/>
      <c r="M88" s="446"/>
    </row>
    <row r="89" spans="1:13" s="434" customFormat="1" ht="274.2" customHeight="1" x14ac:dyDescent="0.25">
      <c r="A89" s="152"/>
      <c r="B89" s="446"/>
      <c r="C89" s="452"/>
      <c r="D89" s="446"/>
      <c r="E89" s="447"/>
      <c r="F89" s="451"/>
      <c r="G89" s="451"/>
      <c r="H89" s="451"/>
      <c r="I89" s="451"/>
      <c r="J89" s="451"/>
      <c r="K89" s="451"/>
      <c r="L89" s="446"/>
      <c r="M89" s="446"/>
    </row>
    <row r="90" spans="1:13" s="434" customFormat="1" ht="147.6" customHeight="1" x14ac:dyDescent="0.25">
      <c r="A90" s="152"/>
      <c r="B90" s="446"/>
      <c r="C90" s="449"/>
      <c r="D90" s="446"/>
      <c r="E90" s="447"/>
      <c r="F90" s="448"/>
      <c r="G90" s="448"/>
      <c r="H90" s="448"/>
      <c r="I90" s="448"/>
      <c r="J90" s="448"/>
      <c r="K90" s="448"/>
      <c r="L90" s="446"/>
      <c r="M90" s="446"/>
    </row>
    <row r="91" spans="1:13" s="434" customFormat="1" ht="18" customHeight="1" x14ac:dyDescent="0.25">
      <c r="A91" s="152"/>
      <c r="B91" s="446"/>
      <c r="C91" s="449"/>
      <c r="D91" s="446"/>
      <c r="E91" s="447"/>
      <c r="F91" s="448"/>
      <c r="G91" s="448"/>
      <c r="H91" s="448"/>
      <c r="I91" s="448"/>
      <c r="J91" s="448"/>
      <c r="K91" s="448"/>
      <c r="L91" s="446"/>
      <c r="M91" s="446"/>
    </row>
    <row r="92" spans="1:13" s="434" customFormat="1" ht="84" customHeight="1" x14ac:dyDescent="0.25">
      <c r="A92" s="152"/>
      <c r="B92" s="446"/>
      <c r="C92" s="449"/>
      <c r="D92" s="446"/>
      <c r="E92" s="450"/>
      <c r="F92" s="451"/>
      <c r="G92" s="451"/>
      <c r="H92" s="451"/>
      <c r="I92" s="451"/>
      <c r="J92" s="451"/>
      <c r="K92" s="451"/>
      <c r="L92" s="446"/>
      <c r="M92" s="446"/>
    </row>
    <row r="93" spans="1:13" s="434" customFormat="1" ht="42" customHeight="1" x14ac:dyDescent="0.25">
      <c r="A93" s="152"/>
      <c r="B93" s="446"/>
      <c r="C93" s="449"/>
      <c r="D93" s="446"/>
      <c r="E93" s="450"/>
      <c r="F93" s="451"/>
      <c r="G93" s="451"/>
      <c r="H93" s="451"/>
      <c r="I93" s="451"/>
      <c r="J93" s="451"/>
      <c r="K93" s="451"/>
      <c r="L93" s="446"/>
      <c r="M93" s="446"/>
    </row>
    <row r="94" spans="1:13" s="434" customFormat="1" x14ac:dyDescent="0.25">
      <c r="A94" s="152"/>
      <c r="B94" s="446"/>
      <c r="C94" s="452"/>
      <c r="D94" s="446"/>
      <c r="E94" s="450"/>
      <c r="F94" s="451"/>
      <c r="G94" s="451"/>
      <c r="H94" s="451"/>
      <c r="I94" s="451"/>
      <c r="J94" s="451"/>
      <c r="K94" s="451"/>
      <c r="L94" s="446"/>
      <c r="M94" s="446"/>
    </row>
    <row r="95" spans="1:13" s="434" customFormat="1" ht="74.25" customHeight="1" x14ac:dyDescent="0.25">
      <c r="A95" s="152"/>
      <c r="B95" s="446"/>
      <c r="C95" s="452"/>
      <c r="D95" s="446"/>
      <c r="E95" s="450"/>
      <c r="F95" s="451"/>
      <c r="G95" s="451"/>
      <c r="H95" s="451"/>
      <c r="I95" s="451"/>
      <c r="J95" s="451"/>
      <c r="K95" s="451"/>
      <c r="L95" s="446"/>
      <c r="M95" s="449"/>
    </row>
    <row r="96" spans="1:13" s="434" customFormat="1" ht="17.25" customHeight="1" x14ac:dyDescent="0.25">
      <c r="A96" s="152"/>
      <c r="B96" s="446"/>
      <c r="C96" s="452"/>
      <c r="D96" s="449"/>
      <c r="E96" s="450"/>
      <c r="F96" s="451"/>
      <c r="G96" s="451"/>
      <c r="H96" s="451"/>
      <c r="I96" s="451"/>
      <c r="J96" s="451"/>
      <c r="K96" s="451"/>
      <c r="L96" s="446"/>
      <c r="M96" s="446"/>
    </row>
    <row r="97" spans="1:23" s="434" customFormat="1" ht="74.25" customHeight="1" x14ac:dyDescent="0.25">
      <c r="A97" s="152"/>
      <c r="B97" s="446"/>
      <c r="C97" s="452"/>
      <c r="D97" s="446"/>
      <c r="E97" s="450"/>
      <c r="F97" s="451"/>
      <c r="G97" s="451"/>
      <c r="H97" s="451"/>
      <c r="I97" s="451"/>
      <c r="J97" s="451"/>
      <c r="K97" s="451"/>
      <c r="L97" s="449"/>
      <c r="M97" s="449"/>
    </row>
    <row r="98" spans="1:23" s="434" customFormat="1" ht="19.5" customHeight="1" x14ac:dyDescent="0.25">
      <c r="A98" s="152"/>
      <c r="B98" s="446"/>
      <c r="C98" s="452"/>
      <c r="D98" s="446"/>
      <c r="E98" s="450"/>
      <c r="F98" s="451"/>
      <c r="G98" s="451"/>
      <c r="H98" s="451"/>
      <c r="I98" s="451"/>
      <c r="J98" s="451"/>
      <c r="K98" s="451"/>
      <c r="L98" s="446"/>
      <c r="M98" s="446"/>
      <c r="S98" s="455"/>
      <c r="T98" s="455"/>
      <c r="U98" s="455"/>
      <c r="V98" s="455"/>
      <c r="W98" s="455"/>
    </row>
    <row r="99" spans="1:23" s="455" customFormat="1" ht="72.75" customHeight="1" x14ac:dyDescent="0.25">
      <c r="A99" s="152"/>
      <c r="B99" s="446"/>
      <c r="C99" s="452"/>
      <c r="D99" s="446"/>
      <c r="E99" s="450"/>
      <c r="F99" s="451"/>
      <c r="G99" s="451"/>
      <c r="H99" s="451"/>
      <c r="I99" s="451"/>
      <c r="J99" s="451"/>
      <c r="K99" s="451"/>
      <c r="L99" s="449"/>
      <c r="M99" s="449"/>
    </row>
    <row r="100" spans="1:23" s="455" customFormat="1" x14ac:dyDescent="0.25">
      <c r="A100" s="456"/>
      <c r="B100" s="456"/>
      <c r="C100" s="456"/>
      <c r="D100" s="456"/>
      <c r="E100" s="457"/>
      <c r="F100" s="457"/>
      <c r="G100" s="457"/>
      <c r="H100" s="457"/>
      <c r="I100" s="457"/>
      <c r="J100" s="457"/>
      <c r="K100" s="457"/>
      <c r="L100" s="456"/>
      <c r="M100" s="456"/>
    </row>
    <row r="101" spans="1:23" s="455" customFormat="1" ht="72.75" customHeight="1" x14ac:dyDescent="0.25">
      <c r="A101" s="456"/>
      <c r="B101" s="456"/>
      <c r="C101" s="456"/>
      <c r="D101" s="456"/>
      <c r="E101" s="457"/>
      <c r="F101" s="457"/>
      <c r="G101" s="457"/>
      <c r="H101" s="457"/>
      <c r="I101" s="457"/>
      <c r="J101" s="457"/>
      <c r="K101" s="457"/>
      <c r="L101" s="456"/>
      <c r="M101" s="456"/>
    </row>
    <row r="102" spans="1:23" s="455" customFormat="1" ht="30.75" customHeight="1" x14ac:dyDescent="0.25">
      <c r="A102" s="456"/>
      <c r="B102" s="456"/>
      <c r="C102" s="456"/>
      <c r="D102" s="456"/>
      <c r="E102" s="457"/>
      <c r="F102" s="457"/>
      <c r="G102" s="457"/>
      <c r="H102" s="457"/>
      <c r="I102" s="457"/>
      <c r="J102" s="457"/>
      <c r="K102" s="457"/>
      <c r="L102" s="456"/>
      <c r="M102" s="456"/>
      <c r="S102" s="434"/>
      <c r="T102" s="434"/>
      <c r="U102" s="434"/>
      <c r="V102" s="434"/>
      <c r="W102" s="434"/>
    </row>
    <row r="103" spans="1:23" s="434" customFormat="1" ht="79.2" customHeight="1" x14ac:dyDescent="0.25">
      <c r="A103" s="458"/>
      <c r="B103" s="458"/>
      <c r="C103" s="458"/>
      <c r="D103" s="458"/>
      <c r="E103" s="459"/>
      <c r="F103" s="459"/>
      <c r="G103" s="459"/>
      <c r="H103" s="459"/>
      <c r="I103" s="459"/>
      <c r="J103" s="459"/>
      <c r="K103" s="459"/>
      <c r="L103" s="458"/>
      <c r="M103" s="458"/>
    </row>
    <row r="104" spans="1:23" s="434" customFormat="1" ht="15" customHeight="1" x14ac:dyDescent="0.25">
      <c r="A104" s="458"/>
      <c r="B104" s="458"/>
      <c r="C104" s="458"/>
      <c r="D104" s="458"/>
      <c r="E104" s="459"/>
      <c r="F104" s="459"/>
      <c r="G104" s="459"/>
      <c r="H104" s="459"/>
      <c r="I104" s="459"/>
      <c r="J104" s="459"/>
      <c r="K104" s="459"/>
      <c r="L104" s="458"/>
      <c r="M104" s="458"/>
    </row>
    <row r="105" spans="1:23" s="434" customFormat="1" ht="80.25" customHeight="1" x14ac:dyDescent="0.25">
      <c r="A105" s="458"/>
      <c r="B105" s="458"/>
      <c r="C105" s="458"/>
      <c r="D105" s="458"/>
      <c r="E105" s="459"/>
      <c r="F105" s="459"/>
      <c r="G105" s="459"/>
      <c r="H105" s="459"/>
      <c r="I105" s="459"/>
      <c r="J105" s="459"/>
      <c r="K105" s="459"/>
      <c r="L105" s="458"/>
      <c r="M105" s="458"/>
    </row>
    <row r="106" spans="1:23" s="434" customFormat="1" ht="15" customHeight="1" x14ac:dyDescent="0.25">
      <c r="A106" s="458"/>
      <c r="B106" s="458"/>
      <c r="C106" s="458"/>
      <c r="D106" s="458"/>
      <c r="E106" s="459"/>
      <c r="F106" s="459"/>
      <c r="G106" s="459"/>
      <c r="H106" s="459"/>
      <c r="I106" s="459"/>
      <c r="J106" s="459"/>
      <c r="K106" s="459"/>
      <c r="L106" s="458"/>
      <c r="M106" s="458"/>
    </row>
    <row r="107" spans="1:23" s="434" customFormat="1" ht="118.2" customHeight="1" x14ac:dyDescent="0.25">
      <c r="A107" s="458"/>
      <c r="B107" s="458"/>
      <c r="C107" s="458"/>
      <c r="D107" s="458"/>
      <c r="E107" s="459"/>
      <c r="F107" s="459"/>
      <c r="G107" s="459"/>
      <c r="H107" s="459"/>
      <c r="I107" s="459"/>
      <c r="J107" s="459"/>
      <c r="K107" s="459"/>
      <c r="L107" s="458"/>
      <c r="M107" s="458"/>
    </row>
    <row r="108" spans="1:23" s="434" customFormat="1" ht="15" customHeight="1" x14ac:dyDescent="0.25">
      <c r="A108" s="458"/>
      <c r="B108" s="458"/>
      <c r="C108" s="458"/>
      <c r="D108" s="458"/>
      <c r="E108" s="459"/>
      <c r="F108" s="459"/>
      <c r="G108" s="459"/>
      <c r="H108" s="459"/>
      <c r="I108" s="459"/>
      <c r="J108" s="459"/>
      <c r="K108" s="459"/>
      <c r="L108" s="458"/>
      <c r="M108" s="458"/>
    </row>
    <row r="109" spans="1:23" s="434" customFormat="1" ht="79.5" customHeight="1" x14ac:dyDescent="0.25">
      <c r="A109" s="458"/>
      <c r="B109" s="458"/>
      <c r="C109" s="458"/>
      <c r="D109" s="458"/>
      <c r="E109" s="459"/>
      <c r="F109" s="459"/>
      <c r="G109" s="459"/>
      <c r="H109" s="459"/>
      <c r="I109" s="459"/>
      <c r="J109" s="459"/>
      <c r="K109" s="459"/>
      <c r="L109" s="458"/>
      <c r="M109" s="458"/>
    </row>
    <row r="110" spans="1:23" s="434" customFormat="1" ht="15" customHeight="1" x14ac:dyDescent="0.25">
      <c r="A110" s="458"/>
      <c r="B110" s="458"/>
      <c r="C110" s="458"/>
      <c r="D110" s="458"/>
      <c r="E110" s="459"/>
      <c r="F110" s="459"/>
      <c r="G110" s="459"/>
      <c r="H110" s="459"/>
      <c r="I110" s="459"/>
      <c r="J110" s="459"/>
      <c r="K110" s="459"/>
      <c r="L110" s="458"/>
      <c r="M110" s="458"/>
    </row>
    <row r="111" spans="1:23" s="434" customFormat="1" ht="81" customHeight="1" x14ac:dyDescent="0.25">
      <c r="A111" s="458"/>
      <c r="B111" s="458"/>
      <c r="C111" s="458"/>
      <c r="D111" s="458"/>
      <c r="E111" s="459"/>
      <c r="F111" s="459"/>
      <c r="G111" s="459"/>
      <c r="H111" s="459"/>
      <c r="I111" s="459"/>
      <c r="J111" s="459"/>
      <c r="K111" s="459"/>
      <c r="L111" s="458"/>
      <c r="M111" s="458"/>
    </row>
    <row r="112" spans="1:23" s="434" customFormat="1" ht="14.4" customHeight="1" x14ac:dyDescent="0.25">
      <c r="A112" s="458"/>
      <c r="B112" s="458"/>
      <c r="C112" s="458"/>
      <c r="D112" s="458"/>
      <c r="E112" s="459"/>
      <c r="F112" s="459"/>
      <c r="G112" s="459"/>
      <c r="H112" s="459"/>
      <c r="I112" s="459"/>
      <c r="J112" s="459"/>
      <c r="K112" s="459"/>
      <c r="L112" s="458"/>
      <c r="M112" s="458"/>
    </row>
    <row r="113" spans="1:13" s="434" customFormat="1" ht="81" customHeight="1" x14ac:dyDescent="0.25">
      <c r="A113" s="458"/>
      <c r="B113" s="458"/>
      <c r="C113" s="458"/>
      <c r="D113" s="458"/>
      <c r="E113" s="459"/>
      <c r="F113" s="459"/>
      <c r="G113" s="459"/>
      <c r="H113" s="459"/>
      <c r="I113" s="459"/>
      <c r="J113" s="459"/>
      <c r="K113" s="459"/>
      <c r="L113" s="458"/>
      <c r="M113" s="458"/>
    </row>
    <row r="114" spans="1:13" s="434" customFormat="1" ht="14.4" customHeight="1" x14ac:dyDescent="0.25">
      <c r="A114" s="458"/>
      <c r="B114" s="458"/>
      <c r="C114" s="458"/>
      <c r="D114" s="458"/>
      <c r="E114" s="459"/>
      <c r="F114" s="459"/>
      <c r="G114" s="459"/>
      <c r="H114" s="459"/>
      <c r="I114" s="459"/>
      <c r="J114" s="459"/>
      <c r="K114" s="459"/>
      <c r="L114" s="458"/>
      <c r="M114" s="458"/>
    </row>
    <row r="115" spans="1:13" s="434" customFormat="1" ht="81" customHeight="1" x14ac:dyDescent="0.25">
      <c r="A115" s="458"/>
      <c r="B115" s="458"/>
      <c r="C115" s="458"/>
      <c r="D115" s="458"/>
      <c r="E115" s="459"/>
      <c r="F115" s="459"/>
      <c r="G115" s="459"/>
      <c r="H115" s="459"/>
      <c r="I115" s="459"/>
      <c r="J115" s="459"/>
      <c r="K115" s="459"/>
      <c r="L115" s="458"/>
      <c r="M115" s="458"/>
    </row>
    <row r="116" spans="1:13" s="434" customFormat="1" ht="14.4" customHeight="1" x14ac:dyDescent="0.25">
      <c r="A116" s="458"/>
      <c r="B116" s="458"/>
      <c r="C116" s="458"/>
      <c r="D116" s="458"/>
      <c r="E116" s="459"/>
      <c r="F116" s="459"/>
      <c r="G116" s="459"/>
      <c r="H116" s="459"/>
      <c r="I116" s="459"/>
      <c r="J116" s="459"/>
      <c r="K116" s="459"/>
      <c r="L116" s="458"/>
      <c r="M116" s="458"/>
    </row>
    <row r="117" spans="1:13" s="434" customFormat="1" ht="81" customHeight="1" x14ac:dyDescent="0.25">
      <c r="A117" s="458"/>
      <c r="B117" s="458"/>
      <c r="C117" s="458"/>
      <c r="D117" s="458"/>
      <c r="E117" s="459"/>
      <c r="F117" s="459"/>
      <c r="G117" s="459"/>
      <c r="H117" s="459"/>
      <c r="I117" s="459"/>
      <c r="J117" s="459"/>
      <c r="K117" s="459"/>
      <c r="L117" s="458"/>
      <c r="M117" s="458"/>
    </row>
    <row r="118" spans="1:13" s="434" customFormat="1" ht="14.4" customHeight="1" x14ac:dyDescent="0.25">
      <c r="A118" s="458"/>
      <c r="B118" s="458"/>
      <c r="C118" s="458"/>
      <c r="D118" s="458"/>
      <c r="E118" s="459"/>
      <c r="F118" s="459"/>
      <c r="G118" s="459"/>
      <c r="H118" s="459"/>
      <c r="I118" s="459"/>
      <c r="J118" s="459"/>
      <c r="K118" s="459"/>
      <c r="L118" s="458"/>
      <c r="M118" s="458"/>
    </row>
    <row r="119" spans="1:13" s="434" customFormat="1" ht="81" customHeight="1" x14ac:dyDescent="0.25">
      <c r="A119" s="458"/>
      <c r="B119" s="458"/>
      <c r="C119" s="458"/>
      <c r="D119" s="458"/>
      <c r="E119" s="459"/>
      <c r="F119" s="459"/>
      <c r="G119" s="459"/>
      <c r="H119" s="459"/>
      <c r="I119" s="459"/>
      <c r="J119" s="459"/>
      <c r="K119" s="459"/>
      <c r="L119" s="458"/>
      <c r="M119" s="458"/>
    </row>
    <row r="120" spans="1:13" s="434" customFormat="1" ht="14.4" customHeight="1" x14ac:dyDescent="0.25">
      <c r="A120" s="458"/>
      <c r="B120" s="458"/>
      <c r="C120" s="458"/>
      <c r="D120" s="458"/>
      <c r="E120" s="459"/>
      <c r="F120" s="459"/>
      <c r="G120" s="459"/>
      <c r="H120" s="459"/>
      <c r="I120" s="459"/>
      <c r="J120" s="459"/>
      <c r="K120" s="459"/>
      <c r="L120" s="458"/>
      <c r="M120" s="458"/>
    </row>
    <row r="121" spans="1:13" s="434" customFormat="1" ht="81" customHeight="1" x14ac:dyDescent="0.25">
      <c r="A121" s="458"/>
      <c r="B121" s="458"/>
      <c r="C121" s="458"/>
      <c r="D121" s="458"/>
      <c r="E121" s="459"/>
      <c r="F121" s="459"/>
      <c r="G121" s="459"/>
      <c r="H121" s="459"/>
      <c r="I121" s="459"/>
      <c r="J121" s="459"/>
      <c r="K121" s="459"/>
      <c r="L121" s="458"/>
      <c r="M121" s="458"/>
    </row>
    <row r="122" spans="1:13" s="434" customFormat="1" ht="14.4" customHeight="1" x14ac:dyDescent="0.25">
      <c r="A122" s="458"/>
      <c r="B122" s="458"/>
      <c r="C122" s="458"/>
      <c r="D122" s="458"/>
      <c r="E122" s="459"/>
      <c r="F122" s="459"/>
      <c r="G122" s="459"/>
      <c r="H122" s="459"/>
      <c r="I122" s="459"/>
      <c r="J122" s="459"/>
      <c r="K122" s="459"/>
      <c r="L122" s="458"/>
      <c r="M122" s="458"/>
    </row>
    <row r="123" spans="1:13" s="434" customFormat="1" ht="81" customHeight="1" x14ac:dyDescent="0.25">
      <c r="A123" s="458"/>
      <c r="B123" s="458"/>
      <c r="C123" s="458"/>
      <c r="D123" s="458"/>
      <c r="E123" s="459"/>
      <c r="F123" s="459"/>
      <c r="G123" s="459"/>
      <c r="H123" s="459"/>
      <c r="I123" s="459"/>
      <c r="J123" s="459"/>
      <c r="K123" s="459"/>
      <c r="L123" s="458"/>
      <c r="M123" s="458"/>
    </row>
    <row r="124" spans="1:13" s="434" customFormat="1" x14ac:dyDescent="0.25">
      <c r="A124" s="458"/>
      <c r="B124" s="458"/>
      <c r="C124" s="458"/>
      <c r="D124" s="458"/>
      <c r="E124" s="459"/>
      <c r="F124" s="459"/>
      <c r="G124" s="459"/>
      <c r="H124" s="459"/>
      <c r="I124" s="459"/>
      <c r="J124" s="459"/>
      <c r="K124" s="459"/>
      <c r="L124" s="458"/>
      <c r="M124" s="458"/>
    </row>
    <row r="125" spans="1:13" s="434" customFormat="1" ht="81" customHeight="1" x14ac:dyDescent="0.25">
      <c r="A125" s="458"/>
      <c r="B125" s="458"/>
      <c r="C125" s="458"/>
      <c r="D125" s="458"/>
      <c r="E125" s="459"/>
      <c r="F125" s="459"/>
      <c r="G125" s="459"/>
      <c r="H125" s="459"/>
      <c r="I125" s="459"/>
      <c r="J125" s="459"/>
      <c r="K125" s="459"/>
      <c r="L125" s="458"/>
      <c r="M125" s="458"/>
    </row>
    <row r="126" spans="1:13" s="434" customFormat="1" x14ac:dyDescent="0.25">
      <c r="A126" s="458"/>
      <c r="B126" s="458"/>
      <c r="C126" s="458"/>
      <c r="D126" s="458"/>
      <c r="E126" s="459"/>
      <c r="F126" s="459"/>
      <c r="G126" s="459"/>
      <c r="H126" s="459"/>
      <c r="I126" s="459"/>
      <c r="J126" s="459"/>
      <c r="K126" s="459"/>
      <c r="L126" s="458"/>
      <c r="M126" s="458"/>
    </row>
    <row r="127" spans="1:13" s="434" customFormat="1" ht="81" customHeight="1" x14ac:dyDescent="0.25">
      <c r="A127" s="458"/>
      <c r="B127" s="458"/>
      <c r="C127" s="458"/>
      <c r="D127" s="458"/>
      <c r="E127" s="459"/>
      <c r="F127" s="459"/>
      <c r="G127" s="459"/>
      <c r="H127" s="459"/>
      <c r="I127" s="459"/>
      <c r="J127" s="459"/>
      <c r="K127" s="459"/>
      <c r="L127" s="458"/>
      <c r="M127" s="458"/>
    </row>
    <row r="128" spans="1:13" s="434" customFormat="1" ht="58.5" customHeight="1" x14ac:dyDescent="0.25">
      <c r="A128" s="458"/>
      <c r="B128" s="458"/>
      <c r="C128" s="458"/>
      <c r="D128" s="458"/>
      <c r="E128" s="459"/>
      <c r="F128" s="459"/>
      <c r="G128" s="459"/>
      <c r="H128" s="459"/>
      <c r="I128" s="459"/>
      <c r="J128" s="459"/>
      <c r="K128" s="459"/>
      <c r="L128" s="458"/>
      <c r="M128" s="458"/>
    </row>
    <row r="129" spans="1:13" s="434" customFormat="1" x14ac:dyDescent="0.25">
      <c r="A129" s="458"/>
      <c r="B129" s="458"/>
      <c r="C129" s="458"/>
      <c r="D129" s="458"/>
      <c r="E129" s="459"/>
      <c r="F129" s="459"/>
      <c r="G129" s="459"/>
      <c r="H129" s="459"/>
      <c r="I129" s="459"/>
      <c r="J129" s="459"/>
      <c r="K129" s="459"/>
      <c r="L129" s="458"/>
      <c r="M129" s="458"/>
    </row>
    <row r="130" spans="1:13" s="434" customFormat="1" ht="91.95" customHeight="1" x14ac:dyDescent="0.25">
      <c r="A130" s="458"/>
      <c r="B130" s="458"/>
      <c r="C130" s="458"/>
      <c r="D130" s="458"/>
      <c r="E130" s="459"/>
      <c r="F130" s="459"/>
      <c r="G130" s="459"/>
      <c r="H130" s="459"/>
      <c r="I130" s="459"/>
      <c r="J130" s="459"/>
      <c r="K130" s="459"/>
      <c r="L130" s="458"/>
      <c r="M130" s="458"/>
    </row>
    <row r="131" spans="1:13" s="434" customFormat="1" x14ac:dyDescent="0.25">
      <c r="A131" s="458"/>
      <c r="B131" s="458"/>
      <c r="C131" s="458"/>
      <c r="D131" s="458"/>
      <c r="E131" s="459"/>
      <c r="F131" s="459"/>
      <c r="G131" s="459"/>
      <c r="H131" s="459"/>
      <c r="I131" s="459"/>
      <c r="J131" s="459"/>
      <c r="K131" s="459"/>
      <c r="L131" s="458"/>
      <c r="M131" s="458"/>
    </row>
    <row r="132" spans="1:13" s="434" customFormat="1" ht="91.95" customHeight="1" x14ac:dyDescent="0.25">
      <c r="A132" s="458"/>
      <c r="B132" s="458"/>
      <c r="C132" s="458"/>
      <c r="D132" s="458"/>
      <c r="E132" s="459"/>
      <c r="F132" s="459"/>
      <c r="G132" s="459"/>
      <c r="H132" s="459"/>
      <c r="I132" s="459"/>
      <c r="J132" s="459"/>
      <c r="K132" s="459"/>
      <c r="L132" s="458"/>
      <c r="M132" s="458"/>
    </row>
    <row r="133" spans="1:13" s="434" customFormat="1" x14ac:dyDescent="0.25">
      <c r="A133" s="458"/>
      <c r="B133" s="458"/>
      <c r="C133" s="458"/>
      <c r="D133" s="458"/>
      <c r="E133" s="459"/>
      <c r="F133" s="459"/>
      <c r="G133" s="459"/>
      <c r="H133" s="459"/>
      <c r="I133" s="459"/>
      <c r="J133" s="459"/>
      <c r="K133" s="459"/>
      <c r="L133" s="458"/>
      <c r="M133" s="458"/>
    </row>
    <row r="134" spans="1:13" s="434" customFormat="1" ht="91.95" customHeight="1" x14ac:dyDescent="0.25">
      <c r="A134" s="458"/>
      <c r="B134" s="458"/>
      <c r="C134" s="458"/>
      <c r="D134" s="458"/>
      <c r="E134" s="459"/>
      <c r="F134" s="459"/>
      <c r="G134" s="459"/>
      <c r="H134" s="459"/>
      <c r="I134" s="459"/>
      <c r="J134" s="459"/>
      <c r="K134" s="459"/>
      <c r="L134" s="458"/>
      <c r="M134" s="458"/>
    </row>
    <row r="135" spans="1:13" s="434" customFormat="1" x14ac:dyDescent="0.25">
      <c r="A135" s="458"/>
      <c r="B135" s="458"/>
      <c r="C135" s="458"/>
      <c r="D135" s="458"/>
      <c r="E135" s="459"/>
      <c r="F135" s="459"/>
      <c r="G135" s="459"/>
      <c r="H135" s="459"/>
      <c r="I135" s="459"/>
      <c r="J135" s="459"/>
      <c r="K135" s="459"/>
      <c r="L135" s="458"/>
      <c r="M135" s="458"/>
    </row>
    <row r="136" spans="1:13" s="434" customFormat="1" ht="90" customHeight="1" x14ac:dyDescent="0.25">
      <c r="A136" s="458"/>
      <c r="B136" s="458"/>
      <c r="C136" s="458"/>
      <c r="D136" s="458"/>
      <c r="E136" s="459"/>
      <c r="F136" s="459"/>
      <c r="G136" s="459"/>
      <c r="H136" s="459"/>
      <c r="I136" s="459"/>
      <c r="J136" s="459"/>
      <c r="K136" s="459"/>
      <c r="L136" s="458"/>
      <c r="M136" s="458"/>
    </row>
    <row r="137" spans="1:13" s="434" customFormat="1" x14ac:dyDescent="0.25">
      <c r="A137" s="458"/>
      <c r="B137" s="458"/>
      <c r="C137" s="458"/>
      <c r="D137" s="458"/>
      <c r="E137" s="459"/>
      <c r="F137" s="459"/>
      <c r="G137" s="459"/>
      <c r="H137" s="459"/>
      <c r="I137" s="459"/>
      <c r="J137" s="459"/>
      <c r="K137" s="459"/>
      <c r="L137" s="458"/>
      <c r="M137" s="458"/>
    </row>
    <row r="138" spans="1:13" s="434" customFormat="1" ht="90" customHeight="1" x14ac:dyDescent="0.25">
      <c r="A138" s="458"/>
      <c r="B138" s="458"/>
      <c r="C138" s="458"/>
      <c r="D138" s="458"/>
      <c r="E138" s="459"/>
      <c r="F138" s="459"/>
      <c r="G138" s="459"/>
      <c r="H138" s="459"/>
      <c r="I138" s="459"/>
      <c r="J138" s="459"/>
      <c r="K138" s="459"/>
      <c r="L138" s="458"/>
      <c r="M138" s="458"/>
    </row>
    <row r="139" spans="1:13" s="434" customFormat="1" x14ac:dyDescent="0.25">
      <c r="A139" s="458"/>
      <c r="B139" s="458"/>
      <c r="C139" s="458"/>
      <c r="D139" s="458"/>
      <c r="E139" s="459"/>
      <c r="F139" s="459"/>
      <c r="G139" s="459"/>
      <c r="H139" s="459"/>
      <c r="I139" s="459"/>
      <c r="J139" s="459"/>
      <c r="K139" s="459"/>
      <c r="L139" s="458"/>
      <c r="M139" s="458"/>
    </row>
    <row r="140" spans="1:13" s="434" customFormat="1" ht="164.25" customHeight="1" x14ac:dyDescent="0.25">
      <c r="A140" s="458"/>
      <c r="B140" s="458"/>
      <c r="C140" s="458"/>
      <c r="D140" s="458"/>
      <c r="E140" s="459"/>
      <c r="F140" s="459"/>
      <c r="G140" s="459"/>
      <c r="H140" s="459"/>
      <c r="I140" s="459"/>
      <c r="J140" s="459"/>
      <c r="K140" s="459"/>
      <c r="L140" s="458"/>
      <c r="M140" s="458"/>
    </row>
    <row r="141" spans="1:13" s="434" customFormat="1" ht="14.4" customHeight="1" x14ac:dyDescent="0.25">
      <c r="A141" s="458"/>
      <c r="B141" s="458"/>
      <c r="C141" s="458"/>
      <c r="D141" s="458"/>
      <c r="E141" s="459"/>
      <c r="F141" s="459"/>
      <c r="G141" s="459"/>
      <c r="H141" s="459"/>
      <c r="I141" s="459"/>
      <c r="J141" s="459"/>
      <c r="K141" s="459"/>
      <c r="L141" s="458"/>
      <c r="M141" s="458"/>
    </row>
    <row r="142" spans="1:13" s="434" customFormat="1" ht="117.6" customHeight="1" x14ac:dyDescent="0.25">
      <c r="A142" s="458"/>
      <c r="B142" s="458"/>
      <c r="C142" s="458"/>
      <c r="D142" s="458"/>
      <c r="E142" s="459"/>
      <c r="F142" s="459"/>
      <c r="G142" s="459"/>
      <c r="H142" s="459"/>
      <c r="I142" s="459"/>
      <c r="J142" s="459"/>
      <c r="K142" s="459"/>
      <c r="L142" s="458"/>
      <c r="M142" s="458"/>
    </row>
    <row r="143" spans="1:13" s="434" customFormat="1" ht="14.4" customHeight="1" x14ac:dyDescent="0.25">
      <c r="A143" s="458"/>
      <c r="B143" s="458"/>
      <c r="C143" s="458"/>
      <c r="D143" s="458"/>
      <c r="E143" s="459"/>
      <c r="F143" s="459"/>
      <c r="G143" s="459"/>
      <c r="H143" s="459"/>
      <c r="I143" s="459"/>
      <c r="J143" s="459"/>
      <c r="K143" s="459"/>
      <c r="L143" s="458"/>
      <c r="M143" s="458"/>
    </row>
    <row r="144" spans="1:13" s="434" customFormat="1" ht="132.75" customHeight="1" x14ac:dyDescent="0.25">
      <c r="A144" s="458"/>
      <c r="B144" s="458"/>
      <c r="C144" s="458"/>
      <c r="D144" s="458"/>
      <c r="E144" s="459"/>
      <c r="F144" s="459"/>
      <c r="G144" s="459"/>
      <c r="H144" s="459"/>
      <c r="I144" s="459"/>
      <c r="J144" s="459"/>
      <c r="K144" s="459"/>
      <c r="L144" s="458"/>
      <c r="M144" s="458"/>
    </row>
    <row r="145" spans="1:13" s="434" customFormat="1" ht="29.4" customHeight="1" x14ac:dyDescent="0.25">
      <c r="A145" s="458"/>
      <c r="B145" s="458"/>
      <c r="C145" s="458"/>
      <c r="D145" s="458"/>
      <c r="E145" s="459"/>
      <c r="F145" s="459"/>
      <c r="G145" s="459"/>
      <c r="H145" s="459"/>
      <c r="I145" s="459"/>
      <c r="J145" s="459"/>
      <c r="K145" s="459"/>
      <c r="L145" s="458"/>
      <c r="M145" s="458"/>
    </row>
    <row r="146" spans="1:13" s="434" customFormat="1" ht="109.2" customHeight="1" x14ac:dyDescent="0.25">
      <c r="A146" s="458"/>
      <c r="B146" s="458"/>
      <c r="C146" s="458"/>
      <c r="D146" s="458"/>
      <c r="E146" s="459"/>
      <c r="F146" s="459"/>
      <c r="G146" s="459"/>
      <c r="H146" s="459"/>
      <c r="I146" s="459"/>
      <c r="J146" s="459"/>
      <c r="K146" s="459"/>
      <c r="L146" s="458"/>
      <c r="M146" s="458"/>
    </row>
    <row r="147" spans="1:13" s="434" customFormat="1" x14ac:dyDescent="0.25">
      <c r="A147" s="458"/>
      <c r="B147" s="458"/>
      <c r="C147" s="458"/>
      <c r="D147" s="458"/>
      <c r="E147" s="459"/>
      <c r="F147" s="459"/>
      <c r="G147" s="459"/>
      <c r="H147" s="459"/>
      <c r="I147" s="459"/>
      <c r="J147" s="459"/>
      <c r="K147" s="459"/>
      <c r="L147" s="458"/>
      <c r="M147" s="458"/>
    </row>
    <row r="148" spans="1:13" s="434" customFormat="1" ht="63" customHeight="1" x14ac:dyDescent="0.25">
      <c r="A148" s="458"/>
      <c r="B148" s="458"/>
      <c r="C148" s="458"/>
      <c r="D148" s="458"/>
      <c r="E148" s="459"/>
      <c r="F148" s="459"/>
      <c r="G148" s="459"/>
      <c r="H148" s="459"/>
      <c r="I148" s="459"/>
      <c r="J148" s="459"/>
      <c r="K148" s="459"/>
      <c r="L148" s="458"/>
      <c r="M148" s="458"/>
    </row>
    <row r="149" spans="1:13" s="434" customFormat="1" x14ac:dyDescent="0.25">
      <c r="A149" s="458"/>
      <c r="B149" s="458"/>
      <c r="C149" s="458"/>
      <c r="D149" s="458"/>
      <c r="E149" s="459"/>
      <c r="F149" s="459"/>
      <c r="G149" s="459"/>
      <c r="H149" s="459"/>
      <c r="I149" s="459"/>
      <c r="J149" s="459"/>
      <c r="K149" s="459"/>
      <c r="L149" s="458"/>
      <c r="M149" s="458"/>
    </row>
    <row r="150" spans="1:13" s="434" customFormat="1" ht="82.5" customHeight="1" x14ac:dyDescent="0.25">
      <c r="A150" s="458"/>
      <c r="B150" s="458"/>
      <c r="C150" s="458"/>
      <c r="D150" s="458"/>
      <c r="E150" s="459"/>
      <c r="F150" s="459"/>
      <c r="G150" s="459"/>
      <c r="H150" s="459"/>
      <c r="I150" s="459"/>
      <c r="J150" s="459"/>
      <c r="K150" s="459"/>
      <c r="L150" s="458"/>
      <c r="M150" s="458"/>
    </row>
    <row r="151" spans="1:13" s="434" customFormat="1" x14ac:dyDescent="0.25">
      <c r="A151" s="458"/>
      <c r="B151" s="458"/>
      <c r="C151" s="458"/>
      <c r="D151" s="458"/>
      <c r="E151" s="459"/>
      <c r="F151" s="459"/>
      <c r="G151" s="459"/>
      <c r="H151" s="459"/>
      <c r="I151" s="459"/>
      <c r="J151" s="459"/>
      <c r="K151" s="459"/>
      <c r="L151" s="458"/>
      <c r="M151" s="458"/>
    </row>
    <row r="152" spans="1:13" s="434" customFormat="1" ht="72" customHeight="1" x14ac:dyDescent="0.25">
      <c r="A152" s="458"/>
      <c r="B152" s="458"/>
      <c r="C152" s="458"/>
      <c r="D152" s="458"/>
      <c r="E152" s="459"/>
      <c r="F152" s="459"/>
      <c r="G152" s="459"/>
      <c r="H152" s="459"/>
      <c r="I152" s="459"/>
      <c r="J152" s="459"/>
      <c r="K152" s="459"/>
      <c r="L152" s="458"/>
      <c r="M152" s="458"/>
    </row>
    <row r="153" spans="1:13" s="434" customFormat="1" ht="15" customHeight="1" x14ac:dyDescent="0.25">
      <c r="A153" s="458"/>
      <c r="B153" s="458"/>
      <c r="C153" s="458"/>
      <c r="D153" s="458"/>
      <c r="E153" s="459"/>
      <c r="F153" s="459"/>
      <c r="G153" s="459"/>
      <c r="H153" s="459"/>
      <c r="I153" s="459"/>
      <c r="J153" s="459"/>
      <c r="K153" s="459"/>
      <c r="L153" s="458"/>
      <c r="M153" s="458"/>
    </row>
    <row r="154" spans="1:13" s="434" customFormat="1" ht="62.4" customHeight="1" x14ac:dyDescent="0.25">
      <c r="A154" s="458"/>
      <c r="B154" s="458"/>
      <c r="C154" s="458"/>
      <c r="D154" s="458"/>
      <c r="E154" s="459"/>
      <c r="F154" s="459"/>
      <c r="G154" s="459"/>
      <c r="H154" s="459"/>
      <c r="I154" s="459"/>
      <c r="J154" s="459"/>
      <c r="K154" s="459"/>
      <c r="L154" s="458"/>
      <c r="M154" s="458"/>
    </row>
    <row r="155" spans="1:13" s="434" customFormat="1" x14ac:dyDescent="0.25">
      <c r="A155" s="458"/>
      <c r="B155" s="458"/>
      <c r="C155" s="458"/>
      <c r="D155" s="458"/>
      <c r="E155" s="459"/>
      <c r="F155" s="459"/>
      <c r="G155" s="459"/>
      <c r="H155" s="459"/>
      <c r="I155" s="459"/>
      <c r="J155" s="459"/>
      <c r="K155" s="459"/>
      <c r="L155" s="458"/>
      <c r="M155" s="458"/>
    </row>
    <row r="156" spans="1:13" s="434" customFormat="1" ht="66" customHeight="1" x14ac:dyDescent="0.25">
      <c r="A156" s="458"/>
      <c r="B156" s="458"/>
      <c r="C156" s="458"/>
      <c r="D156" s="458"/>
      <c r="E156" s="459"/>
      <c r="F156" s="459"/>
      <c r="G156" s="459"/>
      <c r="H156" s="459"/>
      <c r="I156" s="459"/>
      <c r="J156" s="459"/>
      <c r="K156" s="459"/>
      <c r="L156" s="458"/>
      <c r="M156" s="458"/>
    </row>
    <row r="157" spans="1:13" s="434" customFormat="1" ht="14.4" customHeight="1" x14ac:dyDescent="0.25">
      <c r="A157" s="458"/>
      <c r="B157" s="458"/>
      <c r="C157" s="458"/>
      <c r="D157" s="458"/>
      <c r="E157" s="459"/>
      <c r="F157" s="459"/>
      <c r="G157" s="459"/>
      <c r="H157" s="459"/>
      <c r="I157" s="459"/>
      <c r="J157" s="459"/>
      <c r="K157" s="459"/>
      <c r="L157" s="458"/>
      <c r="M157" s="458"/>
    </row>
    <row r="158" spans="1:13" s="434" customFormat="1" ht="74.25" customHeight="1" x14ac:dyDescent="0.25">
      <c r="A158" s="458"/>
      <c r="B158" s="458"/>
      <c r="C158" s="458"/>
      <c r="D158" s="458"/>
      <c r="E158" s="459"/>
      <c r="F158" s="459"/>
      <c r="G158" s="459"/>
      <c r="H158" s="459"/>
      <c r="I158" s="459"/>
      <c r="J158" s="459"/>
      <c r="K158" s="459"/>
      <c r="L158" s="458"/>
      <c r="M158" s="458"/>
    </row>
    <row r="159" spans="1:13" s="434" customFormat="1" ht="15" customHeight="1" x14ac:dyDescent="0.25">
      <c r="A159" s="458"/>
      <c r="B159" s="458"/>
      <c r="C159" s="458"/>
      <c r="D159" s="458"/>
      <c r="E159" s="459"/>
      <c r="F159" s="459"/>
      <c r="G159" s="459"/>
      <c r="H159" s="459"/>
      <c r="I159" s="459"/>
      <c r="J159" s="459"/>
      <c r="K159" s="459"/>
      <c r="L159" s="458"/>
      <c r="M159" s="458"/>
    </row>
    <row r="160" spans="1:13" s="434" customFormat="1" ht="130.19999999999999" customHeight="1" x14ac:dyDescent="0.25">
      <c r="A160" s="458"/>
      <c r="B160" s="458"/>
      <c r="C160" s="458"/>
      <c r="D160" s="458"/>
      <c r="E160" s="459"/>
      <c r="F160" s="459"/>
      <c r="G160" s="459"/>
      <c r="H160" s="459"/>
      <c r="I160" s="459"/>
      <c r="J160" s="459"/>
      <c r="K160" s="459"/>
      <c r="L160" s="458"/>
      <c r="M160" s="458"/>
    </row>
    <row r="161" spans="1:13" s="434" customFormat="1" ht="41.4" customHeight="1" x14ac:dyDescent="0.25">
      <c r="A161" s="458"/>
      <c r="B161" s="458"/>
      <c r="C161" s="458"/>
      <c r="D161" s="458"/>
      <c r="E161" s="459"/>
      <c r="F161" s="459"/>
      <c r="G161" s="459"/>
      <c r="H161" s="459"/>
      <c r="I161" s="459"/>
      <c r="J161" s="459"/>
      <c r="K161" s="459"/>
      <c r="L161" s="458"/>
      <c r="M161" s="458"/>
    </row>
    <row r="162" spans="1:13" s="434" customFormat="1" ht="123.6" customHeight="1" x14ac:dyDescent="0.25">
      <c r="A162" s="458"/>
      <c r="B162" s="458"/>
      <c r="C162" s="458"/>
      <c r="D162" s="458"/>
      <c r="E162" s="459"/>
      <c r="F162" s="459"/>
      <c r="G162" s="459"/>
      <c r="H162" s="459"/>
      <c r="I162" s="459"/>
      <c r="J162" s="459"/>
      <c r="K162" s="459"/>
      <c r="L162" s="458"/>
      <c r="M162" s="458"/>
    </row>
    <row r="163" spans="1:13" s="434" customFormat="1" ht="32.4" customHeight="1" x14ac:dyDescent="0.25">
      <c r="A163" s="458"/>
      <c r="B163" s="458"/>
      <c r="C163" s="458"/>
      <c r="D163" s="458"/>
      <c r="E163" s="459"/>
      <c r="F163" s="459"/>
      <c r="G163" s="459"/>
      <c r="H163" s="459"/>
      <c r="I163" s="459"/>
      <c r="J163" s="459"/>
      <c r="K163" s="459"/>
      <c r="L163" s="458"/>
      <c r="M163" s="458"/>
    </row>
    <row r="164" spans="1:13" s="434" customFormat="1" ht="128.4" customHeight="1" x14ac:dyDescent="0.25">
      <c r="A164" s="458"/>
      <c r="B164" s="458"/>
      <c r="C164" s="458"/>
      <c r="D164" s="458"/>
      <c r="E164" s="459"/>
      <c r="F164" s="459"/>
      <c r="G164" s="459"/>
      <c r="H164" s="459"/>
      <c r="I164" s="459"/>
      <c r="J164" s="459"/>
      <c r="K164" s="459"/>
      <c r="L164" s="458"/>
      <c r="M164" s="458"/>
    </row>
    <row r="165" spans="1:13" s="434" customFormat="1" x14ac:dyDescent="0.25">
      <c r="A165" s="458"/>
      <c r="B165" s="458"/>
      <c r="C165" s="458"/>
      <c r="D165" s="458"/>
      <c r="E165" s="459"/>
      <c r="F165" s="459"/>
      <c r="G165" s="459"/>
      <c r="H165" s="459"/>
      <c r="I165" s="459"/>
      <c r="J165" s="459"/>
      <c r="K165" s="459"/>
      <c r="L165" s="458"/>
      <c r="M165" s="458"/>
    </row>
    <row r="166" spans="1:13" s="434" customFormat="1" ht="131.4" customHeight="1" x14ac:dyDescent="0.25">
      <c r="A166" s="458"/>
      <c r="B166" s="458"/>
      <c r="C166" s="458"/>
      <c r="D166" s="458"/>
      <c r="E166" s="459"/>
      <c r="F166" s="459"/>
      <c r="G166" s="459"/>
      <c r="H166" s="459"/>
      <c r="I166" s="459"/>
      <c r="J166" s="459"/>
      <c r="K166" s="459"/>
      <c r="L166" s="458"/>
      <c r="M166" s="458"/>
    </row>
    <row r="167" spans="1:13" s="434" customFormat="1" x14ac:dyDescent="0.25">
      <c r="A167" s="458"/>
      <c r="B167" s="458"/>
      <c r="C167" s="458"/>
      <c r="D167" s="458"/>
      <c r="E167" s="459"/>
      <c r="F167" s="459"/>
      <c r="G167" s="459"/>
      <c r="H167" s="459"/>
      <c r="I167" s="459"/>
      <c r="J167" s="459"/>
      <c r="K167" s="459"/>
      <c r="L167" s="458"/>
      <c r="M167" s="458"/>
    </row>
    <row r="168" spans="1:13" s="434" customFormat="1" ht="105" customHeight="1" x14ac:dyDescent="0.25">
      <c r="A168" s="458"/>
      <c r="B168" s="458"/>
      <c r="C168" s="458"/>
      <c r="D168" s="458"/>
      <c r="E168" s="459"/>
      <c r="F168" s="459"/>
      <c r="G168" s="459"/>
      <c r="H168" s="459"/>
      <c r="I168" s="459"/>
      <c r="J168" s="459"/>
      <c r="K168" s="459"/>
      <c r="L168" s="458"/>
      <c r="M168" s="458"/>
    </row>
    <row r="169" spans="1:13" s="434" customFormat="1" x14ac:dyDescent="0.25">
      <c r="A169" s="458"/>
      <c r="B169" s="458"/>
      <c r="C169" s="458"/>
      <c r="D169" s="458"/>
      <c r="E169" s="459"/>
      <c r="F169" s="459"/>
      <c r="G169" s="459"/>
      <c r="H169" s="459"/>
      <c r="I169" s="459"/>
      <c r="J169" s="459"/>
      <c r="K169" s="459"/>
      <c r="L169" s="458"/>
      <c r="M169" s="458"/>
    </row>
    <row r="170" spans="1:13" s="434" customFormat="1" ht="94.5" customHeight="1" x14ac:dyDescent="0.25">
      <c r="A170" s="458"/>
      <c r="B170" s="458"/>
      <c r="C170" s="458"/>
      <c r="D170" s="458"/>
      <c r="E170" s="459"/>
      <c r="F170" s="459"/>
      <c r="G170" s="459"/>
      <c r="H170" s="459"/>
      <c r="I170" s="459"/>
      <c r="J170" s="459"/>
      <c r="K170" s="459"/>
      <c r="L170" s="458"/>
      <c r="M170" s="458"/>
    </row>
    <row r="171" spans="1:13" s="434" customFormat="1" ht="14.4" customHeight="1" x14ac:dyDescent="0.25">
      <c r="A171" s="458"/>
      <c r="B171" s="458"/>
      <c r="C171" s="458"/>
      <c r="D171" s="458"/>
      <c r="E171" s="459"/>
      <c r="F171" s="459"/>
      <c r="G171" s="459"/>
      <c r="H171" s="459"/>
      <c r="I171" s="459"/>
      <c r="J171" s="459"/>
      <c r="K171" s="459"/>
      <c r="L171" s="458"/>
      <c r="M171" s="458"/>
    </row>
    <row r="172" spans="1:13" s="434" customFormat="1" ht="120" customHeight="1" x14ac:dyDescent="0.25">
      <c r="A172" s="458"/>
      <c r="B172" s="458"/>
      <c r="C172" s="458"/>
      <c r="D172" s="458"/>
      <c r="E172" s="459"/>
      <c r="F172" s="459"/>
      <c r="G172" s="459"/>
      <c r="H172" s="459"/>
      <c r="I172" s="459"/>
      <c r="J172" s="459"/>
      <c r="K172" s="459"/>
      <c r="L172" s="458"/>
      <c r="M172" s="458"/>
    </row>
    <row r="173" spans="1:13" s="434" customFormat="1" ht="40.950000000000003" customHeight="1" x14ac:dyDescent="0.25">
      <c r="A173" s="458"/>
      <c r="B173" s="458"/>
      <c r="C173" s="458"/>
      <c r="D173" s="458"/>
      <c r="E173" s="459"/>
      <c r="F173" s="459"/>
      <c r="G173" s="459"/>
      <c r="H173" s="459"/>
      <c r="I173" s="459"/>
      <c r="J173" s="459"/>
      <c r="K173" s="459"/>
      <c r="L173" s="458"/>
      <c r="M173" s="458"/>
    </row>
    <row r="174" spans="1:13" s="434" customFormat="1" ht="103.95" customHeight="1" x14ac:dyDescent="0.25">
      <c r="A174" s="458"/>
      <c r="B174" s="458"/>
      <c r="C174" s="458"/>
      <c r="D174" s="458"/>
      <c r="E174" s="459"/>
      <c r="F174" s="459"/>
      <c r="G174" s="459"/>
      <c r="H174" s="459"/>
      <c r="I174" s="459"/>
      <c r="J174" s="459"/>
      <c r="K174" s="459"/>
      <c r="L174" s="458"/>
      <c r="M174" s="458"/>
    </row>
    <row r="175" spans="1:13" s="434" customFormat="1" ht="75" customHeight="1" x14ac:dyDescent="0.25">
      <c r="A175" s="458"/>
      <c r="B175" s="458"/>
      <c r="C175" s="458"/>
      <c r="D175" s="458"/>
      <c r="E175" s="459"/>
      <c r="F175" s="459"/>
      <c r="G175" s="459"/>
      <c r="H175" s="459"/>
      <c r="I175" s="459"/>
      <c r="J175" s="459"/>
      <c r="K175" s="459"/>
      <c r="L175" s="458"/>
      <c r="M175" s="458"/>
    </row>
    <row r="176" spans="1:13" s="434" customFormat="1" x14ac:dyDescent="0.25">
      <c r="A176" s="458"/>
      <c r="B176" s="458"/>
      <c r="C176" s="458"/>
      <c r="D176" s="458"/>
      <c r="E176" s="459"/>
      <c r="F176" s="459"/>
      <c r="G176" s="459"/>
      <c r="H176" s="459"/>
      <c r="I176" s="459"/>
      <c r="J176" s="459"/>
      <c r="K176" s="459"/>
      <c r="L176" s="458"/>
      <c r="M176" s="458"/>
    </row>
    <row r="177" spans="1:13" s="434" customFormat="1" ht="78.75" customHeight="1" x14ac:dyDescent="0.25">
      <c r="A177" s="458"/>
      <c r="B177" s="458"/>
      <c r="C177" s="458"/>
      <c r="D177" s="458"/>
      <c r="E177" s="459"/>
      <c r="F177" s="459"/>
      <c r="G177" s="459"/>
      <c r="H177" s="459"/>
      <c r="I177" s="459"/>
      <c r="J177" s="459"/>
      <c r="K177" s="459"/>
      <c r="L177" s="458"/>
      <c r="M177" s="458"/>
    </row>
    <row r="178" spans="1:13" s="434" customFormat="1" x14ac:dyDescent="0.25">
      <c r="A178" s="458"/>
      <c r="B178" s="458"/>
      <c r="C178" s="458"/>
      <c r="D178" s="458"/>
      <c r="E178" s="459"/>
      <c r="F178" s="459"/>
      <c r="G178" s="459"/>
      <c r="H178" s="459"/>
      <c r="I178" s="459"/>
      <c r="J178" s="459"/>
      <c r="K178" s="459"/>
      <c r="L178" s="458"/>
      <c r="M178" s="458"/>
    </row>
    <row r="179" spans="1:13" s="434" customFormat="1" x14ac:dyDescent="0.25">
      <c r="A179" s="458"/>
      <c r="B179" s="458"/>
      <c r="C179" s="458"/>
      <c r="D179" s="458"/>
      <c r="E179" s="459"/>
      <c r="F179" s="459"/>
      <c r="G179" s="459"/>
      <c r="H179" s="459"/>
      <c r="I179" s="459"/>
      <c r="J179" s="459"/>
      <c r="K179" s="459"/>
      <c r="L179" s="458"/>
      <c r="M179" s="458"/>
    </row>
    <row r="180" spans="1:13" s="434" customFormat="1" x14ac:dyDescent="0.25">
      <c r="A180" s="458"/>
      <c r="B180" s="458"/>
      <c r="C180" s="458"/>
      <c r="D180" s="458"/>
      <c r="E180" s="459"/>
      <c r="F180" s="459"/>
      <c r="G180" s="459"/>
      <c r="H180" s="459"/>
      <c r="I180" s="459"/>
      <c r="J180" s="459"/>
      <c r="K180" s="459"/>
      <c r="L180" s="458"/>
      <c r="M180" s="458"/>
    </row>
    <row r="181" spans="1:13" s="434" customFormat="1" x14ac:dyDescent="0.25">
      <c r="A181" s="458"/>
      <c r="B181" s="458"/>
      <c r="C181" s="458"/>
      <c r="D181" s="458"/>
      <c r="E181" s="459"/>
      <c r="F181" s="459"/>
      <c r="G181" s="459"/>
      <c r="H181" s="459"/>
      <c r="I181" s="459"/>
      <c r="J181" s="459"/>
      <c r="K181" s="459"/>
      <c r="L181" s="458"/>
      <c r="M181" s="458"/>
    </row>
    <row r="182" spans="1:13" s="434" customFormat="1" x14ac:dyDescent="0.25">
      <c r="A182" s="458"/>
      <c r="B182" s="458"/>
      <c r="C182" s="458"/>
      <c r="D182" s="458"/>
      <c r="E182" s="459"/>
      <c r="F182" s="459"/>
      <c r="G182" s="459"/>
      <c r="H182" s="459"/>
      <c r="I182" s="459"/>
      <c r="J182" s="459"/>
      <c r="K182" s="459"/>
      <c r="L182" s="458"/>
      <c r="M182" s="458"/>
    </row>
    <row r="183" spans="1:13" s="434" customFormat="1" x14ac:dyDescent="0.25">
      <c r="A183" s="458"/>
      <c r="B183" s="458"/>
      <c r="C183" s="458"/>
      <c r="D183" s="458"/>
      <c r="E183" s="459"/>
      <c r="F183" s="459"/>
      <c r="G183" s="459"/>
      <c r="H183" s="459"/>
      <c r="I183" s="459"/>
      <c r="J183" s="459"/>
      <c r="K183" s="459"/>
      <c r="L183" s="458"/>
      <c r="M183" s="458"/>
    </row>
    <row r="184" spans="1:13" s="434" customFormat="1" x14ac:dyDescent="0.25">
      <c r="A184" s="458"/>
      <c r="B184" s="458"/>
      <c r="C184" s="458"/>
      <c r="D184" s="458"/>
      <c r="E184" s="459"/>
      <c r="F184" s="459"/>
      <c r="G184" s="459"/>
      <c r="H184" s="459"/>
      <c r="I184" s="459"/>
      <c r="J184" s="459"/>
      <c r="K184" s="459"/>
      <c r="L184" s="458"/>
      <c r="M184" s="458"/>
    </row>
    <row r="185" spans="1:13" s="434" customFormat="1" x14ac:dyDescent="0.25">
      <c r="A185" s="458"/>
      <c r="B185" s="458"/>
      <c r="C185" s="458"/>
      <c r="D185" s="458"/>
      <c r="E185" s="459"/>
      <c r="F185" s="459"/>
      <c r="G185" s="459"/>
      <c r="H185" s="459"/>
      <c r="I185" s="459"/>
      <c r="J185" s="459"/>
      <c r="K185" s="459"/>
      <c r="L185" s="458"/>
      <c r="M185" s="458"/>
    </row>
    <row r="186" spans="1:13" s="434" customFormat="1" x14ac:dyDescent="0.25">
      <c r="A186" s="458"/>
      <c r="B186" s="458"/>
      <c r="C186" s="458"/>
      <c r="D186" s="458"/>
      <c r="E186" s="459"/>
      <c r="F186" s="459"/>
      <c r="G186" s="459"/>
      <c r="H186" s="459"/>
      <c r="I186" s="459"/>
      <c r="J186" s="459"/>
      <c r="K186" s="459"/>
      <c r="L186" s="458"/>
      <c r="M186" s="458"/>
    </row>
    <row r="187" spans="1:13" s="434" customFormat="1" x14ac:dyDescent="0.25">
      <c r="A187" s="458"/>
      <c r="B187" s="458"/>
      <c r="C187" s="458"/>
      <c r="D187" s="458"/>
      <c r="E187" s="459"/>
      <c r="F187" s="459"/>
      <c r="G187" s="459"/>
      <c r="H187" s="459"/>
      <c r="I187" s="459"/>
      <c r="J187" s="459"/>
      <c r="K187" s="459"/>
      <c r="L187" s="458"/>
      <c r="M187" s="458"/>
    </row>
    <row r="188" spans="1:13" s="434" customFormat="1" x14ac:dyDescent="0.25">
      <c r="A188" s="458"/>
      <c r="B188" s="458"/>
      <c r="C188" s="458"/>
      <c r="D188" s="458"/>
      <c r="E188" s="459"/>
      <c r="F188" s="459"/>
      <c r="G188" s="459"/>
      <c r="H188" s="459"/>
      <c r="I188" s="459"/>
      <c r="J188" s="459"/>
      <c r="K188" s="459"/>
      <c r="L188" s="458"/>
      <c r="M188" s="458"/>
    </row>
    <row r="189" spans="1:13" s="434" customFormat="1" x14ac:dyDescent="0.25">
      <c r="A189" s="458"/>
      <c r="B189" s="458"/>
      <c r="C189" s="458"/>
      <c r="D189" s="458"/>
      <c r="E189" s="459"/>
      <c r="F189" s="459"/>
      <c r="G189" s="459"/>
      <c r="H189" s="459"/>
      <c r="I189" s="459"/>
      <c r="J189" s="459"/>
      <c r="K189" s="459"/>
      <c r="L189" s="458"/>
      <c r="M189" s="458"/>
    </row>
    <row r="190" spans="1:13" s="434" customFormat="1" x14ac:dyDescent="0.25">
      <c r="A190" s="458"/>
      <c r="B190" s="458"/>
      <c r="C190" s="458"/>
      <c r="D190" s="458"/>
      <c r="E190" s="459"/>
      <c r="F190" s="459"/>
      <c r="G190" s="459"/>
      <c r="H190" s="459"/>
      <c r="I190" s="459"/>
      <c r="J190" s="459"/>
      <c r="K190" s="459"/>
      <c r="L190" s="458"/>
      <c r="M190" s="458"/>
    </row>
    <row r="191" spans="1:13" s="434" customFormat="1" x14ac:dyDescent="0.25">
      <c r="A191" s="458"/>
      <c r="B191" s="458"/>
      <c r="C191" s="458"/>
      <c r="D191" s="458"/>
      <c r="E191" s="459"/>
      <c r="F191" s="459"/>
      <c r="G191" s="459"/>
      <c r="H191" s="459"/>
      <c r="I191" s="459"/>
      <c r="J191" s="459"/>
      <c r="K191" s="459"/>
      <c r="L191" s="458"/>
      <c r="M191" s="458"/>
    </row>
    <row r="192" spans="1:13" s="434" customFormat="1" x14ac:dyDescent="0.25">
      <c r="A192" s="458"/>
      <c r="B192" s="458"/>
      <c r="C192" s="458"/>
      <c r="D192" s="458"/>
      <c r="E192" s="459"/>
      <c r="F192" s="459"/>
      <c r="G192" s="459"/>
      <c r="H192" s="459"/>
      <c r="I192" s="459"/>
      <c r="J192" s="459"/>
      <c r="K192" s="459"/>
      <c r="L192" s="458"/>
      <c r="M192" s="458"/>
    </row>
    <row r="193" spans="1:13" s="434" customFormat="1" x14ac:dyDescent="0.25">
      <c r="A193" s="458"/>
      <c r="B193" s="458"/>
      <c r="C193" s="458"/>
      <c r="D193" s="458"/>
      <c r="E193" s="459"/>
      <c r="F193" s="459"/>
      <c r="G193" s="459"/>
      <c r="H193" s="459"/>
      <c r="I193" s="459"/>
      <c r="J193" s="459"/>
      <c r="K193" s="459"/>
      <c r="L193" s="458"/>
      <c r="M193" s="458"/>
    </row>
    <row r="194" spans="1:13" s="434" customFormat="1" x14ac:dyDescent="0.25">
      <c r="A194" s="458"/>
      <c r="B194" s="458"/>
      <c r="C194" s="458"/>
      <c r="D194" s="458"/>
      <c r="E194" s="459"/>
      <c r="F194" s="459"/>
      <c r="G194" s="459"/>
      <c r="H194" s="459"/>
      <c r="I194" s="459"/>
      <c r="J194" s="459"/>
      <c r="K194" s="459"/>
      <c r="L194" s="458"/>
      <c r="M194" s="458"/>
    </row>
    <row r="195" spans="1:13" s="434" customFormat="1" x14ac:dyDescent="0.25">
      <c r="A195" s="458"/>
      <c r="B195" s="458"/>
      <c r="C195" s="458"/>
      <c r="D195" s="458"/>
      <c r="E195" s="459"/>
      <c r="F195" s="459"/>
      <c r="G195" s="459"/>
      <c r="H195" s="459"/>
      <c r="I195" s="459"/>
      <c r="J195" s="459"/>
      <c r="K195" s="459"/>
      <c r="L195" s="458"/>
      <c r="M195" s="458"/>
    </row>
    <row r="196" spans="1:13" s="434" customFormat="1" x14ac:dyDescent="0.25">
      <c r="A196" s="458"/>
      <c r="B196" s="458"/>
      <c r="C196" s="458"/>
      <c r="D196" s="458"/>
      <c r="E196" s="459"/>
      <c r="F196" s="459"/>
      <c r="G196" s="459"/>
      <c r="H196" s="459"/>
      <c r="I196" s="459"/>
      <c r="J196" s="459"/>
      <c r="K196" s="459"/>
      <c r="L196" s="458"/>
      <c r="M196" s="458"/>
    </row>
    <row r="197" spans="1:13" s="434" customFormat="1" x14ac:dyDescent="0.25">
      <c r="A197" s="458"/>
      <c r="B197" s="458"/>
      <c r="C197" s="458"/>
      <c r="D197" s="458"/>
      <c r="E197" s="459"/>
      <c r="F197" s="459"/>
      <c r="G197" s="459"/>
      <c r="H197" s="459"/>
      <c r="I197" s="459"/>
      <c r="J197" s="459"/>
      <c r="K197" s="459"/>
      <c r="L197" s="458"/>
      <c r="M197" s="458"/>
    </row>
    <row r="198" spans="1:13" s="434" customFormat="1" x14ac:dyDescent="0.25">
      <c r="A198" s="458"/>
      <c r="B198" s="458"/>
      <c r="C198" s="458"/>
      <c r="D198" s="458"/>
      <c r="E198" s="459"/>
      <c r="F198" s="459"/>
      <c r="G198" s="459"/>
      <c r="H198" s="459"/>
      <c r="I198" s="459"/>
      <c r="J198" s="459"/>
      <c r="K198" s="459"/>
      <c r="L198" s="458"/>
      <c r="M198" s="458"/>
    </row>
    <row r="199" spans="1:13" s="434" customFormat="1" x14ac:dyDescent="0.25">
      <c r="A199" s="458"/>
      <c r="B199" s="458"/>
      <c r="C199" s="458"/>
      <c r="D199" s="458"/>
      <c r="E199" s="459"/>
      <c r="F199" s="459"/>
      <c r="G199" s="459"/>
      <c r="H199" s="459"/>
      <c r="I199" s="459"/>
      <c r="J199" s="459"/>
      <c r="K199" s="459"/>
      <c r="L199" s="458"/>
      <c r="M199" s="458"/>
    </row>
    <row r="200" spans="1:13" s="434" customFormat="1" x14ac:dyDescent="0.25">
      <c r="A200" s="458"/>
      <c r="B200" s="458"/>
      <c r="C200" s="458"/>
      <c r="D200" s="458"/>
      <c r="E200" s="459"/>
      <c r="F200" s="459"/>
      <c r="G200" s="459"/>
      <c r="H200" s="459"/>
      <c r="I200" s="459"/>
      <c r="J200" s="459"/>
      <c r="K200" s="459"/>
      <c r="L200" s="458"/>
      <c r="M200" s="458"/>
    </row>
    <row r="201" spans="1:13" s="434" customFormat="1" x14ac:dyDescent="0.25">
      <c r="A201" s="458"/>
      <c r="B201" s="458"/>
      <c r="C201" s="458"/>
      <c r="D201" s="458"/>
      <c r="E201" s="459"/>
      <c r="F201" s="459"/>
      <c r="G201" s="459"/>
      <c r="H201" s="459"/>
      <c r="I201" s="459"/>
      <c r="J201" s="459"/>
      <c r="K201" s="459"/>
      <c r="L201" s="458"/>
      <c r="M201" s="458"/>
    </row>
    <row r="202" spans="1:13" s="434" customFormat="1" x14ac:dyDescent="0.25">
      <c r="A202" s="458"/>
      <c r="B202" s="458"/>
      <c r="C202" s="458"/>
      <c r="D202" s="458"/>
      <c r="E202" s="459"/>
      <c r="F202" s="459"/>
      <c r="G202" s="459"/>
      <c r="H202" s="459"/>
      <c r="I202" s="459"/>
      <c r="J202" s="459"/>
      <c r="K202" s="459"/>
      <c r="L202" s="458"/>
      <c r="M202" s="458"/>
    </row>
    <row r="203" spans="1:13" s="434" customFormat="1" x14ac:dyDescent="0.25">
      <c r="A203" s="458"/>
      <c r="B203" s="458"/>
      <c r="C203" s="458"/>
      <c r="D203" s="458"/>
      <c r="E203" s="459"/>
      <c r="F203" s="459"/>
      <c r="G203" s="459"/>
      <c r="H203" s="459"/>
      <c r="I203" s="459"/>
      <c r="J203" s="459"/>
      <c r="K203" s="459"/>
      <c r="L203" s="458"/>
      <c r="M203" s="458"/>
    </row>
    <row r="204" spans="1:13" s="434" customFormat="1" x14ac:dyDescent="0.25">
      <c r="A204" s="458"/>
      <c r="B204" s="458"/>
      <c r="C204" s="458"/>
      <c r="D204" s="458"/>
      <c r="E204" s="459"/>
      <c r="F204" s="459"/>
      <c r="G204" s="459"/>
      <c r="H204" s="459"/>
      <c r="I204" s="459"/>
      <c r="J204" s="459"/>
      <c r="K204" s="459"/>
      <c r="L204" s="458"/>
      <c r="M204" s="458"/>
    </row>
    <row r="205" spans="1:13" s="434" customFormat="1" x14ac:dyDescent="0.25">
      <c r="A205" s="458"/>
      <c r="B205" s="458"/>
      <c r="C205" s="458"/>
      <c r="D205" s="458"/>
      <c r="E205" s="459"/>
      <c r="F205" s="459"/>
      <c r="G205" s="459"/>
      <c r="H205" s="459"/>
      <c r="I205" s="459"/>
      <c r="J205" s="459"/>
      <c r="K205" s="459"/>
      <c r="L205" s="458"/>
      <c r="M205" s="458"/>
    </row>
    <row r="206" spans="1:13" s="434" customFormat="1" x14ac:dyDescent="0.25">
      <c r="A206" s="458"/>
      <c r="B206" s="458"/>
      <c r="C206" s="458"/>
      <c r="D206" s="458"/>
      <c r="E206" s="459"/>
      <c r="F206" s="459"/>
      <c r="G206" s="459"/>
      <c r="H206" s="459"/>
      <c r="I206" s="459"/>
      <c r="J206" s="459"/>
      <c r="K206" s="459"/>
      <c r="L206" s="458"/>
      <c r="M206" s="458"/>
    </row>
    <row r="207" spans="1:13" s="434" customFormat="1" x14ac:dyDescent="0.25">
      <c r="A207" s="458"/>
      <c r="B207" s="458"/>
      <c r="C207" s="458"/>
      <c r="D207" s="458"/>
      <c r="E207" s="459"/>
      <c r="F207" s="459"/>
      <c r="G207" s="459"/>
      <c r="H207" s="459"/>
      <c r="I207" s="459"/>
      <c r="J207" s="459"/>
      <c r="K207" s="459"/>
      <c r="L207" s="458"/>
      <c r="M207" s="458"/>
    </row>
    <row r="208" spans="1:13" s="434" customFormat="1" x14ac:dyDescent="0.25">
      <c r="A208" s="458"/>
      <c r="B208" s="458"/>
      <c r="C208" s="458"/>
      <c r="D208" s="458"/>
      <c r="E208" s="459"/>
      <c r="F208" s="459"/>
      <c r="G208" s="459"/>
      <c r="H208" s="459"/>
      <c r="I208" s="459"/>
      <c r="J208" s="459"/>
      <c r="K208" s="459"/>
      <c r="L208" s="458"/>
      <c r="M208" s="458"/>
    </row>
    <row r="209" spans="1:13" s="434" customFormat="1" x14ac:dyDescent="0.25">
      <c r="A209" s="458"/>
      <c r="B209" s="458"/>
      <c r="C209" s="458"/>
      <c r="D209" s="458"/>
      <c r="E209" s="459"/>
      <c r="F209" s="459"/>
      <c r="G209" s="459"/>
      <c r="H209" s="459"/>
      <c r="I209" s="459"/>
      <c r="J209" s="459"/>
      <c r="K209" s="459"/>
      <c r="L209" s="458"/>
      <c r="M209" s="458"/>
    </row>
    <row r="210" spans="1:13" s="434" customFormat="1" x14ac:dyDescent="0.25">
      <c r="A210" s="458"/>
      <c r="B210" s="458"/>
      <c r="C210" s="458"/>
      <c r="D210" s="458"/>
      <c r="E210" s="459"/>
      <c r="F210" s="459"/>
      <c r="G210" s="459"/>
      <c r="H210" s="459"/>
      <c r="I210" s="459"/>
      <c r="J210" s="459"/>
      <c r="K210" s="459"/>
      <c r="L210" s="458"/>
      <c r="M210" s="458"/>
    </row>
    <row r="211" spans="1:13" s="434" customFormat="1" x14ac:dyDescent="0.25">
      <c r="A211" s="458"/>
      <c r="B211" s="458"/>
      <c r="C211" s="458"/>
      <c r="D211" s="458"/>
      <c r="E211" s="459"/>
      <c r="F211" s="459"/>
      <c r="G211" s="459"/>
      <c r="H211" s="459"/>
      <c r="I211" s="459"/>
      <c r="J211" s="459"/>
      <c r="K211" s="459"/>
      <c r="L211" s="458"/>
      <c r="M211" s="458"/>
    </row>
    <row r="212" spans="1:13" s="434" customFormat="1" x14ac:dyDescent="0.25">
      <c r="A212" s="458"/>
      <c r="B212" s="458"/>
      <c r="C212" s="458"/>
      <c r="D212" s="458"/>
      <c r="E212" s="459"/>
      <c r="F212" s="459"/>
      <c r="G212" s="459"/>
      <c r="H212" s="459"/>
      <c r="I212" s="459"/>
      <c r="J212" s="459"/>
      <c r="K212" s="459"/>
      <c r="L212" s="458"/>
      <c r="M212" s="458"/>
    </row>
    <row r="213" spans="1:13" s="434" customFormat="1" x14ac:dyDescent="0.25">
      <c r="A213" s="458"/>
      <c r="B213" s="458"/>
      <c r="C213" s="458"/>
      <c r="D213" s="458"/>
      <c r="E213" s="459"/>
      <c r="F213" s="459"/>
      <c r="G213" s="459"/>
      <c r="H213" s="459"/>
      <c r="I213" s="459"/>
      <c r="J213" s="459"/>
      <c r="K213" s="459"/>
      <c r="L213" s="458"/>
      <c r="M213" s="458"/>
    </row>
    <row r="214" spans="1:13" s="434" customFormat="1" x14ac:dyDescent="0.25">
      <c r="A214" s="458"/>
      <c r="B214" s="458"/>
      <c r="C214" s="458"/>
      <c r="D214" s="458"/>
      <c r="E214" s="459"/>
      <c r="F214" s="459"/>
      <c r="G214" s="459"/>
      <c r="H214" s="459"/>
      <c r="I214" s="459"/>
      <c r="J214" s="459"/>
      <c r="K214" s="459"/>
      <c r="L214" s="458"/>
      <c r="M214" s="458"/>
    </row>
    <row r="215" spans="1:13" s="434" customFormat="1" x14ac:dyDescent="0.25">
      <c r="A215" s="458"/>
      <c r="B215" s="458"/>
      <c r="C215" s="458"/>
      <c r="D215" s="458"/>
      <c r="E215" s="459"/>
      <c r="F215" s="459"/>
      <c r="G215" s="459"/>
      <c r="H215" s="459"/>
      <c r="I215" s="459"/>
      <c r="J215" s="459"/>
      <c r="K215" s="459"/>
      <c r="L215" s="458"/>
      <c r="M215" s="458"/>
    </row>
    <row r="216" spans="1:13" s="434" customFormat="1" x14ac:dyDescent="0.25">
      <c r="A216" s="458"/>
      <c r="B216" s="458"/>
      <c r="C216" s="458"/>
      <c r="D216" s="458"/>
      <c r="E216" s="459"/>
      <c r="F216" s="459"/>
      <c r="G216" s="459"/>
      <c r="H216" s="459"/>
      <c r="I216" s="459"/>
      <c r="J216" s="459"/>
      <c r="K216" s="459"/>
      <c r="L216" s="458"/>
      <c r="M216" s="458"/>
    </row>
    <row r="217" spans="1:13" s="434" customFormat="1" x14ac:dyDescent="0.25">
      <c r="A217" s="458"/>
      <c r="B217" s="458"/>
      <c r="C217" s="458"/>
      <c r="D217" s="458"/>
      <c r="E217" s="459"/>
      <c r="F217" s="459"/>
      <c r="G217" s="459"/>
      <c r="H217" s="459"/>
      <c r="I217" s="459"/>
      <c r="J217" s="459"/>
      <c r="K217" s="459"/>
      <c r="L217" s="458"/>
      <c r="M217" s="458"/>
    </row>
    <row r="218" spans="1:13" s="434" customFormat="1" x14ac:dyDescent="0.25">
      <c r="A218" s="458"/>
      <c r="B218" s="458"/>
      <c r="C218" s="458"/>
      <c r="D218" s="458"/>
      <c r="E218" s="459"/>
      <c r="F218" s="459"/>
      <c r="G218" s="459"/>
      <c r="H218" s="459"/>
      <c r="I218" s="459"/>
      <c r="J218" s="459"/>
      <c r="K218" s="459"/>
      <c r="L218" s="458"/>
      <c r="M218" s="458"/>
    </row>
    <row r="219" spans="1:13" s="434" customFormat="1" x14ac:dyDescent="0.25">
      <c r="A219" s="458"/>
      <c r="B219" s="458"/>
      <c r="C219" s="458"/>
      <c r="D219" s="458"/>
      <c r="E219" s="459"/>
      <c r="F219" s="459"/>
      <c r="G219" s="459"/>
      <c r="H219" s="459"/>
      <c r="I219" s="459"/>
      <c r="J219" s="459"/>
      <c r="K219" s="459"/>
      <c r="L219" s="458"/>
      <c r="M219" s="458"/>
    </row>
    <row r="220" spans="1:13" s="434" customFormat="1" x14ac:dyDescent="0.25">
      <c r="A220" s="458"/>
      <c r="B220" s="458"/>
      <c r="C220" s="458"/>
      <c r="D220" s="458"/>
      <c r="E220" s="459"/>
      <c r="F220" s="459"/>
      <c r="G220" s="459"/>
      <c r="H220" s="459"/>
      <c r="I220" s="459"/>
      <c r="J220" s="459"/>
      <c r="K220" s="459"/>
      <c r="L220" s="458"/>
      <c r="M220" s="458"/>
    </row>
    <row r="221" spans="1:13" s="434" customFormat="1" x14ac:dyDescent="0.25">
      <c r="A221" s="458"/>
      <c r="B221" s="458"/>
      <c r="C221" s="458"/>
      <c r="D221" s="458"/>
      <c r="E221" s="459"/>
      <c r="F221" s="459"/>
      <c r="G221" s="459"/>
      <c r="H221" s="459"/>
      <c r="I221" s="459"/>
      <c r="J221" s="459"/>
      <c r="K221" s="459"/>
      <c r="L221" s="458"/>
      <c r="M221" s="458"/>
    </row>
    <row r="222" spans="1:13" s="434" customFormat="1" x14ac:dyDescent="0.25">
      <c r="A222" s="458"/>
      <c r="B222" s="458"/>
      <c r="C222" s="458"/>
      <c r="D222" s="458"/>
      <c r="E222" s="459"/>
      <c r="F222" s="459"/>
      <c r="G222" s="459"/>
      <c r="H222" s="459"/>
      <c r="I222" s="459"/>
      <c r="J222" s="459"/>
      <c r="K222" s="459"/>
      <c r="L222" s="458"/>
      <c r="M222" s="458"/>
    </row>
    <row r="223" spans="1:13" s="434" customFormat="1" x14ac:dyDescent="0.25">
      <c r="A223" s="458"/>
      <c r="B223" s="458"/>
      <c r="C223" s="458"/>
      <c r="D223" s="458"/>
      <c r="E223" s="459"/>
      <c r="F223" s="459"/>
      <c r="G223" s="459"/>
      <c r="H223" s="459"/>
      <c r="I223" s="459"/>
      <c r="J223" s="459"/>
      <c r="K223" s="459"/>
      <c r="L223" s="458"/>
      <c r="M223" s="458"/>
    </row>
    <row r="224" spans="1:13" s="434" customFormat="1" x14ac:dyDescent="0.25">
      <c r="A224" s="458"/>
      <c r="B224" s="458"/>
      <c r="C224" s="458"/>
      <c r="D224" s="458"/>
      <c r="E224" s="459"/>
      <c r="F224" s="459"/>
      <c r="G224" s="459"/>
      <c r="H224" s="459"/>
      <c r="I224" s="459"/>
      <c r="J224" s="459"/>
      <c r="K224" s="459"/>
      <c r="L224" s="458"/>
      <c r="M224" s="458"/>
    </row>
    <row r="225" spans="1:13" s="434" customFormat="1" x14ac:dyDescent="0.25">
      <c r="A225" s="458"/>
      <c r="B225" s="458"/>
      <c r="C225" s="458"/>
      <c r="D225" s="458"/>
      <c r="E225" s="459"/>
      <c r="F225" s="459"/>
      <c r="G225" s="459"/>
      <c r="H225" s="459"/>
      <c r="I225" s="459"/>
      <c r="J225" s="459"/>
      <c r="K225" s="459"/>
      <c r="L225" s="458"/>
      <c r="M225" s="458"/>
    </row>
    <row r="226" spans="1:13" s="434" customFormat="1" x14ac:dyDescent="0.25">
      <c r="A226" s="458"/>
      <c r="B226" s="458"/>
      <c r="C226" s="458"/>
      <c r="D226" s="458"/>
      <c r="E226" s="459"/>
      <c r="F226" s="459"/>
      <c r="G226" s="459"/>
      <c r="H226" s="459"/>
      <c r="I226" s="459"/>
      <c r="J226" s="459"/>
      <c r="K226" s="459"/>
      <c r="L226" s="458"/>
      <c r="M226" s="458"/>
    </row>
    <row r="227" spans="1:13" s="434" customFormat="1" x14ac:dyDescent="0.25">
      <c r="A227" s="458"/>
      <c r="B227" s="458"/>
      <c r="C227" s="458"/>
      <c r="D227" s="458"/>
      <c r="E227" s="459"/>
      <c r="F227" s="459"/>
      <c r="G227" s="459"/>
      <c r="H227" s="459"/>
      <c r="I227" s="459"/>
      <c r="J227" s="459"/>
      <c r="K227" s="459"/>
      <c r="L227" s="458"/>
      <c r="M227" s="458"/>
    </row>
    <row r="228" spans="1:13" s="434" customFormat="1" x14ac:dyDescent="0.25">
      <c r="A228" s="458"/>
      <c r="B228" s="458"/>
      <c r="C228" s="458"/>
      <c r="D228" s="458"/>
      <c r="E228" s="459"/>
      <c r="F228" s="459"/>
      <c r="G228" s="459"/>
      <c r="H228" s="459"/>
      <c r="I228" s="459"/>
      <c r="J228" s="459"/>
      <c r="K228" s="459"/>
      <c r="L228" s="458"/>
      <c r="M228" s="458"/>
    </row>
    <row r="229" spans="1:13" s="434" customFormat="1" x14ac:dyDescent="0.25">
      <c r="A229" s="458"/>
      <c r="B229" s="458"/>
      <c r="C229" s="458"/>
      <c r="D229" s="458"/>
      <c r="E229" s="459"/>
      <c r="F229" s="459"/>
      <c r="G229" s="459"/>
      <c r="H229" s="459"/>
      <c r="I229" s="459"/>
      <c r="J229" s="459"/>
      <c r="K229" s="459"/>
      <c r="L229" s="458"/>
      <c r="M229" s="458"/>
    </row>
    <row r="230" spans="1:13" s="434" customFormat="1" x14ac:dyDescent="0.25">
      <c r="A230" s="458"/>
      <c r="B230" s="458"/>
      <c r="C230" s="458"/>
      <c r="D230" s="458"/>
      <c r="E230" s="459"/>
      <c r="F230" s="459"/>
      <c r="G230" s="459"/>
      <c r="H230" s="459"/>
      <c r="I230" s="459"/>
      <c r="J230" s="459"/>
      <c r="K230" s="459"/>
      <c r="L230" s="458"/>
      <c r="M230" s="458"/>
    </row>
    <row r="231" spans="1:13" s="434" customFormat="1" x14ac:dyDescent="0.25">
      <c r="A231" s="458"/>
      <c r="B231" s="458"/>
      <c r="C231" s="458"/>
      <c r="D231" s="458"/>
      <c r="E231" s="459"/>
      <c r="F231" s="459"/>
      <c r="G231" s="459"/>
      <c r="H231" s="459"/>
      <c r="I231" s="459"/>
      <c r="J231" s="459"/>
      <c r="K231" s="459"/>
      <c r="L231" s="458"/>
      <c r="M231" s="458"/>
    </row>
    <row r="232" spans="1:13" s="434" customFormat="1" x14ac:dyDescent="0.25">
      <c r="A232" s="458"/>
      <c r="B232" s="458"/>
      <c r="C232" s="458"/>
      <c r="D232" s="458"/>
      <c r="E232" s="459"/>
      <c r="F232" s="459"/>
      <c r="G232" s="459"/>
      <c r="H232" s="459"/>
      <c r="I232" s="459"/>
      <c r="J232" s="459"/>
      <c r="K232" s="459"/>
      <c r="L232" s="458"/>
      <c r="M232" s="458"/>
    </row>
    <row r="233" spans="1:13" s="434" customFormat="1" x14ac:dyDescent="0.25">
      <c r="A233" s="458"/>
      <c r="B233" s="458"/>
      <c r="C233" s="458"/>
      <c r="D233" s="458"/>
      <c r="E233" s="459"/>
      <c r="F233" s="459"/>
      <c r="G233" s="459"/>
      <c r="H233" s="459"/>
      <c r="I233" s="459"/>
      <c r="J233" s="459"/>
      <c r="K233" s="459"/>
      <c r="L233" s="458"/>
      <c r="M233" s="458"/>
    </row>
    <row r="234" spans="1:13" s="434" customFormat="1" x14ac:dyDescent="0.25">
      <c r="A234" s="458"/>
      <c r="B234" s="458"/>
      <c r="C234" s="458"/>
      <c r="D234" s="458"/>
      <c r="E234" s="459"/>
      <c r="F234" s="459"/>
      <c r="G234" s="459"/>
      <c r="H234" s="459"/>
      <c r="I234" s="459"/>
      <c r="J234" s="459"/>
      <c r="K234" s="459"/>
      <c r="L234" s="458"/>
      <c r="M234" s="458"/>
    </row>
    <row r="235" spans="1:13" s="434" customFormat="1" x14ac:dyDescent="0.25">
      <c r="A235" s="458"/>
      <c r="B235" s="458"/>
      <c r="C235" s="458"/>
      <c r="D235" s="458"/>
      <c r="E235" s="459"/>
      <c r="F235" s="459"/>
      <c r="G235" s="459"/>
      <c r="H235" s="459"/>
      <c r="I235" s="459"/>
      <c r="J235" s="459"/>
      <c r="K235" s="459"/>
      <c r="L235" s="458"/>
      <c r="M235" s="458"/>
    </row>
    <row r="236" spans="1:13" s="434" customFormat="1" x14ac:dyDescent="0.25">
      <c r="A236" s="458"/>
      <c r="B236" s="458"/>
      <c r="C236" s="458"/>
      <c r="D236" s="458"/>
      <c r="E236" s="459"/>
      <c r="F236" s="459"/>
      <c r="G236" s="459"/>
      <c r="H236" s="459"/>
      <c r="I236" s="459"/>
      <c r="J236" s="459"/>
      <c r="K236" s="459"/>
      <c r="L236" s="458"/>
      <c r="M236" s="458"/>
    </row>
    <row r="237" spans="1:13" s="434" customFormat="1" x14ac:dyDescent="0.25">
      <c r="A237" s="458"/>
      <c r="B237" s="458"/>
      <c r="C237" s="458"/>
      <c r="D237" s="458"/>
      <c r="E237" s="459"/>
      <c r="F237" s="459"/>
      <c r="G237" s="459"/>
      <c r="H237" s="459"/>
      <c r="I237" s="459"/>
      <c r="J237" s="459"/>
      <c r="K237" s="459"/>
      <c r="L237" s="458"/>
      <c r="M237" s="458"/>
    </row>
    <row r="238" spans="1:13" s="434" customFormat="1" x14ac:dyDescent="0.25">
      <c r="A238" s="458"/>
      <c r="B238" s="458"/>
      <c r="C238" s="458"/>
      <c r="D238" s="458"/>
      <c r="E238" s="459"/>
      <c r="F238" s="459"/>
      <c r="G238" s="459"/>
      <c r="H238" s="459"/>
      <c r="I238" s="459"/>
      <c r="J238" s="459"/>
      <c r="K238" s="459"/>
      <c r="L238" s="458"/>
      <c r="M238" s="458"/>
    </row>
    <row r="239" spans="1:13" s="434" customFormat="1" x14ac:dyDescent="0.25">
      <c r="A239" s="458"/>
      <c r="B239" s="458"/>
      <c r="C239" s="458"/>
      <c r="D239" s="458"/>
      <c r="E239" s="459"/>
      <c r="F239" s="459"/>
      <c r="G239" s="459"/>
      <c r="H239" s="459"/>
      <c r="I239" s="459"/>
      <c r="J239" s="459"/>
      <c r="K239" s="459"/>
      <c r="L239" s="458"/>
      <c r="M239" s="458"/>
    </row>
    <row r="240" spans="1:13" s="434" customFormat="1" x14ac:dyDescent="0.25">
      <c r="A240" s="458"/>
      <c r="B240" s="458"/>
      <c r="C240" s="458"/>
      <c r="D240" s="458"/>
      <c r="E240" s="459"/>
      <c r="F240" s="459"/>
      <c r="G240" s="459"/>
      <c r="H240" s="459"/>
      <c r="I240" s="459"/>
      <c r="J240" s="459"/>
      <c r="K240" s="459"/>
      <c r="L240" s="458"/>
      <c r="M240" s="458"/>
    </row>
    <row r="241" spans="1:13" s="434" customFormat="1" x14ac:dyDescent="0.25">
      <c r="A241" s="458"/>
      <c r="B241" s="458"/>
      <c r="C241" s="458"/>
      <c r="D241" s="458"/>
      <c r="E241" s="459"/>
      <c r="F241" s="459"/>
      <c r="G241" s="459"/>
      <c r="H241" s="459"/>
      <c r="I241" s="459"/>
      <c r="J241" s="459"/>
      <c r="K241" s="459"/>
      <c r="L241" s="458"/>
      <c r="M241" s="458"/>
    </row>
    <row r="242" spans="1:13" s="434" customFormat="1" x14ac:dyDescent="0.25">
      <c r="A242" s="458"/>
      <c r="B242" s="458"/>
      <c r="C242" s="458"/>
      <c r="D242" s="458"/>
      <c r="E242" s="459"/>
      <c r="F242" s="459"/>
      <c r="G242" s="459"/>
      <c r="H242" s="459"/>
      <c r="I242" s="459"/>
      <c r="J242" s="459"/>
      <c r="K242" s="459"/>
      <c r="L242" s="458"/>
      <c r="M242" s="458"/>
    </row>
    <row r="243" spans="1:13" s="434" customFormat="1" x14ac:dyDescent="0.25">
      <c r="A243" s="458"/>
      <c r="B243" s="458"/>
      <c r="C243" s="458"/>
      <c r="D243" s="458"/>
      <c r="E243" s="459"/>
      <c r="F243" s="459"/>
      <c r="G243" s="459"/>
      <c r="H243" s="459"/>
      <c r="I243" s="459"/>
      <c r="J243" s="459"/>
      <c r="K243" s="459"/>
      <c r="L243" s="458"/>
      <c r="M243" s="458"/>
    </row>
    <row r="244" spans="1:13" s="434" customFormat="1" x14ac:dyDescent="0.25">
      <c r="A244" s="458"/>
      <c r="B244" s="458"/>
      <c r="C244" s="458"/>
      <c r="D244" s="458"/>
      <c r="E244" s="459"/>
      <c r="F244" s="459"/>
      <c r="G244" s="459"/>
      <c r="H244" s="459"/>
      <c r="I244" s="459"/>
      <c r="J244" s="459"/>
      <c r="K244" s="459"/>
      <c r="L244" s="458"/>
      <c r="M244" s="458"/>
    </row>
    <row r="245" spans="1:13" s="434" customFormat="1" x14ac:dyDescent="0.25">
      <c r="A245" s="458"/>
      <c r="B245" s="458"/>
      <c r="C245" s="458"/>
      <c r="D245" s="458"/>
      <c r="E245" s="459"/>
      <c r="F245" s="459"/>
      <c r="G245" s="459"/>
      <c r="H245" s="459"/>
      <c r="I245" s="459"/>
      <c r="J245" s="459"/>
      <c r="K245" s="459"/>
      <c r="L245" s="458"/>
      <c r="M245" s="458"/>
    </row>
    <row r="246" spans="1:13" s="434" customFormat="1" x14ac:dyDescent="0.25">
      <c r="A246" s="458"/>
      <c r="B246" s="458"/>
      <c r="C246" s="458"/>
      <c r="D246" s="458"/>
      <c r="E246" s="459"/>
      <c r="F246" s="459"/>
      <c r="G246" s="459"/>
      <c r="H246" s="459"/>
      <c r="I246" s="459"/>
      <c r="J246" s="459"/>
      <c r="K246" s="459"/>
      <c r="L246" s="458"/>
      <c r="M246" s="458"/>
    </row>
    <row r="247" spans="1:13" s="434" customFormat="1" x14ac:dyDescent="0.25">
      <c r="A247" s="458"/>
      <c r="B247" s="458"/>
      <c r="C247" s="458"/>
      <c r="D247" s="458"/>
      <c r="E247" s="459"/>
      <c r="F247" s="459"/>
      <c r="G247" s="459"/>
      <c r="H247" s="459"/>
      <c r="I247" s="459"/>
      <c r="J247" s="459"/>
      <c r="K247" s="459"/>
      <c r="L247" s="458"/>
      <c r="M247" s="458"/>
    </row>
    <row r="248" spans="1:13" s="434" customFormat="1" x14ac:dyDescent="0.25">
      <c r="A248" s="458"/>
      <c r="B248" s="458"/>
      <c r="C248" s="458"/>
      <c r="D248" s="458"/>
      <c r="E248" s="459"/>
      <c r="F248" s="459"/>
      <c r="G248" s="459"/>
      <c r="H248" s="459"/>
      <c r="I248" s="459"/>
      <c r="J248" s="459"/>
      <c r="K248" s="459"/>
      <c r="L248" s="458"/>
      <c r="M248" s="458"/>
    </row>
    <row r="249" spans="1:13" s="434" customFormat="1" x14ac:dyDescent="0.25">
      <c r="A249" s="458"/>
      <c r="B249" s="458"/>
      <c r="C249" s="458"/>
      <c r="D249" s="458"/>
      <c r="E249" s="459"/>
      <c r="F249" s="459"/>
      <c r="G249" s="459"/>
      <c r="H249" s="459"/>
      <c r="I249" s="459"/>
      <c r="J249" s="459"/>
      <c r="K249" s="459"/>
      <c r="L249" s="458"/>
      <c r="M249" s="458"/>
    </row>
    <row r="250" spans="1:13" s="434" customFormat="1" x14ac:dyDescent="0.25">
      <c r="A250" s="458"/>
      <c r="B250" s="458"/>
      <c r="C250" s="458"/>
      <c r="D250" s="458"/>
      <c r="E250" s="459"/>
      <c r="F250" s="459"/>
      <c r="G250" s="459"/>
      <c r="H250" s="459"/>
      <c r="I250" s="459"/>
      <c r="J250" s="459"/>
      <c r="K250" s="459"/>
      <c r="L250" s="458"/>
      <c r="M250" s="458"/>
    </row>
    <row r="251" spans="1:13" s="434" customFormat="1" x14ac:dyDescent="0.25">
      <c r="A251" s="458"/>
      <c r="B251" s="458"/>
      <c r="C251" s="458"/>
      <c r="D251" s="458"/>
      <c r="E251" s="459"/>
      <c r="F251" s="459"/>
      <c r="G251" s="459"/>
      <c r="H251" s="459"/>
      <c r="I251" s="459"/>
      <c r="J251" s="459"/>
      <c r="K251" s="459"/>
      <c r="L251" s="458"/>
      <c r="M251" s="458"/>
    </row>
    <row r="252" spans="1:13" s="434" customFormat="1" x14ac:dyDescent="0.25">
      <c r="A252" s="458"/>
      <c r="B252" s="458"/>
      <c r="C252" s="458"/>
      <c r="D252" s="458"/>
      <c r="E252" s="459"/>
      <c r="F252" s="459"/>
      <c r="G252" s="459"/>
      <c r="H252" s="459"/>
      <c r="I252" s="459"/>
      <c r="J252" s="459"/>
      <c r="K252" s="459"/>
      <c r="L252" s="458"/>
      <c r="M252" s="458"/>
    </row>
    <row r="253" spans="1:13" s="434" customFormat="1" x14ac:dyDescent="0.25">
      <c r="A253" s="458"/>
      <c r="B253" s="458"/>
      <c r="C253" s="458"/>
      <c r="D253" s="458"/>
      <c r="E253" s="459"/>
      <c r="F253" s="459"/>
      <c r="G253" s="459"/>
      <c r="H253" s="459"/>
      <c r="I253" s="459"/>
      <c r="J253" s="459"/>
      <c r="K253" s="459"/>
      <c r="L253" s="458"/>
      <c r="M253" s="458"/>
    </row>
    <row r="254" spans="1:13" s="434" customFormat="1" x14ac:dyDescent="0.25">
      <c r="A254" s="458"/>
      <c r="B254" s="458"/>
      <c r="C254" s="458"/>
      <c r="D254" s="458"/>
      <c r="E254" s="459"/>
      <c r="F254" s="459"/>
      <c r="G254" s="459"/>
      <c r="H254" s="459"/>
      <c r="I254" s="459"/>
      <c r="J254" s="459"/>
      <c r="K254" s="459"/>
      <c r="L254" s="458"/>
      <c r="M254" s="458"/>
    </row>
    <row r="255" spans="1:13" s="434" customFormat="1" x14ac:dyDescent="0.25">
      <c r="A255" s="458"/>
      <c r="B255" s="458"/>
      <c r="C255" s="458"/>
      <c r="D255" s="458"/>
      <c r="E255" s="459"/>
      <c r="F255" s="459"/>
      <c r="G255" s="459"/>
      <c r="H255" s="459"/>
      <c r="I255" s="459"/>
      <c r="J255" s="459"/>
      <c r="K255" s="459"/>
      <c r="L255" s="458"/>
      <c r="M255" s="458"/>
    </row>
    <row r="256" spans="1:13" s="434" customFormat="1" x14ac:dyDescent="0.25">
      <c r="A256" s="458"/>
      <c r="B256" s="458"/>
      <c r="C256" s="458"/>
      <c r="D256" s="458"/>
      <c r="E256" s="459"/>
      <c r="F256" s="459"/>
      <c r="G256" s="459"/>
      <c r="H256" s="459"/>
      <c r="I256" s="459"/>
      <c r="J256" s="459"/>
      <c r="K256" s="459"/>
      <c r="L256" s="458"/>
      <c r="M256" s="458"/>
    </row>
    <row r="257" spans="1:23" s="434" customFormat="1" x14ac:dyDescent="0.25">
      <c r="A257" s="458"/>
      <c r="B257" s="458"/>
      <c r="C257" s="458"/>
      <c r="D257" s="458"/>
      <c r="E257" s="459"/>
      <c r="F257" s="459"/>
      <c r="G257" s="459"/>
      <c r="H257" s="459"/>
      <c r="I257" s="459"/>
      <c r="J257" s="459"/>
      <c r="K257" s="459"/>
      <c r="L257" s="458"/>
      <c r="M257" s="458"/>
    </row>
    <row r="258" spans="1:23" s="434" customFormat="1" x14ac:dyDescent="0.25">
      <c r="A258" s="458"/>
      <c r="B258" s="458"/>
      <c r="C258" s="458"/>
      <c r="D258" s="458"/>
      <c r="E258" s="459"/>
      <c r="F258" s="459"/>
      <c r="G258" s="459"/>
      <c r="H258" s="459"/>
      <c r="I258" s="459"/>
      <c r="J258" s="459"/>
      <c r="K258" s="459"/>
      <c r="L258" s="458"/>
      <c r="M258" s="458"/>
    </row>
    <row r="259" spans="1:23" s="434" customFormat="1" x14ac:dyDescent="0.25">
      <c r="A259" s="458"/>
      <c r="B259" s="458"/>
      <c r="C259" s="458"/>
      <c r="D259" s="458"/>
      <c r="E259" s="459"/>
      <c r="F259" s="459"/>
      <c r="G259" s="459"/>
      <c r="H259" s="459"/>
      <c r="I259" s="459"/>
      <c r="J259" s="459"/>
      <c r="K259" s="459"/>
      <c r="L259" s="458"/>
      <c r="M259" s="458"/>
    </row>
    <row r="260" spans="1:23" s="434" customFormat="1" x14ac:dyDescent="0.25">
      <c r="A260" s="458"/>
      <c r="B260" s="458"/>
      <c r="C260" s="458"/>
      <c r="D260" s="458"/>
      <c r="E260" s="459"/>
      <c r="F260" s="459"/>
      <c r="G260" s="459"/>
      <c r="H260" s="459"/>
      <c r="I260" s="459"/>
      <c r="J260" s="459"/>
      <c r="K260" s="459"/>
      <c r="L260" s="458"/>
      <c r="M260" s="458"/>
    </row>
    <row r="261" spans="1:23" s="434" customFormat="1" x14ac:dyDescent="0.25">
      <c r="A261" s="458"/>
      <c r="B261" s="458"/>
      <c r="C261" s="458"/>
      <c r="D261" s="458"/>
      <c r="E261" s="459"/>
      <c r="F261" s="459"/>
      <c r="G261" s="459"/>
      <c r="H261" s="459"/>
      <c r="I261" s="459"/>
      <c r="J261" s="459"/>
      <c r="K261" s="459"/>
      <c r="L261" s="458"/>
      <c r="M261" s="458"/>
    </row>
    <row r="262" spans="1:23" s="434" customFormat="1" x14ac:dyDescent="0.25">
      <c r="A262" s="458"/>
      <c r="B262" s="458"/>
      <c r="C262" s="458"/>
      <c r="D262" s="458"/>
      <c r="E262" s="459"/>
      <c r="F262" s="459"/>
      <c r="G262" s="459"/>
      <c r="H262" s="459"/>
      <c r="I262" s="459"/>
      <c r="J262" s="459"/>
      <c r="K262" s="459"/>
      <c r="L262" s="458"/>
      <c r="M262" s="458"/>
    </row>
    <row r="263" spans="1:23" s="434" customFormat="1" x14ac:dyDescent="0.25">
      <c r="A263" s="458"/>
      <c r="B263" s="458"/>
      <c r="C263" s="458"/>
      <c r="D263" s="458"/>
      <c r="E263" s="459"/>
      <c r="F263" s="459"/>
      <c r="G263" s="459"/>
      <c r="H263" s="459"/>
      <c r="I263" s="459"/>
      <c r="J263" s="459"/>
      <c r="K263" s="459"/>
      <c r="L263" s="458"/>
      <c r="M263" s="458"/>
    </row>
    <row r="264" spans="1:23" s="434" customFormat="1" x14ac:dyDescent="0.25">
      <c r="A264" s="458"/>
      <c r="B264" s="458"/>
      <c r="C264" s="458"/>
      <c r="D264" s="458"/>
      <c r="E264" s="459"/>
      <c r="F264" s="459"/>
      <c r="G264" s="459"/>
      <c r="H264" s="459"/>
      <c r="I264" s="459"/>
      <c r="J264" s="459"/>
      <c r="K264" s="459"/>
      <c r="L264" s="458"/>
      <c r="M264" s="458"/>
      <c r="S264" s="460"/>
      <c r="T264" s="460"/>
      <c r="U264" s="460"/>
      <c r="V264" s="460"/>
      <c r="W264" s="460"/>
    </row>
  </sheetData>
  <customSheetViews>
    <customSheetView guid="{7DDEA387-EEC9-4633-99BE-C0D9299FB093}" scale="85" showPageBreaks="1" printArea="1" hiddenRows="1" view="pageBreakPreview">
      <pane ySplit="4" topLeftCell="A14" activePane="bottomLeft" state="frozen"/>
      <selection pane="bottomLeft" activeCell="F9" sqref="F9"/>
      <rowBreaks count="1" manualBreakCount="1">
        <brk id="53" max="12" man="1"/>
      </rowBreaks>
      <pageMargins left="0.19685039370078741" right="0.19685039370078741" top="0.23622047244094491" bottom="0.19685039370078741" header="0" footer="0"/>
      <pageSetup paperSize="9" scale="63" orientation="landscape" r:id="rId1"/>
    </customSheetView>
    <customSheetView guid="{6592EBC0-D945-4F6F-93D1-49FCB588A4A0}" scale="85" showPageBreaks="1" printArea="1" hiddenRows="1" view="pageBreakPreview">
      <pane ySplit="4" topLeftCell="A17" activePane="bottomLeft" state="frozen"/>
      <selection pane="bottomLeft" activeCell="M19" sqref="M19:M21"/>
      <rowBreaks count="1" manualBreakCount="1">
        <brk id="53" max="12" man="1"/>
      </rowBreaks>
      <pageMargins left="0.19685039370078741" right="0.19685039370078741" top="0.23622047244094491" bottom="0.19685039370078741" header="0" footer="0"/>
      <pageSetup paperSize="9" scale="63" orientation="landscape" r:id="rId2"/>
    </customSheetView>
    <customSheetView guid="{001F394D-7E32-49E0-9108-A9790B233A9D}" scale="85" showPageBreaks="1" printArea="1" hiddenRows="1" view="pageBreakPreview">
      <pane ySplit="4" topLeftCell="A17" activePane="bottomLeft" state="frozen"/>
      <selection pane="bottomLeft" activeCell="B12" sqref="B12:B15"/>
      <rowBreaks count="1" manualBreakCount="1">
        <brk id="53" max="12" man="1"/>
      </rowBreaks>
      <pageMargins left="0.19685039370078741" right="0.19685039370078741" top="0.23622047244094491" bottom="0.19685039370078741" header="0" footer="0"/>
      <pageSetup paperSize="9" scale="63" orientation="landscape" r:id="rId3"/>
    </customSheetView>
    <customSheetView guid="{F08E63B0-D6C4-4E18-B2B6-E1E751FE7DF2}" scale="85" showPageBreaks="1" printArea="1" hiddenRows="1" view="pageBreakPreview">
      <pane ySplit="4" topLeftCell="A17" activePane="bottomLeft" state="frozen"/>
      <selection pane="bottomLeft" activeCell="B12" sqref="B12:B15"/>
      <rowBreaks count="1" manualBreakCount="1">
        <brk id="53" max="12" man="1"/>
      </rowBreaks>
      <pageMargins left="0.19685039370078741" right="0.19685039370078741" top="0.23622047244094491" bottom="0.19685039370078741" header="0" footer="0"/>
      <pageSetup paperSize="9" scale="63" orientation="landscape" r:id="rId4"/>
    </customSheetView>
    <customSheetView guid="{D32E4BC6-6FD7-4441-855E-C6B8F80A132E}" scale="85" showPageBreaks="1" printArea="1" hiddenRows="1" view="pageBreakPreview">
      <pane ySplit="4" topLeftCell="A5" activePane="bottomLeft" state="frozen"/>
      <selection pane="bottomLeft" activeCell="B12" sqref="B12:B15"/>
      <rowBreaks count="1" manualBreakCount="1">
        <brk id="53" max="12" man="1"/>
      </rowBreaks>
      <pageMargins left="0.19685039370078741" right="0.19685039370078741" top="0.23622047244094491" bottom="0.19685039370078741" header="0" footer="0"/>
      <pageSetup paperSize="9" scale="63" orientation="landscape" r:id="rId5"/>
    </customSheetView>
  </customSheetViews>
  <mergeCells count="78">
    <mergeCell ref="G61:I61"/>
    <mergeCell ref="A64:M64"/>
    <mergeCell ref="A65:M65"/>
    <mergeCell ref="A58:A59"/>
    <mergeCell ref="B58:B59"/>
    <mergeCell ref="C58:C59"/>
    <mergeCell ref="L58:L59"/>
    <mergeCell ref="M58:M59"/>
    <mergeCell ref="D60:K60"/>
    <mergeCell ref="M56:M57"/>
    <mergeCell ref="A54:A55"/>
    <mergeCell ref="B54:B55"/>
    <mergeCell ref="C54:C55"/>
    <mergeCell ref="L54:L55"/>
    <mergeCell ref="M54:M55"/>
    <mergeCell ref="C39:C42"/>
    <mergeCell ref="A56:A57"/>
    <mergeCell ref="B56:B57"/>
    <mergeCell ref="C56:C57"/>
    <mergeCell ref="L56:L57"/>
    <mergeCell ref="A46:A49"/>
    <mergeCell ref="B46:B49"/>
    <mergeCell ref="C46:C49"/>
    <mergeCell ref="L46:L49"/>
    <mergeCell ref="M46:M49"/>
    <mergeCell ref="A50:A53"/>
    <mergeCell ref="B50:B53"/>
    <mergeCell ref="C50:C53"/>
    <mergeCell ref="L50:L53"/>
    <mergeCell ref="M50:M53"/>
    <mergeCell ref="A27:A28"/>
    <mergeCell ref="B27:B28"/>
    <mergeCell ref="C27:C28"/>
    <mergeCell ref="L27:L28"/>
    <mergeCell ref="M27:M28"/>
    <mergeCell ref="L19:L21"/>
    <mergeCell ref="M22:M24"/>
    <mergeCell ref="A25:A26"/>
    <mergeCell ref="B25:B26"/>
    <mergeCell ref="C25:C26"/>
    <mergeCell ref="L25:L26"/>
    <mergeCell ref="M25:M26"/>
    <mergeCell ref="A22:A24"/>
    <mergeCell ref="B22:B24"/>
    <mergeCell ref="C22:C24"/>
    <mergeCell ref="L22:L24"/>
    <mergeCell ref="C5:C8"/>
    <mergeCell ref="L5:L8"/>
    <mergeCell ref="M5:M8"/>
    <mergeCell ref="M19:M21"/>
    <mergeCell ref="A12:A15"/>
    <mergeCell ref="B12:B15"/>
    <mergeCell ref="L12:L15"/>
    <mergeCell ref="M12:M15"/>
    <mergeCell ref="A16:A18"/>
    <mergeCell ref="B16:B18"/>
    <mergeCell ref="L16:L18"/>
    <mergeCell ref="M16:M18"/>
    <mergeCell ref="A19:A21"/>
    <mergeCell ref="B19:B21"/>
    <mergeCell ref="C19:C21"/>
    <mergeCell ref="D19:K21"/>
    <mergeCell ref="A9:A11"/>
    <mergeCell ref="B9:B11"/>
    <mergeCell ref="L9:L11"/>
    <mergeCell ref="M9:M11"/>
    <mergeCell ref="A1:M1"/>
    <mergeCell ref="A2:A3"/>
    <mergeCell ref="B2:B3"/>
    <mergeCell ref="C2:C3"/>
    <mergeCell ref="D2:D3"/>
    <mergeCell ref="E2:E3"/>
    <mergeCell ref="F2:F3"/>
    <mergeCell ref="G2:K2"/>
    <mergeCell ref="L2:L3"/>
    <mergeCell ref="M2:M3"/>
    <mergeCell ref="A5:A8"/>
    <mergeCell ref="B5:B8"/>
  </mergeCells>
  <pageMargins left="0.19685039370078741" right="0.19685039370078741" top="0.23622047244094491" bottom="0.19685039370078741" header="0" footer="0"/>
  <pageSetup paperSize="9" scale="63" orientation="landscape" r:id="rId6"/>
  <rowBreaks count="1" manualBreakCount="1">
    <brk id="53" max="12" man="1"/>
  </rowBreaks>
  <ignoredErrors>
    <ignoredError sqref="I26" formula="1"/>
  </ignoredError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AA420"/>
  <sheetViews>
    <sheetView view="pageBreakPreview" topLeftCell="A169" zoomScale="85" zoomScaleNormal="100" zoomScaleSheetLayoutView="100" workbookViewId="0">
      <pane xSplit="15" topLeftCell="P1" activePane="topRight" state="frozen"/>
      <selection activeCell="A169" sqref="A169"/>
      <selection pane="topRight" activeCell="B173" sqref="B173:B176"/>
    </sheetView>
  </sheetViews>
  <sheetFormatPr defaultRowHeight="18" x14ac:dyDescent="0.35"/>
  <cols>
    <col min="1" max="1" width="8" style="260" customWidth="1"/>
    <col min="2" max="2" width="24.88671875" style="16" customWidth="1"/>
    <col min="3" max="3" width="7.6640625" style="16" customWidth="1"/>
    <col min="4" max="4" width="8.44140625" style="16" customWidth="1"/>
    <col min="5" max="5" width="12.109375" style="16" customWidth="1"/>
    <col min="6" max="6" width="12.5546875" style="16" customWidth="1"/>
    <col min="7" max="7" width="17.33203125" style="20" customWidth="1"/>
    <col min="8" max="8" width="14.6640625" style="16" customWidth="1"/>
    <col min="9" max="9" width="12.33203125" style="16" customWidth="1"/>
    <col min="10" max="10" width="10.6640625" style="16" customWidth="1"/>
    <col min="11" max="11" width="10.88671875" style="16" customWidth="1"/>
    <col min="12" max="12" width="10.33203125" style="16" customWidth="1"/>
    <col min="13" max="13" width="11" style="16" customWidth="1"/>
    <col min="14" max="14" width="11.88671875" style="48" customWidth="1"/>
    <col min="15" max="15" width="12.44140625" style="208" customWidth="1"/>
    <col min="16" max="16" width="40.109375" style="81" customWidth="1"/>
    <col min="17" max="17" width="15" customWidth="1"/>
    <col min="18" max="18" width="15.44140625" customWidth="1"/>
    <col min="19" max="19" width="16.6640625" customWidth="1"/>
    <col min="20" max="20" width="15.6640625" customWidth="1"/>
    <col min="21" max="22" width="17.44140625" customWidth="1"/>
    <col min="23" max="25" width="11.6640625" customWidth="1"/>
  </cols>
  <sheetData>
    <row r="1" spans="1:27" ht="36" customHeight="1" x14ac:dyDescent="0.3">
      <c r="A1" s="1662" t="s">
        <v>1350</v>
      </c>
      <c r="B1" s="1662"/>
      <c r="C1" s="1662"/>
      <c r="D1" s="1662"/>
      <c r="E1" s="1662"/>
      <c r="F1" s="1662"/>
      <c r="G1" s="1662"/>
      <c r="H1" s="1662"/>
      <c r="I1" s="1662"/>
      <c r="J1" s="1662"/>
      <c r="K1" s="1662"/>
      <c r="L1" s="1662"/>
      <c r="M1" s="1662"/>
      <c r="N1" s="1662"/>
      <c r="O1" s="1663"/>
    </row>
    <row r="2" spans="1:27" s="1" customFormat="1" ht="109.2" customHeight="1" x14ac:dyDescent="0.3">
      <c r="A2" s="1636" t="s">
        <v>1540</v>
      </c>
      <c r="B2" s="1636"/>
      <c r="C2" s="1636"/>
      <c r="D2" s="1636"/>
      <c r="E2" s="1636"/>
      <c r="F2" s="1636"/>
      <c r="G2" s="1636"/>
      <c r="H2" s="1636"/>
      <c r="I2" s="1636"/>
      <c r="J2" s="1636"/>
      <c r="K2" s="1636"/>
      <c r="L2" s="1636"/>
      <c r="M2" s="1636"/>
      <c r="N2" s="1636"/>
      <c r="O2" s="1637"/>
      <c r="P2" s="1121" t="s">
        <v>1479</v>
      </c>
    </row>
    <row r="3" spans="1:27" s="1" customFormat="1" ht="31.95" customHeight="1" x14ac:dyDescent="0.3">
      <c r="A3" s="1625" t="s">
        <v>46</v>
      </c>
      <c r="B3" s="1666" t="s">
        <v>55</v>
      </c>
      <c r="C3" s="1666" t="s">
        <v>1437</v>
      </c>
      <c r="D3" s="1666" t="s">
        <v>1436</v>
      </c>
      <c r="E3" s="1666" t="s">
        <v>52</v>
      </c>
      <c r="F3" s="1666" t="s">
        <v>545</v>
      </c>
      <c r="G3" s="1541" t="s">
        <v>59</v>
      </c>
      <c r="H3" s="1603" t="s">
        <v>106</v>
      </c>
      <c r="I3" s="1603"/>
      <c r="J3" s="1603"/>
      <c r="K3" s="1603"/>
      <c r="L3" s="1603"/>
      <c r="M3" s="1603"/>
      <c r="N3" s="1613" t="s">
        <v>50</v>
      </c>
      <c r="O3" s="1664" t="s">
        <v>820</v>
      </c>
      <c r="P3" s="79"/>
      <c r="W3" s="1">
        <v>2018</v>
      </c>
      <c r="X3" s="1">
        <v>2019</v>
      </c>
      <c r="Y3" s="1">
        <v>2020</v>
      </c>
      <c r="Z3" s="1">
        <v>2021</v>
      </c>
      <c r="AA3" s="1">
        <v>2022</v>
      </c>
    </row>
    <row r="4" spans="1:27" s="1" customFormat="1" ht="66" customHeight="1" x14ac:dyDescent="0.3">
      <c r="A4" s="1627"/>
      <c r="B4" s="1667"/>
      <c r="C4" s="1667"/>
      <c r="D4" s="1667"/>
      <c r="E4" s="1667"/>
      <c r="F4" s="1667"/>
      <c r="G4" s="1541"/>
      <c r="H4" s="289" t="s">
        <v>33</v>
      </c>
      <c r="I4" s="289" t="s">
        <v>4</v>
      </c>
      <c r="J4" s="289" t="s">
        <v>91</v>
      </c>
      <c r="K4" s="289" t="s">
        <v>90</v>
      </c>
      <c r="L4" s="289" t="s">
        <v>89</v>
      </c>
      <c r="M4" s="289" t="s">
        <v>221</v>
      </c>
      <c r="N4" s="1613"/>
      <c r="O4" s="1665"/>
      <c r="P4" s="79"/>
    </row>
    <row r="5" spans="1:27" s="276" customFormat="1" ht="16.2" customHeight="1" x14ac:dyDescent="0.3">
      <c r="A5" s="90">
        <v>1</v>
      </c>
      <c r="B5" s="158">
        <v>2</v>
      </c>
      <c r="C5" s="158">
        <v>3</v>
      </c>
      <c r="D5" s="158">
        <v>4</v>
      </c>
      <c r="E5" s="158">
        <v>5</v>
      </c>
      <c r="F5" s="158">
        <v>6</v>
      </c>
      <c r="G5" s="925">
        <v>7</v>
      </c>
      <c r="H5" s="158">
        <v>8</v>
      </c>
      <c r="I5" s="158">
        <v>9</v>
      </c>
      <c r="J5" s="158">
        <v>10</v>
      </c>
      <c r="K5" s="158">
        <v>11</v>
      </c>
      <c r="L5" s="158">
        <v>12</v>
      </c>
      <c r="M5" s="158">
        <v>13</v>
      </c>
      <c r="N5" s="926">
        <v>14</v>
      </c>
      <c r="O5" s="926">
        <v>15</v>
      </c>
      <c r="P5" s="927"/>
    </row>
    <row r="6" spans="1:27" s="1" customFormat="1" ht="17.25" customHeight="1" x14ac:dyDescent="0.3">
      <c r="A6" s="1625" t="s">
        <v>1142</v>
      </c>
      <c r="B6" s="1654" t="s">
        <v>108</v>
      </c>
      <c r="C6" s="1655"/>
      <c r="D6" s="1655"/>
      <c r="E6" s="1655"/>
      <c r="F6" s="1656"/>
      <c r="G6" s="411" t="s">
        <v>12</v>
      </c>
      <c r="H6" s="283">
        <f t="shared" ref="H6:M6" si="0">H7+H8</f>
        <v>90313.58</v>
      </c>
      <c r="I6" s="283">
        <f t="shared" si="0"/>
        <v>90313.58</v>
      </c>
      <c r="J6" s="283">
        <f t="shared" si="0"/>
        <v>0</v>
      </c>
      <c r="K6" s="283">
        <f t="shared" si="0"/>
        <v>0</v>
      </c>
      <c r="L6" s="283">
        <f t="shared" si="0"/>
        <v>0</v>
      </c>
      <c r="M6" s="283">
        <f t="shared" si="0"/>
        <v>0</v>
      </c>
      <c r="N6" s="1645"/>
      <c r="O6" s="1605"/>
      <c r="P6" s="1648">
        <v>1</v>
      </c>
      <c r="R6" s="1" t="s">
        <v>1143</v>
      </c>
    </row>
    <row r="7" spans="1:27" s="1" customFormat="1" ht="24.75" customHeight="1" x14ac:dyDescent="0.3">
      <c r="A7" s="1626"/>
      <c r="B7" s="1657"/>
      <c r="C7" s="1597"/>
      <c r="D7" s="1597"/>
      <c r="E7" s="1597"/>
      <c r="F7" s="1658"/>
      <c r="G7" s="411" t="s">
        <v>13</v>
      </c>
      <c r="H7" s="283">
        <f>SUM(I7:M7)</f>
        <v>81282.22</v>
      </c>
      <c r="I7" s="336">
        <f t="shared" ref="I7:M8" si="1">I10</f>
        <v>81282.22</v>
      </c>
      <c r="J7" s="336">
        <f t="shared" si="1"/>
        <v>0</v>
      </c>
      <c r="K7" s="336">
        <f t="shared" si="1"/>
        <v>0</v>
      </c>
      <c r="L7" s="336">
        <f t="shared" si="1"/>
        <v>0</v>
      </c>
      <c r="M7" s="336">
        <f t="shared" si="1"/>
        <v>0</v>
      </c>
      <c r="N7" s="1646"/>
      <c r="O7" s="1606"/>
      <c r="P7" s="1649"/>
      <c r="R7" s="105">
        <f>I10+I16+I22+I28+I31+I37+I43+I49+I55</f>
        <v>789438.01</v>
      </c>
    </row>
    <row r="8" spans="1:27" s="1" customFormat="1" ht="46.5" customHeight="1" x14ac:dyDescent="0.3">
      <c r="A8" s="1627"/>
      <c r="B8" s="1659"/>
      <c r="C8" s="1660"/>
      <c r="D8" s="1660"/>
      <c r="E8" s="1660"/>
      <c r="F8" s="1661"/>
      <c r="G8" s="412" t="s">
        <v>14</v>
      </c>
      <c r="H8" s="283">
        <f>SUM(I8:M8)</f>
        <v>9031.36</v>
      </c>
      <c r="I8" s="336">
        <f>I11</f>
        <v>9031.36</v>
      </c>
      <c r="J8" s="336">
        <f t="shared" si="1"/>
        <v>0</v>
      </c>
      <c r="K8" s="336">
        <f t="shared" si="1"/>
        <v>0</v>
      </c>
      <c r="L8" s="336">
        <f t="shared" si="1"/>
        <v>0</v>
      </c>
      <c r="M8" s="336">
        <f t="shared" si="1"/>
        <v>0</v>
      </c>
      <c r="N8" s="1647"/>
      <c r="O8" s="1607"/>
      <c r="P8" s="1650"/>
    </row>
    <row r="9" spans="1:27" s="1" customFormat="1" ht="14.25" customHeight="1" x14ac:dyDescent="0.3">
      <c r="A9" s="1641" t="s">
        <v>115</v>
      </c>
      <c r="B9" s="1611" t="s">
        <v>1439</v>
      </c>
      <c r="C9" s="1542">
        <v>2018</v>
      </c>
      <c r="D9" s="1541" t="s">
        <v>109</v>
      </c>
      <c r="E9" s="1612">
        <v>90313.58</v>
      </c>
      <c r="F9" s="338">
        <f>F10+F11</f>
        <v>0</v>
      </c>
      <c r="G9" s="411" t="s">
        <v>12</v>
      </c>
      <c r="H9" s="336">
        <f t="shared" ref="H9:M9" si="2">H10+H11</f>
        <v>90313.58</v>
      </c>
      <c r="I9" s="336">
        <f t="shared" si="2"/>
        <v>90313.58</v>
      </c>
      <c r="J9" s="336">
        <f t="shared" si="2"/>
        <v>0</v>
      </c>
      <c r="K9" s="336">
        <f t="shared" si="2"/>
        <v>0</v>
      </c>
      <c r="L9" s="336">
        <f t="shared" si="2"/>
        <v>0</v>
      </c>
      <c r="M9" s="336">
        <f t="shared" si="2"/>
        <v>0</v>
      </c>
      <c r="N9" s="1651"/>
      <c r="O9" s="1605" t="s">
        <v>16</v>
      </c>
      <c r="P9" s="1642"/>
      <c r="S9" s="47">
        <v>0.9</v>
      </c>
      <c r="T9" s="309">
        <f>I10/$S9</f>
        <v>90313.58</v>
      </c>
    </row>
    <row r="10" spans="1:27" s="1" customFormat="1" ht="27" customHeight="1" x14ac:dyDescent="0.3">
      <c r="A10" s="1641"/>
      <c r="B10" s="1611"/>
      <c r="C10" s="1542"/>
      <c r="D10" s="1541"/>
      <c r="E10" s="1612"/>
      <c r="F10" s="338">
        <v>0</v>
      </c>
      <c r="G10" s="411" t="s">
        <v>13</v>
      </c>
      <c r="H10" s="336">
        <f>SUM(I10:M10)</f>
        <v>81282.22</v>
      </c>
      <c r="I10" s="336">
        <f>21667.5+59614.72</f>
        <v>81282.22</v>
      </c>
      <c r="J10" s="336">
        <v>0</v>
      </c>
      <c r="K10" s="336">
        <v>0</v>
      </c>
      <c r="L10" s="336">
        <v>0</v>
      </c>
      <c r="M10" s="336">
        <v>0</v>
      </c>
      <c r="N10" s="1652"/>
      <c r="O10" s="1606"/>
      <c r="P10" s="1643"/>
      <c r="S10" s="47">
        <f>1-S9</f>
        <v>0.1</v>
      </c>
      <c r="T10" s="309">
        <f>T9*S10</f>
        <v>9031.36</v>
      </c>
      <c r="W10" s="1">
        <v>1</v>
      </c>
    </row>
    <row r="11" spans="1:27" s="1" customFormat="1" ht="48.75" customHeight="1" x14ac:dyDescent="0.3">
      <c r="A11" s="1641"/>
      <c r="B11" s="1611"/>
      <c r="C11" s="1542"/>
      <c r="D11" s="1541"/>
      <c r="E11" s="1612"/>
      <c r="F11" s="407">
        <v>0</v>
      </c>
      <c r="G11" s="412" t="s">
        <v>14</v>
      </c>
      <c r="H11" s="283">
        <f>SUM(I11:M11)</f>
        <v>9031.36</v>
      </c>
      <c r="I11" s="336">
        <f>2407.5+6623.86</f>
        <v>9031.36</v>
      </c>
      <c r="J11" s="336">
        <v>0</v>
      </c>
      <c r="K11" s="336">
        <v>0</v>
      </c>
      <c r="L11" s="336">
        <v>0</v>
      </c>
      <c r="M11" s="336">
        <v>0</v>
      </c>
      <c r="N11" s="1653"/>
      <c r="O11" s="1607"/>
      <c r="P11" s="1644"/>
      <c r="R11" s="408"/>
      <c r="S11" s="47"/>
      <c r="T11" s="47"/>
    </row>
    <row r="12" spans="1:27" s="1" customFormat="1" ht="10.5" customHeight="1" x14ac:dyDescent="0.3">
      <c r="A12" s="1625" t="s">
        <v>116</v>
      </c>
      <c r="B12" s="1654" t="s">
        <v>110</v>
      </c>
      <c r="C12" s="1655"/>
      <c r="D12" s="1655"/>
      <c r="E12" s="1655"/>
      <c r="F12" s="1656"/>
      <c r="G12" s="412" t="s">
        <v>12</v>
      </c>
      <c r="H12" s="283">
        <f t="shared" ref="H12:M12" si="3">H13+H14</f>
        <v>73401</v>
      </c>
      <c r="I12" s="283">
        <f t="shared" si="3"/>
        <v>73401</v>
      </c>
      <c r="J12" s="283">
        <f t="shared" si="3"/>
        <v>0</v>
      </c>
      <c r="K12" s="283">
        <f t="shared" si="3"/>
        <v>0</v>
      </c>
      <c r="L12" s="283">
        <f t="shared" si="3"/>
        <v>0</v>
      </c>
      <c r="M12" s="283">
        <f t="shared" si="3"/>
        <v>0</v>
      </c>
      <c r="N12" s="1645"/>
      <c r="O12" s="1605"/>
      <c r="P12" s="1648">
        <v>1</v>
      </c>
      <c r="S12" s="47"/>
      <c r="T12" s="47"/>
    </row>
    <row r="13" spans="1:27" s="1" customFormat="1" ht="31.95" customHeight="1" x14ac:dyDescent="0.3">
      <c r="A13" s="1626"/>
      <c r="B13" s="1657"/>
      <c r="C13" s="1597"/>
      <c r="D13" s="1597"/>
      <c r="E13" s="1597"/>
      <c r="F13" s="1658"/>
      <c r="G13" s="412" t="s">
        <v>13</v>
      </c>
      <c r="H13" s="283">
        <f>SUM(I13:M13)</f>
        <v>62390.85</v>
      </c>
      <c r="I13" s="336">
        <f>I16</f>
        <v>62390.85</v>
      </c>
      <c r="J13" s="336">
        <f>J16</f>
        <v>0</v>
      </c>
      <c r="K13" s="336">
        <f t="shared" ref="K13:M14" si="4">K16</f>
        <v>0</v>
      </c>
      <c r="L13" s="336">
        <f t="shared" si="4"/>
        <v>0</v>
      </c>
      <c r="M13" s="336">
        <f t="shared" si="4"/>
        <v>0</v>
      </c>
      <c r="N13" s="1646"/>
      <c r="O13" s="1606"/>
      <c r="P13" s="1649"/>
      <c r="R13" s="1" t="s">
        <v>1144</v>
      </c>
      <c r="S13" s="47"/>
      <c r="T13" s="47"/>
    </row>
    <row r="14" spans="1:27" s="1" customFormat="1" ht="47.25" customHeight="1" x14ac:dyDescent="0.3">
      <c r="A14" s="1627"/>
      <c r="B14" s="1659"/>
      <c r="C14" s="1660"/>
      <c r="D14" s="1660"/>
      <c r="E14" s="1660"/>
      <c r="F14" s="1661"/>
      <c r="G14" s="412" t="s">
        <v>14</v>
      </c>
      <c r="H14" s="283">
        <f>SUM(I14:M14)</f>
        <v>11010.15</v>
      </c>
      <c r="I14" s="336">
        <f>I17</f>
        <v>11010.15</v>
      </c>
      <c r="J14" s="336">
        <f>J17</f>
        <v>0</v>
      </c>
      <c r="K14" s="336">
        <f t="shared" si="4"/>
        <v>0</v>
      </c>
      <c r="L14" s="336">
        <f t="shared" si="4"/>
        <v>0</v>
      </c>
      <c r="M14" s="336">
        <f t="shared" si="4"/>
        <v>0</v>
      </c>
      <c r="N14" s="1647"/>
      <c r="O14" s="1607"/>
      <c r="P14" s="1650"/>
      <c r="S14" s="47"/>
      <c r="T14" s="47"/>
    </row>
    <row r="15" spans="1:27" s="1" customFormat="1" ht="13.5" customHeight="1" x14ac:dyDescent="0.3">
      <c r="A15" s="1641" t="s">
        <v>117</v>
      </c>
      <c r="B15" s="1611" t="s">
        <v>737</v>
      </c>
      <c r="C15" s="1542">
        <v>2018</v>
      </c>
      <c r="D15" s="1541" t="s">
        <v>111</v>
      </c>
      <c r="E15" s="1612">
        <v>73401</v>
      </c>
      <c r="F15" s="338">
        <f>F16+F17</f>
        <v>0</v>
      </c>
      <c r="G15" s="411" t="s">
        <v>12</v>
      </c>
      <c r="H15" s="336">
        <f t="shared" ref="H15:M15" si="5">H16+H17</f>
        <v>73401</v>
      </c>
      <c r="I15" s="336">
        <f t="shared" si="5"/>
        <v>73401</v>
      </c>
      <c r="J15" s="336">
        <f t="shared" si="5"/>
        <v>0</v>
      </c>
      <c r="K15" s="336">
        <f t="shared" si="5"/>
        <v>0</v>
      </c>
      <c r="L15" s="336">
        <f t="shared" si="5"/>
        <v>0</v>
      </c>
      <c r="M15" s="336">
        <f t="shared" si="5"/>
        <v>0</v>
      </c>
      <c r="N15" s="1651"/>
      <c r="O15" s="1605" t="s">
        <v>16</v>
      </c>
      <c r="P15" s="1642"/>
      <c r="S15" s="47">
        <v>0.85</v>
      </c>
      <c r="T15" s="309">
        <f>I16/$S15</f>
        <v>73401</v>
      </c>
    </row>
    <row r="16" spans="1:27" s="1" customFormat="1" ht="34.950000000000003" customHeight="1" x14ac:dyDescent="0.3">
      <c r="A16" s="1641"/>
      <c r="B16" s="1611"/>
      <c r="C16" s="1542"/>
      <c r="D16" s="1541"/>
      <c r="E16" s="1612"/>
      <c r="F16" s="338">
        <v>0</v>
      </c>
      <c r="G16" s="411" t="s">
        <v>13</v>
      </c>
      <c r="H16" s="336">
        <f>SUM(I16:M16)</f>
        <v>62390.85</v>
      </c>
      <c r="I16" s="336">
        <f>53890.85+8500</f>
        <v>62390.85</v>
      </c>
      <c r="J16" s="336">
        <v>0</v>
      </c>
      <c r="K16" s="336">
        <v>0</v>
      </c>
      <c r="L16" s="336">
        <v>0</v>
      </c>
      <c r="M16" s="336">
        <v>0</v>
      </c>
      <c r="N16" s="1652"/>
      <c r="O16" s="1606"/>
      <c r="P16" s="1643"/>
      <c r="S16" s="47">
        <f>1-S15</f>
        <v>0.15</v>
      </c>
      <c r="T16" s="309">
        <f>T15*S16</f>
        <v>11010.15</v>
      </c>
      <c r="W16" s="1">
        <v>1</v>
      </c>
    </row>
    <row r="17" spans="1:24" s="1" customFormat="1" ht="50.25" customHeight="1" x14ac:dyDescent="0.3">
      <c r="A17" s="1641"/>
      <c r="B17" s="1611"/>
      <c r="C17" s="1542"/>
      <c r="D17" s="1541"/>
      <c r="E17" s="1612"/>
      <c r="F17" s="407">
        <v>0</v>
      </c>
      <c r="G17" s="412" t="s">
        <v>14</v>
      </c>
      <c r="H17" s="283">
        <f>SUM(I17:M17)</f>
        <v>11010.15</v>
      </c>
      <c r="I17" s="336">
        <v>11010.15</v>
      </c>
      <c r="J17" s="336">
        <v>0</v>
      </c>
      <c r="K17" s="336">
        <v>0</v>
      </c>
      <c r="L17" s="336">
        <v>0</v>
      </c>
      <c r="M17" s="336">
        <v>0</v>
      </c>
      <c r="N17" s="1653"/>
      <c r="O17" s="1607"/>
      <c r="P17" s="1644"/>
    </row>
    <row r="18" spans="1:24" s="1" customFormat="1" ht="14.25" customHeight="1" x14ac:dyDescent="0.3">
      <c r="A18" s="1625" t="s">
        <v>119</v>
      </c>
      <c r="B18" s="1628" t="s">
        <v>219</v>
      </c>
      <c r="C18" s="1629"/>
      <c r="D18" s="1629"/>
      <c r="E18" s="1629"/>
      <c r="F18" s="1630"/>
      <c r="G18" s="411" t="s">
        <v>12</v>
      </c>
      <c r="H18" s="336">
        <f t="shared" ref="H18:L20" si="6">H21</f>
        <v>110240.85</v>
      </c>
      <c r="I18" s="336">
        <f>I19+I20</f>
        <v>110240.85</v>
      </c>
      <c r="J18" s="336">
        <f t="shared" si="6"/>
        <v>0</v>
      </c>
      <c r="K18" s="336">
        <f t="shared" si="6"/>
        <v>0</v>
      </c>
      <c r="L18" s="336">
        <f t="shared" si="6"/>
        <v>0</v>
      </c>
      <c r="M18" s="336">
        <f>M19+M20</f>
        <v>0</v>
      </c>
      <c r="N18" s="1645"/>
      <c r="O18" s="1605"/>
      <c r="P18" s="1648">
        <v>1</v>
      </c>
      <c r="R18" s="1" t="s">
        <v>1145</v>
      </c>
    </row>
    <row r="19" spans="1:24" s="1" customFormat="1" ht="26.25" customHeight="1" x14ac:dyDescent="0.3">
      <c r="A19" s="1626"/>
      <c r="B19" s="1631"/>
      <c r="C19" s="1598"/>
      <c r="D19" s="1598"/>
      <c r="E19" s="1598"/>
      <c r="F19" s="1632"/>
      <c r="G19" s="411" t="s">
        <v>13</v>
      </c>
      <c r="H19" s="336">
        <f t="shared" si="6"/>
        <v>109078.11</v>
      </c>
      <c r="I19" s="336">
        <f t="shared" si="6"/>
        <v>109078.11</v>
      </c>
      <c r="J19" s="336">
        <f t="shared" si="6"/>
        <v>0</v>
      </c>
      <c r="K19" s="336">
        <f t="shared" si="6"/>
        <v>0</v>
      </c>
      <c r="L19" s="336">
        <f t="shared" si="6"/>
        <v>0</v>
      </c>
      <c r="M19" s="336">
        <v>0</v>
      </c>
      <c r="N19" s="1646"/>
      <c r="O19" s="1606"/>
      <c r="P19" s="1649"/>
    </row>
    <row r="20" spans="1:24" s="1" customFormat="1" ht="49.5" customHeight="1" x14ac:dyDescent="0.3">
      <c r="A20" s="1627"/>
      <c r="B20" s="1633"/>
      <c r="C20" s="1634"/>
      <c r="D20" s="1634"/>
      <c r="E20" s="1634"/>
      <c r="F20" s="1635"/>
      <c r="G20" s="411" t="s">
        <v>3</v>
      </c>
      <c r="H20" s="336">
        <f t="shared" si="6"/>
        <v>1162.74</v>
      </c>
      <c r="I20" s="336">
        <f t="shared" si="6"/>
        <v>1162.74</v>
      </c>
      <c r="J20" s="336">
        <f t="shared" si="6"/>
        <v>0</v>
      </c>
      <c r="K20" s="336">
        <f t="shared" si="6"/>
        <v>0</v>
      </c>
      <c r="L20" s="336">
        <f t="shared" si="6"/>
        <v>0</v>
      </c>
      <c r="M20" s="336">
        <v>0</v>
      </c>
      <c r="N20" s="1647"/>
      <c r="O20" s="1607"/>
      <c r="P20" s="1650"/>
    </row>
    <row r="21" spans="1:24" s="1" customFormat="1" ht="15.75" customHeight="1" x14ac:dyDescent="0.3">
      <c r="A21" s="1641" t="s">
        <v>120</v>
      </c>
      <c r="B21" s="1541" t="s">
        <v>162</v>
      </c>
      <c r="C21" s="1541" t="s">
        <v>264</v>
      </c>
      <c r="D21" s="1541" t="s">
        <v>84</v>
      </c>
      <c r="E21" s="1612">
        <v>118620</v>
      </c>
      <c r="F21" s="338">
        <f>F22+F23</f>
        <v>8379.14</v>
      </c>
      <c r="G21" s="411" t="s">
        <v>12</v>
      </c>
      <c r="H21" s="336">
        <f t="shared" ref="H21:M21" si="7">H22+H23</f>
        <v>110240.85</v>
      </c>
      <c r="I21" s="336">
        <f t="shared" si="7"/>
        <v>110240.85</v>
      </c>
      <c r="J21" s="336">
        <f t="shared" si="7"/>
        <v>0</v>
      </c>
      <c r="K21" s="336">
        <f t="shared" si="7"/>
        <v>0</v>
      </c>
      <c r="L21" s="336">
        <f t="shared" si="7"/>
        <v>0</v>
      </c>
      <c r="M21" s="336">
        <f t="shared" si="7"/>
        <v>0</v>
      </c>
      <c r="N21" s="1638"/>
      <c r="O21" s="1605" t="s">
        <v>16</v>
      </c>
      <c r="P21" s="1622"/>
      <c r="S21" s="47">
        <v>0.95</v>
      </c>
      <c r="T21" s="309">
        <f>I22/$S21</f>
        <v>114819.06</v>
      </c>
    </row>
    <row r="22" spans="1:24" s="1" customFormat="1" ht="31.2" customHeight="1" x14ac:dyDescent="0.3">
      <c r="A22" s="1641"/>
      <c r="B22" s="1541"/>
      <c r="C22" s="1541"/>
      <c r="D22" s="1541"/>
      <c r="E22" s="1612"/>
      <c r="F22" s="338">
        <v>3610.88</v>
      </c>
      <c r="G22" s="411" t="s">
        <v>13</v>
      </c>
      <c r="H22" s="336">
        <f>SUM(I22:M22)</f>
        <v>109078.11</v>
      </c>
      <c r="I22" s="336">
        <f>33806.7+75271.41</f>
        <v>109078.11</v>
      </c>
      <c r="J22" s="336">
        <v>0</v>
      </c>
      <c r="K22" s="336">
        <v>0</v>
      </c>
      <c r="L22" s="336">
        <v>0</v>
      </c>
      <c r="M22" s="336">
        <v>0</v>
      </c>
      <c r="N22" s="1639"/>
      <c r="O22" s="1606"/>
      <c r="P22" s="1623"/>
      <c r="S22" s="47">
        <f>1-S21</f>
        <v>0.05</v>
      </c>
      <c r="T22" s="309">
        <f>T21*S22</f>
        <v>5740.95</v>
      </c>
      <c r="W22" s="1">
        <v>1</v>
      </c>
    </row>
    <row r="23" spans="1:24" s="1" customFormat="1" ht="40.950000000000003" customHeight="1" x14ac:dyDescent="0.3">
      <c r="A23" s="1641"/>
      <c r="B23" s="1541"/>
      <c r="C23" s="1541"/>
      <c r="D23" s="1541"/>
      <c r="E23" s="1612"/>
      <c r="F23" s="338">
        <v>4768.26</v>
      </c>
      <c r="G23" s="411" t="s">
        <v>3</v>
      </c>
      <c r="H23" s="336">
        <f>SUM(I23:M23)</f>
        <v>1162.74</v>
      </c>
      <c r="I23" s="336">
        <f>1779.3-616.56</f>
        <v>1162.74</v>
      </c>
      <c r="J23" s="336">
        <v>0</v>
      </c>
      <c r="K23" s="336">
        <v>0</v>
      </c>
      <c r="L23" s="336">
        <v>0</v>
      </c>
      <c r="M23" s="336">
        <v>0</v>
      </c>
      <c r="N23" s="1640"/>
      <c r="O23" s="1607"/>
      <c r="P23" s="1624"/>
      <c r="T23" s="105"/>
    </row>
    <row r="24" spans="1:24" s="1" customFormat="1" ht="16.2" customHeight="1" x14ac:dyDescent="0.3">
      <c r="A24" s="1625" t="s">
        <v>147</v>
      </c>
      <c r="B24" s="1628" t="s">
        <v>141</v>
      </c>
      <c r="C24" s="1629"/>
      <c r="D24" s="1629"/>
      <c r="E24" s="1629"/>
      <c r="F24" s="1630"/>
      <c r="G24" s="411" t="s">
        <v>12</v>
      </c>
      <c r="H24" s="336">
        <f>H25+H26</f>
        <v>581985.86</v>
      </c>
      <c r="I24" s="336">
        <f t="shared" ref="I24:J24" si="8">I25+I26</f>
        <v>266985.86</v>
      </c>
      <c r="J24" s="336">
        <f t="shared" si="8"/>
        <v>315000</v>
      </c>
      <c r="K24" s="336">
        <f>K25+K26</f>
        <v>0</v>
      </c>
      <c r="L24" s="336">
        <f>L25+L26</f>
        <v>0</v>
      </c>
      <c r="M24" s="336">
        <f>M25+M26</f>
        <v>0</v>
      </c>
      <c r="N24" s="1638"/>
      <c r="O24" s="1605"/>
      <c r="P24" s="1622" t="s">
        <v>322</v>
      </c>
      <c r="R24" s="1" t="s">
        <v>1146</v>
      </c>
    </row>
    <row r="25" spans="1:24" s="1" customFormat="1" ht="28.95" customHeight="1" x14ac:dyDescent="0.3">
      <c r="A25" s="1626"/>
      <c r="B25" s="1631"/>
      <c r="C25" s="1598"/>
      <c r="D25" s="1598"/>
      <c r="E25" s="1598"/>
      <c r="F25" s="1632"/>
      <c r="G25" s="411" t="s">
        <v>13</v>
      </c>
      <c r="H25" s="336">
        <f>SUM(I25:M25)</f>
        <v>523787.27</v>
      </c>
      <c r="I25" s="336">
        <f>I28+I31</f>
        <v>240287.27</v>
      </c>
      <c r="J25" s="336">
        <f>J28+J31</f>
        <v>283500</v>
      </c>
      <c r="K25" s="336">
        <v>0</v>
      </c>
      <c r="L25" s="336">
        <v>0</v>
      </c>
      <c r="M25" s="336">
        <v>0</v>
      </c>
      <c r="N25" s="1639"/>
      <c r="O25" s="1606"/>
      <c r="P25" s="1623"/>
      <c r="R25" s="1" t="s">
        <v>1147</v>
      </c>
    </row>
    <row r="26" spans="1:24" s="1" customFormat="1" ht="47.25" customHeight="1" x14ac:dyDescent="0.3">
      <c r="A26" s="1627"/>
      <c r="B26" s="1633"/>
      <c r="C26" s="1634"/>
      <c r="D26" s="1634"/>
      <c r="E26" s="1634"/>
      <c r="F26" s="1635"/>
      <c r="G26" s="411" t="s">
        <v>3</v>
      </c>
      <c r="H26" s="336">
        <f>SUM(I26:M26)</f>
        <v>58198.59</v>
      </c>
      <c r="I26" s="336">
        <f>I29+I32</f>
        <v>26698.59</v>
      </c>
      <c r="J26" s="336">
        <f>J29+J32</f>
        <v>31500</v>
      </c>
      <c r="K26" s="336">
        <v>0</v>
      </c>
      <c r="L26" s="336">
        <v>0</v>
      </c>
      <c r="M26" s="336">
        <v>0</v>
      </c>
      <c r="N26" s="1640"/>
      <c r="O26" s="1607"/>
      <c r="P26" s="1624"/>
    </row>
    <row r="27" spans="1:24" s="1" customFormat="1" ht="15.75" customHeight="1" x14ac:dyDescent="0.3">
      <c r="A27" s="1641" t="s">
        <v>1148</v>
      </c>
      <c r="B27" s="1541" t="s">
        <v>556</v>
      </c>
      <c r="C27" s="1669" t="s">
        <v>208</v>
      </c>
      <c r="D27" s="1601"/>
      <c r="E27" s="1603">
        <v>505555.56</v>
      </c>
      <c r="F27" s="338">
        <f>F28+F29</f>
        <v>0</v>
      </c>
      <c r="G27" s="411" t="s">
        <v>12</v>
      </c>
      <c r="H27" s="336">
        <f>H28+H29</f>
        <v>505555.56</v>
      </c>
      <c r="I27" s="336">
        <f t="shared" ref="I27:M27" si="9">I28+I29</f>
        <v>190555.56</v>
      </c>
      <c r="J27" s="336">
        <f t="shared" si="9"/>
        <v>315000</v>
      </c>
      <c r="K27" s="336">
        <f t="shared" si="9"/>
        <v>0</v>
      </c>
      <c r="L27" s="336">
        <f t="shared" si="9"/>
        <v>0</v>
      </c>
      <c r="M27" s="336">
        <f t="shared" si="9"/>
        <v>0</v>
      </c>
      <c r="N27" s="1613"/>
      <c r="O27" s="1605" t="s">
        <v>16</v>
      </c>
      <c r="P27" s="1648" t="s">
        <v>558</v>
      </c>
      <c r="S27" s="47">
        <v>0.9</v>
      </c>
      <c r="T27" s="309">
        <f>I28/$S27</f>
        <v>190555.56</v>
      </c>
    </row>
    <row r="28" spans="1:24" s="1" customFormat="1" ht="24.75" customHeight="1" x14ac:dyDescent="0.3">
      <c r="A28" s="1641"/>
      <c r="B28" s="1541"/>
      <c r="C28" s="1669"/>
      <c r="D28" s="1601"/>
      <c r="E28" s="1603"/>
      <c r="F28" s="338">
        <v>0</v>
      </c>
      <c r="G28" s="411" t="s">
        <v>13</v>
      </c>
      <c r="H28" s="336">
        <f>I28+J28+K28+L28+M28</f>
        <v>455000</v>
      </c>
      <c r="I28" s="336">
        <f>126500+45000</f>
        <v>171500</v>
      </c>
      <c r="J28" s="336">
        <v>283500</v>
      </c>
      <c r="K28" s="336">
        <v>0</v>
      </c>
      <c r="L28" s="336">
        <v>0</v>
      </c>
      <c r="M28" s="336">
        <v>0</v>
      </c>
      <c r="N28" s="1613"/>
      <c r="O28" s="1606"/>
      <c r="P28" s="1649"/>
      <c r="S28" s="47">
        <f>1-S27</f>
        <v>0.1</v>
      </c>
      <c r="T28" s="309">
        <f>T27*S28</f>
        <v>19055.560000000001</v>
      </c>
      <c r="X28" s="1">
        <v>1</v>
      </c>
    </row>
    <row r="29" spans="1:24" s="1" customFormat="1" ht="48" customHeight="1" x14ac:dyDescent="0.3">
      <c r="A29" s="1641"/>
      <c r="B29" s="1541"/>
      <c r="C29" s="1669"/>
      <c r="D29" s="1601"/>
      <c r="E29" s="1603"/>
      <c r="F29" s="338">
        <v>0</v>
      </c>
      <c r="G29" s="411" t="s">
        <v>3</v>
      </c>
      <c r="H29" s="336">
        <f>I29+J29+K29+L29+M29</f>
        <v>50555.56</v>
      </c>
      <c r="I29" s="336">
        <f>14055.56+5000</f>
        <v>19055.560000000001</v>
      </c>
      <c r="J29" s="336">
        <v>31500</v>
      </c>
      <c r="K29" s="336">
        <v>0</v>
      </c>
      <c r="L29" s="336">
        <v>0</v>
      </c>
      <c r="M29" s="336">
        <v>0</v>
      </c>
      <c r="N29" s="1613"/>
      <c r="O29" s="1607"/>
      <c r="P29" s="1650"/>
      <c r="S29" s="47"/>
      <c r="T29" s="309"/>
    </row>
    <row r="30" spans="1:24" s="1" customFormat="1" ht="12.75" customHeight="1" x14ac:dyDescent="0.3">
      <c r="A30" s="1641" t="s">
        <v>1149</v>
      </c>
      <c r="B30" s="1541" t="s">
        <v>234</v>
      </c>
      <c r="C30" s="1541" t="s">
        <v>82</v>
      </c>
      <c r="D30" s="1541" t="s">
        <v>161</v>
      </c>
      <c r="E30" s="1668">
        <v>88932.96</v>
      </c>
      <c r="F30" s="338">
        <f>F31+F32</f>
        <v>12502.66</v>
      </c>
      <c r="G30" s="411" t="s">
        <v>12</v>
      </c>
      <c r="H30" s="336">
        <f>H31+H32</f>
        <v>76430.3</v>
      </c>
      <c r="I30" s="336">
        <f>I31+I32</f>
        <v>76430.3</v>
      </c>
      <c r="J30" s="336"/>
      <c r="K30" s="336">
        <f t="shared" ref="K30:M30" si="10">K31+K32</f>
        <v>0</v>
      </c>
      <c r="L30" s="336">
        <f t="shared" si="10"/>
        <v>0</v>
      </c>
      <c r="M30" s="336">
        <f t="shared" si="10"/>
        <v>0</v>
      </c>
      <c r="N30" s="1613"/>
      <c r="O30" s="1605" t="s">
        <v>16</v>
      </c>
      <c r="P30" s="1648" t="s">
        <v>557</v>
      </c>
      <c r="R30" s="1" t="s">
        <v>1146</v>
      </c>
      <c r="S30" s="47">
        <v>0.9</v>
      </c>
      <c r="T30" s="309">
        <f>I31/$S30</f>
        <v>76430.3</v>
      </c>
    </row>
    <row r="31" spans="1:24" s="1" customFormat="1" ht="24.75" customHeight="1" x14ac:dyDescent="0.3">
      <c r="A31" s="1641"/>
      <c r="B31" s="1541"/>
      <c r="C31" s="1541"/>
      <c r="D31" s="1541"/>
      <c r="E31" s="1542"/>
      <c r="F31" s="338">
        <v>11252.39</v>
      </c>
      <c r="G31" s="411" t="s">
        <v>13</v>
      </c>
      <c r="H31" s="336">
        <f>I31+J31+K31+L31+M31</f>
        <v>68787.27</v>
      </c>
      <c r="I31" s="336">
        <v>68787.27</v>
      </c>
      <c r="J31" s="336">
        <v>0</v>
      </c>
      <c r="K31" s="336">
        <v>0</v>
      </c>
      <c r="L31" s="336">
        <v>0</v>
      </c>
      <c r="M31" s="336">
        <v>0</v>
      </c>
      <c r="N31" s="1613"/>
      <c r="O31" s="1606"/>
      <c r="P31" s="1649"/>
      <c r="S31" s="47">
        <f>1-S30</f>
        <v>0.1</v>
      </c>
      <c r="T31" s="309">
        <f>T30*S31</f>
        <v>7643.03</v>
      </c>
      <c r="W31" s="1">
        <v>1</v>
      </c>
    </row>
    <row r="32" spans="1:24" s="1" customFormat="1" ht="47.25" customHeight="1" x14ac:dyDescent="0.3">
      <c r="A32" s="1641"/>
      <c r="B32" s="1541"/>
      <c r="C32" s="1541"/>
      <c r="D32" s="1541"/>
      <c r="E32" s="1542"/>
      <c r="F32" s="338">
        <v>1250.27</v>
      </c>
      <c r="G32" s="411" t="s">
        <v>3</v>
      </c>
      <c r="H32" s="336">
        <f>I32+J32+K32+L32+M32</f>
        <v>7643.03</v>
      </c>
      <c r="I32" s="336">
        <v>7643.03</v>
      </c>
      <c r="J32" s="336">
        <v>0</v>
      </c>
      <c r="K32" s="336">
        <v>0</v>
      </c>
      <c r="L32" s="336">
        <v>0</v>
      </c>
      <c r="M32" s="336">
        <v>0</v>
      </c>
      <c r="N32" s="1613"/>
      <c r="O32" s="1607"/>
      <c r="P32" s="1650"/>
    </row>
    <row r="33" spans="1:23" s="1" customFormat="1" ht="15" customHeight="1" x14ac:dyDescent="0.3">
      <c r="A33" s="1625" t="s">
        <v>846</v>
      </c>
      <c r="B33" s="1628" t="s">
        <v>156</v>
      </c>
      <c r="C33" s="1629"/>
      <c r="D33" s="1629"/>
      <c r="E33" s="1629"/>
      <c r="F33" s="1630"/>
      <c r="G33" s="411" t="s">
        <v>12</v>
      </c>
      <c r="H33" s="336">
        <f t="shared" ref="H33:M35" si="11">H36</f>
        <v>37148.300000000003</v>
      </c>
      <c r="I33" s="336">
        <f t="shared" si="11"/>
        <v>37148.300000000003</v>
      </c>
      <c r="J33" s="336">
        <f t="shared" si="11"/>
        <v>0</v>
      </c>
      <c r="K33" s="336">
        <f t="shared" ref="K33:M33" si="12">K34+K35</f>
        <v>0</v>
      </c>
      <c r="L33" s="336">
        <f t="shared" si="12"/>
        <v>0</v>
      </c>
      <c r="M33" s="336">
        <f t="shared" si="12"/>
        <v>0</v>
      </c>
      <c r="N33" s="1645"/>
      <c r="O33" s="1605"/>
      <c r="P33" s="1648">
        <v>1</v>
      </c>
      <c r="R33" s="1" t="s">
        <v>1150</v>
      </c>
    </row>
    <row r="34" spans="1:23" s="1" customFormat="1" ht="22.5" customHeight="1" x14ac:dyDescent="0.3">
      <c r="A34" s="1626"/>
      <c r="B34" s="1631"/>
      <c r="C34" s="1598"/>
      <c r="D34" s="1598"/>
      <c r="E34" s="1598"/>
      <c r="F34" s="1632"/>
      <c r="G34" s="411" t="s">
        <v>13</v>
      </c>
      <c r="H34" s="336">
        <f>I34+J34+K34+L34+M34</f>
        <v>31576.06</v>
      </c>
      <c r="I34" s="336">
        <f>I37</f>
        <v>31576.06</v>
      </c>
      <c r="J34" s="336">
        <f t="shared" si="11"/>
        <v>0</v>
      </c>
      <c r="K34" s="336">
        <f t="shared" si="11"/>
        <v>0</v>
      </c>
      <c r="L34" s="336">
        <f t="shared" si="11"/>
        <v>0</v>
      </c>
      <c r="M34" s="336">
        <f t="shared" si="11"/>
        <v>0</v>
      </c>
      <c r="N34" s="1646"/>
      <c r="O34" s="1606"/>
      <c r="P34" s="1649"/>
    </row>
    <row r="35" spans="1:23" s="1" customFormat="1" ht="48" customHeight="1" x14ac:dyDescent="0.3">
      <c r="A35" s="1627"/>
      <c r="B35" s="1633"/>
      <c r="C35" s="1634"/>
      <c r="D35" s="1634"/>
      <c r="E35" s="1634"/>
      <c r="F35" s="1635"/>
      <c r="G35" s="411" t="s">
        <v>3</v>
      </c>
      <c r="H35" s="336">
        <f>I35+J35+K35+L35+M35</f>
        <v>5572.24</v>
      </c>
      <c r="I35" s="336">
        <f>I38</f>
        <v>5572.24</v>
      </c>
      <c r="J35" s="336">
        <f t="shared" si="11"/>
        <v>0</v>
      </c>
      <c r="K35" s="336">
        <f t="shared" si="11"/>
        <v>0</v>
      </c>
      <c r="L35" s="336">
        <f t="shared" si="11"/>
        <v>0</v>
      </c>
      <c r="M35" s="336">
        <f t="shared" si="11"/>
        <v>0</v>
      </c>
      <c r="N35" s="1647"/>
      <c r="O35" s="1607"/>
      <c r="P35" s="1650"/>
    </row>
    <row r="36" spans="1:23" s="1" customFormat="1" ht="15" customHeight="1" x14ac:dyDescent="0.3">
      <c r="A36" s="1641" t="s">
        <v>1151</v>
      </c>
      <c r="B36" s="1541" t="s">
        <v>235</v>
      </c>
      <c r="C36" s="1601" t="s">
        <v>82</v>
      </c>
      <c r="D36" s="1601"/>
      <c r="E36" s="1603">
        <v>51554.03</v>
      </c>
      <c r="F36" s="338">
        <f>F37+F38</f>
        <v>14405.73</v>
      </c>
      <c r="G36" s="411" t="s">
        <v>12</v>
      </c>
      <c r="H36" s="336">
        <f>H37+H38</f>
        <v>37148.300000000003</v>
      </c>
      <c r="I36" s="336">
        <f>I37+I38</f>
        <v>37148.300000000003</v>
      </c>
      <c r="J36" s="336">
        <f>J37+J38</f>
        <v>0</v>
      </c>
      <c r="K36" s="336">
        <f t="shared" ref="K36:M36" si="13">K37+K38</f>
        <v>0</v>
      </c>
      <c r="L36" s="336">
        <f t="shared" si="13"/>
        <v>0</v>
      </c>
      <c r="M36" s="336">
        <f t="shared" si="13"/>
        <v>0</v>
      </c>
      <c r="N36" s="1613"/>
      <c r="O36" s="1605" t="s">
        <v>16</v>
      </c>
      <c r="P36" s="1648"/>
    </row>
    <row r="37" spans="1:23" s="1" customFormat="1" ht="22.5" customHeight="1" x14ac:dyDescent="0.3">
      <c r="A37" s="1641"/>
      <c r="B37" s="1541"/>
      <c r="C37" s="1601"/>
      <c r="D37" s="1601"/>
      <c r="E37" s="1603"/>
      <c r="F37" s="338">
        <v>12244.87</v>
      </c>
      <c r="G37" s="411" t="s">
        <v>13</v>
      </c>
      <c r="H37" s="336">
        <f>I37+J37+K37+L37+M37</f>
        <v>31576.06</v>
      </c>
      <c r="I37" s="336">
        <v>31576.06</v>
      </c>
      <c r="J37" s="336">
        <v>0</v>
      </c>
      <c r="K37" s="336">
        <v>0</v>
      </c>
      <c r="L37" s="336">
        <v>0</v>
      </c>
      <c r="M37" s="336">
        <v>0</v>
      </c>
      <c r="N37" s="1613"/>
      <c r="O37" s="1606"/>
      <c r="P37" s="1649"/>
      <c r="W37" s="1">
        <v>1</v>
      </c>
    </row>
    <row r="38" spans="1:23" s="1" customFormat="1" ht="47.25" customHeight="1" x14ac:dyDescent="0.3">
      <c r="A38" s="1641"/>
      <c r="B38" s="1541"/>
      <c r="C38" s="1601"/>
      <c r="D38" s="1601"/>
      <c r="E38" s="1603"/>
      <c r="F38" s="338">
        <v>2160.86</v>
      </c>
      <c r="G38" s="411" t="s">
        <v>3</v>
      </c>
      <c r="H38" s="336">
        <f>I38+J38+K38+L38+M38</f>
        <v>5572.24</v>
      </c>
      <c r="I38" s="336">
        <v>5572.24</v>
      </c>
      <c r="J38" s="336">
        <v>0</v>
      </c>
      <c r="K38" s="336">
        <v>0</v>
      </c>
      <c r="L38" s="336">
        <v>0</v>
      </c>
      <c r="M38" s="336">
        <v>0</v>
      </c>
      <c r="N38" s="1613"/>
      <c r="O38" s="1607"/>
      <c r="P38" s="1650"/>
    </row>
    <row r="39" spans="1:23" s="1" customFormat="1" ht="13.5" customHeight="1" x14ac:dyDescent="0.3">
      <c r="A39" s="1625" t="s">
        <v>719</v>
      </c>
      <c r="B39" s="1628" t="s">
        <v>232</v>
      </c>
      <c r="C39" s="1629"/>
      <c r="D39" s="1629"/>
      <c r="E39" s="1629"/>
      <c r="F39" s="1630"/>
      <c r="G39" s="411" t="s">
        <v>12</v>
      </c>
      <c r="H39" s="336">
        <f>H40+H41</f>
        <v>9300</v>
      </c>
      <c r="I39" s="336">
        <f t="shared" ref="I39:M39" si="14">I40+I41</f>
        <v>9300</v>
      </c>
      <c r="J39" s="336">
        <f t="shared" si="14"/>
        <v>0</v>
      </c>
      <c r="K39" s="336">
        <f t="shared" si="14"/>
        <v>0</v>
      </c>
      <c r="L39" s="336">
        <f t="shared" si="14"/>
        <v>0</v>
      </c>
      <c r="M39" s="336">
        <f t="shared" si="14"/>
        <v>0</v>
      </c>
      <c r="N39" s="1645"/>
      <c r="O39" s="1605"/>
      <c r="P39" s="1648">
        <v>1</v>
      </c>
    </row>
    <row r="40" spans="1:23" s="1" customFormat="1" ht="30.6" customHeight="1" x14ac:dyDescent="0.3">
      <c r="A40" s="1626"/>
      <c r="B40" s="1631"/>
      <c r="C40" s="1598"/>
      <c r="D40" s="1598"/>
      <c r="E40" s="1598"/>
      <c r="F40" s="1632"/>
      <c r="G40" s="411" t="s">
        <v>13</v>
      </c>
      <c r="H40" s="336">
        <f>I40+J40+K40+L40+M40</f>
        <v>8323.5</v>
      </c>
      <c r="I40" s="336">
        <f>I43</f>
        <v>8323.5</v>
      </c>
      <c r="J40" s="336">
        <f t="shared" ref="J40:M41" si="15">J43</f>
        <v>0</v>
      </c>
      <c r="K40" s="336">
        <f t="shared" si="15"/>
        <v>0</v>
      </c>
      <c r="L40" s="336">
        <f t="shared" si="15"/>
        <v>0</v>
      </c>
      <c r="M40" s="336">
        <f t="shared" si="15"/>
        <v>0</v>
      </c>
      <c r="N40" s="1646"/>
      <c r="O40" s="1606"/>
      <c r="P40" s="1649"/>
      <c r="R40" s="1" t="s">
        <v>1144</v>
      </c>
    </row>
    <row r="41" spans="1:23" s="1" customFormat="1" ht="46.5" customHeight="1" x14ac:dyDescent="0.3">
      <c r="A41" s="1627"/>
      <c r="B41" s="1633"/>
      <c r="C41" s="1634"/>
      <c r="D41" s="1634"/>
      <c r="E41" s="1634"/>
      <c r="F41" s="1635"/>
      <c r="G41" s="411" t="s">
        <v>3</v>
      </c>
      <c r="H41" s="336">
        <f>I41+J41+K41+L41+M41</f>
        <v>976.5</v>
      </c>
      <c r="I41" s="336">
        <f>I44</f>
        <v>976.5</v>
      </c>
      <c r="J41" s="336">
        <f t="shared" si="15"/>
        <v>0</v>
      </c>
      <c r="K41" s="336">
        <f t="shared" si="15"/>
        <v>0</v>
      </c>
      <c r="L41" s="336">
        <f t="shared" si="15"/>
        <v>0</v>
      </c>
      <c r="M41" s="336">
        <f t="shared" si="15"/>
        <v>0</v>
      </c>
      <c r="N41" s="1647"/>
      <c r="O41" s="1607"/>
      <c r="P41" s="1650"/>
    </row>
    <row r="42" spans="1:23" s="1" customFormat="1" ht="14.25" customHeight="1" x14ac:dyDescent="0.3">
      <c r="A42" s="1641" t="s">
        <v>1152</v>
      </c>
      <c r="B42" s="1541" t="s">
        <v>559</v>
      </c>
      <c r="C42" s="1601">
        <v>2018</v>
      </c>
      <c r="D42" s="1601"/>
      <c r="E42" s="1603">
        <v>9300</v>
      </c>
      <c r="F42" s="338">
        <f>F43+F44</f>
        <v>0</v>
      </c>
      <c r="G42" s="411" t="s">
        <v>12</v>
      </c>
      <c r="H42" s="336">
        <f>H43+H44</f>
        <v>9300</v>
      </c>
      <c r="I42" s="336">
        <f t="shared" ref="I42:M42" si="16">I43+I44</f>
        <v>9300</v>
      </c>
      <c r="J42" s="336">
        <f t="shared" si="16"/>
        <v>0</v>
      </c>
      <c r="K42" s="336">
        <f t="shared" si="16"/>
        <v>0</v>
      </c>
      <c r="L42" s="336">
        <f t="shared" si="16"/>
        <v>0</v>
      </c>
      <c r="M42" s="336">
        <f t="shared" si="16"/>
        <v>0</v>
      </c>
      <c r="N42" s="1613"/>
      <c r="O42" s="1605" t="s">
        <v>16</v>
      </c>
      <c r="P42" s="1648"/>
    </row>
    <row r="43" spans="1:23" s="1" customFormat="1" ht="29.25" customHeight="1" x14ac:dyDescent="0.3">
      <c r="A43" s="1641"/>
      <c r="B43" s="1541"/>
      <c r="C43" s="1601"/>
      <c r="D43" s="1601"/>
      <c r="E43" s="1603"/>
      <c r="F43" s="338">
        <v>0</v>
      </c>
      <c r="G43" s="411" t="s">
        <v>13</v>
      </c>
      <c r="H43" s="336">
        <f>I43+J43+K43+L43+M43</f>
        <v>8323.5</v>
      </c>
      <c r="I43" s="336">
        <v>8323.5</v>
      </c>
      <c r="J43" s="336">
        <f>J73</f>
        <v>0</v>
      </c>
      <c r="K43" s="336">
        <v>0</v>
      </c>
      <c r="L43" s="336">
        <v>0</v>
      </c>
      <c r="M43" s="336">
        <v>0</v>
      </c>
      <c r="N43" s="1613"/>
      <c r="O43" s="1606"/>
      <c r="P43" s="1649"/>
      <c r="W43" s="1">
        <v>1</v>
      </c>
    </row>
    <row r="44" spans="1:23" s="1" customFormat="1" ht="48.75" customHeight="1" x14ac:dyDescent="0.3">
      <c r="A44" s="1641"/>
      <c r="B44" s="1541"/>
      <c r="C44" s="1601"/>
      <c r="D44" s="1601"/>
      <c r="E44" s="1603"/>
      <c r="F44" s="338">
        <v>0</v>
      </c>
      <c r="G44" s="411" t="s">
        <v>3</v>
      </c>
      <c r="H44" s="336">
        <f>I44+J44+K44+L44+M44</f>
        <v>976.5</v>
      </c>
      <c r="I44" s="336">
        <v>976.5</v>
      </c>
      <c r="J44" s="336">
        <v>0</v>
      </c>
      <c r="K44" s="336">
        <v>0</v>
      </c>
      <c r="L44" s="336">
        <v>0</v>
      </c>
      <c r="M44" s="336">
        <v>0</v>
      </c>
      <c r="N44" s="1613"/>
      <c r="O44" s="1607"/>
      <c r="P44" s="1650"/>
    </row>
    <row r="45" spans="1:23" s="1" customFormat="1" ht="15" customHeight="1" x14ac:dyDescent="0.3">
      <c r="A45" s="1625" t="s">
        <v>832</v>
      </c>
      <c r="B45" s="1628" t="s">
        <v>191</v>
      </c>
      <c r="C45" s="1629"/>
      <c r="D45" s="1629"/>
      <c r="E45" s="1629"/>
      <c r="F45" s="1630"/>
      <c r="G45" s="411" t="s">
        <v>12</v>
      </c>
      <c r="H45" s="336">
        <f>H46+H47</f>
        <v>70000</v>
      </c>
      <c r="I45" s="336">
        <f t="shared" ref="I45:M45" si="17">I46+I47</f>
        <v>70000</v>
      </c>
      <c r="J45" s="336">
        <f t="shared" si="17"/>
        <v>0</v>
      </c>
      <c r="K45" s="336">
        <f t="shared" si="17"/>
        <v>0</v>
      </c>
      <c r="L45" s="336">
        <f t="shared" si="17"/>
        <v>0</v>
      </c>
      <c r="M45" s="336">
        <f t="shared" si="17"/>
        <v>0</v>
      </c>
      <c r="N45" s="1645"/>
      <c r="O45" s="1605"/>
      <c r="P45" s="1648">
        <v>1</v>
      </c>
      <c r="R45" s="1" t="s">
        <v>1144</v>
      </c>
    </row>
    <row r="46" spans="1:23" s="1" customFormat="1" ht="22.5" customHeight="1" x14ac:dyDescent="0.3">
      <c r="A46" s="1626"/>
      <c r="B46" s="1631"/>
      <c r="C46" s="1598"/>
      <c r="D46" s="1598"/>
      <c r="E46" s="1598"/>
      <c r="F46" s="1632"/>
      <c r="G46" s="411" t="s">
        <v>13</v>
      </c>
      <c r="H46" s="336">
        <f>I46+J46+K46+L46+M46</f>
        <v>66500</v>
      </c>
      <c r="I46" s="336">
        <f>I49</f>
        <v>66500</v>
      </c>
      <c r="J46" s="336">
        <f t="shared" ref="J46:M47" si="18">J49</f>
        <v>0</v>
      </c>
      <c r="K46" s="336">
        <f t="shared" si="18"/>
        <v>0</v>
      </c>
      <c r="L46" s="336">
        <f t="shared" si="18"/>
        <v>0</v>
      </c>
      <c r="M46" s="336">
        <f t="shared" si="18"/>
        <v>0</v>
      </c>
      <c r="N46" s="1646"/>
      <c r="O46" s="1606"/>
      <c r="P46" s="1649"/>
    </row>
    <row r="47" spans="1:23" s="1" customFormat="1" ht="49.5" customHeight="1" x14ac:dyDescent="0.3">
      <c r="A47" s="1627"/>
      <c r="B47" s="1633"/>
      <c r="C47" s="1634"/>
      <c r="D47" s="1634"/>
      <c r="E47" s="1634"/>
      <c r="F47" s="1635"/>
      <c r="G47" s="411" t="s">
        <v>3</v>
      </c>
      <c r="H47" s="336">
        <f>I47+J47+K47+L47+M47</f>
        <v>3500</v>
      </c>
      <c r="I47" s="336">
        <f>I50</f>
        <v>3500</v>
      </c>
      <c r="J47" s="336">
        <f t="shared" si="18"/>
        <v>0</v>
      </c>
      <c r="K47" s="336">
        <f t="shared" si="18"/>
        <v>0</v>
      </c>
      <c r="L47" s="336">
        <f t="shared" si="18"/>
        <v>0</v>
      </c>
      <c r="M47" s="336">
        <f t="shared" si="18"/>
        <v>0</v>
      </c>
      <c r="N47" s="1647"/>
      <c r="O47" s="1607"/>
      <c r="P47" s="1650"/>
    </row>
    <row r="48" spans="1:23" s="1" customFormat="1" ht="13.5" customHeight="1" x14ac:dyDescent="0.3">
      <c r="A48" s="1641" t="s">
        <v>1153</v>
      </c>
      <c r="B48" s="1541" t="s">
        <v>242</v>
      </c>
      <c r="C48" s="1601">
        <v>2018</v>
      </c>
      <c r="D48" s="1601"/>
      <c r="E48" s="1603">
        <v>70000</v>
      </c>
      <c r="F48" s="338">
        <f>F49+F50</f>
        <v>0</v>
      </c>
      <c r="G48" s="411" t="s">
        <v>12</v>
      </c>
      <c r="H48" s="336">
        <f>H49+H50</f>
        <v>70000</v>
      </c>
      <c r="I48" s="336">
        <f t="shared" ref="I48:M48" si="19">I49+I50</f>
        <v>70000</v>
      </c>
      <c r="J48" s="336">
        <f t="shared" si="19"/>
        <v>0</v>
      </c>
      <c r="K48" s="336">
        <f t="shared" si="19"/>
        <v>0</v>
      </c>
      <c r="L48" s="336">
        <f t="shared" si="19"/>
        <v>0</v>
      </c>
      <c r="M48" s="336">
        <f t="shared" si="19"/>
        <v>0</v>
      </c>
      <c r="N48" s="1613"/>
      <c r="O48" s="1605" t="s">
        <v>16</v>
      </c>
      <c r="P48" s="1648"/>
    </row>
    <row r="49" spans="1:23" s="1" customFormat="1" ht="29.4" customHeight="1" x14ac:dyDescent="0.3">
      <c r="A49" s="1641"/>
      <c r="B49" s="1541"/>
      <c r="C49" s="1601"/>
      <c r="D49" s="1601"/>
      <c r="E49" s="1603"/>
      <c r="F49" s="338">
        <v>0</v>
      </c>
      <c r="G49" s="411" t="s">
        <v>13</v>
      </c>
      <c r="H49" s="336">
        <f>I49+J49+K49+L49+M49</f>
        <v>66500</v>
      </c>
      <c r="I49" s="336">
        <v>66500</v>
      </c>
      <c r="J49" s="336">
        <v>0</v>
      </c>
      <c r="K49" s="336">
        <v>0</v>
      </c>
      <c r="L49" s="336">
        <v>0</v>
      </c>
      <c r="M49" s="336">
        <v>0</v>
      </c>
      <c r="N49" s="1613"/>
      <c r="O49" s="1606"/>
      <c r="P49" s="1649"/>
      <c r="W49" s="1">
        <v>1</v>
      </c>
    </row>
    <row r="50" spans="1:23" s="1" customFormat="1" ht="49.5" customHeight="1" x14ac:dyDescent="0.3">
      <c r="A50" s="1641"/>
      <c r="B50" s="1541"/>
      <c r="C50" s="1601"/>
      <c r="D50" s="1601"/>
      <c r="E50" s="1603"/>
      <c r="F50" s="338">
        <v>0</v>
      </c>
      <c r="G50" s="411" t="s">
        <v>3</v>
      </c>
      <c r="H50" s="336">
        <f>I50+J50+K50+L50+M50</f>
        <v>3500</v>
      </c>
      <c r="I50" s="336">
        <v>3500</v>
      </c>
      <c r="J50" s="336">
        <v>0</v>
      </c>
      <c r="K50" s="336">
        <v>0</v>
      </c>
      <c r="L50" s="336">
        <v>0</v>
      </c>
      <c r="M50" s="336">
        <v>0</v>
      </c>
      <c r="N50" s="1613"/>
      <c r="O50" s="1607"/>
      <c r="P50" s="1650"/>
    </row>
    <row r="51" spans="1:23" s="1" customFormat="1" ht="12.75" customHeight="1" x14ac:dyDescent="0.3">
      <c r="A51" s="1625" t="s">
        <v>720</v>
      </c>
      <c r="B51" s="1628" t="s">
        <v>233</v>
      </c>
      <c r="C51" s="1629"/>
      <c r="D51" s="1629"/>
      <c r="E51" s="1629"/>
      <c r="F51" s="1630"/>
      <c r="G51" s="411" t="s">
        <v>12</v>
      </c>
      <c r="H51" s="336">
        <f>H52+H53</f>
        <v>200000</v>
      </c>
      <c r="I51" s="336">
        <f t="shared" ref="I51:M51" si="20">I52+I53</f>
        <v>200000</v>
      </c>
      <c r="J51" s="336">
        <f t="shared" si="20"/>
        <v>0</v>
      </c>
      <c r="K51" s="336">
        <f t="shared" si="20"/>
        <v>0</v>
      </c>
      <c r="L51" s="336">
        <f t="shared" si="20"/>
        <v>0</v>
      </c>
      <c r="M51" s="336">
        <f t="shared" si="20"/>
        <v>0</v>
      </c>
      <c r="N51" s="1645"/>
      <c r="O51" s="1605"/>
      <c r="P51" s="1648">
        <v>1</v>
      </c>
    </row>
    <row r="52" spans="1:23" s="1" customFormat="1" ht="30.6" customHeight="1" x14ac:dyDescent="0.3">
      <c r="A52" s="1626"/>
      <c r="B52" s="1631"/>
      <c r="C52" s="1598"/>
      <c r="D52" s="1598"/>
      <c r="E52" s="1598"/>
      <c r="F52" s="1632"/>
      <c r="G52" s="411" t="s">
        <v>13</v>
      </c>
      <c r="H52" s="336">
        <f>I52+J52+K52+L52+M52</f>
        <v>190000</v>
      </c>
      <c r="I52" s="336">
        <f>I55</f>
        <v>190000</v>
      </c>
      <c r="J52" s="336">
        <f t="shared" ref="J52:M53" si="21">J55</f>
        <v>0</v>
      </c>
      <c r="K52" s="336">
        <f t="shared" si="21"/>
        <v>0</v>
      </c>
      <c r="L52" s="336">
        <f t="shared" si="21"/>
        <v>0</v>
      </c>
      <c r="M52" s="336">
        <f t="shared" si="21"/>
        <v>0</v>
      </c>
      <c r="N52" s="1646"/>
      <c r="O52" s="1606"/>
      <c r="P52" s="1649"/>
      <c r="R52" s="1" t="s">
        <v>1144</v>
      </c>
    </row>
    <row r="53" spans="1:23" s="1" customFormat="1" ht="45" customHeight="1" x14ac:dyDescent="0.3">
      <c r="A53" s="1627"/>
      <c r="B53" s="1633"/>
      <c r="C53" s="1634"/>
      <c r="D53" s="1634"/>
      <c r="E53" s="1634"/>
      <c r="F53" s="1635"/>
      <c r="G53" s="411" t="s">
        <v>3</v>
      </c>
      <c r="H53" s="336">
        <f>I53+J53+K53+L53+M53</f>
        <v>10000</v>
      </c>
      <c r="I53" s="336">
        <f>I56</f>
        <v>10000</v>
      </c>
      <c r="J53" s="336">
        <f t="shared" si="21"/>
        <v>0</v>
      </c>
      <c r="K53" s="336">
        <f t="shared" si="21"/>
        <v>0</v>
      </c>
      <c r="L53" s="336">
        <f t="shared" si="21"/>
        <v>0</v>
      </c>
      <c r="M53" s="336">
        <f t="shared" si="21"/>
        <v>0</v>
      </c>
      <c r="N53" s="1647"/>
      <c r="O53" s="1607"/>
      <c r="P53" s="1650"/>
    </row>
    <row r="54" spans="1:23" s="1" customFormat="1" ht="22.2" customHeight="1" x14ac:dyDescent="0.3">
      <c r="A54" s="1641" t="s">
        <v>941</v>
      </c>
      <c r="B54" s="1541" t="s">
        <v>826</v>
      </c>
      <c r="C54" s="1601">
        <v>2018</v>
      </c>
      <c r="D54" s="1603"/>
      <c r="E54" s="1603">
        <v>200000</v>
      </c>
      <c r="F54" s="338">
        <f>F55+F56</f>
        <v>0</v>
      </c>
      <c r="G54" s="411" t="s">
        <v>12</v>
      </c>
      <c r="H54" s="336">
        <f>H55+H56</f>
        <v>200000</v>
      </c>
      <c r="I54" s="336">
        <f t="shared" ref="I54:M54" si="22">I55+I56</f>
        <v>200000</v>
      </c>
      <c r="J54" s="336">
        <f t="shared" si="22"/>
        <v>0</v>
      </c>
      <c r="K54" s="336">
        <f t="shared" si="22"/>
        <v>0</v>
      </c>
      <c r="L54" s="336">
        <f t="shared" si="22"/>
        <v>0</v>
      </c>
      <c r="M54" s="336">
        <f t="shared" si="22"/>
        <v>0</v>
      </c>
      <c r="N54" s="1613"/>
      <c r="O54" s="1605" t="s">
        <v>16</v>
      </c>
      <c r="P54" s="1648"/>
    </row>
    <row r="55" spans="1:23" s="1" customFormat="1" ht="29.4" customHeight="1" x14ac:dyDescent="0.3">
      <c r="A55" s="1641"/>
      <c r="B55" s="1541"/>
      <c r="C55" s="1601"/>
      <c r="D55" s="1603"/>
      <c r="E55" s="1603"/>
      <c r="F55" s="338">
        <v>0</v>
      </c>
      <c r="G55" s="411" t="s">
        <v>13</v>
      </c>
      <c r="H55" s="336">
        <f>I55+J55+K55+L55+M55</f>
        <v>190000</v>
      </c>
      <c r="I55" s="336">
        <v>190000</v>
      </c>
      <c r="J55" s="336">
        <v>0</v>
      </c>
      <c r="K55" s="336">
        <v>0</v>
      </c>
      <c r="L55" s="336">
        <v>0</v>
      </c>
      <c r="M55" s="336">
        <v>0</v>
      </c>
      <c r="N55" s="1613"/>
      <c r="O55" s="1606"/>
      <c r="P55" s="1649"/>
      <c r="W55" s="1">
        <v>1</v>
      </c>
    </row>
    <row r="56" spans="1:23" s="1" customFormat="1" ht="75" customHeight="1" x14ac:dyDescent="0.3">
      <c r="A56" s="1641"/>
      <c r="B56" s="1541"/>
      <c r="C56" s="1601"/>
      <c r="D56" s="1603"/>
      <c r="E56" s="1603"/>
      <c r="F56" s="338">
        <v>0</v>
      </c>
      <c r="G56" s="411" t="s">
        <v>3</v>
      </c>
      <c r="H56" s="336">
        <f>I56+J56+K56+L56+M56</f>
        <v>10000</v>
      </c>
      <c r="I56" s="336">
        <v>10000</v>
      </c>
      <c r="J56" s="336">
        <v>0</v>
      </c>
      <c r="K56" s="336">
        <v>0</v>
      </c>
      <c r="L56" s="336">
        <v>0</v>
      </c>
      <c r="M56" s="336">
        <v>0</v>
      </c>
      <c r="N56" s="1613"/>
      <c r="O56" s="1607"/>
      <c r="P56" s="1650"/>
    </row>
    <row r="57" spans="1:23" s="1" customFormat="1" ht="19.5" customHeight="1" x14ac:dyDescent="0.3">
      <c r="A57" s="1625" t="s">
        <v>833</v>
      </c>
      <c r="B57" s="1628" t="s">
        <v>1009</v>
      </c>
      <c r="C57" s="1629"/>
      <c r="D57" s="1629"/>
      <c r="E57" s="1629"/>
      <c r="F57" s="1630"/>
      <c r="G57" s="411" t="s">
        <v>12</v>
      </c>
      <c r="H57" s="336">
        <f>H58+H59</f>
        <v>30376.37</v>
      </c>
      <c r="I57" s="336">
        <f>I58+I59</f>
        <v>30376.37</v>
      </c>
      <c r="J57" s="336">
        <v>0</v>
      </c>
      <c r="K57" s="336">
        <v>0</v>
      </c>
      <c r="L57" s="336">
        <v>0</v>
      </c>
      <c r="M57" s="336">
        <v>0</v>
      </c>
      <c r="N57" s="1664"/>
      <c r="O57" s="1664"/>
      <c r="P57" s="1648" t="s">
        <v>1481</v>
      </c>
      <c r="R57" s="1" t="s">
        <v>1154</v>
      </c>
    </row>
    <row r="58" spans="1:23" s="1" customFormat="1" ht="26.25" customHeight="1" x14ac:dyDescent="0.3">
      <c r="A58" s="1626"/>
      <c r="B58" s="1631"/>
      <c r="C58" s="1598"/>
      <c r="D58" s="1598"/>
      <c r="E58" s="1598"/>
      <c r="F58" s="1632"/>
      <c r="G58" s="411" t="s">
        <v>13</v>
      </c>
      <c r="H58" s="336">
        <f>I58+J58+K58+L58+M58</f>
        <v>25819.91</v>
      </c>
      <c r="I58" s="336">
        <f>I61</f>
        <v>25819.91</v>
      </c>
      <c r="J58" s="336">
        <v>0</v>
      </c>
      <c r="K58" s="336">
        <v>0</v>
      </c>
      <c r="L58" s="336">
        <v>0</v>
      </c>
      <c r="M58" s="336">
        <v>0</v>
      </c>
      <c r="N58" s="1670"/>
      <c r="O58" s="1670"/>
      <c r="P58" s="1649"/>
    </row>
    <row r="59" spans="1:23" s="1" customFormat="1" ht="52.5" customHeight="1" x14ac:dyDescent="0.3">
      <c r="A59" s="1627"/>
      <c r="B59" s="1633"/>
      <c r="C59" s="1634"/>
      <c r="D59" s="1634"/>
      <c r="E59" s="1634"/>
      <c r="F59" s="1635"/>
      <c r="G59" s="411" t="s">
        <v>3</v>
      </c>
      <c r="H59" s="336">
        <f>I59+J59+K59+L59+M59</f>
        <v>4556.46</v>
      </c>
      <c r="I59" s="336">
        <f>I62</f>
        <v>4556.46</v>
      </c>
      <c r="J59" s="336">
        <v>0</v>
      </c>
      <c r="K59" s="336">
        <v>0</v>
      </c>
      <c r="L59" s="336">
        <v>0</v>
      </c>
      <c r="M59" s="336">
        <v>0</v>
      </c>
      <c r="N59" s="1665"/>
      <c r="O59" s="1670"/>
      <c r="P59" s="1650"/>
    </row>
    <row r="60" spans="1:23" s="1" customFormat="1" ht="17.25" customHeight="1" x14ac:dyDescent="0.3">
      <c r="A60" s="1625" t="s">
        <v>942</v>
      </c>
      <c r="B60" s="1541" t="s">
        <v>1011</v>
      </c>
      <c r="C60" s="1601" t="s">
        <v>82</v>
      </c>
      <c r="D60" s="1603" t="s">
        <v>1010</v>
      </c>
      <c r="E60" s="1671">
        <v>32466.55</v>
      </c>
      <c r="F60" s="338">
        <f>F61+F62</f>
        <v>2090.1799999999998</v>
      </c>
      <c r="G60" s="411" t="s">
        <v>12</v>
      </c>
      <c r="H60" s="336">
        <f>H61+H62</f>
        <v>30376.37</v>
      </c>
      <c r="I60" s="336">
        <f>I62+I61</f>
        <v>30376.37</v>
      </c>
      <c r="J60" s="336">
        <v>0</v>
      </c>
      <c r="K60" s="336">
        <v>0</v>
      </c>
      <c r="L60" s="336">
        <v>0</v>
      </c>
      <c r="M60" s="336">
        <v>0</v>
      </c>
      <c r="N60" s="1664"/>
      <c r="O60" s="1614" t="s">
        <v>16</v>
      </c>
      <c r="P60" s="1648"/>
      <c r="S60" s="47">
        <v>0.85</v>
      </c>
      <c r="T60" s="309">
        <f>I61/$S60</f>
        <v>30376.36</v>
      </c>
    </row>
    <row r="61" spans="1:23" s="1" customFormat="1" ht="29.25" customHeight="1" x14ac:dyDescent="0.3">
      <c r="A61" s="1626"/>
      <c r="B61" s="1541"/>
      <c r="C61" s="1601"/>
      <c r="D61" s="1603"/>
      <c r="E61" s="1671"/>
      <c r="F61" s="338">
        <v>1776.65</v>
      </c>
      <c r="G61" s="411" t="s">
        <v>13</v>
      </c>
      <c r="H61" s="336">
        <f>I61+J61+K61+L61+M61</f>
        <v>25819.91</v>
      </c>
      <c r="I61" s="336">
        <v>25819.91</v>
      </c>
      <c r="J61" s="336">
        <v>0</v>
      </c>
      <c r="K61" s="336">
        <v>0</v>
      </c>
      <c r="L61" s="336">
        <v>0</v>
      </c>
      <c r="M61" s="336">
        <v>0</v>
      </c>
      <c r="N61" s="1670"/>
      <c r="O61" s="1614"/>
      <c r="P61" s="1649"/>
      <c r="S61" s="47">
        <f>1-S60</f>
        <v>0.15</v>
      </c>
      <c r="T61" s="309">
        <f>T60*S61</f>
        <v>4556.45</v>
      </c>
      <c r="W61" s="1">
        <v>1</v>
      </c>
    </row>
    <row r="62" spans="1:23" s="1" customFormat="1" ht="51.75" customHeight="1" x14ac:dyDescent="0.3">
      <c r="A62" s="1627"/>
      <c r="B62" s="1541"/>
      <c r="C62" s="1601"/>
      <c r="D62" s="1603"/>
      <c r="E62" s="1671"/>
      <c r="F62" s="338">
        <v>313.52999999999997</v>
      </c>
      <c r="G62" s="411" t="s">
        <v>3</v>
      </c>
      <c r="H62" s="336">
        <f>I62+J62+K62+L62+M62</f>
        <v>4556.46</v>
      </c>
      <c r="I62" s="336">
        <f>4869.99-F62</f>
        <v>4556.46</v>
      </c>
      <c r="J62" s="336">
        <v>0</v>
      </c>
      <c r="K62" s="336">
        <v>0</v>
      </c>
      <c r="L62" s="336">
        <v>0</v>
      </c>
      <c r="M62" s="336">
        <v>0</v>
      </c>
      <c r="N62" s="1665"/>
      <c r="O62" s="1614"/>
      <c r="P62" s="1650"/>
    </row>
    <row r="63" spans="1:23" s="1" customFormat="1" ht="21" customHeight="1" x14ac:dyDescent="0.3">
      <c r="A63" s="1625" t="s">
        <v>834</v>
      </c>
      <c r="B63" s="1628" t="s">
        <v>1012</v>
      </c>
      <c r="C63" s="1629"/>
      <c r="D63" s="1629"/>
      <c r="E63" s="1629"/>
      <c r="F63" s="1630"/>
      <c r="G63" s="411" t="s">
        <v>12</v>
      </c>
      <c r="H63" s="336">
        <f t="shared" ref="H63:I65" si="23">H66</f>
        <v>14342</v>
      </c>
      <c r="I63" s="336">
        <f t="shared" si="23"/>
        <v>14342</v>
      </c>
      <c r="J63" s="336">
        <v>0</v>
      </c>
      <c r="K63" s="336">
        <v>0</v>
      </c>
      <c r="L63" s="336">
        <v>0</v>
      </c>
      <c r="M63" s="336">
        <v>0</v>
      </c>
      <c r="N63" s="1645"/>
      <c r="O63" s="1605"/>
      <c r="P63" s="1648" t="s">
        <v>1481</v>
      </c>
      <c r="R63" s="1" t="s">
        <v>1155</v>
      </c>
    </row>
    <row r="64" spans="1:23" s="1" customFormat="1" ht="27.75" customHeight="1" x14ac:dyDescent="0.3">
      <c r="A64" s="1626"/>
      <c r="B64" s="1631"/>
      <c r="C64" s="1598"/>
      <c r="D64" s="1598"/>
      <c r="E64" s="1598"/>
      <c r="F64" s="1632"/>
      <c r="G64" s="411" t="s">
        <v>13</v>
      </c>
      <c r="H64" s="336">
        <f t="shared" si="23"/>
        <v>12907.8</v>
      </c>
      <c r="I64" s="336">
        <f t="shared" si="23"/>
        <v>12907.8</v>
      </c>
      <c r="J64" s="336">
        <v>0</v>
      </c>
      <c r="K64" s="336">
        <v>0</v>
      </c>
      <c r="L64" s="336">
        <v>0</v>
      </c>
      <c r="M64" s="336">
        <v>0</v>
      </c>
      <c r="N64" s="1646"/>
      <c r="O64" s="1606"/>
      <c r="P64" s="1649"/>
    </row>
    <row r="65" spans="1:27" s="1" customFormat="1" ht="51.75" customHeight="1" x14ac:dyDescent="0.3">
      <c r="A65" s="1627"/>
      <c r="B65" s="1633"/>
      <c r="C65" s="1634"/>
      <c r="D65" s="1634"/>
      <c r="E65" s="1634"/>
      <c r="F65" s="1635"/>
      <c r="G65" s="411" t="s">
        <v>3</v>
      </c>
      <c r="H65" s="336">
        <f t="shared" si="23"/>
        <v>1434.2</v>
      </c>
      <c r="I65" s="336">
        <f t="shared" si="23"/>
        <v>1434.2</v>
      </c>
      <c r="J65" s="336">
        <v>0</v>
      </c>
      <c r="K65" s="336">
        <v>0</v>
      </c>
      <c r="L65" s="336">
        <v>0</v>
      </c>
      <c r="M65" s="336">
        <v>0</v>
      </c>
      <c r="N65" s="1647"/>
      <c r="O65" s="1607"/>
      <c r="P65" s="1650"/>
    </row>
    <row r="66" spans="1:27" s="1" customFormat="1" ht="15" customHeight="1" x14ac:dyDescent="0.3">
      <c r="A66" s="1625" t="s">
        <v>1156</v>
      </c>
      <c r="B66" s="1570" t="s">
        <v>1013</v>
      </c>
      <c r="C66" s="1672">
        <v>2018</v>
      </c>
      <c r="D66" s="1570" t="s">
        <v>1014</v>
      </c>
      <c r="E66" s="1675">
        <f>F66+H66</f>
        <v>14342</v>
      </c>
      <c r="F66" s="409">
        <f>F67+F68</f>
        <v>0</v>
      </c>
      <c r="G66" s="411" t="s">
        <v>12</v>
      </c>
      <c r="H66" s="336">
        <f>H67+H68</f>
        <v>14342</v>
      </c>
      <c r="I66" s="336">
        <f>ROUNDUP(14341.72,0)</f>
        <v>14342</v>
      </c>
      <c r="J66" s="336">
        <v>0</v>
      </c>
      <c r="K66" s="336">
        <v>0</v>
      </c>
      <c r="L66" s="336">
        <v>0</v>
      </c>
      <c r="M66" s="336">
        <v>0</v>
      </c>
      <c r="N66" s="1613"/>
      <c r="O66" s="1605" t="s">
        <v>16</v>
      </c>
      <c r="P66" s="1648"/>
      <c r="S66" s="47">
        <v>0.9</v>
      </c>
      <c r="T66" s="309">
        <f>I67/$S66</f>
        <v>14342</v>
      </c>
    </row>
    <row r="67" spans="1:27" s="1" customFormat="1" ht="27.75" customHeight="1" x14ac:dyDescent="0.3">
      <c r="A67" s="1626"/>
      <c r="B67" s="1571"/>
      <c r="C67" s="1673"/>
      <c r="D67" s="1571"/>
      <c r="E67" s="1676"/>
      <c r="F67" s="409">
        <v>0</v>
      </c>
      <c r="G67" s="411" t="s">
        <v>13</v>
      </c>
      <c r="H67" s="336">
        <f>SUM(I67:M67)</f>
        <v>12907.8</v>
      </c>
      <c r="I67" s="336">
        <f>I66-I68</f>
        <v>12907.8</v>
      </c>
      <c r="J67" s="336">
        <v>0</v>
      </c>
      <c r="K67" s="336">
        <v>0</v>
      </c>
      <c r="L67" s="336">
        <v>0</v>
      </c>
      <c r="M67" s="336">
        <v>0</v>
      </c>
      <c r="N67" s="1613"/>
      <c r="O67" s="1606"/>
      <c r="P67" s="1649"/>
      <c r="S67" s="47">
        <f>1-S66</f>
        <v>0.1</v>
      </c>
      <c r="T67" s="309">
        <f>T66*S67</f>
        <v>1434.2</v>
      </c>
      <c r="W67" s="1">
        <v>1</v>
      </c>
    </row>
    <row r="68" spans="1:27" s="1" customFormat="1" ht="33.75" customHeight="1" x14ac:dyDescent="0.3">
      <c r="A68" s="1627"/>
      <c r="B68" s="1572"/>
      <c r="C68" s="1674"/>
      <c r="D68" s="1572"/>
      <c r="E68" s="1667"/>
      <c r="F68" s="409">
        <v>0</v>
      </c>
      <c r="G68" s="959" t="s">
        <v>3</v>
      </c>
      <c r="H68" s="336">
        <f>SUM(I68:M68)</f>
        <v>1434.2</v>
      </c>
      <c r="I68" s="336">
        <f>0.1*I66</f>
        <v>1434.2</v>
      </c>
      <c r="J68" s="336">
        <v>0</v>
      </c>
      <c r="K68" s="336">
        <v>0</v>
      </c>
      <c r="L68" s="336">
        <v>0</v>
      </c>
      <c r="M68" s="336">
        <v>0</v>
      </c>
      <c r="N68" s="1613"/>
      <c r="O68" s="1607"/>
      <c r="P68" s="1650"/>
    </row>
    <row r="69" spans="1:27" s="1" customFormat="1" ht="29.25" customHeight="1" x14ac:dyDescent="0.3">
      <c r="A69" s="337" t="s">
        <v>835</v>
      </c>
      <c r="B69" s="1619" t="s">
        <v>207</v>
      </c>
      <c r="C69" s="1620"/>
      <c r="D69" s="1620"/>
      <c r="E69" s="1620"/>
      <c r="F69" s="1621"/>
      <c r="G69" s="411" t="s">
        <v>13</v>
      </c>
      <c r="H69" s="336">
        <f>I69+J69+K69+L69+M69</f>
        <v>0.28000000000000003</v>
      </c>
      <c r="I69" s="336">
        <v>0.28000000000000003</v>
      </c>
      <c r="J69" s="336"/>
      <c r="K69" s="336"/>
      <c r="L69" s="336"/>
      <c r="M69" s="336"/>
      <c r="N69" s="348"/>
      <c r="O69" s="296"/>
      <c r="P69" s="1056"/>
    </row>
    <row r="70" spans="1:27" s="1" customFormat="1" ht="21" customHeight="1" x14ac:dyDescent="0.3">
      <c r="A70" s="1544" t="s">
        <v>1351</v>
      </c>
      <c r="B70" s="1544"/>
      <c r="C70" s="1544"/>
      <c r="D70" s="1544"/>
      <c r="E70" s="1544"/>
      <c r="F70" s="833">
        <f>F71+F72</f>
        <v>37377.71</v>
      </c>
      <c r="G70" s="411" t="s">
        <v>42</v>
      </c>
      <c r="H70" s="336">
        <f>H71+H72</f>
        <v>1217108.24</v>
      </c>
      <c r="I70" s="336">
        <f>I71+I72</f>
        <v>902108.24</v>
      </c>
      <c r="J70" s="336">
        <f t="shared" ref="J70:M70" si="24">J71+J72</f>
        <v>315000</v>
      </c>
      <c r="K70" s="336">
        <f t="shared" si="24"/>
        <v>0</v>
      </c>
      <c r="L70" s="336">
        <f t="shared" si="24"/>
        <v>0</v>
      </c>
      <c r="M70" s="336">
        <f t="shared" si="24"/>
        <v>0</v>
      </c>
      <c r="N70" s="1613"/>
      <c r="O70" s="1605"/>
      <c r="P70" s="1648" t="s">
        <v>1480</v>
      </c>
    </row>
    <row r="71" spans="1:27" s="1" customFormat="1" ht="44.25" customHeight="1" x14ac:dyDescent="0.3">
      <c r="A71" s="1544"/>
      <c r="B71" s="1544"/>
      <c r="C71" s="1544"/>
      <c r="D71" s="1544"/>
      <c r="E71" s="1544"/>
      <c r="F71" s="833">
        <f>F55+F49+F43+F37+F31+F28+F22+F16+F10+F61+F67</f>
        <v>28884.79</v>
      </c>
      <c r="G71" s="411" t="s">
        <v>13</v>
      </c>
      <c r="H71" s="336">
        <f>I71+J71+K71+L71+M71</f>
        <v>1111666</v>
      </c>
      <c r="I71" s="902">
        <f>I7+I13+I19+I25+I34+I40+I46+I52+I69+I58+I64</f>
        <v>828166</v>
      </c>
      <c r="J71" s="336">
        <f>J7+J13+J19+J25+J34+J40+J46+J52+J69+J58+J64</f>
        <v>283500</v>
      </c>
      <c r="K71" s="336">
        <f>K7+K13+K19+K25+K34+K40+K46+K52+K69+K58+K64</f>
        <v>0</v>
      </c>
      <c r="L71" s="336">
        <f>L7+L13+L19+L25+L34+L40+L46+L52+L69+L58+L64</f>
        <v>0</v>
      </c>
      <c r="M71" s="336">
        <f>M7+M13+M19+M25+M34+M40+M46+M52+M69+M58+M64</f>
        <v>0</v>
      </c>
      <c r="N71" s="1613"/>
      <c r="O71" s="1606"/>
      <c r="P71" s="1649"/>
      <c r="R71" s="1">
        <v>2018</v>
      </c>
      <c r="S71" s="310" t="e">
        <f>P6+P12+P18+1+P33+P39+P45+P51+P57+P63</f>
        <v>#VALUE!</v>
      </c>
      <c r="W71" s="1">
        <f>SUM(W5:W69)</f>
        <v>10</v>
      </c>
      <c r="X71" s="1">
        <f t="shared" ref="X71:AA71" si="25">SUM(X5:X69)</f>
        <v>1</v>
      </c>
      <c r="Y71" s="1">
        <f t="shared" si="25"/>
        <v>0</v>
      </c>
      <c r="Z71" s="1">
        <f t="shared" si="25"/>
        <v>0</v>
      </c>
      <c r="AA71" s="1">
        <f t="shared" si="25"/>
        <v>0</v>
      </c>
    </row>
    <row r="72" spans="1:27" s="1" customFormat="1" ht="49.5" customHeight="1" x14ac:dyDescent="0.3">
      <c r="A72" s="1544"/>
      <c r="B72" s="1544"/>
      <c r="C72" s="1544"/>
      <c r="D72" s="1544"/>
      <c r="E72" s="1544"/>
      <c r="F72" s="833">
        <f>F56+F50+F44+F38+F32+F29+F23+F17+F11+F62+F68</f>
        <v>8492.92</v>
      </c>
      <c r="G72" s="899" t="s">
        <v>34</v>
      </c>
      <c r="H72" s="336">
        <f>I72+J72+K72+L72+M72</f>
        <v>105442.24000000001</v>
      </c>
      <c r="I72" s="336">
        <f>I53+I47+I41+I35+I26+I20+I14+I8+I59+I65</f>
        <v>73942.240000000005</v>
      </c>
      <c r="J72" s="336">
        <f>J53+J47+J41+J35+J26+J20+J14+J8+J59+J65</f>
        <v>31500</v>
      </c>
      <c r="K72" s="336">
        <f>K53+K47+K41+K35+K26+K20+K14+K8+K59+K65</f>
        <v>0</v>
      </c>
      <c r="L72" s="336">
        <f>L53+L47+L41+L35+L26+L20+L14+L8+L59+L65</f>
        <v>0</v>
      </c>
      <c r="M72" s="336">
        <f>M53+M47+M41+M35+M26+M20+M14+M8+M59+M65</f>
        <v>0</v>
      </c>
      <c r="N72" s="1613"/>
      <c r="O72" s="1607"/>
      <c r="P72" s="1650"/>
      <c r="R72" s="1">
        <v>2019</v>
      </c>
      <c r="S72" s="1">
        <f>1</f>
        <v>1</v>
      </c>
      <c r="T72" s="1" t="s">
        <v>1161</v>
      </c>
    </row>
    <row r="73" spans="1:27" s="1" customFormat="1" ht="45" customHeight="1" x14ac:dyDescent="0.3">
      <c r="A73" s="1615" t="s">
        <v>169</v>
      </c>
      <c r="B73" s="1615"/>
      <c r="C73" s="1615"/>
      <c r="D73" s="1615"/>
      <c r="E73" s="1615"/>
      <c r="F73" s="1615"/>
      <c r="G73" s="1615"/>
      <c r="H73" s="1615"/>
      <c r="I73" s="1615"/>
      <c r="J73" s="1615"/>
      <c r="K73" s="1615"/>
      <c r="L73" s="1615"/>
      <c r="M73" s="1615"/>
      <c r="N73" s="1615"/>
      <c r="O73" s="1616"/>
      <c r="P73" s="1677" t="s">
        <v>1352</v>
      </c>
      <c r="Q73" s="1678"/>
      <c r="R73" s="1">
        <v>2020</v>
      </c>
      <c r="S73" s="310" t="e">
        <f>#REF!+#REF!+#REF!+#REF!</f>
        <v>#REF!</v>
      </c>
    </row>
    <row r="74" spans="1:27" s="1" customFormat="1" ht="27.75" customHeight="1" x14ac:dyDescent="0.3">
      <c r="A74" s="345"/>
      <c r="B74" s="345"/>
      <c r="C74" s="345"/>
      <c r="D74" s="345"/>
      <c r="E74" s="345"/>
      <c r="F74" s="345"/>
      <c r="G74" s="345"/>
      <c r="H74" s="345"/>
      <c r="I74" s="345"/>
      <c r="J74" s="345"/>
      <c r="K74" s="345"/>
      <c r="L74" s="345"/>
      <c r="M74" s="345"/>
      <c r="N74" s="345"/>
      <c r="O74" s="345"/>
      <c r="P74" s="209"/>
      <c r="S74" s="310"/>
    </row>
    <row r="75" spans="1:27" s="1" customFormat="1" ht="99" customHeight="1" x14ac:dyDescent="0.3">
      <c r="A75" s="1617" t="s">
        <v>1646</v>
      </c>
      <c r="B75" s="1617"/>
      <c r="C75" s="1617"/>
      <c r="D75" s="1617"/>
      <c r="E75" s="1617"/>
      <c r="F75" s="1617"/>
      <c r="G75" s="1617"/>
      <c r="H75" s="1617"/>
      <c r="I75" s="1617"/>
      <c r="J75" s="1617"/>
      <c r="K75" s="1617"/>
      <c r="L75" s="1617"/>
      <c r="M75" s="1617"/>
      <c r="N75" s="1617"/>
      <c r="O75" s="1618"/>
      <c r="P75" s="209"/>
      <c r="W75" s="1">
        <v>2018</v>
      </c>
      <c r="X75" s="1">
        <v>2019</v>
      </c>
      <c r="Y75" s="1">
        <v>2020</v>
      </c>
      <c r="Z75" s="1">
        <v>2021</v>
      </c>
      <c r="AA75" s="1">
        <v>2022</v>
      </c>
    </row>
    <row r="76" spans="1:27" s="1" customFormat="1" ht="28.5" hidden="1" customHeight="1" x14ac:dyDescent="0.3">
      <c r="A76" s="1680"/>
      <c r="B76" s="1680"/>
      <c r="C76" s="1680"/>
      <c r="D76" s="1680"/>
      <c r="E76" s="1680"/>
      <c r="F76" s="1680"/>
      <c r="G76" s="1680"/>
      <c r="H76" s="1680"/>
      <c r="I76" s="1680"/>
      <c r="J76" s="1680"/>
      <c r="K76" s="1680"/>
      <c r="L76" s="1680"/>
      <c r="M76" s="1680"/>
      <c r="N76" s="1680"/>
      <c r="O76" s="346"/>
      <c r="P76" s="212"/>
      <c r="Q76" s="29"/>
    </row>
    <row r="77" spans="1:27" s="1" customFormat="1" ht="48.75" hidden="1" customHeight="1" x14ac:dyDescent="0.3">
      <c r="A77" s="1680"/>
      <c r="B77" s="1680"/>
      <c r="C77" s="1680"/>
      <c r="D77" s="1680"/>
      <c r="E77" s="1680"/>
      <c r="F77" s="1680"/>
      <c r="G77" s="1680"/>
      <c r="H77" s="1680"/>
      <c r="I77" s="1680"/>
      <c r="J77" s="1680"/>
      <c r="K77" s="1680"/>
      <c r="L77" s="1680"/>
      <c r="M77" s="1680"/>
      <c r="N77" s="1680"/>
      <c r="O77" s="346"/>
      <c r="P77" s="212"/>
      <c r="Q77" s="29"/>
      <c r="W77" s="276"/>
      <c r="X77" s="276"/>
      <c r="Y77" s="276"/>
      <c r="Z77" s="276"/>
      <c r="AA77" s="276"/>
    </row>
    <row r="78" spans="1:27" s="1" customFormat="1" ht="23.25" customHeight="1" x14ac:dyDescent="0.3">
      <c r="A78" s="1641" t="s">
        <v>46</v>
      </c>
      <c r="B78" s="1601" t="s">
        <v>55</v>
      </c>
      <c r="C78" s="1601" t="s">
        <v>939</v>
      </c>
      <c r="D78" s="1601" t="s">
        <v>1435</v>
      </c>
      <c r="E78" s="1601" t="s">
        <v>52</v>
      </c>
      <c r="F78" s="1601" t="s">
        <v>545</v>
      </c>
      <c r="G78" s="1541" t="s">
        <v>59</v>
      </c>
      <c r="H78" s="1603" t="s">
        <v>106</v>
      </c>
      <c r="I78" s="1603"/>
      <c r="J78" s="1603"/>
      <c r="K78" s="1603"/>
      <c r="L78" s="1603"/>
      <c r="M78" s="1603"/>
      <c r="N78" s="1679" t="s">
        <v>50</v>
      </c>
      <c r="O78" s="1664" t="s">
        <v>820</v>
      </c>
      <c r="P78" s="79"/>
    </row>
    <row r="79" spans="1:27" s="1" customFormat="1" ht="72" customHeight="1" x14ac:dyDescent="0.4">
      <c r="A79" s="1641"/>
      <c r="B79" s="1601"/>
      <c r="C79" s="1601"/>
      <c r="D79" s="1601"/>
      <c r="E79" s="1601"/>
      <c r="F79" s="1601"/>
      <c r="G79" s="1541"/>
      <c r="H79" s="339" t="s">
        <v>33</v>
      </c>
      <c r="I79" s="339" t="s">
        <v>4</v>
      </c>
      <c r="J79" s="339" t="s">
        <v>91</v>
      </c>
      <c r="K79" s="339" t="s">
        <v>90</v>
      </c>
      <c r="L79" s="339" t="s">
        <v>89</v>
      </c>
      <c r="M79" s="339" t="s">
        <v>221</v>
      </c>
      <c r="N79" s="1679"/>
      <c r="O79" s="1665"/>
      <c r="P79" s="425" t="s">
        <v>1354</v>
      </c>
    </row>
    <row r="80" spans="1:27" s="11" customFormat="1" ht="20.25" customHeight="1" x14ac:dyDescent="0.3">
      <c r="A80" s="90">
        <v>1</v>
      </c>
      <c r="B80" s="154">
        <v>2</v>
      </c>
      <c r="C80" s="154">
        <v>3</v>
      </c>
      <c r="D80" s="154">
        <v>4</v>
      </c>
      <c r="E80" s="154">
        <v>5</v>
      </c>
      <c r="F80" s="154">
        <v>6</v>
      </c>
      <c r="G80" s="154">
        <v>7</v>
      </c>
      <c r="H80" s="154">
        <v>8</v>
      </c>
      <c r="I80" s="154">
        <v>9</v>
      </c>
      <c r="J80" s="154">
        <v>10</v>
      </c>
      <c r="K80" s="154">
        <v>11</v>
      </c>
      <c r="L80" s="154">
        <v>12</v>
      </c>
      <c r="M80" s="154">
        <v>13</v>
      </c>
      <c r="N80" s="216">
        <v>14</v>
      </c>
      <c r="O80" s="155">
        <v>15</v>
      </c>
      <c r="P80" s="210"/>
      <c r="W80" s="1"/>
      <c r="X80" s="1"/>
      <c r="Y80" s="1"/>
      <c r="Z80" s="1"/>
      <c r="AA80" s="1"/>
    </row>
    <row r="81" spans="1:23" s="1" customFormat="1" ht="16.5" customHeight="1" x14ac:dyDescent="0.3">
      <c r="A81" s="1641" t="s">
        <v>115</v>
      </c>
      <c r="B81" s="1541" t="s">
        <v>306</v>
      </c>
      <c r="C81" s="1541"/>
      <c r="D81" s="1541"/>
      <c r="E81" s="1541"/>
      <c r="F81" s="1541"/>
      <c r="G81" s="332" t="s">
        <v>12</v>
      </c>
      <c r="H81" s="338">
        <f>H82+H83</f>
        <v>29490</v>
      </c>
      <c r="I81" s="338">
        <f t="shared" ref="I81:M81" si="26">I82+I83</f>
        <v>29490</v>
      </c>
      <c r="J81" s="338">
        <f t="shared" si="26"/>
        <v>0</v>
      </c>
      <c r="K81" s="338">
        <f t="shared" si="26"/>
        <v>0</v>
      </c>
      <c r="L81" s="338">
        <f t="shared" si="26"/>
        <v>0</v>
      </c>
      <c r="M81" s="338">
        <f t="shared" si="26"/>
        <v>0</v>
      </c>
      <c r="N81" s="1679"/>
      <c r="O81" s="1605"/>
      <c r="P81" s="1681">
        <v>4</v>
      </c>
    </row>
    <row r="82" spans="1:23" s="1" customFormat="1" ht="28.5" customHeight="1" x14ac:dyDescent="0.3">
      <c r="A82" s="1641"/>
      <c r="B82" s="1541"/>
      <c r="C82" s="1541"/>
      <c r="D82" s="1541"/>
      <c r="E82" s="1541"/>
      <c r="F82" s="1541"/>
      <c r="G82" s="332" t="s">
        <v>13</v>
      </c>
      <c r="H82" s="338">
        <f>I82+J82+K82+L82+M82</f>
        <v>28015.5</v>
      </c>
      <c r="I82" s="338">
        <f>I85+I88+I91+I94</f>
        <v>28015.5</v>
      </c>
      <c r="J82" s="338">
        <f t="shared" ref="J82:M83" si="27">J85+J88+J91+J94</f>
        <v>0</v>
      </c>
      <c r="K82" s="338">
        <f t="shared" si="27"/>
        <v>0</v>
      </c>
      <c r="L82" s="338">
        <f t="shared" si="27"/>
        <v>0</v>
      </c>
      <c r="M82" s="338">
        <f t="shared" si="27"/>
        <v>0</v>
      </c>
      <c r="N82" s="1679"/>
      <c r="O82" s="1606"/>
      <c r="P82" s="1681"/>
      <c r="R82" s="1" t="s">
        <v>1162</v>
      </c>
    </row>
    <row r="83" spans="1:23" s="1" customFormat="1" ht="48" customHeight="1" x14ac:dyDescent="0.3">
      <c r="A83" s="1641"/>
      <c r="B83" s="1541"/>
      <c r="C83" s="1541"/>
      <c r="D83" s="1541"/>
      <c r="E83" s="1541"/>
      <c r="F83" s="1541"/>
      <c r="G83" s="332" t="s">
        <v>3</v>
      </c>
      <c r="H83" s="338">
        <f>I83+J83+K83+L83+M83</f>
        <v>1474.5</v>
      </c>
      <c r="I83" s="338">
        <f>I86+I89+I92+I95</f>
        <v>1474.5</v>
      </c>
      <c r="J83" s="338">
        <f t="shared" si="27"/>
        <v>0</v>
      </c>
      <c r="K83" s="338">
        <f t="shared" si="27"/>
        <v>0</v>
      </c>
      <c r="L83" s="338">
        <f t="shared" si="27"/>
        <v>0</v>
      </c>
      <c r="M83" s="338">
        <f t="shared" si="27"/>
        <v>0</v>
      </c>
      <c r="N83" s="1679"/>
      <c r="O83" s="1607"/>
      <c r="P83" s="1681"/>
    </row>
    <row r="84" spans="1:23" s="1" customFormat="1" ht="15.75" customHeight="1" x14ac:dyDescent="0.3">
      <c r="A84" s="1682" t="s">
        <v>113</v>
      </c>
      <c r="B84" s="1541" t="s">
        <v>265</v>
      </c>
      <c r="C84" s="1601">
        <v>2018</v>
      </c>
      <c r="D84" s="1602"/>
      <c r="E84" s="1603">
        <f>H84</f>
        <v>9990</v>
      </c>
      <c r="F84" s="338">
        <f>F85+F86</f>
        <v>0</v>
      </c>
      <c r="G84" s="332" t="s">
        <v>12</v>
      </c>
      <c r="H84" s="338">
        <f>H85+H86</f>
        <v>9990</v>
      </c>
      <c r="I84" s="338">
        <f>I85+I86</f>
        <v>9990</v>
      </c>
      <c r="J84" s="338">
        <f t="shared" ref="J84:M84" si="28">J85+J86</f>
        <v>0</v>
      </c>
      <c r="K84" s="338">
        <f t="shared" si="28"/>
        <v>0</v>
      </c>
      <c r="L84" s="338">
        <f t="shared" si="28"/>
        <v>0</v>
      </c>
      <c r="M84" s="338">
        <f t="shared" si="28"/>
        <v>0</v>
      </c>
      <c r="N84" s="1604"/>
      <c r="O84" s="1605" t="s">
        <v>16</v>
      </c>
      <c r="P84" s="1683"/>
    </row>
    <row r="85" spans="1:23" s="1" customFormat="1" ht="24.75" customHeight="1" x14ac:dyDescent="0.3">
      <c r="A85" s="1682"/>
      <c r="B85" s="1541"/>
      <c r="C85" s="1601"/>
      <c r="D85" s="1602"/>
      <c r="E85" s="1603"/>
      <c r="F85" s="338">
        <v>0</v>
      </c>
      <c r="G85" s="332" t="s">
        <v>13</v>
      </c>
      <c r="H85" s="338">
        <f>I85+J85+K85+L85+M85</f>
        <v>9490.5</v>
      </c>
      <c r="I85" s="338">
        <v>9490.5</v>
      </c>
      <c r="J85" s="156"/>
      <c r="K85" s="156"/>
      <c r="L85" s="156"/>
      <c r="M85" s="156"/>
      <c r="N85" s="1604"/>
      <c r="O85" s="1606"/>
      <c r="P85" s="1683"/>
      <c r="W85" s="1">
        <v>1</v>
      </c>
    </row>
    <row r="86" spans="1:23" s="1" customFormat="1" ht="46.5" customHeight="1" x14ac:dyDescent="0.3">
      <c r="A86" s="1682"/>
      <c r="B86" s="1541"/>
      <c r="C86" s="1601"/>
      <c r="D86" s="1602"/>
      <c r="E86" s="1603"/>
      <c r="F86" s="338">
        <v>0</v>
      </c>
      <c r="G86" s="332" t="s">
        <v>3</v>
      </c>
      <c r="H86" s="338">
        <f>I86+J86+K86+L86+M86</f>
        <v>499.5</v>
      </c>
      <c r="I86" s="338">
        <v>499.5</v>
      </c>
      <c r="J86" s="156"/>
      <c r="K86" s="156"/>
      <c r="L86" s="156"/>
      <c r="M86" s="156"/>
      <c r="N86" s="1604"/>
      <c r="O86" s="1607"/>
      <c r="P86" s="1683"/>
    </row>
    <row r="87" spans="1:23" s="1" customFormat="1" ht="15" customHeight="1" x14ac:dyDescent="0.3">
      <c r="A87" s="1682" t="s">
        <v>114</v>
      </c>
      <c r="B87" s="1541" t="s">
        <v>266</v>
      </c>
      <c r="C87" s="1601">
        <v>2018</v>
      </c>
      <c r="D87" s="1602"/>
      <c r="E87" s="1603">
        <f>H87</f>
        <v>6500</v>
      </c>
      <c r="F87" s="1132">
        <f>F88+F89</f>
        <v>0</v>
      </c>
      <c r="G87" s="332" t="s">
        <v>12</v>
      </c>
      <c r="H87" s="338">
        <f>H88+H89</f>
        <v>6500</v>
      </c>
      <c r="I87" s="338">
        <f>I88+I89</f>
        <v>6500</v>
      </c>
      <c r="J87" s="338">
        <f t="shared" ref="J87:M87" si="29">J88+J89</f>
        <v>0</v>
      </c>
      <c r="K87" s="338">
        <f t="shared" si="29"/>
        <v>0</v>
      </c>
      <c r="L87" s="338">
        <f t="shared" si="29"/>
        <v>0</v>
      </c>
      <c r="M87" s="338">
        <f t="shared" si="29"/>
        <v>0</v>
      </c>
      <c r="N87" s="1604"/>
      <c r="O87" s="1605" t="s">
        <v>16</v>
      </c>
      <c r="P87" s="1683"/>
    </row>
    <row r="88" spans="1:23" s="1" customFormat="1" ht="28.5" customHeight="1" x14ac:dyDescent="0.3">
      <c r="A88" s="1682"/>
      <c r="B88" s="1541"/>
      <c r="C88" s="1601"/>
      <c r="D88" s="1602"/>
      <c r="E88" s="1603"/>
      <c r="F88" s="1132">
        <v>0</v>
      </c>
      <c r="G88" s="332" t="s">
        <v>13</v>
      </c>
      <c r="H88" s="338">
        <f>I88+J88+K88+L88+M88</f>
        <v>6175</v>
      </c>
      <c r="I88" s="338">
        <v>6175</v>
      </c>
      <c r="J88" s="156"/>
      <c r="K88" s="156"/>
      <c r="L88" s="156"/>
      <c r="M88" s="156"/>
      <c r="N88" s="1604"/>
      <c r="O88" s="1606"/>
      <c r="P88" s="1683"/>
      <c r="W88" s="1">
        <v>1</v>
      </c>
    </row>
    <row r="89" spans="1:23" s="1" customFormat="1" ht="48.75" customHeight="1" x14ac:dyDescent="0.3">
      <c r="A89" s="1682"/>
      <c r="B89" s="1541"/>
      <c r="C89" s="1601"/>
      <c r="D89" s="1602"/>
      <c r="E89" s="1603"/>
      <c r="F89" s="1132">
        <v>0</v>
      </c>
      <c r="G89" s="332" t="s">
        <v>3</v>
      </c>
      <c r="H89" s="338">
        <f>I89+J89+K89+L89+M89</f>
        <v>325</v>
      </c>
      <c r="I89" s="338">
        <v>325</v>
      </c>
      <c r="J89" s="156"/>
      <c r="K89" s="156"/>
      <c r="L89" s="156"/>
      <c r="M89" s="156"/>
      <c r="N89" s="1604"/>
      <c r="O89" s="1607"/>
      <c r="P89" s="1683"/>
    </row>
    <row r="90" spans="1:23" s="1" customFormat="1" ht="15" customHeight="1" x14ac:dyDescent="0.3">
      <c r="A90" s="1682" t="s">
        <v>66</v>
      </c>
      <c r="B90" s="1541" t="s">
        <v>267</v>
      </c>
      <c r="C90" s="1601">
        <v>2018</v>
      </c>
      <c r="D90" s="1602"/>
      <c r="E90" s="1603">
        <f>H90</f>
        <v>6500</v>
      </c>
      <c r="F90" s="1132">
        <f>F91+F92</f>
        <v>0</v>
      </c>
      <c r="G90" s="332" t="s">
        <v>12</v>
      </c>
      <c r="H90" s="338">
        <f>H91+H92</f>
        <v>6500</v>
      </c>
      <c r="I90" s="338">
        <f>I91+I92</f>
        <v>6500</v>
      </c>
      <c r="J90" s="338">
        <f t="shared" ref="J90:M90" si="30">J91+J92</f>
        <v>0</v>
      </c>
      <c r="K90" s="338">
        <f t="shared" si="30"/>
        <v>0</v>
      </c>
      <c r="L90" s="338">
        <f t="shared" si="30"/>
        <v>0</v>
      </c>
      <c r="M90" s="338">
        <f t="shared" si="30"/>
        <v>0</v>
      </c>
      <c r="N90" s="1604"/>
      <c r="O90" s="1605" t="s">
        <v>16</v>
      </c>
      <c r="P90" s="1683"/>
    </row>
    <row r="91" spans="1:23" s="1" customFormat="1" ht="30.6" customHeight="1" x14ac:dyDescent="0.3">
      <c r="A91" s="1682"/>
      <c r="B91" s="1541"/>
      <c r="C91" s="1601"/>
      <c r="D91" s="1602"/>
      <c r="E91" s="1603"/>
      <c r="F91" s="1132">
        <v>0</v>
      </c>
      <c r="G91" s="332" t="s">
        <v>13</v>
      </c>
      <c r="H91" s="338">
        <f>I91+J91+K91+L91+M91</f>
        <v>6175</v>
      </c>
      <c r="I91" s="338">
        <v>6175</v>
      </c>
      <c r="J91" s="156"/>
      <c r="K91" s="156"/>
      <c r="L91" s="156"/>
      <c r="M91" s="156"/>
      <c r="N91" s="1604"/>
      <c r="O91" s="1606"/>
      <c r="P91" s="1683"/>
      <c r="W91" s="1">
        <v>1</v>
      </c>
    </row>
    <row r="92" spans="1:23" s="1" customFormat="1" ht="25.5" customHeight="1" x14ac:dyDescent="0.3">
      <c r="A92" s="1682"/>
      <c r="B92" s="1541"/>
      <c r="C92" s="1601"/>
      <c r="D92" s="1602"/>
      <c r="E92" s="1603"/>
      <c r="F92" s="1132">
        <v>0</v>
      </c>
      <c r="G92" s="332" t="s">
        <v>3</v>
      </c>
      <c r="H92" s="338">
        <f>I92+J92+K92+L92+M92</f>
        <v>325</v>
      </c>
      <c r="I92" s="338">
        <v>325</v>
      </c>
      <c r="J92" s="156"/>
      <c r="K92" s="156"/>
      <c r="L92" s="156"/>
      <c r="M92" s="156"/>
      <c r="N92" s="1604"/>
      <c r="O92" s="1607"/>
      <c r="P92" s="1683"/>
    </row>
    <row r="93" spans="1:23" s="1" customFormat="1" ht="14.25" customHeight="1" x14ac:dyDescent="0.3">
      <c r="A93" s="1682" t="s">
        <v>99</v>
      </c>
      <c r="B93" s="1541" t="s">
        <v>601</v>
      </c>
      <c r="C93" s="1601">
        <v>2018</v>
      </c>
      <c r="D93" s="1602"/>
      <c r="E93" s="1603">
        <f>H93</f>
        <v>6500</v>
      </c>
      <c r="F93" s="1132">
        <f>F94+F95</f>
        <v>0</v>
      </c>
      <c r="G93" s="332" t="s">
        <v>12</v>
      </c>
      <c r="H93" s="338">
        <f>H94+H95</f>
        <v>6500</v>
      </c>
      <c r="I93" s="338">
        <f>I94+I95</f>
        <v>6500</v>
      </c>
      <c r="J93" s="338">
        <f t="shared" ref="J93:M93" si="31">J94+J95</f>
        <v>0</v>
      </c>
      <c r="K93" s="338">
        <f t="shared" si="31"/>
        <v>0</v>
      </c>
      <c r="L93" s="338">
        <f t="shared" si="31"/>
        <v>0</v>
      </c>
      <c r="M93" s="338">
        <f t="shared" si="31"/>
        <v>0</v>
      </c>
      <c r="N93" s="1604"/>
      <c r="O93" s="1605" t="s">
        <v>16</v>
      </c>
      <c r="P93" s="1683"/>
    </row>
    <row r="94" spans="1:23" s="1" customFormat="1" ht="28.5" customHeight="1" x14ac:dyDescent="0.3">
      <c r="A94" s="1682"/>
      <c r="B94" s="1541"/>
      <c r="C94" s="1601"/>
      <c r="D94" s="1602"/>
      <c r="E94" s="1603"/>
      <c r="F94" s="1132">
        <v>0</v>
      </c>
      <c r="G94" s="332" t="s">
        <v>13</v>
      </c>
      <c r="H94" s="338">
        <f>I94+J94+K94+L94+M94</f>
        <v>6175</v>
      </c>
      <c r="I94" s="338">
        <v>6175</v>
      </c>
      <c r="J94" s="156"/>
      <c r="K94" s="156"/>
      <c r="L94" s="156"/>
      <c r="M94" s="156"/>
      <c r="N94" s="1604"/>
      <c r="O94" s="1606"/>
      <c r="P94" s="1683"/>
      <c r="W94" s="1">
        <v>1</v>
      </c>
    </row>
    <row r="95" spans="1:23" s="1" customFormat="1" ht="48" customHeight="1" x14ac:dyDescent="0.3">
      <c r="A95" s="1682"/>
      <c r="B95" s="1541"/>
      <c r="C95" s="1601"/>
      <c r="D95" s="1602"/>
      <c r="E95" s="1603"/>
      <c r="F95" s="1132">
        <v>0</v>
      </c>
      <c r="G95" s="332" t="s">
        <v>3</v>
      </c>
      <c r="H95" s="338">
        <f>I95+J95+K95+L95+M95</f>
        <v>325</v>
      </c>
      <c r="I95" s="338">
        <v>325</v>
      </c>
      <c r="J95" s="156"/>
      <c r="K95" s="156"/>
      <c r="L95" s="156"/>
      <c r="M95" s="156"/>
      <c r="N95" s="1604"/>
      <c r="O95" s="1607"/>
      <c r="P95" s="1683"/>
    </row>
    <row r="96" spans="1:23" s="1" customFormat="1" ht="13.5" customHeight="1" x14ac:dyDescent="0.3">
      <c r="A96" s="1641" t="s">
        <v>116</v>
      </c>
      <c r="B96" s="1541" t="s">
        <v>307</v>
      </c>
      <c r="C96" s="1541"/>
      <c r="D96" s="1541"/>
      <c r="E96" s="1541"/>
      <c r="F96" s="1541"/>
      <c r="G96" s="332" t="s">
        <v>12</v>
      </c>
      <c r="H96" s="338">
        <f>H97+H98</f>
        <v>70590</v>
      </c>
      <c r="I96" s="338">
        <f>I97+I98</f>
        <v>45800</v>
      </c>
      <c r="J96" s="338">
        <f>J97+J98</f>
        <v>24790</v>
      </c>
      <c r="K96" s="338">
        <f t="shared" ref="K96:M96" si="32">K97+K98</f>
        <v>0</v>
      </c>
      <c r="L96" s="338">
        <f t="shared" si="32"/>
        <v>0</v>
      </c>
      <c r="M96" s="338">
        <f t="shared" si="32"/>
        <v>0</v>
      </c>
      <c r="N96" s="1679"/>
      <c r="O96" s="1605"/>
      <c r="P96" s="1681">
        <v>5</v>
      </c>
    </row>
    <row r="97" spans="1:24" s="1" customFormat="1" ht="30.6" customHeight="1" x14ac:dyDescent="0.3">
      <c r="A97" s="1641"/>
      <c r="B97" s="1541"/>
      <c r="C97" s="1541"/>
      <c r="D97" s="1541"/>
      <c r="E97" s="1541"/>
      <c r="F97" s="1541"/>
      <c r="G97" s="332" t="s">
        <v>13</v>
      </c>
      <c r="H97" s="338">
        <f>I97+J97+K97+L97+M97</f>
        <v>52942.5</v>
      </c>
      <c r="I97" s="338">
        <f>I100+I103+I106+I109+I112</f>
        <v>34350</v>
      </c>
      <c r="J97" s="338">
        <f>J100+J103+J106+J109</f>
        <v>18592.5</v>
      </c>
      <c r="K97" s="338">
        <f t="shared" ref="K97:M97" si="33">K100+K103+K106+K109</f>
        <v>0</v>
      </c>
      <c r="L97" s="338">
        <f t="shared" si="33"/>
        <v>0</v>
      </c>
      <c r="M97" s="338">
        <f t="shared" si="33"/>
        <v>0</v>
      </c>
      <c r="N97" s="1679"/>
      <c r="O97" s="1606"/>
      <c r="P97" s="1681"/>
      <c r="R97" s="1" t="s">
        <v>1163</v>
      </c>
    </row>
    <row r="98" spans="1:24" s="1" customFormat="1" ht="55.5" customHeight="1" x14ac:dyDescent="0.3">
      <c r="A98" s="1641"/>
      <c r="B98" s="1541"/>
      <c r="C98" s="1541"/>
      <c r="D98" s="1541"/>
      <c r="E98" s="1541"/>
      <c r="F98" s="1541"/>
      <c r="G98" s="332" t="s">
        <v>3</v>
      </c>
      <c r="H98" s="338">
        <f>I98+J98+K98+L98+M98</f>
        <v>17647.5</v>
      </c>
      <c r="I98" s="338">
        <f>I101+I104+I107+I110+I113</f>
        <v>11450</v>
      </c>
      <c r="J98" s="338">
        <f t="shared" ref="J98:M98" si="34">J101+J104+J107+J110</f>
        <v>6197.5</v>
      </c>
      <c r="K98" s="338">
        <f t="shared" si="34"/>
        <v>0</v>
      </c>
      <c r="L98" s="338">
        <f t="shared" si="34"/>
        <v>0</v>
      </c>
      <c r="M98" s="338">
        <f t="shared" si="34"/>
        <v>0</v>
      </c>
      <c r="N98" s="1679"/>
      <c r="O98" s="1607"/>
      <c r="P98" s="1681"/>
      <c r="R98" s="414" t="s">
        <v>1164</v>
      </c>
    </row>
    <row r="99" spans="1:24" s="1" customFormat="1" ht="18.75" customHeight="1" x14ac:dyDescent="0.3">
      <c r="A99" s="1682" t="s">
        <v>117</v>
      </c>
      <c r="B99" s="1541" t="s">
        <v>597</v>
      </c>
      <c r="C99" s="1601">
        <v>2019</v>
      </c>
      <c r="D99" s="1602"/>
      <c r="E99" s="1603">
        <f>H99</f>
        <v>3500</v>
      </c>
      <c r="F99" s="415">
        <v>0</v>
      </c>
      <c r="G99" s="332" t="s">
        <v>12</v>
      </c>
      <c r="H99" s="338">
        <f>H100+H101</f>
        <v>3500</v>
      </c>
      <c r="I99" s="338">
        <f>I100+I101</f>
        <v>0</v>
      </c>
      <c r="J99" s="338">
        <f>J100+J101</f>
        <v>3500</v>
      </c>
      <c r="K99" s="338">
        <f t="shared" ref="K99:M99" si="35">K100+K101</f>
        <v>0</v>
      </c>
      <c r="L99" s="338">
        <f t="shared" si="35"/>
        <v>0</v>
      </c>
      <c r="M99" s="338">
        <f t="shared" si="35"/>
        <v>0</v>
      </c>
      <c r="N99" s="1604"/>
      <c r="O99" s="1605" t="s">
        <v>16</v>
      </c>
      <c r="P99" s="1683"/>
    </row>
    <row r="100" spans="1:24" s="1" customFormat="1" ht="28.5" customHeight="1" x14ac:dyDescent="0.3">
      <c r="A100" s="1682"/>
      <c r="B100" s="1541"/>
      <c r="C100" s="1601"/>
      <c r="D100" s="1602"/>
      <c r="E100" s="1603"/>
      <c r="F100" s="415">
        <v>0</v>
      </c>
      <c r="G100" s="332" t="s">
        <v>13</v>
      </c>
      <c r="H100" s="338">
        <f>I100+J100+K100+L100+M100</f>
        <v>2625</v>
      </c>
      <c r="I100" s="338">
        <v>0</v>
      </c>
      <c r="J100" s="338">
        <v>2625</v>
      </c>
      <c r="K100" s="156"/>
      <c r="L100" s="156"/>
      <c r="M100" s="156"/>
      <c r="N100" s="1604"/>
      <c r="O100" s="1606"/>
      <c r="P100" s="1683"/>
      <c r="R100" s="1" t="s">
        <v>1147</v>
      </c>
      <c r="X100" s="1">
        <v>1</v>
      </c>
    </row>
    <row r="101" spans="1:24" s="1" customFormat="1" ht="45.75" customHeight="1" x14ac:dyDescent="0.3">
      <c r="A101" s="1682"/>
      <c r="B101" s="1541"/>
      <c r="C101" s="1601"/>
      <c r="D101" s="1602"/>
      <c r="E101" s="1603"/>
      <c r="F101" s="415">
        <v>0</v>
      </c>
      <c r="G101" s="332" t="s">
        <v>3</v>
      </c>
      <c r="H101" s="338">
        <f>I101+J101+K101+L101+M101</f>
        <v>875</v>
      </c>
      <c r="I101" s="338">
        <v>0</v>
      </c>
      <c r="J101" s="338">
        <v>875</v>
      </c>
      <c r="K101" s="156"/>
      <c r="L101" s="156"/>
      <c r="M101" s="156"/>
      <c r="N101" s="1604"/>
      <c r="O101" s="1607"/>
      <c r="P101" s="1683"/>
    </row>
    <row r="102" spans="1:24" s="1" customFormat="1" ht="14.25" customHeight="1" x14ac:dyDescent="0.3">
      <c r="A102" s="1682" t="s">
        <v>118</v>
      </c>
      <c r="B102" s="1541" t="s">
        <v>598</v>
      </c>
      <c r="C102" s="1601">
        <v>2019</v>
      </c>
      <c r="D102" s="1602"/>
      <c r="E102" s="1603">
        <f>H102</f>
        <v>9990</v>
      </c>
      <c r="F102" s="415">
        <v>0</v>
      </c>
      <c r="G102" s="332" t="s">
        <v>12</v>
      </c>
      <c r="H102" s="338">
        <f>H103+H104</f>
        <v>9990</v>
      </c>
      <c r="I102" s="338">
        <f>I103+I104</f>
        <v>0</v>
      </c>
      <c r="J102" s="338">
        <f>J103+J104</f>
        <v>9990</v>
      </c>
      <c r="K102" s="338">
        <f t="shared" ref="K102:M102" si="36">K103+K104</f>
        <v>0</v>
      </c>
      <c r="L102" s="338">
        <f t="shared" si="36"/>
        <v>0</v>
      </c>
      <c r="M102" s="338">
        <f t="shared" si="36"/>
        <v>0</v>
      </c>
      <c r="N102" s="1604"/>
      <c r="O102" s="1605" t="s">
        <v>16</v>
      </c>
      <c r="P102" s="1683"/>
      <c r="R102" s="1" t="s">
        <v>1147</v>
      </c>
    </row>
    <row r="103" spans="1:24" s="1" customFormat="1" ht="28.5" customHeight="1" x14ac:dyDescent="0.3">
      <c r="A103" s="1682"/>
      <c r="B103" s="1541"/>
      <c r="C103" s="1601"/>
      <c r="D103" s="1602"/>
      <c r="E103" s="1603"/>
      <c r="F103" s="415">
        <v>0</v>
      </c>
      <c r="G103" s="332" t="s">
        <v>13</v>
      </c>
      <c r="H103" s="338">
        <f>I103+J103+K103+L103+M103</f>
        <v>7492.5</v>
      </c>
      <c r="I103" s="338">
        <v>0</v>
      </c>
      <c r="J103" s="338">
        <v>7492.5</v>
      </c>
      <c r="K103" s="156"/>
      <c r="L103" s="156"/>
      <c r="M103" s="156"/>
      <c r="N103" s="1604"/>
      <c r="O103" s="1606"/>
      <c r="P103" s="1683"/>
      <c r="X103" s="1">
        <v>1</v>
      </c>
    </row>
    <row r="104" spans="1:24" s="1" customFormat="1" ht="48.75" customHeight="1" x14ac:dyDescent="0.3">
      <c r="A104" s="1682"/>
      <c r="B104" s="1541"/>
      <c r="C104" s="1601"/>
      <c r="D104" s="1602"/>
      <c r="E104" s="1603"/>
      <c r="F104" s="415">
        <v>0</v>
      </c>
      <c r="G104" s="332" t="s">
        <v>3</v>
      </c>
      <c r="H104" s="338">
        <f>I104+J104+K104+L104+M104</f>
        <v>2497.5</v>
      </c>
      <c r="I104" s="338">
        <v>0</v>
      </c>
      <c r="J104" s="338">
        <v>2497.5</v>
      </c>
      <c r="K104" s="156"/>
      <c r="L104" s="156"/>
      <c r="M104" s="156"/>
      <c r="N104" s="1604"/>
      <c r="O104" s="1607"/>
      <c r="P104" s="1683"/>
    </row>
    <row r="105" spans="1:24" s="1" customFormat="1" ht="18.75" customHeight="1" x14ac:dyDescent="0.3">
      <c r="A105" s="1682" t="s">
        <v>574</v>
      </c>
      <c r="B105" s="1541" t="s">
        <v>599</v>
      </c>
      <c r="C105" s="1601">
        <v>2019</v>
      </c>
      <c r="D105" s="1602"/>
      <c r="E105" s="1603">
        <f>H105</f>
        <v>4800</v>
      </c>
      <c r="F105" s="415">
        <v>0</v>
      </c>
      <c r="G105" s="332" t="s">
        <v>12</v>
      </c>
      <c r="H105" s="338">
        <f>H106+H107</f>
        <v>4800</v>
      </c>
      <c r="I105" s="338">
        <f>I106+I107</f>
        <v>0</v>
      </c>
      <c r="J105" s="338">
        <f>J106+J107</f>
        <v>4800</v>
      </c>
      <c r="K105" s="338">
        <f t="shared" ref="K105:M105" si="37">K106+K107</f>
        <v>0</v>
      </c>
      <c r="L105" s="338">
        <f t="shared" si="37"/>
        <v>0</v>
      </c>
      <c r="M105" s="338">
        <f t="shared" si="37"/>
        <v>0</v>
      </c>
      <c r="N105" s="1604"/>
      <c r="O105" s="1605" t="s">
        <v>16</v>
      </c>
      <c r="P105" s="1683"/>
      <c r="R105" s="1" t="s">
        <v>1147</v>
      </c>
    </row>
    <row r="106" spans="1:24" s="1" customFormat="1" ht="28.5" customHeight="1" x14ac:dyDescent="0.3">
      <c r="A106" s="1682"/>
      <c r="B106" s="1541"/>
      <c r="C106" s="1601"/>
      <c r="D106" s="1602"/>
      <c r="E106" s="1603"/>
      <c r="F106" s="415">
        <v>0</v>
      </c>
      <c r="G106" s="332" t="s">
        <v>13</v>
      </c>
      <c r="H106" s="338">
        <f>I106+J106+K106+L106+M106</f>
        <v>3600</v>
      </c>
      <c r="I106" s="338">
        <v>0</v>
      </c>
      <c r="J106" s="338">
        <v>3600</v>
      </c>
      <c r="K106" s="156"/>
      <c r="L106" s="156"/>
      <c r="M106" s="156"/>
      <c r="N106" s="1604"/>
      <c r="O106" s="1606"/>
      <c r="P106" s="1683"/>
      <c r="X106" s="1">
        <v>1</v>
      </c>
    </row>
    <row r="107" spans="1:24" s="1" customFormat="1" ht="47.25" customHeight="1" x14ac:dyDescent="0.3">
      <c r="A107" s="1682"/>
      <c r="B107" s="1541"/>
      <c r="C107" s="1601"/>
      <c r="D107" s="1602"/>
      <c r="E107" s="1603"/>
      <c r="F107" s="415">
        <v>0</v>
      </c>
      <c r="G107" s="332" t="s">
        <v>3</v>
      </c>
      <c r="H107" s="338">
        <f>I107+J107+K107+L107+M107</f>
        <v>1200</v>
      </c>
      <c r="I107" s="338">
        <v>0</v>
      </c>
      <c r="J107" s="338">
        <v>1200</v>
      </c>
      <c r="K107" s="156"/>
      <c r="L107" s="156"/>
      <c r="M107" s="156"/>
      <c r="N107" s="1604"/>
      <c r="O107" s="1607"/>
      <c r="P107" s="1683"/>
    </row>
    <row r="108" spans="1:24" s="1" customFormat="1" ht="11.25" customHeight="1" x14ac:dyDescent="0.3">
      <c r="A108" s="1682" t="s">
        <v>575</v>
      </c>
      <c r="B108" s="1541" t="s">
        <v>600</v>
      </c>
      <c r="C108" s="1601">
        <v>2019</v>
      </c>
      <c r="D108" s="1602"/>
      <c r="E108" s="1603">
        <f>H108</f>
        <v>6500</v>
      </c>
      <c r="F108" s="415">
        <v>0</v>
      </c>
      <c r="G108" s="332" t="s">
        <v>12</v>
      </c>
      <c r="H108" s="338">
        <f>H109+H110</f>
        <v>6500</v>
      </c>
      <c r="I108" s="338">
        <f>I109+I110</f>
        <v>0</v>
      </c>
      <c r="J108" s="338">
        <f>J109+J110</f>
        <v>6500</v>
      </c>
      <c r="K108" s="338">
        <f t="shared" ref="K108:M108" si="38">K109+K110</f>
        <v>0</v>
      </c>
      <c r="L108" s="338">
        <f t="shared" si="38"/>
        <v>0</v>
      </c>
      <c r="M108" s="338">
        <f t="shared" si="38"/>
        <v>0</v>
      </c>
      <c r="N108" s="1604"/>
      <c r="O108" s="1605" t="s">
        <v>16</v>
      </c>
      <c r="P108" s="1683"/>
      <c r="R108" s="1" t="s">
        <v>1147</v>
      </c>
    </row>
    <row r="109" spans="1:24" s="1" customFormat="1" ht="30.75" customHeight="1" x14ac:dyDescent="0.3">
      <c r="A109" s="1682"/>
      <c r="B109" s="1541"/>
      <c r="C109" s="1601"/>
      <c r="D109" s="1602"/>
      <c r="E109" s="1603"/>
      <c r="F109" s="415">
        <v>0</v>
      </c>
      <c r="G109" s="332" t="s">
        <v>13</v>
      </c>
      <c r="H109" s="338">
        <f>I109+J109+K109+L109+M109</f>
        <v>4875</v>
      </c>
      <c r="I109" s="338">
        <v>0</v>
      </c>
      <c r="J109" s="338">
        <v>4875</v>
      </c>
      <c r="K109" s="156"/>
      <c r="L109" s="156"/>
      <c r="M109" s="156"/>
      <c r="N109" s="1604"/>
      <c r="O109" s="1606"/>
      <c r="P109" s="1683"/>
      <c r="X109" s="1">
        <v>1</v>
      </c>
    </row>
    <row r="110" spans="1:24" s="1" customFormat="1" ht="51.75" customHeight="1" x14ac:dyDescent="0.3">
      <c r="A110" s="1682"/>
      <c r="B110" s="1541"/>
      <c r="C110" s="1601"/>
      <c r="D110" s="1602"/>
      <c r="E110" s="1603"/>
      <c r="F110" s="415">
        <v>0</v>
      </c>
      <c r="G110" s="332" t="s">
        <v>3</v>
      </c>
      <c r="H110" s="338">
        <f>I110+J110+K110+L110+M110</f>
        <v>1625</v>
      </c>
      <c r="I110" s="338">
        <v>0</v>
      </c>
      <c r="J110" s="338">
        <v>1625</v>
      </c>
      <c r="K110" s="156"/>
      <c r="L110" s="156"/>
      <c r="M110" s="156"/>
      <c r="N110" s="1604"/>
      <c r="O110" s="1607"/>
      <c r="P110" s="1683"/>
    </row>
    <row r="111" spans="1:24" s="1" customFormat="1" ht="18.75" customHeight="1" x14ac:dyDescent="0.3">
      <c r="A111" s="1641" t="s">
        <v>1117</v>
      </c>
      <c r="B111" s="1541" t="s">
        <v>1165</v>
      </c>
      <c r="C111" s="1601">
        <v>2018</v>
      </c>
      <c r="D111" s="1601"/>
      <c r="E111" s="1603"/>
      <c r="F111" s="409">
        <f>F112+F113</f>
        <v>0</v>
      </c>
      <c r="G111" s="332" t="s">
        <v>12</v>
      </c>
      <c r="H111" s="338">
        <f>H112+H113</f>
        <v>45800</v>
      </c>
      <c r="I111" s="338">
        <f>I112/0.75</f>
        <v>45800</v>
      </c>
      <c r="J111" s="338">
        <f t="shared" ref="J111:M111" si="39">J112/0.75</f>
        <v>0</v>
      </c>
      <c r="K111" s="338">
        <f t="shared" si="39"/>
        <v>0</v>
      </c>
      <c r="L111" s="338">
        <f t="shared" si="39"/>
        <v>0</v>
      </c>
      <c r="M111" s="338">
        <f t="shared" si="39"/>
        <v>0</v>
      </c>
      <c r="N111" s="1613"/>
      <c r="O111" s="1605" t="s">
        <v>16</v>
      </c>
      <c r="P111" s="1681"/>
      <c r="R111" s="1" t="s">
        <v>1144</v>
      </c>
      <c r="S111" s="47">
        <v>0.75</v>
      </c>
      <c r="T111" s="309">
        <f>I112/$S111</f>
        <v>45800</v>
      </c>
    </row>
    <row r="112" spans="1:24" s="1" customFormat="1" ht="28.5" customHeight="1" x14ac:dyDescent="0.3">
      <c r="A112" s="1641"/>
      <c r="B112" s="1541"/>
      <c r="C112" s="1601"/>
      <c r="D112" s="1601"/>
      <c r="E112" s="1603"/>
      <c r="F112" s="409">
        <v>0</v>
      </c>
      <c r="G112" s="332" t="s">
        <v>13</v>
      </c>
      <c r="H112" s="338">
        <f>I112+J112+K112+L112+M112</f>
        <v>34350</v>
      </c>
      <c r="I112" s="338">
        <v>34350</v>
      </c>
      <c r="J112" s="338">
        <v>0</v>
      </c>
      <c r="K112" s="338">
        <v>0</v>
      </c>
      <c r="L112" s="338">
        <v>0</v>
      </c>
      <c r="M112" s="338">
        <v>0</v>
      </c>
      <c r="N112" s="1613"/>
      <c r="O112" s="1606"/>
      <c r="P112" s="1681"/>
      <c r="S112" s="47">
        <f>1-S111</f>
        <v>0.25</v>
      </c>
      <c r="T112" s="309">
        <f>T111*$S112</f>
        <v>11450</v>
      </c>
    </row>
    <row r="113" spans="1:23" s="1" customFormat="1" ht="51" customHeight="1" x14ac:dyDescent="0.3">
      <c r="A113" s="1641"/>
      <c r="B113" s="1541"/>
      <c r="C113" s="1601"/>
      <c r="D113" s="1601"/>
      <c r="E113" s="1603"/>
      <c r="F113" s="409">
        <v>0</v>
      </c>
      <c r="G113" s="332" t="s">
        <v>3</v>
      </c>
      <c r="H113" s="338">
        <f>I113+J113+K113+L113+M113</f>
        <v>11450</v>
      </c>
      <c r="I113" s="338">
        <f>I111*0.25</f>
        <v>11450</v>
      </c>
      <c r="J113" s="338">
        <v>0</v>
      </c>
      <c r="K113" s="338">
        <v>0</v>
      </c>
      <c r="L113" s="338">
        <v>0</v>
      </c>
      <c r="M113" s="338">
        <v>0</v>
      </c>
      <c r="N113" s="1613"/>
      <c r="O113" s="1607"/>
      <c r="P113" s="1681"/>
    </row>
    <row r="114" spans="1:23" s="1" customFormat="1" ht="15" customHeight="1" x14ac:dyDescent="0.3">
      <c r="A114" s="1641" t="s">
        <v>119</v>
      </c>
      <c r="B114" s="1541" t="s">
        <v>308</v>
      </c>
      <c r="C114" s="1541"/>
      <c r="D114" s="1541"/>
      <c r="E114" s="1541"/>
      <c r="F114" s="1541"/>
      <c r="G114" s="332" t="s">
        <v>12</v>
      </c>
      <c r="H114" s="338">
        <f>H115+H116</f>
        <v>21000</v>
      </c>
      <c r="I114" s="338">
        <f t="shared" ref="I114:M114" si="40">I115+I116</f>
        <v>21000</v>
      </c>
      <c r="J114" s="338">
        <f t="shared" si="40"/>
        <v>0</v>
      </c>
      <c r="K114" s="338">
        <f t="shared" si="40"/>
        <v>0</v>
      </c>
      <c r="L114" s="338">
        <f t="shared" si="40"/>
        <v>0</v>
      </c>
      <c r="M114" s="338">
        <f t="shared" si="40"/>
        <v>0</v>
      </c>
      <c r="N114" s="1679"/>
      <c r="O114" s="1605"/>
      <c r="P114" s="1681">
        <v>1</v>
      </c>
    </row>
    <row r="115" spans="1:23" s="1" customFormat="1" ht="28.5" customHeight="1" x14ac:dyDescent="0.3">
      <c r="A115" s="1641"/>
      <c r="B115" s="1541"/>
      <c r="C115" s="1541"/>
      <c r="D115" s="1541"/>
      <c r="E115" s="1541"/>
      <c r="F115" s="1541"/>
      <c r="G115" s="332" t="s">
        <v>13</v>
      </c>
      <c r="H115" s="338">
        <f>I115+J115+K115+L115+M115</f>
        <v>16569</v>
      </c>
      <c r="I115" s="338">
        <f>I118</f>
        <v>16569</v>
      </c>
      <c r="J115" s="338">
        <f t="shared" ref="J115:M116" si="41">J118</f>
        <v>0</v>
      </c>
      <c r="K115" s="338">
        <f t="shared" si="41"/>
        <v>0</v>
      </c>
      <c r="L115" s="338">
        <f t="shared" si="41"/>
        <v>0</v>
      </c>
      <c r="M115" s="338">
        <f t="shared" si="41"/>
        <v>0</v>
      </c>
      <c r="N115" s="1679"/>
      <c r="O115" s="1606"/>
      <c r="P115" s="1681"/>
      <c r="R115" s="1" t="s">
        <v>1144</v>
      </c>
    </row>
    <row r="116" spans="1:23" s="1" customFormat="1" ht="48.75" customHeight="1" x14ac:dyDescent="0.3">
      <c r="A116" s="1641"/>
      <c r="B116" s="1541"/>
      <c r="C116" s="1541"/>
      <c r="D116" s="1541"/>
      <c r="E116" s="1541"/>
      <c r="F116" s="1541"/>
      <c r="G116" s="332" t="s">
        <v>3</v>
      </c>
      <c r="H116" s="338">
        <f>I116+J116+K116+L116+M116</f>
        <v>4431</v>
      </c>
      <c r="I116" s="338">
        <f>I119</f>
        <v>4431</v>
      </c>
      <c r="J116" s="338">
        <f t="shared" si="41"/>
        <v>0</v>
      </c>
      <c r="K116" s="338">
        <f t="shared" si="41"/>
        <v>0</v>
      </c>
      <c r="L116" s="338">
        <f t="shared" si="41"/>
        <v>0</v>
      </c>
      <c r="M116" s="338">
        <f t="shared" si="41"/>
        <v>0</v>
      </c>
      <c r="N116" s="1679"/>
      <c r="O116" s="1607"/>
      <c r="P116" s="1681"/>
    </row>
    <row r="117" spans="1:23" s="1" customFormat="1" ht="15" customHeight="1" x14ac:dyDescent="0.3">
      <c r="A117" s="1682" t="s">
        <v>120</v>
      </c>
      <c r="B117" s="1541" t="s">
        <v>674</v>
      </c>
      <c r="C117" s="1601">
        <v>2018</v>
      </c>
      <c r="D117" s="1602"/>
      <c r="E117" s="1603">
        <f>H117</f>
        <v>21000</v>
      </c>
      <c r="F117" s="341"/>
      <c r="G117" s="332" t="s">
        <v>12</v>
      </c>
      <c r="H117" s="338">
        <f>H118+H119</f>
        <v>21000</v>
      </c>
      <c r="I117" s="338">
        <f>I118+I119</f>
        <v>21000</v>
      </c>
      <c r="J117" s="338">
        <f t="shared" ref="J117:M117" si="42">J118+J119</f>
        <v>0</v>
      </c>
      <c r="K117" s="338">
        <f t="shared" si="42"/>
        <v>0</v>
      </c>
      <c r="L117" s="338">
        <f t="shared" si="42"/>
        <v>0</v>
      </c>
      <c r="M117" s="338">
        <f t="shared" si="42"/>
        <v>0</v>
      </c>
      <c r="N117" s="1604"/>
      <c r="O117" s="1605" t="s">
        <v>16</v>
      </c>
      <c r="P117" s="1683"/>
    </row>
    <row r="118" spans="1:23" s="1" customFormat="1" ht="28.5" customHeight="1" x14ac:dyDescent="0.3">
      <c r="A118" s="1682"/>
      <c r="B118" s="1541"/>
      <c r="C118" s="1601"/>
      <c r="D118" s="1602"/>
      <c r="E118" s="1603"/>
      <c r="F118" s="341"/>
      <c r="G118" s="332" t="s">
        <v>13</v>
      </c>
      <c r="H118" s="338">
        <f>I118+J118+K118+L118+M118</f>
        <v>16569</v>
      </c>
      <c r="I118" s="338">
        <v>16569</v>
      </c>
      <c r="J118" s="156"/>
      <c r="K118" s="156"/>
      <c r="L118" s="156"/>
      <c r="M118" s="156"/>
      <c r="N118" s="1604"/>
      <c r="O118" s="1606"/>
      <c r="P118" s="1683"/>
      <c r="W118" s="1">
        <v>1</v>
      </c>
    </row>
    <row r="119" spans="1:23" s="1" customFormat="1" ht="48" customHeight="1" x14ac:dyDescent="0.3">
      <c r="A119" s="1682"/>
      <c r="B119" s="1541"/>
      <c r="C119" s="1601"/>
      <c r="D119" s="1602"/>
      <c r="E119" s="1603"/>
      <c r="F119" s="341"/>
      <c r="G119" s="332" t="s">
        <v>3</v>
      </c>
      <c r="H119" s="338">
        <f>I119+J119+K119+L119+M119</f>
        <v>4431</v>
      </c>
      <c r="I119" s="338">
        <v>4431</v>
      </c>
      <c r="J119" s="156"/>
      <c r="K119" s="156"/>
      <c r="L119" s="156"/>
      <c r="M119" s="156"/>
      <c r="N119" s="1604"/>
      <c r="O119" s="1607"/>
      <c r="P119" s="1683"/>
    </row>
    <row r="120" spans="1:23" s="1" customFormat="1" ht="18.75" customHeight="1" x14ac:dyDescent="0.3">
      <c r="A120" s="1641" t="s">
        <v>147</v>
      </c>
      <c r="B120" s="1541" t="s">
        <v>309</v>
      </c>
      <c r="C120" s="1541"/>
      <c r="D120" s="1541"/>
      <c r="E120" s="1541"/>
      <c r="F120" s="1541"/>
      <c r="G120" s="332" t="s">
        <v>12</v>
      </c>
      <c r="H120" s="338">
        <f>H121+H122</f>
        <v>21000</v>
      </c>
      <c r="I120" s="338">
        <f t="shared" ref="I120:M120" si="43">I121+I122</f>
        <v>21000</v>
      </c>
      <c r="J120" s="338">
        <f t="shared" si="43"/>
        <v>0</v>
      </c>
      <c r="K120" s="338">
        <f t="shared" si="43"/>
        <v>0</v>
      </c>
      <c r="L120" s="338">
        <f t="shared" si="43"/>
        <v>0</v>
      </c>
      <c r="M120" s="338">
        <f t="shared" si="43"/>
        <v>0</v>
      </c>
      <c r="N120" s="1679"/>
      <c r="O120" s="1605"/>
      <c r="P120" s="1681">
        <v>1</v>
      </c>
      <c r="R120" s="1" t="s">
        <v>1144</v>
      </c>
    </row>
    <row r="121" spans="1:23" s="1" customFormat="1" ht="30.6" customHeight="1" x14ac:dyDescent="0.3">
      <c r="A121" s="1641"/>
      <c r="B121" s="1541"/>
      <c r="C121" s="1541"/>
      <c r="D121" s="1541"/>
      <c r="E121" s="1541"/>
      <c r="F121" s="1541"/>
      <c r="G121" s="332" t="s">
        <v>13</v>
      </c>
      <c r="H121" s="338">
        <f>I121+J121+K121+L121+M121</f>
        <v>19488</v>
      </c>
      <c r="I121" s="338">
        <f>I124</f>
        <v>19488</v>
      </c>
      <c r="J121" s="338">
        <f t="shared" ref="J121:M122" si="44">J124</f>
        <v>0</v>
      </c>
      <c r="K121" s="338">
        <f t="shared" si="44"/>
        <v>0</v>
      </c>
      <c r="L121" s="338">
        <f t="shared" si="44"/>
        <v>0</v>
      </c>
      <c r="M121" s="338">
        <f t="shared" si="44"/>
        <v>0</v>
      </c>
      <c r="N121" s="1679"/>
      <c r="O121" s="1606"/>
      <c r="P121" s="1681"/>
    </row>
    <row r="122" spans="1:23" s="1" customFormat="1" ht="45.75" customHeight="1" x14ac:dyDescent="0.3">
      <c r="A122" s="1641"/>
      <c r="B122" s="1541"/>
      <c r="C122" s="1541"/>
      <c r="D122" s="1541"/>
      <c r="E122" s="1541"/>
      <c r="F122" s="1541"/>
      <c r="G122" s="332" t="s">
        <v>3</v>
      </c>
      <c r="H122" s="338">
        <f>I122+J122+K122+L122+M122</f>
        <v>1512</v>
      </c>
      <c r="I122" s="338">
        <f>I125</f>
        <v>1512</v>
      </c>
      <c r="J122" s="338">
        <f t="shared" si="44"/>
        <v>0</v>
      </c>
      <c r="K122" s="338">
        <f t="shared" si="44"/>
        <v>0</v>
      </c>
      <c r="L122" s="338">
        <f t="shared" si="44"/>
        <v>0</v>
      </c>
      <c r="M122" s="338">
        <f t="shared" si="44"/>
        <v>0</v>
      </c>
      <c r="N122" s="1679"/>
      <c r="O122" s="1607"/>
      <c r="P122" s="1681"/>
    </row>
    <row r="123" spans="1:23" s="1" customFormat="1" ht="21" customHeight="1" x14ac:dyDescent="0.3">
      <c r="A123" s="1682" t="s">
        <v>1148</v>
      </c>
      <c r="B123" s="1541" t="s">
        <v>675</v>
      </c>
      <c r="C123" s="1601">
        <v>2018</v>
      </c>
      <c r="D123" s="1602"/>
      <c r="E123" s="1603">
        <f>H123</f>
        <v>21000</v>
      </c>
      <c r="F123" s="341"/>
      <c r="G123" s="332" t="s">
        <v>12</v>
      </c>
      <c r="H123" s="338">
        <f>H124+H125</f>
        <v>21000</v>
      </c>
      <c r="I123" s="338">
        <f>I124+I125</f>
        <v>21000</v>
      </c>
      <c r="J123" s="338">
        <f t="shared" ref="J123:M123" si="45">J124+J125</f>
        <v>0</v>
      </c>
      <c r="K123" s="338">
        <f t="shared" si="45"/>
        <v>0</v>
      </c>
      <c r="L123" s="338">
        <f t="shared" si="45"/>
        <v>0</v>
      </c>
      <c r="M123" s="338">
        <f t="shared" si="45"/>
        <v>0</v>
      </c>
      <c r="N123" s="1604"/>
      <c r="O123" s="1605" t="s">
        <v>16</v>
      </c>
      <c r="P123" s="1683"/>
    </row>
    <row r="124" spans="1:23" s="1" customFormat="1" ht="28.5" customHeight="1" x14ac:dyDescent="0.3">
      <c r="A124" s="1682"/>
      <c r="B124" s="1541"/>
      <c r="C124" s="1601"/>
      <c r="D124" s="1602"/>
      <c r="E124" s="1603"/>
      <c r="F124" s="341"/>
      <c r="G124" s="332" t="s">
        <v>13</v>
      </c>
      <c r="H124" s="338">
        <f>I124+J124+K124+L124+M124</f>
        <v>19488</v>
      </c>
      <c r="I124" s="338">
        <v>19488</v>
      </c>
      <c r="J124" s="156"/>
      <c r="K124" s="156"/>
      <c r="L124" s="156"/>
      <c r="M124" s="156"/>
      <c r="N124" s="1604"/>
      <c r="O124" s="1606"/>
      <c r="P124" s="1683"/>
      <c r="W124" s="1">
        <v>1</v>
      </c>
    </row>
    <row r="125" spans="1:23" s="1" customFormat="1" ht="48.75" customHeight="1" x14ac:dyDescent="0.3">
      <c r="A125" s="1682"/>
      <c r="B125" s="1541"/>
      <c r="C125" s="1601"/>
      <c r="D125" s="1602"/>
      <c r="E125" s="1603"/>
      <c r="F125" s="341"/>
      <c r="G125" s="332" t="s">
        <v>3</v>
      </c>
      <c r="H125" s="338">
        <f>I125+J125+K125+L125+M125</f>
        <v>1512</v>
      </c>
      <c r="I125" s="338">
        <v>1512</v>
      </c>
      <c r="J125" s="156"/>
      <c r="K125" s="156"/>
      <c r="L125" s="156"/>
      <c r="M125" s="156"/>
      <c r="N125" s="1604"/>
      <c r="O125" s="1607"/>
      <c r="P125" s="1683"/>
    </row>
    <row r="126" spans="1:23" s="1" customFormat="1" ht="14.25" customHeight="1" x14ac:dyDescent="0.3">
      <c r="A126" s="1641" t="s">
        <v>846</v>
      </c>
      <c r="B126" s="1541" t="s">
        <v>933</v>
      </c>
      <c r="C126" s="1541"/>
      <c r="D126" s="1541"/>
      <c r="E126" s="1541"/>
      <c r="F126" s="1541"/>
      <c r="G126" s="332" t="s">
        <v>12</v>
      </c>
      <c r="H126" s="338">
        <f>H127+H128</f>
        <v>86066.67</v>
      </c>
      <c r="I126" s="338">
        <f t="shared" ref="I126:M126" si="46">I127+I128</f>
        <v>86066.67</v>
      </c>
      <c r="J126" s="338">
        <f t="shared" si="46"/>
        <v>0</v>
      </c>
      <c r="K126" s="338">
        <f t="shared" si="46"/>
        <v>0</v>
      </c>
      <c r="L126" s="338">
        <f t="shared" si="46"/>
        <v>0</v>
      </c>
      <c r="M126" s="338">
        <f t="shared" si="46"/>
        <v>0</v>
      </c>
      <c r="N126" s="1679"/>
      <c r="O126" s="1605"/>
      <c r="P126" s="1681">
        <v>3</v>
      </c>
    </row>
    <row r="127" spans="1:23" s="1" customFormat="1" ht="28.5" customHeight="1" x14ac:dyDescent="0.3">
      <c r="A127" s="1641"/>
      <c r="B127" s="1541"/>
      <c r="C127" s="1541"/>
      <c r="D127" s="1541"/>
      <c r="E127" s="1541"/>
      <c r="F127" s="1541"/>
      <c r="G127" s="332" t="s">
        <v>13</v>
      </c>
      <c r="H127" s="338">
        <f>I127+J127+K127+L127+M127</f>
        <v>65668.87</v>
      </c>
      <c r="I127" s="338">
        <f>I130+I133+I136</f>
        <v>65668.87</v>
      </c>
      <c r="J127" s="338">
        <f t="shared" ref="J127:M128" si="47">J130+J133+J136</f>
        <v>0</v>
      </c>
      <c r="K127" s="338">
        <f t="shared" si="47"/>
        <v>0</v>
      </c>
      <c r="L127" s="338">
        <f t="shared" si="47"/>
        <v>0</v>
      </c>
      <c r="M127" s="338">
        <f t="shared" si="47"/>
        <v>0</v>
      </c>
      <c r="N127" s="1679"/>
      <c r="O127" s="1606"/>
      <c r="P127" s="1681"/>
      <c r="R127" s="1" t="s">
        <v>1166</v>
      </c>
    </row>
    <row r="128" spans="1:23" s="1" customFormat="1" ht="51" customHeight="1" x14ac:dyDescent="0.3">
      <c r="A128" s="1641"/>
      <c r="B128" s="1541"/>
      <c r="C128" s="1541"/>
      <c r="D128" s="1541"/>
      <c r="E128" s="1541"/>
      <c r="F128" s="1541"/>
      <c r="G128" s="332" t="s">
        <v>3</v>
      </c>
      <c r="H128" s="338">
        <f>I128+J128+K128+L128+M128</f>
        <v>20397.8</v>
      </c>
      <c r="I128" s="338">
        <f>I131+I134+I137</f>
        <v>20397.8</v>
      </c>
      <c r="J128" s="338">
        <f t="shared" si="47"/>
        <v>0</v>
      </c>
      <c r="K128" s="338">
        <f t="shared" si="47"/>
        <v>0</v>
      </c>
      <c r="L128" s="338">
        <f t="shared" si="47"/>
        <v>0</v>
      </c>
      <c r="M128" s="338">
        <f t="shared" si="47"/>
        <v>0</v>
      </c>
      <c r="N128" s="1679"/>
      <c r="O128" s="1607"/>
      <c r="P128" s="1681"/>
    </row>
    <row r="129" spans="1:23" s="1" customFormat="1" ht="13.5" customHeight="1" x14ac:dyDescent="0.3">
      <c r="A129" s="1682" t="s">
        <v>1151</v>
      </c>
      <c r="B129" s="1541" t="s">
        <v>268</v>
      </c>
      <c r="C129" s="1601">
        <v>2018</v>
      </c>
      <c r="D129" s="1602"/>
      <c r="E129" s="1603">
        <f>H129</f>
        <v>61060</v>
      </c>
      <c r="F129" s="341"/>
      <c r="G129" s="332" t="s">
        <v>12</v>
      </c>
      <c r="H129" s="338">
        <f>H130+H131</f>
        <v>61060</v>
      </c>
      <c r="I129" s="338">
        <f>I130+I131</f>
        <v>61060</v>
      </c>
      <c r="J129" s="338">
        <f t="shared" ref="J129:M129" si="48">J130+J131</f>
        <v>0</v>
      </c>
      <c r="K129" s="338">
        <f t="shared" si="48"/>
        <v>0</v>
      </c>
      <c r="L129" s="338">
        <f t="shared" si="48"/>
        <v>0</v>
      </c>
      <c r="M129" s="338">
        <f t="shared" si="48"/>
        <v>0</v>
      </c>
      <c r="N129" s="1604"/>
      <c r="O129" s="1605" t="s">
        <v>16</v>
      </c>
      <c r="P129" s="1683"/>
    </row>
    <row r="130" spans="1:23" s="1" customFormat="1" ht="28.5" customHeight="1" x14ac:dyDescent="0.3">
      <c r="A130" s="1682"/>
      <c r="B130" s="1541"/>
      <c r="C130" s="1601"/>
      <c r="D130" s="1602"/>
      <c r="E130" s="1603"/>
      <c r="F130" s="341"/>
      <c r="G130" s="332" t="s">
        <v>13</v>
      </c>
      <c r="H130" s="338">
        <f>I130+J130+K130+L130+M130</f>
        <v>46588.78</v>
      </c>
      <c r="I130" s="338">
        <v>46588.78</v>
      </c>
      <c r="J130" s="156"/>
      <c r="K130" s="156"/>
      <c r="L130" s="156"/>
      <c r="M130" s="156"/>
      <c r="N130" s="1604"/>
      <c r="O130" s="1606"/>
      <c r="P130" s="1683"/>
      <c r="W130" s="1">
        <v>1</v>
      </c>
    </row>
    <row r="131" spans="1:23" s="1" customFormat="1" ht="47.25" customHeight="1" x14ac:dyDescent="0.3">
      <c r="A131" s="1682"/>
      <c r="B131" s="1541"/>
      <c r="C131" s="1601"/>
      <c r="D131" s="1602"/>
      <c r="E131" s="1603"/>
      <c r="F131" s="341"/>
      <c r="G131" s="332" t="s">
        <v>3</v>
      </c>
      <c r="H131" s="338">
        <f>I131+J131+K131+L131+M131</f>
        <v>14471.22</v>
      </c>
      <c r="I131" s="338">
        <v>14471.22</v>
      </c>
      <c r="J131" s="156"/>
      <c r="K131" s="156"/>
      <c r="L131" s="156"/>
      <c r="M131" s="156"/>
      <c r="N131" s="1604"/>
      <c r="O131" s="1607"/>
      <c r="P131" s="1683"/>
    </row>
    <row r="132" spans="1:23" s="1" customFormat="1" ht="14.25" customHeight="1" x14ac:dyDescent="0.3">
      <c r="A132" s="1682" t="s">
        <v>1167</v>
      </c>
      <c r="B132" s="1541" t="s">
        <v>269</v>
      </c>
      <c r="C132" s="1601">
        <v>2018</v>
      </c>
      <c r="D132" s="1602"/>
      <c r="E132" s="1603">
        <f>H132</f>
        <v>16600</v>
      </c>
      <c r="F132" s="341"/>
      <c r="G132" s="332" t="s">
        <v>12</v>
      </c>
      <c r="H132" s="338">
        <f>H133+H134</f>
        <v>16600</v>
      </c>
      <c r="I132" s="338">
        <f>I133+I134</f>
        <v>16600</v>
      </c>
      <c r="J132" s="338">
        <f t="shared" ref="J132:M132" si="49">J133+J134</f>
        <v>0</v>
      </c>
      <c r="K132" s="338">
        <f t="shared" si="49"/>
        <v>0</v>
      </c>
      <c r="L132" s="338">
        <f t="shared" si="49"/>
        <v>0</v>
      </c>
      <c r="M132" s="338">
        <f t="shared" si="49"/>
        <v>0</v>
      </c>
      <c r="N132" s="1604"/>
      <c r="O132" s="1605" t="s">
        <v>16</v>
      </c>
      <c r="P132" s="1683"/>
    </row>
    <row r="133" spans="1:23" s="1" customFormat="1" ht="28.5" customHeight="1" x14ac:dyDescent="0.3">
      <c r="A133" s="1682"/>
      <c r="B133" s="1541"/>
      <c r="C133" s="1601"/>
      <c r="D133" s="1602"/>
      <c r="E133" s="1603"/>
      <c r="F133" s="341"/>
      <c r="G133" s="332" t="s">
        <v>13</v>
      </c>
      <c r="H133" s="338">
        <f>I133+J133+K133+L133+M133</f>
        <v>12665.8</v>
      </c>
      <c r="I133" s="338">
        <v>12665.8</v>
      </c>
      <c r="J133" s="156"/>
      <c r="K133" s="156"/>
      <c r="L133" s="156"/>
      <c r="M133" s="156"/>
      <c r="N133" s="1604"/>
      <c r="O133" s="1606"/>
      <c r="P133" s="1683"/>
      <c r="W133" s="1">
        <v>1</v>
      </c>
    </row>
    <row r="134" spans="1:23" s="1" customFormat="1" ht="48.75" customHeight="1" x14ac:dyDescent="0.3">
      <c r="A134" s="1682"/>
      <c r="B134" s="1541"/>
      <c r="C134" s="1601"/>
      <c r="D134" s="1602"/>
      <c r="E134" s="1603"/>
      <c r="F134" s="341"/>
      <c r="G134" s="332" t="s">
        <v>3</v>
      </c>
      <c r="H134" s="338">
        <f>I134+J134+K134+L134+M134</f>
        <v>3934.2</v>
      </c>
      <c r="I134" s="338">
        <v>3934.2</v>
      </c>
      <c r="J134" s="156"/>
      <c r="K134" s="156"/>
      <c r="L134" s="156"/>
      <c r="M134" s="156"/>
      <c r="N134" s="1604"/>
      <c r="O134" s="1607"/>
      <c r="P134" s="1683"/>
    </row>
    <row r="135" spans="1:23" s="1" customFormat="1" ht="18.75" customHeight="1" x14ac:dyDescent="0.3">
      <c r="A135" s="1682" t="s">
        <v>1168</v>
      </c>
      <c r="B135" s="1541" t="s">
        <v>270</v>
      </c>
      <c r="C135" s="1601">
        <v>2018</v>
      </c>
      <c r="D135" s="1602"/>
      <c r="E135" s="1603">
        <f>H135</f>
        <v>8406.67</v>
      </c>
      <c r="F135" s="341"/>
      <c r="G135" s="332" t="s">
        <v>12</v>
      </c>
      <c r="H135" s="338">
        <f>H136+H137</f>
        <v>8406.67</v>
      </c>
      <c r="I135" s="338">
        <f>I136+I137</f>
        <v>8406.67</v>
      </c>
      <c r="J135" s="338">
        <f t="shared" ref="J135:M135" si="50">J136+J137</f>
        <v>0</v>
      </c>
      <c r="K135" s="338">
        <f t="shared" si="50"/>
        <v>0</v>
      </c>
      <c r="L135" s="338">
        <f t="shared" si="50"/>
        <v>0</v>
      </c>
      <c r="M135" s="338">
        <f t="shared" si="50"/>
        <v>0</v>
      </c>
      <c r="N135" s="1604"/>
      <c r="O135" s="1605" t="s">
        <v>16</v>
      </c>
      <c r="P135" s="1683"/>
    </row>
    <row r="136" spans="1:23" s="1" customFormat="1" ht="30.6" customHeight="1" x14ac:dyDescent="0.3">
      <c r="A136" s="1682"/>
      <c r="B136" s="1541"/>
      <c r="C136" s="1601"/>
      <c r="D136" s="1602"/>
      <c r="E136" s="1603"/>
      <c r="F136" s="341"/>
      <c r="G136" s="332" t="s">
        <v>13</v>
      </c>
      <c r="H136" s="338">
        <f>I136+J136+K136+L136+M136</f>
        <v>6414.29</v>
      </c>
      <c r="I136" s="338">
        <v>6414.29</v>
      </c>
      <c r="J136" s="156"/>
      <c r="K136" s="156"/>
      <c r="L136" s="156"/>
      <c r="M136" s="156"/>
      <c r="N136" s="1604"/>
      <c r="O136" s="1606"/>
      <c r="P136" s="1683"/>
      <c r="W136" s="1">
        <v>1</v>
      </c>
    </row>
    <row r="137" spans="1:23" s="1" customFormat="1" ht="48" customHeight="1" x14ac:dyDescent="0.3">
      <c r="A137" s="1682"/>
      <c r="B137" s="1541"/>
      <c r="C137" s="1601"/>
      <c r="D137" s="1602"/>
      <c r="E137" s="1603"/>
      <c r="F137" s="341"/>
      <c r="G137" s="332" t="s">
        <v>3</v>
      </c>
      <c r="H137" s="338">
        <f>I137+J137+K137+L137+M137</f>
        <v>1992.38</v>
      </c>
      <c r="I137" s="338">
        <v>1992.38</v>
      </c>
      <c r="J137" s="156"/>
      <c r="K137" s="156"/>
      <c r="L137" s="156"/>
      <c r="M137" s="156"/>
      <c r="N137" s="1604"/>
      <c r="O137" s="1607"/>
      <c r="P137" s="1683"/>
    </row>
    <row r="138" spans="1:23" s="1" customFormat="1" ht="18" customHeight="1" x14ac:dyDescent="0.3">
      <c r="A138" s="1641" t="s">
        <v>719</v>
      </c>
      <c r="B138" s="1541" t="s">
        <v>310</v>
      </c>
      <c r="C138" s="1541"/>
      <c r="D138" s="1541"/>
      <c r="E138" s="1541"/>
      <c r="F138" s="1541"/>
      <c r="G138" s="332" t="s">
        <v>12</v>
      </c>
      <c r="H138" s="338">
        <f>H139+H140</f>
        <v>95533.35</v>
      </c>
      <c r="I138" s="338">
        <f t="shared" ref="I138:M138" si="51">I139+I140</f>
        <v>95533.35</v>
      </c>
      <c r="J138" s="338">
        <f t="shared" si="51"/>
        <v>0</v>
      </c>
      <c r="K138" s="338">
        <f t="shared" si="51"/>
        <v>0</v>
      </c>
      <c r="L138" s="338">
        <f t="shared" si="51"/>
        <v>0</v>
      </c>
      <c r="M138" s="338">
        <f t="shared" si="51"/>
        <v>0</v>
      </c>
      <c r="N138" s="1679"/>
      <c r="O138" s="1605"/>
      <c r="P138" s="1681">
        <v>3</v>
      </c>
      <c r="R138" s="1" t="s">
        <v>1166</v>
      </c>
    </row>
    <row r="139" spans="1:23" s="1" customFormat="1" ht="15" customHeight="1" x14ac:dyDescent="0.3">
      <c r="A139" s="1641"/>
      <c r="B139" s="1541"/>
      <c r="C139" s="1541"/>
      <c r="D139" s="1541"/>
      <c r="E139" s="1541"/>
      <c r="F139" s="1541"/>
      <c r="G139" s="332" t="s">
        <v>13</v>
      </c>
      <c r="H139" s="338">
        <f>I139+J139+K139+L139+M139</f>
        <v>66873.350000000006</v>
      </c>
      <c r="I139" s="338">
        <f>I142+I145+I148</f>
        <v>66873.350000000006</v>
      </c>
      <c r="J139" s="338">
        <f t="shared" ref="J139:M140" si="52">J142+J145+J148</f>
        <v>0</v>
      </c>
      <c r="K139" s="338">
        <f t="shared" si="52"/>
        <v>0</v>
      </c>
      <c r="L139" s="338">
        <f t="shared" si="52"/>
        <v>0</v>
      </c>
      <c r="M139" s="338">
        <f t="shared" si="52"/>
        <v>0</v>
      </c>
      <c r="N139" s="1679"/>
      <c r="O139" s="1606"/>
      <c r="P139" s="1681"/>
    </row>
    <row r="140" spans="1:23" s="1" customFormat="1" ht="28.5" customHeight="1" x14ac:dyDescent="0.3">
      <c r="A140" s="1641"/>
      <c r="B140" s="1541"/>
      <c r="C140" s="1541"/>
      <c r="D140" s="1541"/>
      <c r="E140" s="1541"/>
      <c r="F140" s="1541"/>
      <c r="G140" s="332" t="s">
        <v>3</v>
      </c>
      <c r="H140" s="338">
        <f>I140+J140+K140+L140+M140</f>
        <v>28660</v>
      </c>
      <c r="I140" s="338">
        <f>I143+I146+I149</f>
        <v>28660</v>
      </c>
      <c r="J140" s="338">
        <f t="shared" si="52"/>
        <v>0</v>
      </c>
      <c r="K140" s="338">
        <f t="shared" si="52"/>
        <v>0</v>
      </c>
      <c r="L140" s="338">
        <f t="shared" si="52"/>
        <v>0</v>
      </c>
      <c r="M140" s="338">
        <f t="shared" si="52"/>
        <v>0</v>
      </c>
      <c r="N140" s="1679"/>
      <c r="O140" s="1607"/>
      <c r="P140" s="1681"/>
    </row>
    <row r="141" spans="1:23" s="1" customFormat="1" ht="52.5" customHeight="1" x14ac:dyDescent="0.3">
      <c r="A141" s="1682" t="s">
        <v>1152</v>
      </c>
      <c r="B141" s="1541" t="s">
        <v>312</v>
      </c>
      <c r="C141" s="1601">
        <v>2018</v>
      </c>
      <c r="D141" s="1603" t="s">
        <v>311</v>
      </c>
      <c r="E141" s="1603">
        <f>H141</f>
        <v>20826.669999999998</v>
      </c>
      <c r="F141" s="341"/>
      <c r="G141" s="332" t="s">
        <v>12</v>
      </c>
      <c r="H141" s="338">
        <f>H142+H143</f>
        <v>20826.669999999998</v>
      </c>
      <c r="I141" s="338">
        <f>I142+I143</f>
        <v>20826.669999999998</v>
      </c>
      <c r="J141" s="338">
        <f t="shared" ref="J141:M141" si="53">J142+J143</f>
        <v>0</v>
      </c>
      <c r="K141" s="338">
        <f t="shared" si="53"/>
        <v>0</v>
      </c>
      <c r="L141" s="338">
        <f t="shared" si="53"/>
        <v>0</v>
      </c>
      <c r="M141" s="338">
        <f t="shared" si="53"/>
        <v>0</v>
      </c>
      <c r="N141" s="1604"/>
      <c r="O141" s="1605" t="s">
        <v>16</v>
      </c>
      <c r="P141" s="1683"/>
    </row>
    <row r="142" spans="1:23" s="1" customFormat="1" ht="18.75" customHeight="1" x14ac:dyDescent="0.3">
      <c r="A142" s="1682"/>
      <c r="B142" s="1541"/>
      <c r="C142" s="1601"/>
      <c r="D142" s="1603"/>
      <c r="E142" s="1603"/>
      <c r="F142" s="341"/>
      <c r="G142" s="332" t="s">
        <v>13</v>
      </c>
      <c r="H142" s="338">
        <f>I142+J142+K142+L142+M142</f>
        <v>14578.67</v>
      </c>
      <c r="I142" s="338">
        <v>14578.67</v>
      </c>
      <c r="J142" s="156"/>
      <c r="K142" s="156"/>
      <c r="L142" s="156"/>
      <c r="M142" s="156"/>
      <c r="N142" s="1604"/>
      <c r="O142" s="1606"/>
      <c r="P142" s="1683"/>
      <c r="W142" s="1">
        <v>1</v>
      </c>
    </row>
    <row r="143" spans="1:23" s="1" customFormat="1" ht="28.5" customHeight="1" x14ac:dyDescent="0.3">
      <c r="A143" s="1682"/>
      <c r="B143" s="1541"/>
      <c r="C143" s="1601"/>
      <c r="D143" s="1603"/>
      <c r="E143" s="1603"/>
      <c r="F143" s="341"/>
      <c r="G143" s="332" t="s">
        <v>3</v>
      </c>
      <c r="H143" s="338">
        <f>I143+J143+K143+L143+M143</f>
        <v>6248</v>
      </c>
      <c r="I143" s="338">
        <v>6248</v>
      </c>
      <c r="J143" s="156"/>
      <c r="K143" s="156"/>
      <c r="L143" s="156"/>
      <c r="M143" s="156"/>
      <c r="N143" s="1604"/>
      <c r="O143" s="1607"/>
      <c r="P143" s="1683"/>
    </row>
    <row r="144" spans="1:23" s="1" customFormat="1" ht="51" customHeight="1" x14ac:dyDescent="0.3">
      <c r="A144" s="1682" t="s">
        <v>1169</v>
      </c>
      <c r="B144" s="1541" t="s">
        <v>315</v>
      </c>
      <c r="C144" s="1601">
        <v>2018</v>
      </c>
      <c r="D144" s="1603" t="s">
        <v>313</v>
      </c>
      <c r="E144" s="1603">
        <f>H144</f>
        <v>19883.34</v>
      </c>
      <c r="F144" s="341"/>
      <c r="G144" s="332" t="s">
        <v>12</v>
      </c>
      <c r="H144" s="338">
        <f>H145+H146</f>
        <v>19883.34</v>
      </c>
      <c r="I144" s="338">
        <f>I145+I146</f>
        <v>19883.34</v>
      </c>
      <c r="J144" s="338">
        <f t="shared" ref="J144:M144" si="54">J145+J146</f>
        <v>0</v>
      </c>
      <c r="K144" s="338">
        <f t="shared" si="54"/>
        <v>0</v>
      </c>
      <c r="L144" s="338">
        <f t="shared" si="54"/>
        <v>0</v>
      </c>
      <c r="M144" s="338">
        <f t="shared" si="54"/>
        <v>0</v>
      </c>
      <c r="N144" s="1604"/>
      <c r="O144" s="1605" t="s">
        <v>16</v>
      </c>
      <c r="P144" s="1683"/>
    </row>
    <row r="145" spans="1:23" s="1" customFormat="1" ht="23.25" customHeight="1" x14ac:dyDescent="0.3">
      <c r="A145" s="1682"/>
      <c r="B145" s="1541"/>
      <c r="C145" s="1601"/>
      <c r="D145" s="1603"/>
      <c r="E145" s="1603"/>
      <c r="F145" s="341"/>
      <c r="G145" s="332" t="s">
        <v>13</v>
      </c>
      <c r="H145" s="338">
        <f>I145+J145+K145+L145+M145</f>
        <v>13918.34</v>
      </c>
      <c r="I145" s="338">
        <v>13918.34</v>
      </c>
      <c r="J145" s="156"/>
      <c r="K145" s="156"/>
      <c r="L145" s="156"/>
      <c r="M145" s="156"/>
      <c r="N145" s="1604"/>
      <c r="O145" s="1606"/>
      <c r="P145" s="1683"/>
      <c r="W145" s="1">
        <v>1</v>
      </c>
    </row>
    <row r="146" spans="1:23" s="1" customFormat="1" ht="16.5" customHeight="1" x14ac:dyDescent="0.3">
      <c r="A146" s="1682"/>
      <c r="B146" s="1541"/>
      <c r="C146" s="1601"/>
      <c r="D146" s="1603"/>
      <c r="E146" s="1603"/>
      <c r="F146" s="341"/>
      <c r="G146" s="332" t="s">
        <v>3</v>
      </c>
      <c r="H146" s="338">
        <f>I146+J146+K146+L146+M146</f>
        <v>5965</v>
      </c>
      <c r="I146" s="338">
        <v>5965</v>
      </c>
      <c r="J146" s="156"/>
      <c r="K146" s="156"/>
      <c r="L146" s="156"/>
      <c r="M146" s="156"/>
      <c r="N146" s="1604"/>
      <c r="O146" s="1607"/>
      <c r="P146" s="1683"/>
    </row>
    <row r="147" spans="1:23" s="1" customFormat="1" ht="28.5" customHeight="1" x14ac:dyDescent="0.3">
      <c r="A147" s="1682" t="s">
        <v>1170</v>
      </c>
      <c r="B147" s="1541" t="s">
        <v>314</v>
      </c>
      <c r="C147" s="1601">
        <v>2018</v>
      </c>
      <c r="D147" s="1603" t="s">
        <v>313</v>
      </c>
      <c r="E147" s="1603">
        <f>H147</f>
        <v>54823.34</v>
      </c>
      <c r="F147" s="341"/>
      <c r="G147" s="332" t="s">
        <v>12</v>
      </c>
      <c r="H147" s="338">
        <f>H148+H149</f>
        <v>54823.34</v>
      </c>
      <c r="I147" s="338">
        <f>I148+I149</f>
        <v>54823.34</v>
      </c>
      <c r="J147" s="338">
        <f t="shared" ref="J147:M147" si="55">J148+J149</f>
        <v>0</v>
      </c>
      <c r="K147" s="338">
        <f t="shared" si="55"/>
        <v>0</v>
      </c>
      <c r="L147" s="338">
        <f t="shared" si="55"/>
        <v>0</v>
      </c>
      <c r="M147" s="338">
        <f t="shared" si="55"/>
        <v>0</v>
      </c>
      <c r="N147" s="1604"/>
      <c r="O147" s="1605" t="s">
        <v>16</v>
      </c>
      <c r="P147" s="1683"/>
    </row>
    <row r="148" spans="1:23" s="1" customFormat="1" ht="47.25" customHeight="1" x14ac:dyDescent="0.3">
      <c r="A148" s="1682"/>
      <c r="B148" s="1541"/>
      <c r="C148" s="1601"/>
      <c r="D148" s="1603"/>
      <c r="E148" s="1603"/>
      <c r="F148" s="341"/>
      <c r="G148" s="332" t="s">
        <v>13</v>
      </c>
      <c r="H148" s="338">
        <f>I148+J148+K148+L148+M148</f>
        <v>38376.339999999997</v>
      </c>
      <c r="I148" s="338">
        <v>38376.339999999997</v>
      </c>
      <c r="J148" s="156"/>
      <c r="K148" s="156"/>
      <c r="L148" s="156"/>
      <c r="M148" s="156"/>
      <c r="N148" s="1604"/>
      <c r="O148" s="1606"/>
      <c r="P148" s="1683"/>
      <c r="W148" s="1">
        <v>1</v>
      </c>
    </row>
    <row r="149" spans="1:23" s="1" customFormat="1" ht="15" customHeight="1" x14ac:dyDescent="0.3">
      <c r="A149" s="1682"/>
      <c r="B149" s="1541"/>
      <c r="C149" s="1601"/>
      <c r="D149" s="1603"/>
      <c r="E149" s="1603"/>
      <c r="F149" s="341"/>
      <c r="G149" s="332" t="s">
        <v>3</v>
      </c>
      <c r="H149" s="338">
        <f>I149+J149+K149+L149+M149</f>
        <v>16447</v>
      </c>
      <c r="I149" s="338">
        <v>16447</v>
      </c>
      <c r="J149" s="156"/>
      <c r="K149" s="156"/>
      <c r="L149" s="156"/>
      <c r="M149" s="156"/>
      <c r="N149" s="1604"/>
      <c r="O149" s="1607"/>
      <c r="P149" s="1683"/>
      <c r="R149" s="1684" t="s">
        <v>679</v>
      </c>
      <c r="S149" s="217"/>
      <c r="T149" s="127">
        <f>T150+T151</f>
        <v>20023.73</v>
      </c>
    </row>
    <row r="150" spans="1:23" s="1" customFormat="1" ht="28.5" customHeight="1" x14ac:dyDescent="0.3">
      <c r="A150" s="1641" t="s">
        <v>832</v>
      </c>
      <c r="B150" s="1541" t="s">
        <v>316</v>
      </c>
      <c r="C150" s="1541"/>
      <c r="D150" s="1541"/>
      <c r="E150" s="1541"/>
      <c r="F150" s="1541"/>
      <c r="G150" s="332" t="s">
        <v>12</v>
      </c>
      <c r="H150" s="338">
        <f>H151+H152</f>
        <v>33006.68</v>
      </c>
      <c r="I150" s="338">
        <f t="shared" ref="I150:M150" si="56">I151+I152</f>
        <v>33006.68</v>
      </c>
      <c r="J150" s="338">
        <f t="shared" si="56"/>
        <v>0</v>
      </c>
      <c r="K150" s="338">
        <f t="shared" si="56"/>
        <v>0</v>
      </c>
      <c r="L150" s="338">
        <f t="shared" si="56"/>
        <v>0</v>
      </c>
      <c r="M150" s="338">
        <f t="shared" si="56"/>
        <v>0</v>
      </c>
      <c r="N150" s="1679"/>
      <c r="O150" s="1605"/>
      <c r="P150" s="1681">
        <v>4</v>
      </c>
      <c r="Q150" s="1" t="s">
        <v>1162</v>
      </c>
      <c r="R150" s="1685"/>
      <c r="S150" s="217">
        <v>0.65100000000000002</v>
      </c>
      <c r="T150" s="127">
        <f>E181*S150</f>
        <v>13035.45</v>
      </c>
    </row>
    <row r="151" spans="1:23" s="1" customFormat="1" ht="48.75" customHeight="1" x14ac:dyDescent="0.3">
      <c r="A151" s="1641"/>
      <c r="B151" s="1541"/>
      <c r="C151" s="1541"/>
      <c r="D151" s="1541"/>
      <c r="E151" s="1541"/>
      <c r="F151" s="1541"/>
      <c r="G151" s="332" t="s">
        <v>13</v>
      </c>
      <c r="H151" s="338">
        <f>I151+J151+K151+L151+M151</f>
        <v>27626.59</v>
      </c>
      <c r="I151" s="338">
        <f>I154+I157+I160+I163</f>
        <v>27626.59</v>
      </c>
      <c r="J151" s="338">
        <f t="shared" ref="J151:M152" si="57">J154+J157+J160+J163</f>
        <v>0</v>
      </c>
      <c r="K151" s="338">
        <f t="shared" si="57"/>
        <v>0</v>
      </c>
      <c r="L151" s="338">
        <f t="shared" si="57"/>
        <v>0</v>
      </c>
      <c r="M151" s="338">
        <f t="shared" si="57"/>
        <v>0</v>
      </c>
      <c r="N151" s="1679"/>
      <c r="O151" s="1606"/>
      <c r="P151" s="1681"/>
      <c r="R151" s="1686"/>
      <c r="S151" s="217">
        <v>0.34899999999999998</v>
      </c>
      <c r="T151" s="127">
        <f>E181*S151</f>
        <v>6988.28</v>
      </c>
    </row>
    <row r="152" spans="1:23" s="1" customFormat="1" ht="16.5" customHeight="1" x14ac:dyDescent="0.3">
      <c r="A152" s="1641"/>
      <c r="B152" s="1541"/>
      <c r="C152" s="1541"/>
      <c r="D152" s="1541"/>
      <c r="E152" s="1541"/>
      <c r="F152" s="1541"/>
      <c r="G152" s="332" t="s">
        <v>3</v>
      </c>
      <c r="H152" s="338">
        <f>I152+J152+K152+L152+M152</f>
        <v>5380.09</v>
      </c>
      <c r="I152" s="338">
        <f>I155+I158+I161+I164</f>
        <v>5380.09</v>
      </c>
      <c r="J152" s="338">
        <f t="shared" si="57"/>
        <v>0</v>
      </c>
      <c r="K152" s="338">
        <f t="shared" si="57"/>
        <v>0</v>
      </c>
      <c r="L152" s="338">
        <f t="shared" si="57"/>
        <v>0</v>
      </c>
      <c r="M152" s="338">
        <f t="shared" si="57"/>
        <v>0</v>
      </c>
      <c r="N152" s="1679"/>
      <c r="O152" s="1607"/>
      <c r="P152" s="1681"/>
    </row>
    <row r="153" spans="1:23" s="1" customFormat="1" ht="30.6" customHeight="1" x14ac:dyDescent="0.3">
      <c r="A153" s="1682" t="s">
        <v>1153</v>
      </c>
      <c r="B153" s="1541" t="s">
        <v>271</v>
      </c>
      <c r="C153" s="1601">
        <v>2018</v>
      </c>
      <c r="D153" s="1602"/>
      <c r="E153" s="1603">
        <f>H153</f>
        <v>8490</v>
      </c>
      <c r="F153" s="341"/>
      <c r="G153" s="332" t="s">
        <v>12</v>
      </c>
      <c r="H153" s="338">
        <f>H154+H155</f>
        <v>8490</v>
      </c>
      <c r="I153" s="338">
        <f>I154+I155</f>
        <v>8490</v>
      </c>
      <c r="J153" s="338">
        <f t="shared" ref="J153:M153" si="58">J154+J155</f>
        <v>0</v>
      </c>
      <c r="K153" s="338">
        <f t="shared" si="58"/>
        <v>0</v>
      </c>
      <c r="L153" s="338">
        <f t="shared" si="58"/>
        <v>0</v>
      </c>
      <c r="M153" s="338">
        <f t="shared" si="58"/>
        <v>0</v>
      </c>
      <c r="N153" s="1604"/>
      <c r="O153" s="1605" t="s">
        <v>16</v>
      </c>
      <c r="P153" s="1683"/>
    </row>
    <row r="154" spans="1:23" s="1" customFormat="1" ht="51" customHeight="1" x14ac:dyDescent="0.3">
      <c r="A154" s="1682"/>
      <c r="B154" s="1541"/>
      <c r="C154" s="1601"/>
      <c r="D154" s="1602"/>
      <c r="E154" s="1603"/>
      <c r="F154" s="341"/>
      <c r="G154" s="332" t="s">
        <v>13</v>
      </c>
      <c r="H154" s="338">
        <f>I154+J154+K154+L154+M154</f>
        <v>7106.13</v>
      </c>
      <c r="I154" s="338">
        <v>7106.13</v>
      </c>
      <c r="J154" s="156"/>
      <c r="K154" s="156"/>
      <c r="L154" s="156"/>
      <c r="M154" s="156"/>
      <c r="N154" s="1604"/>
      <c r="O154" s="1606"/>
      <c r="P154" s="1683"/>
      <c r="W154" s="1">
        <v>1</v>
      </c>
    </row>
    <row r="155" spans="1:23" s="1" customFormat="1" ht="33" customHeight="1" x14ac:dyDescent="0.3">
      <c r="A155" s="1682"/>
      <c r="B155" s="1541"/>
      <c r="C155" s="1601"/>
      <c r="D155" s="1602"/>
      <c r="E155" s="1603"/>
      <c r="F155" s="341"/>
      <c r="G155" s="332" t="s">
        <v>3</v>
      </c>
      <c r="H155" s="338">
        <f>I155+J155+K155+L155+M155</f>
        <v>1383.87</v>
      </c>
      <c r="I155" s="338">
        <v>1383.87</v>
      </c>
      <c r="J155" s="156"/>
      <c r="K155" s="156"/>
      <c r="L155" s="156"/>
      <c r="M155" s="156"/>
      <c r="N155" s="1604"/>
      <c r="O155" s="1607"/>
      <c r="P155" s="1683"/>
    </row>
    <row r="156" spans="1:23" s="1" customFormat="1" ht="16.5" customHeight="1" x14ac:dyDescent="0.3">
      <c r="A156" s="1682" t="s">
        <v>1171</v>
      </c>
      <c r="B156" s="1541" t="s">
        <v>272</v>
      </c>
      <c r="C156" s="1601">
        <v>2018</v>
      </c>
      <c r="D156" s="1602"/>
      <c r="E156" s="1603">
        <f>H156</f>
        <v>8300</v>
      </c>
      <c r="F156" s="341"/>
      <c r="G156" s="332" t="s">
        <v>12</v>
      </c>
      <c r="H156" s="338">
        <f>H157+H158</f>
        <v>8300</v>
      </c>
      <c r="I156" s="338">
        <f>I157+I158</f>
        <v>8300</v>
      </c>
      <c r="J156" s="338">
        <f t="shared" ref="J156:M156" si="59">J157+J158</f>
        <v>0</v>
      </c>
      <c r="K156" s="338">
        <f t="shared" si="59"/>
        <v>0</v>
      </c>
      <c r="L156" s="338">
        <f t="shared" si="59"/>
        <v>0</v>
      </c>
      <c r="M156" s="338">
        <f t="shared" si="59"/>
        <v>0</v>
      </c>
      <c r="N156" s="1604"/>
      <c r="O156" s="1605" t="s">
        <v>16</v>
      </c>
      <c r="P156" s="1683"/>
    </row>
    <row r="157" spans="1:23" s="1" customFormat="1" ht="28.5" customHeight="1" x14ac:dyDescent="0.3">
      <c r="A157" s="1682"/>
      <c r="B157" s="1541"/>
      <c r="C157" s="1601"/>
      <c r="D157" s="1602"/>
      <c r="E157" s="1603"/>
      <c r="F157" s="341"/>
      <c r="G157" s="332" t="s">
        <v>13</v>
      </c>
      <c r="H157" s="338">
        <f>I157+J157+K157+L157+M157</f>
        <v>6947.1</v>
      </c>
      <c r="I157" s="338">
        <v>6947.1</v>
      </c>
      <c r="J157" s="156"/>
      <c r="K157" s="156"/>
      <c r="L157" s="156"/>
      <c r="M157" s="156"/>
      <c r="N157" s="1604"/>
      <c r="O157" s="1606"/>
      <c r="P157" s="1683"/>
      <c r="W157" s="1">
        <v>1</v>
      </c>
    </row>
    <row r="158" spans="1:23" s="1" customFormat="1" ht="45.75" customHeight="1" x14ac:dyDescent="0.3">
      <c r="A158" s="1682"/>
      <c r="B158" s="1541"/>
      <c r="C158" s="1601"/>
      <c r="D158" s="1602"/>
      <c r="E158" s="1603"/>
      <c r="F158" s="341"/>
      <c r="G158" s="332" t="s">
        <v>3</v>
      </c>
      <c r="H158" s="338">
        <f>I158+J158+K158+L158+M158</f>
        <v>1352.9</v>
      </c>
      <c r="I158" s="338">
        <v>1352.9</v>
      </c>
      <c r="J158" s="156"/>
      <c r="K158" s="156"/>
      <c r="L158" s="156"/>
      <c r="M158" s="156"/>
      <c r="N158" s="1604"/>
      <c r="O158" s="1607"/>
      <c r="P158" s="1683"/>
    </row>
    <row r="159" spans="1:23" s="1" customFormat="1" ht="26.25" customHeight="1" x14ac:dyDescent="0.3">
      <c r="A159" s="1682" t="s">
        <v>1172</v>
      </c>
      <c r="B159" s="1541" t="s">
        <v>273</v>
      </c>
      <c r="C159" s="1601">
        <v>2018</v>
      </c>
      <c r="D159" s="1602"/>
      <c r="E159" s="1603">
        <f>H159</f>
        <v>8016.68</v>
      </c>
      <c r="F159" s="341"/>
      <c r="G159" s="332" t="s">
        <v>12</v>
      </c>
      <c r="H159" s="338">
        <f>H160+H161</f>
        <v>8016.68</v>
      </c>
      <c r="I159" s="338">
        <f>I160+I161</f>
        <v>8016.68</v>
      </c>
      <c r="J159" s="338">
        <f t="shared" ref="J159:M159" si="60">J160+J161</f>
        <v>0</v>
      </c>
      <c r="K159" s="338">
        <f t="shared" si="60"/>
        <v>0</v>
      </c>
      <c r="L159" s="338">
        <f t="shared" si="60"/>
        <v>0</v>
      </c>
      <c r="M159" s="338">
        <f t="shared" si="60"/>
        <v>0</v>
      </c>
      <c r="N159" s="1604"/>
      <c r="O159" s="1605" t="s">
        <v>16</v>
      </c>
      <c r="P159" s="1683"/>
    </row>
    <row r="160" spans="1:23" s="1" customFormat="1" ht="10.5" customHeight="1" x14ac:dyDescent="0.3">
      <c r="A160" s="1682"/>
      <c r="B160" s="1541"/>
      <c r="C160" s="1601"/>
      <c r="D160" s="1602"/>
      <c r="E160" s="1603"/>
      <c r="F160" s="341"/>
      <c r="G160" s="332" t="s">
        <v>13</v>
      </c>
      <c r="H160" s="338">
        <f>I160+J160+K160+L160+M160</f>
        <v>6709.96</v>
      </c>
      <c r="I160" s="338">
        <v>6709.96</v>
      </c>
      <c r="J160" s="156"/>
      <c r="K160" s="156"/>
      <c r="L160" s="156"/>
      <c r="M160" s="156"/>
      <c r="N160" s="1604"/>
      <c r="O160" s="1606"/>
      <c r="P160" s="1683"/>
      <c r="W160" s="1">
        <v>1</v>
      </c>
    </row>
    <row r="161" spans="1:23" s="1" customFormat="1" ht="25.5" customHeight="1" x14ac:dyDescent="0.3">
      <c r="A161" s="1682"/>
      <c r="B161" s="1541"/>
      <c r="C161" s="1601"/>
      <c r="D161" s="1602"/>
      <c r="E161" s="1603"/>
      <c r="F161" s="341"/>
      <c r="G161" s="332" t="s">
        <v>3</v>
      </c>
      <c r="H161" s="338">
        <f>I161+J161+K161+L161+M161</f>
        <v>1306.72</v>
      </c>
      <c r="I161" s="338">
        <v>1306.72</v>
      </c>
      <c r="J161" s="156"/>
      <c r="K161" s="156"/>
      <c r="L161" s="156"/>
      <c r="M161" s="156"/>
      <c r="N161" s="1604"/>
      <c r="O161" s="1607"/>
      <c r="P161" s="1683"/>
    </row>
    <row r="162" spans="1:23" s="1" customFormat="1" ht="48" customHeight="1" x14ac:dyDescent="0.3">
      <c r="A162" s="1682" t="s">
        <v>1173</v>
      </c>
      <c r="B162" s="1541" t="s">
        <v>274</v>
      </c>
      <c r="C162" s="1601">
        <v>2018</v>
      </c>
      <c r="D162" s="1602"/>
      <c r="E162" s="1603">
        <f>H162</f>
        <v>8200</v>
      </c>
      <c r="F162" s="341"/>
      <c r="G162" s="332" t="s">
        <v>12</v>
      </c>
      <c r="H162" s="338">
        <f>H163+H164</f>
        <v>8200</v>
      </c>
      <c r="I162" s="338">
        <f>I163+I164</f>
        <v>8200</v>
      </c>
      <c r="J162" s="338">
        <f t="shared" ref="J162:M162" si="61">J163+J164</f>
        <v>0</v>
      </c>
      <c r="K162" s="338">
        <f t="shared" si="61"/>
        <v>0</v>
      </c>
      <c r="L162" s="338">
        <f t="shared" si="61"/>
        <v>0</v>
      </c>
      <c r="M162" s="338">
        <f t="shared" si="61"/>
        <v>0</v>
      </c>
      <c r="N162" s="1604"/>
      <c r="O162" s="1605" t="s">
        <v>16</v>
      </c>
      <c r="P162" s="1683"/>
    </row>
    <row r="163" spans="1:23" s="1" customFormat="1" ht="13.5" customHeight="1" x14ac:dyDescent="0.3">
      <c r="A163" s="1682"/>
      <c r="B163" s="1541"/>
      <c r="C163" s="1601"/>
      <c r="D163" s="1602"/>
      <c r="E163" s="1603"/>
      <c r="F163" s="341"/>
      <c r="G163" s="332" t="s">
        <v>13</v>
      </c>
      <c r="H163" s="338">
        <f>I163+J163+K163+L163+M163</f>
        <v>6863.4</v>
      </c>
      <c r="I163" s="338">
        <v>6863.4</v>
      </c>
      <c r="J163" s="156"/>
      <c r="K163" s="156"/>
      <c r="L163" s="156"/>
      <c r="M163" s="156"/>
      <c r="N163" s="1604"/>
      <c r="O163" s="1606"/>
      <c r="P163" s="1683"/>
      <c r="W163" s="1">
        <v>1</v>
      </c>
    </row>
    <row r="164" spans="1:23" s="1" customFormat="1" ht="28.5" customHeight="1" x14ac:dyDescent="0.3">
      <c r="A164" s="1682"/>
      <c r="B164" s="1541"/>
      <c r="C164" s="1601"/>
      <c r="D164" s="1602"/>
      <c r="E164" s="1603"/>
      <c r="F164" s="341"/>
      <c r="G164" s="332" t="s">
        <v>3</v>
      </c>
      <c r="H164" s="338">
        <f>I164+J164+K164+L164+M164</f>
        <v>1336.6</v>
      </c>
      <c r="I164" s="338">
        <v>1336.6</v>
      </c>
      <c r="J164" s="156"/>
      <c r="K164" s="156"/>
      <c r="L164" s="156"/>
      <c r="M164" s="156"/>
      <c r="N164" s="1604"/>
      <c r="O164" s="1607"/>
      <c r="P164" s="1683"/>
    </row>
    <row r="165" spans="1:23" s="1" customFormat="1" ht="48.75" customHeight="1" x14ac:dyDescent="0.3">
      <c r="A165" s="1641" t="s">
        <v>720</v>
      </c>
      <c r="B165" s="1541" t="s">
        <v>1457</v>
      </c>
      <c r="C165" s="1541"/>
      <c r="D165" s="1541"/>
      <c r="E165" s="1541"/>
      <c r="F165" s="1541"/>
      <c r="G165" s="332" t="s">
        <v>12</v>
      </c>
      <c r="H165" s="338">
        <f>H166+H167+H168</f>
        <v>127807.3</v>
      </c>
      <c r="I165" s="338">
        <f>I166+I167+I168</f>
        <v>127807.3</v>
      </c>
      <c r="J165" s="338">
        <f t="shared" ref="J165:M165" si="62">J166+J167+J168</f>
        <v>0</v>
      </c>
      <c r="K165" s="338">
        <f t="shared" si="62"/>
        <v>0</v>
      </c>
      <c r="L165" s="338">
        <f t="shared" si="62"/>
        <v>0</v>
      </c>
      <c r="M165" s="338">
        <f t="shared" si="62"/>
        <v>0</v>
      </c>
      <c r="N165" s="1679"/>
      <c r="O165" s="1614"/>
      <c r="P165" s="1681">
        <v>4</v>
      </c>
      <c r="R165" s="1" t="s">
        <v>1162</v>
      </c>
    </row>
    <row r="166" spans="1:23" s="1" customFormat="1" ht="15.75" customHeight="1" x14ac:dyDescent="0.3">
      <c r="A166" s="1641"/>
      <c r="B166" s="1541"/>
      <c r="C166" s="1541"/>
      <c r="D166" s="1541"/>
      <c r="E166" s="1541"/>
      <c r="F166" s="1541"/>
      <c r="G166" s="332" t="s">
        <v>13</v>
      </c>
      <c r="H166" s="338">
        <f>I166+J166+K166+L166+M166</f>
        <v>83202.559999999998</v>
      </c>
      <c r="I166" s="338">
        <f>I170+I174+I178+I182</f>
        <v>83202.559999999998</v>
      </c>
      <c r="J166" s="338">
        <f t="shared" ref="J166:M167" si="63">J170+J174+J178</f>
        <v>0</v>
      </c>
      <c r="K166" s="338">
        <f t="shared" si="63"/>
        <v>0</v>
      </c>
      <c r="L166" s="338">
        <f t="shared" si="63"/>
        <v>0</v>
      </c>
      <c r="M166" s="338">
        <f t="shared" si="63"/>
        <v>0</v>
      </c>
      <c r="N166" s="1679"/>
      <c r="O166" s="1614"/>
      <c r="P166" s="1681"/>
    </row>
    <row r="167" spans="1:23" s="1" customFormat="1" ht="25.5" customHeight="1" x14ac:dyDescent="0.3">
      <c r="A167" s="1641"/>
      <c r="B167" s="1541"/>
      <c r="C167" s="1541"/>
      <c r="D167" s="1541"/>
      <c r="E167" s="1541"/>
      <c r="F167" s="1541"/>
      <c r="G167" s="332" t="s">
        <v>3</v>
      </c>
      <c r="H167" s="338">
        <f>I167+J167+K167+L167+M167</f>
        <v>11551.81</v>
      </c>
      <c r="I167" s="338">
        <f>I171+I175+I179+I183</f>
        <v>11551.81</v>
      </c>
      <c r="J167" s="338">
        <f t="shared" si="63"/>
        <v>0</v>
      </c>
      <c r="K167" s="338">
        <f t="shared" si="63"/>
        <v>0</v>
      </c>
      <c r="L167" s="338">
        <f t="shared" si="63"/>
        <v>0</v>
      </c>
      <c r="M167" s="338">
        <f t="shared" si="63"/>
        <v>0</v>
      </c>
      <c r="N167" s="1679"/>
      <c r="O167" s="1614"/>
      <c r="P167" s="1681"/>
    </row>
    <row r="168" spans="1:23" s="1" customFormat="1" ht="52.5" customHeight="1" x14ac:dyDescent="0.3">
      <c r="A168" s="1641"/>
      <c r="B168" s="1541"/>
      <c r="C168" s="1541"/>
      <c r="D168" s="1541"/>
      <c r="E168" s="1541"/>
      <c r="F168" s="1541"/>
      <c r="G168" s="332" t="s">
        <v>231</v>
      </c>
      <c r="H168" s="338">
        <f>I168+J168+K168+L168+M168</f>
        <v>33052.93</v>
      </c>
      <c r="I168" s="338">
        <f>I176+I172+I180+I184</f>
        <v>33052.93</v>
      </c>
      <c r="J168" s="338"/>
      <c r="K168" s="338"/>
      <c r="L168" s="338"/>
      <c r="M168" s="338"/>
      <c r="N168" s="1679"/>
      <c r="O168" s="1614"/>
      <c r="P168" s="1681"/>
    </row>
    <row r="169" spans="1:23" s="1" customFormat="1" ht="16.5" customHeight="1" x14ac:dyDescent="0.3">
      <c r="A169" s="1682" t="s">
        <v>941</v>
      </c>
      <c r="B169" s="1541" t="s">
        <v>676</v>
      </c>
      <c r="C169" s="1601">
        <v>2018</v>
      </c>
      <c r="D169" s="1602"/>
      <c r="E169" s="1603">
        <v>25053.61</v>
      </c>
      <c r="F169" s="341"/>
      <c r="G169" s="332" t="s">
        <v>12</v>
      </c>
      <c r="H169" s="338">
        <f>H170+H171+H172</f>
        <v>25053.61</v>
      </c>
      <c r="I169" s="1095">
        <f>I170+I171+I172</f>
        <v>25053.61</v>
      </c>
      <c r="J169" s="338">
        <f t="shared" ref="J169:M169" si="64">J170+J171</f>
        <v>0</v>
      </c>
      <c r="K169" s="338">
        <f t="shared" si="64"/>
        <v>0</v>
      </c>
      <c r="L169" s="338">
        <f t="shared" si="64"/>
        <v>0</v>
      </c>
      <c r="M169" s="338">
        <f t="shared" si="64"/>
        <v>0</v>
      </c>
      <c r="N169" s="1604"/>
      <c r="O169" s="1605" t="s">
        <v>16</v>
      </c>
      <c r="P169" s="1683"/>
    </row>
    <row r="170" spans="1:23" s="1" customFormat="1" ht="28.5" customHeight="1" x14ac:dyDescent="0.3">
      <c r="A170" s="1682"/>
      <c r="B170" s="1541"/>
      <c r="C170" s="1601"/>
      <c r="D170" s="1602"/>
      <c r="E170" s="1603"/>
      <c r="F170" s="341"/>
      <c r="G170" s="332" t="s">
        <v>13</v>
      </c>
      <c r="H170" s="1105">
        <f>I170+J170+K170+L170+M170</f>
        <v>16309.9</v>
      </c>
      <c r="I170" s="1105">
        <v>16309.9</v>
      </c>
      <c r="J170" s="156"/>
      <c r="K170" s="156"/>
      <c r="L170" s="156"/>
      <c r="M170" s="156"/>
      <c r="N170" s="1604"/>
      <c r="O170" s="1606"/>
      <c r="P170" s="1683"/>
      <c r="W170" s="1">
        <v>1</v>
      </c>
    </row>
    <row r="171" spans="1:23" s="1" customFormat="1" ht="48.75" customHeight="1" x14ac:dyDescent="0.3">
      <c r="A171" s="1682"/>
      <c r="B171" s="1541"/>
      <c r="C171" s="1601"/>
      <c r="D171" s="1602"/>
      <c r="E171" s="1603"/>
      <c r="F171" s="341"/>
      <c r="G171" s="332" t="s">
        <v>3</v>
      </c>
      <c r="H171" s="1105">
        <f>I171+J171+K171+L171+M171</f>
        <v>2505.21</v>
      </c>
      <c r="I171" s="1105">
        <f>(8743.71*0)+8743.71-6238.5</f>
        <v>2505.21</v>
      </c>
      <c r="J171" s="156"/>
      <c r="K171" s="156"/>
      <c r="L171" s="156"/>
      <c r="M171" s="156"/>
      <c r="N171" s="1604"/>
      <c r="O171" s="1606"/>
      <c r="P171" s="1683"/>
      <c r="Q171" s="1">
        <f>I171/I169</f>
        <v>9.99939729244608E-2</v>
      </c>
    </row>
    <row r="172" spans="1:23" s="1" customFormat="1" ht="48.75" customHeight="1" x14ac:dyDescent="0.3">
      <c r="A172" s="1101"/>
      <c r="B172" s="1094"/>
      <c r="C172" s="1097"/>
      <c r="D172" s="1098"/>
      <c r="E172" s="1096"/>
      <c r="F172" s="1098"/>
      <c r="G172" s="1094" t="s">
        <v>231</v>
      </c>
      <c r="H172" s="1095">
        <f>I172+J172+K172+L172+M172</f>
        <v>6238.5</v>
      </c>
      <c r="I172" s="1095">
        <v>6238.5</v>
      </c>
      <c r="J172" s="156"/>
      <c r="K172" s="156"/>
      <c r="L172" s="156"/>
      <c r="M172" s="156"/>
      <c r="N172" s="1102"/>
      <c r="O172" s="1099"/>
      <c r="P172" s="1103"/>
    </row>
    <row r="173" spans="1:23" s="1" customFormat="1" ht="15" customHeight="1" x14ac:dyDescent="0.3">
      <c r="A173" s="1682" t="s">
        <v>1174</v>
      </c>
      <c r="B173" s="1541" t="s">
        <v>673</v>
      </c>
      <c r="C173" s="1601">
        <v>2018</v>
      </c>
      <c r="D173" s="1602"/>
      <c r="E173" s="1603">
        <v>70397.83</v>
      </c>
      <c r="F173" s="341"/>
      <c r="G173" s="332" t="s">
        <v>12</v>
      </c>
      <c r="H173" s="338">
        <f>H174+H175+H176</f>
        <v>70397.83</v>
      </c>
      <c r="I173" s="338">
        <f>I174+I175+I176</f>
        <v>70397.83</v>
      </c>
      <c r="J173" s="338">
        <f t="shared" ref="J173:M173" si="65">J174+J175+J176</f>
        <v>0</v>
      </c>
      <c r="K173" s="338">
        <f t="shared" si="65"/>
        <v>0</v>
      </c>
      <c r="L173" s="338">
        <f t="shared" si="65"/>
        <v>0</v>
      </c>
      <c r="M173" s="338">
        <f t="shared" si="65"/>
        <v>0</v>
      </c>
      <c r="N173" s="1604"/>
      <c r="O173" s="1614" t="s">
        <v>16</v>
      </c>
      <c r="P173" s="1687"/>
    </row>
    <row r="174" spans="1:23" s="1" customFormat="1" ht="28.5" customHeight="1" x14ac:dyDescent="0.3">
      <c r="A174" s="1682"/>
      <c r="B174" s="1541"/>
      <c r="C174" s="1601"/>
      <c r="D174" s="1602"/>
      <c r="E174" s="1603"/>
      <c r="F174" s="341"/>
      <c r="G174" s="332" t="s">
        <v>13</v>
      </c>
      <c r="H174" s="338">
        <f>I174+J174+K174+L174+M174</f>
        <v>45828.99</v>
      </c>
      <c r="I174" s="338">
        <v>45828.99</v>
      </c>
      <c r="J174" s="156"/>
      <c r="K174" s="156"/>
      <c r="L174" s="156"/>
      <c r="M174" s="156"/>
      <c r="N174" s="1604"/>
      <c r="O174" s="1614"/>
      <c r="P174" s="1688"/>
      <c r="W174" s="1">
        <v>1</v>
      </c>
    </row>
    <row r="175" spans="1:23" s="1" customFormat="1" ht="50.25" customHeight="1" x14ac:dyDescent="0.3">
      <c r="A175" s="1682"/>
      <c r="B175" s="1541"/>
      <c r="C175" s="1601"/>
      <c r="D175" s="1602"/>
      <c r="E175" s="1603"/>
      <c r="F175" s="341"/>
      <c r="G175" s="332" t="s">
        <v>3</v>
      </c>
      <c r="H175" s="1105">
        <f>I175+J175+K175+L175+M175</f>
        <v>5811.2</v>
      </c>
      <c r="I175" s="1105">
        <f>(12284.42*0)+5811.2</f>
        <v>5811.2</v>
      </c>
      <c r="J175" s="156"/>
      <c r="K175" s="156"/>
      <c r="L175" s="156"/>
      <c r="M175" s="156"/>
      <c r="N175" s="1604"/>
      <c r="O175" s="1614"/>
      <c r="P175" s="1688"/>
      <c r="Q175" s="105"/>
    </row>
    <row r="176" spans="1:23" s="1" customFormat="1" ht="15" customHeight="1" x14ac:dyDescent="0.3">
      <c r="A176" s="1682"/>
      <c r="B176" s="1541"/>
      <c r="C176" s="1601"/>
      <c r="D176" s="1602"/>
      <c r="E176" s="1603"/>
      <c r="F176" s="156"/>
      <c r="G176" s="332" t="s">
        <v>231</v>
      </c>
      <c r="H176" s="1105">
        <f>I176+J176+K176+L176+M176</f>
        <v>18757.64</v>
      </c>
      <c r="I176" s="1105">
        <f>(12284.42*0)+18757.64</f>
        <v>18757.64</v>
      </c>
      <c r="J176" s="156"/>
      <c r="K176" s="156"/>
      <c r="L176" s="156"/>
      <c r="M176" s="156"/>
      <c r="N176" s="159"/>
      <c r="O176" s="1614"/>
      <c r="P176" s="1689"/>
    </row>
    <row r="177" spans="1:23" s="1" customFormat="1" ht="28.5" customHeight="1" x14ac:dyDescent="0.3">
      <c r="A177" s="1682" t="s">
        <v>1175</v>
      </c>
      <c r="B177" s="1541" t="s">
        <v>677</v>
      </c>
      <c r="C177" s="1601">
        <v>2018</v>
      </c>
      <c r="D177" s="1602"/>
      <c r="E177" s="1603">
        <v>12332.13</v>
      </c>
      <c r="F177" s="341"/>
      <c r="G177" s="332" t="s">
        <v>12</v>
      </c>
      <c r="H177" s="338">
        <f>H178+H179+H180</f>
        <v>12332.13</v>
      </c>
      <c r="I177" s="338">
        <f>I178+I179+I180</f>
        <v>12332.13</v>
      </c>
      <c r="J177" s="338">
        <f t="shared" ref="J177:M177" si="66">J178+J179</f>
        <v>0</v>
      </c>
      <c r="K177" s="338">
        <f t="shared" si="66"/>
        <v>0</v>
      </c>
      <c r="L177" s="338">
        <f t="shared" si="66"/>
        <v>0</v>
      </c>
      <c r="M177" s="338">
        <f t="shared" si="66"/>
        <v>0</v>
      </c>
      <c r="N177" s="1604"/>
      <c r="O177" s="1605" t="s">
        <v>16</v>
      </c>
      <c r="P177" s="1683"/>
    </row>
    <row r="178" spans="1:23" s="1" customFormat="1" ht="26.25" customHeight="1" x14ac:dyDescent="0.3">
      <c r="A178" s="1682"/>
      <c r="B178" s="1541"/>
      <c r="C178" s="1601"/>
      <c r="D178" s="1602"/>
      <c r="E178" s="1603"/>
      <c r="F178" s="341"/>
      <c r="G178" s="332" t="s">
        <v>13</v>
      </c>
      <c r="H178" s="338">
        <f>I178+J178+K178+L178+M178</f>
        <v>8028.22</v>
      </c>
      <c r="I178" s="338">
        <v>8028.22</v>
      </c>
      <c r="J178" s="156"/>
      <c r="K178" s="156"/>
      <c r="L178" s="156"/>
      <c r="M178" s="156"/>
      <c r="N178" s="1604"/>
      <c r="O178" s="1606"/>
      <c r="P178" s="1683"/>
      <c r="W178" s="1">
        <v>1</v>
      </c>
    </row>
    <row r="179" spans="1:23" s="1" customFormat="1" ht="43.5" customHeight="1" x14ac:dyDescent="0.3">
      <c r="A179" s="1682"/>
      <c r="B179" s="1541"/>
      <c r="C179" s="1601"/>
      <c r="D179" s="1602"/>
      <c r="E179" s="1603"/>
      <c r="F179" s="341"/>
      <c r="G179" s="332" t="s">
        <v>3</v>
      </c>
      <c r="H179" s="1105">
        <f>I179+J179+K179+L179+M179</f>
        <v>1233.0999999999999</v>
      </c>
      <c r="I179" s="1105">
        <f>(4303.91*0)+1233.1</f>
        <v>1233.0999999999999</v>
      </c>
      <c r="J179" s="156"/>
      <c r="K179" s="156"/>
      <c r="L179" s="156"/>
      <c r="M179" s="156"/>
      <c r="N179" s="1604"/>
      <c r="O179" s="1606"/>
      <c r="P179" s="1683"/>
      <c r="Q179" s="1">
        <f>I179/I177</f>
        <v>9.9990836943820702E-2</v>
      </c>
    </row>
    <row r="180" spans="1:23" s="1" customFormat="1" ht="43.5" customHeight="1" x14ac:dyDescent="0.3">
      <c r="A180" s="1101"/>
      <c r="B180" s="1092"/>
      <c r="C180" s="1097"/>
      <c r="D180" s="1098"/>
      <c r="E180" s="1096"/>
      <c r="F180" s="1098"/>
      <c r="G180" s="1094" t="s">
        <v>231</v>
      </c>
      <c r="H180" s="1105">
        <f>I180+J180+K180+L180+M180</f>
        <v>3070.81</v>
      </c>
      <c r="I180" s="1105">
        <v>3070.81</v>
      </c>
      <c r="J180" s="156"/>
      <c r="K180" s="156"/>
      <c r="L180" s="156"/>
      <c r="M180" s="156"/>
      <c r="N180" s="1102"/>
      <c r="O180" s="1099"/>
      <c r="P180" s="1103"/>
    </row>
    <row r="181" spans="1:23" s="1" customFormat="1" ht="18.75" customHeight="1" x14ac:dyDescent="0.3">
      <c r="A181" s="1682" t="s">
        <v>1176</v>
      </c>
      <c r="B181" s="1541" t="s">
        <v>944</v>
      </c>
      <c r="C181" s="1601">
        <v>2018</v>
      </c>
      <c r="D181" s="1602"/>
      <c r="E181" s="1603">
        <v>20023.73</v>
      </c>
      <c r="F181" s="341"/>
      <c r="G181" s="332" t="s">
        <v>12</v>
      </c>
      <c r="H181" s="338">
        <f>H182+H183+H184</f>
        <v>20023.73</v>
      </c>
      <c r="I181" s="338">
        <f>I182+I183+I184</f>
        <v>20023.73</v>
      </c>
      <c r="J181" s="338">
        <f t="shared" ref="J181:M181" si="67">J182+J183</f>
        <v>0</v>
      </c>
      <c r="K181" s="338">
        <f t="shared" si="67"/>
        <v>0</v>
      </c>
      <c r="L181" s="338">
        <f t="shared" si="67"/>
        <v>0</v>
      </c>
      <c r="M181" s="338">
        <f t="shared" si="67"/>
        <v>0</v>
      </c>
      <c r="N181" s="1604"/>
      <c r="O181" s="1605" t="s">
        <v>16</v>
      </c>
      <c r="P181" s="1687"/>
      <c r="Q181" s="1690"/>
    </row>
    <row r="182" spans="1:23" s="1" customFormat="1" ht="24.75" customHeight="1" x14ac:dyDescent="0.3">
      <c r="A182" s="1682"/>
      <c r="B182" s="1541"/>
      <c r="C182" s="1601"/>
      <c r="D182" s="1602"/>
      <c r="E182" s="1603"/>
      <c r="F182" s="341"/>
      <c r="G182" s="332" t="s">
        <v>13</v>
      </c>
      <c r="H182" s="338">
        <f>I182+J182+K182+L182+M182</f>
        <v>13035.45</v>
      </c>
      <c r="I182" s="338">
        <f>13035.45</f>
        <v>13035.45</v>
      </c>
      <c r="J182" s="156"/>
      <c r="K182" s="156"/>
      <c r="L182" s="156"/>
      <c r="M182" s="156"/>
      <c r="N182" s="1604"/>
      <c r="O182" s="1606"/>
      <c r="P182" s="1688"/>
      <c r="Q182" s="1691"/>
      <c r="W182" s="1">
        <v>1</v>
      </c>
    </row>
    <row r="183" spans="1:23" s="1" customFormat="1" ht="42" customHeight="1" x14ac:dyDescent="0.3">
      <c r="A183" s="1682"/>
      <c r="B183" s="1541"/>
      <c r="C183" s="1601"/>
      <c r="D183" s="1602"/>
      <c r="E183" s="1603"/>
      <c r="F183" s="341"/>
      <c r="G183" s="332" t="s">
        <v>3</v>
      </c>
      <c r="H183" s="1105">
        <f>I183+J183+K183+L183+M183</f>
        <v>2002.3</v>
      </c>
      <c r="I183" s="1105">
        <f>(6988.28*0)+2002.3</f>
        <v>2002.3</v>
      </c>
      <c r="J183" s="156"/>
      <c r="K183" s="156"/>
      <c r="L183" s="156"/>
      <c r="M183" s="156"/>
      <c r="N183" s="1604"/>
      <c r="O183" s="1607"/>
      <c r="P183" s="1689"/>
      <c r="Q183" s="1692"/>
    </row>
    <row r="184" spans="1:23" s="1" customFormat="1" ht="42" customHeight="1" x14ac:dyDescent="0.3">
      <c r="A184" s="1101"/>
      <c r="B184" s="1094"/>
      <c r="C184" s="1097"/>
      <c r="D184" s="1098"/>
      <c r="E184" s="1096"/>
      <c r="F184" s="1098"/>
      <c r="G184" s="1094" t="s">
        <v>231</v>
      </c>
      <c r="H184" s="1105">
        <v>4985.9799999999996</v>
      </c>
      <c r="I184" s="1105">
        <v>4985.9799999999996</v>
      </c>
      <c r="J184" s="156"/>
      <c r="K184" s="156"/>
      <c r="L184" s="156"/>
      <c r="M184" s="156"/>
      <c r="N184" s="1102"/>
      <c r="O184" s="1099"/>
      <c r="P184" s="1104"/>
      <c r="Q184" s="1160"/>
    </row>
    <row r="185" spans="1:23" s="1" customFormat="1" ht="20.25" customHeight="1" x14ac:dyDescent="0.3">
      <c r="A185" s="1682" t="s">
        <v>833</v>
      </c>
      <c r="B185" s="1541" t="s">
        <v>1537</v>
      </c>
      <c r="C185" s="1541"/>
      <c r="D185" s="1541"/>
      <c r="E185" s="1541"/>
      <c r="F185" s="1541"/>
      <c r="G185" s="332" t="s">
        <v>12</v>
      </c>
      <c r="H185" s="338">
        <f>H186+H187+H188</f>
        <v>25936.03</v>
      </c>
      <c r="I185" s="338">
        <f>I186+I187+I188</f>
        <v>25936.03</v>
      </c>
      <c r="J185" s="338">
        <f t="shared" ref="J185:M185" si="68">J186+J187+J188</f>
        <v>0</v>
      </c>
      <c r="K185" s="338">
        <f t="shared" si="68"/>
        <v>0</v>
      </c>
      <c r="L185" s="338">
        <f t="shared" si="68"/>
        <v>0</v>
      </c>
      <c r="M185" s="338">
        <f t="shared" si="68"/>
        <v>0</v>
      </c>
      <c r="N185" s="1679"/>
      <c r="O185" s="1606"/>
      <c r="P185" s="1681">
        <v>1</v>
      </c>
      <c r="R185" s="1" t="s">
        <v>1144</v>
      </c>
    </row>
    <row r="186" spans="1:23" s="1" customFormat="1" ht="22.5" customHeight="1" x14ac:dyDescent="0.3">
      <c r="A186" s="1682"/>
      <c r="B186" s="1541"/>
      <c r="C186" s="1541"/>
      <c r="D186" s="1541"/>
      <c r="E186" s="1541"/>
      <c r="F186" s="1541"/>
      <c r="G186" s="332" t="s">
        <v>13</v>
      </c>
      <c r="H186" s="338">
        <f>I186+J186+K186+L186+M186</f>
        <v>20671.009999999998</v>
      </c>
      <c r="I186" s="338">
        <f>I190</f>
        <v>20671.009999999998</v>
      </c>
      <c r="J186" s="338">
        <f t="shared" ref="J186:M188" si="69">J190</f>
        <v>0</v>
      </c>
      <c r="K186" s="338">
        <f t="shared" si="69"/>
        <v>0</v>
      </c>
      <c r="L186" s="338">
        <f t="shared" si="69"/>
        <v>0</v>
      </c>
      <c r="M186" s="338">
        <f t="shared" si="69"/>
        <v>0</v>
      </c>
      <c r="N186" s="1679"/>
      <c r="O186" s="1606"/>
      <c r="P186" s="1681"/>
    </row>
    <row r="187" spans="1:23" s="1" customFormat="1" ht="34.5" customHeight="1" x14ac:dyDescent="0.3">
      <c r="A187" s="1682"/>
      <c r="B187" s="1541"/>
      <c r="C187" s="1541"/>
      <c r="D187" s="1541"/>
      <c r="E187" s="1541"/>
      <c r="F187" s="1541"/>
      <c r="G187" s="332" t="s">
        <v>3</v>
      </c>
      <c r="H187" s="338">
        <f t="shared" ref="H187:H188" si="70">I187+J187+K187+L187+M187</f>
        <v>2632.51</v>
      </c>
      <c r="I187" s="338">
        <f>I191</f>
        <v>2632.51</v>
      </c>
      <c r="J187" s="338">
        <f t="shared" si="69"/>
        <v>0</v>
      </c>
      <c r="K187" s="338">
        <f t="shared" si="69"/>
        <v>0</v>
      </c>
      <c r="L187" s="338">
        <f t="shared" si="69"/>
        <v>0</v>
      </c>
      <c r="M187" s="338">
        <f t="shared" si="69"/>
        <v>0</v>
      </c>
      <c r="N187" s="1679"/>
      <c r="O187" s="1606"/>
      <c r="P187" s="1681"/>
    </row>
    <row r="188" spans="1:23" s="1" customFormat="1" ht="30.6" customHeight="1" x14ac:dyDescent="0.3">
      <c r="A188" s="1682"/>
      <c r="B188" s="1541"/>
      <c r="C188" s="1541"/>
      <c r="D188" s="1541"/>
      <c r="E188" s="1541"/>
      <c r="F188" s="1541"/>
      <c r="G188" s="332" t="s">
        <v>231</v>
      </c>
      <c r="H188" s="338">
        <f t="shared" si="70"/>
        <v>2632.51</v>
      </c>
      <c r="I188" s="338">
        <f>I192</f>
        <v>2632.51</v>
      </c>
      <c r="J188" s="338">
        <f t="shared" si="69"/>
        <v>0</v>
      </c>
      <c r="K188" s="338">
        <f t="shared" si="69"/>
        <v>0</v>
      </c>
      <c r="L188" s="338">
        <f t="shared" si="69"/>
        <v>0</v>
      </c>
      <c r="M188" s="338">
        <f t="shared" si="69"/>
        <v>0</v>
      </c>
      <c r="N188" s="1679"/>
      <c r="O188" s="1607"/>
      <c r="P188" s="1681"/>
    </row>
    <row r="189" spans="1:23" s="1" customFormat="1" ht="21.75" customHeight="1" x14ac:dyDescent="0.3">
      <c r="A189" s="1682" t="s">
        <v>942</v>
      </c>
      <c r="B189" s="1541" t="s">
        <v>678</v>
      </c>
      <c r="C189" s="1601">
        <v>2018</v>
      </c>
      <c r="D189" s="1602"/>
      <c r="E189" s="1603">
        <f>H189</f>
        <v>25936.03</v>
      </c>
      <c r="F189" s="341"/>
      <c r="G189" s="332" t="s">
        <v>12</v>
      </c>
      <c r="H189" s="338">
        <f>H190+H191+H192</f>
        <v>25936.03</v>
      </c>
      <c r="I189" s="338">
        <f>I190+I191+I192</f>
        <v>25936.03</v>
      </c>
      <c r="J189" s="338">
        <f t="shared" ref="J189:M189" si="71">J190+J191+J192</f>
        <v>0</v>
      </c>
      <c r="K189" s="338">
        <f t="shared" si="71"/>
        <v>0</v>
      </c>
      <c r="L189" s="338">
        <f t="shared" si="71"/>
        <v>0</v>
      </c>
      <c r="M189" s="338">
        <f t="shared" si="71"/>
        <v>0</v>
      </c>
      <c r="N189" s="1604"/>
      <c r="O189" s="1614" t="s">
        <v>16</v>
      </c>
      <c r="P189" s="1683"/>
    </row>
    <row r="190" spans="1:23" s="1" customFormat="1" ht="30.75" customHeight="1" x14ac:dyDescent="0.3">
      <c r="A190" s="1682"/>
      <c r="B190" s="1541"/>
      <c r="C190" s="1601"/>
      <c r="D190" s="1602"/>
      <c r="E190" s="1603"/>
      <c r="F190" s="341"/>
      <c r="G190" s="332" t="s">
        <v>13</v>
      </c>
      <c r="H190" s="338">
        <f>I190+J190+K190+L190+M190</f>
        <v>20671.009999999998</v>
      </c>
      <c r="I190" s="338">
        <v>20671.009999999998</v>
      </c>
      <c r="J190" s="156"/>
      <c r="K190" s="156"/>
      <c r="L190" s="156"/>
      <c r="M190" s="156"/>
      <c r="N190" s="1604"/>
      <c r="O190" s="1614"/>
      <c r="P190" s="1683"/>
      <c r="W190" s="1">
        <v>1</v>
      </c>
    </row>
    <row r="191" spans="1:23" s="1" customFormat="1" ht="28.5" customHeight="1" x14ac:dyDescent="0.3">
      <c r="A191" s="1682"/>
      <c r="B191" s="1541"/>
      <c r="C191" s="1601"/>
      <c r="D191" s="1602"/>
      <c r="E191" s="1603"/>
      <c r="F191" s="341"/>
      <c r="G191" s="332" t="s">
        <v>3</v>
      </c>
      <c r="H191" s="338">
        <f>I191+J191+K191+L191+M191</f>
        <v>2632.51</v>
      </c>
      <c r="I191" s="338">
        <v>2632.51</v>
      </c>
      <c r="J191" s="156"/>
      <c r="K191" s="156"/>
      <c r="L191" s="156"/>
      <c r="M191" s="156"/>
      <c r="N191" s="1604"/>
      <c r="O191" s="1614"/>
      <c r="P191" s="1683"/>
      <c r="Q191" s="105"/>
    </row>
    <row r="192" spans="1:23" s="1" customFormat="1" ht="30" customHeight="1" x14ac:dyDescent="0.3">
      <c r="A192" s="1682"/>
      <c r="B192" s="1541"/>
      <c r="C192" s="1601"/>
      <c r="D192" s="1602"/>
      <c r="E192" s="1603"/>
      <c r="F192" s="156"/>
      <c r="G192" s="332" t="s">
        <v>231</v>
      </c>
      <c r="H192" s="338">
        <f>I192+J192+K192+L192+M192</f>
        <v>2632.51</v>
      </c>
      <c r="I192" s="338">
        <v>2632.51</v>
      </c>
      <c r="J192" s="156"/>
      <c r="K192" s="156"/>
      <c r="L192" s="156"/>
      <c r="M192" s="156"/>
      <c r="N192" s="1604"/>
      <c r="O192" s="1614"/>
      <c r="P192" s="80"/>
    </row>
    <row r="193" spans="1:23" s="1" customFormat="1" ht="21" customHeight="1" x14ac:dyDescent="0.3">
      <c r="A193" s="1641" t="s">
        <v>835</v>
      </c>
      <c r="B193" s="1541" t="s">
        <v>323</v>
      </c>
      <c r="C193" s="1541"/>
      <c r="D193" s="1541"/>
      <c r="E193" s="1541"/>
      <c r="F193" s="1541"/>
      <c r="G193" s="332" t="s">
        <v>12</v>
      </c>
      <c r="H193" s="936">
        <f>H194+H195</f>
        <v>27683.73</v>
      </c>
      <c r="I193" s="936">
        <f t="shared" ref="I193:M193" si="72">I194+I195</f>
        <v>27683.73</v>
      </c>
      <c r="J193" s="338">
        <f t="shared" si="72"/>
        <v>0</v>
      </c>
      <c r="K193" s="338">
        <f t="shared" si="72"/>
        <v>0</v>
      </c>
      <c r="L193" s="338">
        <f t="shared" si="72"/>
        <v>0</v>
      </c>
      <c r="M193" s="338">
        <f t="shared" si="72"/>
        <v>0</v>
      </c>
      <c r="N193" s="1679"/>
      <c r="O193" s="1605"/>
      <c r="P193" s="1681">
        <v>3</v>
      </c>
      <c r="R193" s="1" t="s">
        <v>1166</v>
      </c>
    </row>
    <row r="194" spans="1:23" s="1" customFormat="1" ht="28.5" customHeight="1" x14ac:dyDescent="0.3">
      <c r="A194" s="1641"/>
      <c r="B194" s="1541"/>
      <c r="C194" s="1541"/>
      <c r="D194" s="1541"/>
      <c r="E194" s="1541"/>
      <c r="F194" s="1541"/>
      <c r="G194" s="332" t="s">
        <v>13</v>
      </c>
      <c r="H194" s="936">
        <f>I194+J194+K194+L194+M194</f>
        <v>22617.61</v>
      </c>
      <c r="I194" s="936">
        <f>I197+I200+I203+I206</f>
        <v>22617.61</v>
      </c>
      <c r="J194" s="338">
        <f t="shared" ref="J194:M195" si="73">J197+J200+J203</f>
        <v>0</v>
      </c>
      <c r="K194" s="338">
        <f t="shared" si="73"/>
        <v>0</v>
      </c>
      <c r="L194" s="338">
        <f t="shared" si="73"/>
        <v>0</v>
      </c>
      <c r="M194" s="338">
        <f t="shared" si="73"/>
        <v>0</v>
      </c>
      <c r="N194" s="1679"/>
      <c r="O194" s="1606"/>
      <c r="P194" s="1681"/>
    </row>
    <row r="195" spans="1:23" s="1" customFormat="1" ht="48" customHeight="1" x14ac:dyDescent="0.3">
      <c r="A195" s="1641"/>
      <c r="B195" s="1541"/>
      <c r="C195" s="1541"/>
      <c r="D195" s="1541"/>
      <c r="E195" s="1541"/>
      <c r="F195" s="1541"/>
      <c r="G195" s="332" t="s">
        <v>3</v>
      </c>
      <c r="H195" s="936">
        <f>I195+J195+K195+L195+M195</f>
        <v>5066.12</v>
      </c>
      <c r="I195" s="936">
        <f>I198+I201+I204+I207</f>
        <v>5066.12</v>
      </c>
      <c r="J195" s="338">
        <f t="shared" si="73"/>
        <v>0</v>
      </c>
      <c r="K195" s="338">
        <f t="shared" si="73"/>
        <v>0</v>
      </c>
      <c r="L195" s="338">
        <f t="shared" si="73"/>
        <v>0</v>
      </c>
      <c r="M195" s="338">
        <f t="shared" si="73"/>
        <v>0</v>
      </c>
      <c r="N195" s="1679"/>
      <c r="O195" s="1607"/>
      <c r="P195" s="1681"/>
    </row>
    <row r="196" spans="1:23" s="1" customFormat="1" ht="21" customHeight="1" x14ac:dyDescent="0.3">
      <c r="A196" s="1682" t="s">
        <v>1157</v>
      </c>
      <c r="B196" s="1541" t="s">
        <v>681</v>
      </c>
      <c r="C196" s="1601">
        <v>2018</v>
      </c>
      <c r="D196" s="1602"/>
      <c r="E196" s="1603">
        <f>H196</f>
        <v>3157.35</v>
      </c>
      <c r="F196" s="341"/>
      <c r="G196" s="332" t="s">
        <v>12</v>
      </c>
      <c r="H196" s="338">
        <f>H197+H198</f>
        <v>3157.35</v>
      </c>
      <c r="I196" s="338">
        <f t="shared" ref="I196:M196" si="74">I197+I198</f>
        <v>3157.35</v>
      </c>
      <c r="J196" s="338">
        <f t="shared" si="74"/>
        <v>0</v>
      </c>
      <c r="K196" s="338">
        <f t="shared" si="74"/>
        <v>0</v>
      </c>
      <c r="L196" s="338">
        <f t="shared" si="74"/>
        <v>0</v>
      </c>
      <c r="M196" s="338">
        <f t="shared" si="74"/>
        <v>0</v>
      </c>
      <c r="N196" s="1604"/>
      <c r="O196" s="1605" t="s">
        <v>16</v>
      </c>
      <c r="P196" s="1683"/>
    </row>
    <row r="197" spans="1:23" s="1" customFormat="1" ht="28.5" customHeight="1" x14ac:dyDescent="0.3">
      <c r="A197" s="1682"/>
      <c r="B197" s="1541"/>
      <c r="C197" s="1601"/>
      <c r="D197" s="1602"/>
      <c r="E197" s="1603"/>
      <c r="F197" s="341"/>
      <c r="G197" s="332" t="s">
        <v>13</v>
      </c>
      <c r="H197" s="338">
        <f>I197+J197+K197+L197+M197</f>
        <v>2579.5500000000002</v>
      </c>
      <c r="I197" s="338">
        <v>2579.5500000000002</v>
      </c>
      <c r="J197" s="156"/>
      <c r="K197" s="156"/>
      <c r="L197" s="156"/>
      <c r="M197" s="156"/>
      <c r="N197" s="1604"/>
      <c r="O197" s="1606"/>
      <c r="P197" s="1683"/>
      <c r="W197" s="1">
        <v>1</v>
      </c>
    </row>
    <row r="198" spans="1:23" s="1" customFormat="1" ht="53.25" customHeight="1" x14ac:dyDescent="0.3">
      <c r="A198" s="1682"/>
      <c r="B198" s="1541"/>
      <c r="C198" s="1601"/>
      <c r="D198" s="1602"/>
      <c r="E198" s="1603"/>
      <c r="F198" s="341"/>
      <c r="G198" s="332" t="s">
        <v>3</v>
      </c>
      <c r="H198" s="338">
        <f>I198+J198+K198+L198+M198</f>
        <v>577.79999999999995</v>
      </c>
      <c r="I198" s="338">
        <v>577.79999999999995</v>
      </c>
      <c r="J198" s="156"/>
      <c r="K198" s="156"/>
      <c r="L198" s="156"/>
      <c r="M198" s="156"/>
      <c r="N198" s="1604"/>
      <c r="O198" s="1607"/>
      <c r="P198" s="1683"/>
    </row>
    <row r="199" spans="1:23" s="47" customFormat="1" ht="17.25" customHeight="1" x14ac:dyDescent="0.3">
      <c r="A199" s="1682" t="s">
        <v>1177</v>
      </c>
      <c r="B199" s="1541" t="s">
        <v>682</v>
      </c>
      <c r="C199" s="1601">
        <v>2018</v>
      </c>
      <c r="D199" s="1602"/>
      <c r="E199" s="1603">
        <f>H199</f>
        <v>12388.11</v>
      </c>
      <c r="F199" s="341"/>
      <c r="G199" s="332" t="s">
        <v>12</v>
      </c>
      <c r="H199" s="338">
        <f>H200+H201</f>
        <v>12388.11</v>
      </c>
      <c r="I199" s="338">
        <f t="shared" ref="I199:M199" si="75">I200+I201</f>
        <v>12388.11</v>
      </c>
      <c r="J199" s="338">
        <f t="shared" si="75"/>
        <v>0</v>
      </c>
      <c r="K199" s="338">
        <f t="shared" si="75"/>
        <v>0</v>
      </c>
      <c r="L199" s="338">
        <f t="shared" si="75"/>
        <v>0</v>
      </c>
      <c r="M199" s="338">
        <f t="shared" si="75"/>
        <v>0</v>
      </c>
      <c r="N199" s="1604"/>
      <c r="O199" s="1605" t="s">
        <v>16</v>
      </c>
      <c r="P199" s="1683"/>
      <c r="Q199" s="1"/>
    </row>
    <row r="200" spans="1:23" s="47" customFormat="1" ht="28.5" customHeight="1" x14ac:dyDescent="0.3">
      <c r="A200" s="1682"/>
      <c r="B200" s="1541"/>
      <c r="C200" s="1601"/>
      <c r="D200" s="1602"/>
      <c r="E200" s="1603"/>
      <c r="F200" s="341"/>
      <c r="G200" s="332" t="s">
        <v>13</v>
      </c>
      <c r="H200" s="338">
        <f>I200+J200+K200+L200+M200</f>
        <v>10121.09</v>
      </c>
      <c r="I200" s="338">
        <v>10121.09</v>
      </c>
      <c r="J200" s="156"/>
      <c r="K200" s="156"/>
      <c r="L200" s="156"/>
      <c r="M200" s="156"/>
      <c r="N200" s="1604"/>
      <c r="O200" s="1606"/>
      <c r="P200" s="1683"/>
      <c r="Q200" s="1"/>
      <c r="W200" s="47">
        <v>1</v>
      </c>
    </row>
    <row r="201" spans="1:23" s="47" customFormat="1" ht="48.75" customHeight="1" x14ac:dyDescent="0.3">
      <c r="A201" s="1682"/>
      <c r="B201" s="1541"/>
      <c r="C201" s="1601"/>
      <c r="D201" s="1602"/>
      <c r="E201" s="1603"/>
      <c r="F201" s="341"/>
      <c r="G201" s="332" t="s">
        <v>3</v>
      </c>
      <c r="H201" s="338">
        <f>I201+J201+K201+L201+M201</f>
        <v>2267.02</v>
      </c>
      <c r="I201" s="338">
        <v>2267.02</v>
      </c>
      <c r="J201" s="156"/>
      <c r="K201" s="156"/>
      <c r="L201" s="156"/>
      <c r="M201" s="156"/>
      <c r="N201" s="1604"/>
      <c r="O201" s="1607"/>
      <c r="P201" s="1683"/>
      <c r="Q201" s="1"/>
      <c r="S201" s="1693"/>
    </row>
    <row r="202" spans="1:23" s="1" customFormat="1" ht="23.4" customHeight="1" x14ac:dyDescent="0.3">
      <c r="A202" s="1682" t="s">
        <v>1178</v>
      </c>
      <c r="B202" s="1541" t="s">
        <v>683</v>
      </c>
      <c r="C202" s="1601">
        <v>2018</v>
      </c>
      <c r="D202" s="1602"/>
      <c r="E202" s="1603">
        <f>H202</f>
        <v>12138.27</v>
      </c>
      <c r="F202" s="341"/>
      <c r="G202" s="332" t="s">
        <v>12</v>
      </c>
      <c r="H202" s="338">
        <f>H203+H204</f>
        <v>12138.27</v>
      </c>
      <c r="I202" s="338">
        <f t="shared" ref="I202:M202" si="76">I203+I204</f>
        <v>12138.27</v>
      </c>
      <c r="J202" s="338">
        <f t="shared" si="76"/>
        <v>0</v>
      </c>
      <c r="K202" s="338">
        <f t="shared" si="76"/>
        <v>0</v>
      </c>
      <c r="L202" s="338">
        <f t="shared" si="76"/>
        <v>0</v>
      </c>
      <c r="M202" s="338">
        <f t="shared" si="76"/>
        <v>0</v>
      </c>
      <c r="N202" s="1604"/>
      <c r="O202" s="1605" t="s">
        <v>16</v>
      </c>
      <c r="P202" s="1683"/>
      <c r="S202" s="1694"/>
    </row>
    <row r="203" spans="1:23" s="1" customFormat="1" ht="30.6" customHeight="1" x14ac:dyDescent="0.3">
      <c r="A203" s="1682"/>
      <c r="B203" s="1541"/>
      <c r="C203" s="1601"/>
      <c r="D203" s="1602"/>
      <c r="E203" s="1603"/>
      <c r="F203" s="341"/>
      <c r="G203" s="332" t="s">
        <v>13</v>
      </c>
      <c r="H203" s="338">
        <f>I203+J203+K203+L203+M203</f>
        <v>9916.9699999999993</v>
      </c>
      <c r="I203" s="338">
        <v>9916.9699999999993</v>
      </c>
      <c r="J203" s="156"/>
      <c r="K203" s="156"/>
      <c r="L203" s="156"/>
      <c r="M203" s="156"/>
      <c r="N203" s="1604"/>
      <c r="O203" s="1606"/>
      <c r="P203" s="1683"/>
      <c r="S203" s="1695"/>
      <c r="W203" s="1">
        <v>1</v>
      </c>
    </row>
    <row r="204" spans="1:23" s="1" customFormat="1" ht="48.75" customHeight="1" x14ac:dyDescent="0.3">
      <c r="A204" s="1682"/>
      <c r="B204" s="1541"/>
      <c r="C204" s="1601"/>
      <c r="D204" s="1602"/>
      <c r="E204" s="1603"/>
      <c r="F204" s="341"/>
      <c r="G204" s="332" t="s">
        <v>3</v>
      </c>
      <c r="H204" s="338">
        <f>I204+J204+K204+L204+M204</f>
        <v>2221.3000000000002</v>
      </c>
      <c r="I204" s="338">
        <v>2221.3000000000002</v>
      </c>
      <c r="J204" s="156"/>
      <c r="K204" s="156"/>
      <c r="L204" s="156"/>
      <c r="M204" s="156"/>
      <c r="N204" s="1604"/>
      <c r="O204" s="1607"/>
      <c r="P204" s="1683"/>
    </row>
    <row r="205" spans="1:23" s="1" customFormat="1" ht="27.75" customHeight="1" x14ac:dyDescent="0.3">
      <c r="A205" s="1608" t="s">
        <v>1447</v>
      </c>
      <c r="B205" s="1600" t="s">
        <v>680</v>
      </c>
      <c r="C205" s="1601">
        <v>2018</v>
      </c>
      <c r="D205" s="1602"/>
      <c r="E205" s="1603">
        <v>10106.92</v>
      </c>
      <c r="F205" s="905"/>
      <c r="G205" s="903" t="s">
        <v>12</v>
      </c>
      <c r="H205" s="1090">
        <f>H206+H207</f>
        <v>0</v>
      </c>
      <c r="I205" s="1090">
        <f t="shared" ref="I205:M207" si="77">I206+I207</f>
        <v>0</v>
      </c>
      <c r="J205" s="1089">
        <f t="shared" si="77"/>
        <v>0</v>
      </c>
      <c r="K205" s="904">
        <f t="shared" si="77"/>
        <v>0</v>
      </c>
      <c r="L205" s="904">
        <f t="shared" si="77"/>
        <v>0</v>
      </c>
      <c r="M205" s="904">
        <f t="shared" si="77"/>
        <v>0</v>
      </c>
      <c r="N205" s="1604"/>
      <c r="O205" s="1605" t="s">
        <v>16</v>
      </c>
      <c r="P205" s="906"/>
    </row>
    <row r="206" spans="1:23" s="1" customFormat="1" ht="48.75" customHeight="1" x14ac:dyDescent="0.3">
      <c r="A206" s="1609"/>
      <c r="B206" s="1600"/>
      <c r="C206" s="1601"/>
      <c r="D206" s="1602"/>
      <c r="E206" s="1603"/>
      <c r="F206" s="905"/>
      <c r="G206" s="903" t="s">
        <v>13</v>
      </c>
      <c r="H206" s="1090">
        <f>I206+J206+K206+L206+M206</f>
        <v>0</v>
      </c>
      <c r="I206" s="1090">
        <f>7469.01*0</f>
        <v>0</v>
      </c>
      <c r="J206" s="1089">
        <f t="shared" si="77"/>
        <v>0</v>
      </c>
      <c r="K206" s="904">
        <f t="shared" si="77"/>
        <v>0</v>
      </c>
      <c r="L206" s="904">
        <f t="shared" si="77"/>
        <v>0</v>
      </c>
      <c r="M206" s="904">
        <f t="shared" si="77"/>
        <v>0</v>
      </c>
      <c r="N206" s="1604"/>
      <c r="O206" s="1606"/>
      <c r="P206" s="1091" t="s">
        <v>1476</v>
      </c>
      <c r="W206" s="1">
        <v>1</v>
      </c>
    </row>
    <row r="207" spans="1:23" s="1" customFormat="1" ht="48.75" customHeight="1" x14ac:dyDescent="0.3">
      <c r="A207" s="1610"/>
      <c r="B207" s="1600"/>
      <c r="C207" s="1601"/>
      <c r="D207" s="1602"/>
      <c r="E207" s="1603"/>
      <c r="F207" s="905"/>
      <c r="G207" s="903" t="s">
        <v>3</v>
      </c>
      <c r="H207" s="1090">
        <f>I207+J207+K207+L207+M207</f>
        <v>0</v>
      </c>
      <c r="I207" s="1090">
        <f>2637.91*0</f>
        <v>0</v>
      </c>
      <c r="J207" s="1089">
        <f t="shared" si="77"/>
        <v>0</v>
      </c>
      <c r="K207" s="904">
        <f t="shared" si="77"/>
        <v>0</v>
      </c>
      <c r="L207" s="904">
        <f t="shared" si="77"/>
        <v>0</v>
      </c>
      <c r="M207" s="904">
        <f t="shared" si="77"/>
        <v>0</v>
      </c>
      <c r="N207" s="1604"/>
      <c r="O207" s="1607"/>
      <c r="P207" s="906"/>
    </row>
    <row r="208" spans="1:23" s="1" customFormat="1" ht="16.5" customHeight="1" x14ac:dyDescent="0.3">
      <c r="A208" s="1641" t="s">
        <v>844</v>
      </c>
      <c r="B208" s="1541" t="s">
        <v>317</v>
      </c>
      <c r="C208" s="1541"/>
      <c r="D208" s="1541"/>
      <c r="E208" s="1541"/>
      <c r="F208" s="1541"/>
      <c r="G208" s="332" t="s">
        <v>12</v>
      </c>
      <c r="H208" s="338">
        <f>H209+H210</f>
        <v>51666.67</v>
      </c>
      <c r="I208" s="338">
        <f t="shared" ref="I208:M208" si="78">I209+I210</f>
        <v>51666.67</v>
      </c>
      <c r="J208" s="338">
        <f t="shared" si="78"/>
        <v>0</v>
      </c>
      <c r="K208" s="338">
        <f t="shared" si="78"/>
        <v>0</v>
      </c>
      <c r="L208" s="338">
        <f t="shared" si="78"/>
        <v>0</v>
      </c>
      <c r="M208" s="338">
        <f t="shared" si="78"/>
        <v>0</v>
      </c>
      <c r="N208" s="1679"/>
      <c r="O208" s="1605"/>
      <c r="P208" s="1681">
        <v>1</v>
      </c>
      <c r="R208" s="1" t="s">
        <v>1179</v>
      </c>
    </row>
    <row r="209" spans="1:23" s="1" customFormat="1" ht="28.5" customHeight="1" x14ac:dyDescent="0.3">
      <c r="A209" s="1641"/>
      <c r="B209" s="1541"/>
      <c r="C209" s="1541"/>
      <c r="D209" s="1541"/>
      <c r="E209" s="1541"/>
      <c r="F209" s="1541"/>
      <c r="G209" s="332" t="s">
        <v>13</v>
      </c>
      <c r="H209" s="338">
        <f>I209+J209+K209+L209+M209</f>
        <v>36011.67</v>
      </c>
      <c r="I209" s="338">
        <f>I212</f>
        <v>36011.67</v>
      </c>
      <c r="J209" s="338">
        <f t="shared" ref="J209:M210" si="79">J212</f>
        <v>0</v>
      </c>
      <c r="K209" s="338">
        <f t="shared" si="79"/>
        <v>0</v>
      </c>
      <c r="L209" s="338">
        <f t="shared" si="79"/>
        <v>0</v>
      </c>
      <c r="M209" s="338">
        <f t="shared" si="79"/>
        <v>0</v>
      </c>
      <c r="N209" s="1679"/>
      <c r="O209" s="1606"/>
      <c r="P209" s="1681"/>
    </row>
    <row r="210" spans="1:23" s="1" customFormat="1" ht="49.5" customHeight="1" x14ac:dyDescent="0.3">
      <c r="A210" s="1641"/>
      <c r="B210" s="1541"/>
      <c r="C210" s="1541"/>
      <c r="D210" s="1541"/>
      <c r="E210" s="1541"/>
      <c r="F210" s="1541"/>
      <c r="G210" s="332" t="s">
        <v>3</v>
      </c>
      <c r="H210" s="338">
        <f>I210+J210+K210+L210+M210</f>
        <v>15655</v>
      </c>
      <c r="I210" s="338">
        <f>I213</f>
        <v>15655</v>
      </c>
      <c r="J210" s="338">
        <f t="shared" si="79"/>
        <v>0</v>
      </c>
      <c r="K210" s="338">
        <f t="shared" si="79"/>
        <v>0</v>
      </c>
      <c r="L210" s="338">
        <f t="shared" si="79"/>
        <v>0</v>
      </c>
      <c r="M210" s="338">
        <f t="shared" si="79"/>
        <v>0</v>
      </c>
      <c r="N210" s="1679"/>
      <c r="O210" s="1607"/>
      <c r="P210" s="1681"/>
    </row>
    <row r="211" spans="1:23" s="1" customFormat="1" ht="29.25" customHeight="1" x14ac:dyDescent="0.3">
      <c r="A211" s="1682" t="s">
        <v>1158</v>
      </c>
      <c r="B211" s="1541" t="s">
        <v>684</v>
      </c>
      <c r="C211" s="1601">
        <v>2018</v>
      </c>
      <c r="D211" s="1602"/>
      <c r="E211" s="1603">
        <f>H211</f>
        <v>51666.67</v>
      </c>
      <c r="F211" s="341"/>
      <c r="G211" s="332" t="s">
        <v>12</v>
      </c>
      <c r="H211" s="338">
        <f>H212+H213</f>
        <v>51666.67</v>
      </c>
      <c r="I211" s="338">
        <f>I212+I213</f>
        <v>51666.67</v>
      </c>
      <c r="J211" s="338">
        <f t="shared" ref="J211:M211" si="80">J212+J213</f>
        <v>0</v>
      </c>
      <c r="K211" s="338">
        <f t="shared" si="80"/>
        <v>0</v>
      </c>
      <c r="L211" s="338">
        <f t="shared" si="80"/>
        <v>0</v>
      </c>
      <c r="M211" s="338">
        <f t="shared" si="80"/>
        <v>0</v>
      </c>
      <c r="N211" s="1604"/>
      <c r="O211" s="1605" t="s">
        <v>16</v>
      </c>
      <c r="P211" s="1683"/>
    </row>
    <row r="212" spans="1:23" s="1" customFormat="1" ht="28.5" customHeight="1" x14ac:dyDescent="0.3">
      <c r="A212" s="1682"/>
      <c r="B212" s="1541"/>
      <c r="C212" s="1601"/>
      <c r="D212" s="1602"/>
      <c r="E212" s="1603"/>
      <c r="F212" s="341"/>
      <c r="G212" s="332" t="s">
        <v>13</v>
      </c>
      <c r="H212" s="338">
        <f>I212+J212+K212+L212+M212</f>
        <v>36011.67</v>
      </c>
      <c r="I212" s="338">
        <v>36011.67</v>
      </c>
      <c r="J212" s="156"/>
      <c r="K212" s="156"/>
      <c r="L212" s="156"/>
      <c r="M212" s="156"/>
      <c r="N212" s="1604"/>
      <c r="O212" s="1606"/>
      <c r="P212" s="1683"/>
      <c r="W212" s="1">
        <v>1</v>
      </c>
    </row>
    <row r="213" spans="1:23" s="1" customFormat="1" ht="50.25" customHeight="1" x14ac:dyDescent="0.3">
      <c r="A213" s="1682"/>
      <c r="B213" s="1541"/>
      <c r="C213" s="1601"/>
      <c r="D213" s="1602"/>
      <c r="E213" s="1603"/>
      <c r="F213" s="341"/>
      <c r="G213" s="332" t="s">
        <v>3</v>
      </c>
      <c r="H213" s="338">
        <f>I213+J213+K213+L213+M213</f>
        <v>15655</v>
      </c>
      <c r="I213" s="338">
        <v>15655</v>
      </c>
      <c r="J213" s="156"/>
      <c r="K213" s="156"/>
      <c r="L213" s="156"/>
      <c r="M213" s="156"/>
      <c r="N213" s="1604"/>
      <c r="O213" s="1607"/>
      <c r="P213" s="1683"/>
    </row>
    <row r="214" spans="1:23" s="1" customFormat="1" ht="18" customHeight="1" x14ac:dyDescent="0.3">
      <c r="A214" s="1641" t="s">
        <v>836</v>
      </c>
      <c r="B214" s="1541" t="s">
        <v>318</v>
      </c>
      <c r="C214" s="1541"/>
      <c r="D214" s="1541"/>
      <c r="E214" s="1541"/>
      <c r="F214" s="1541"/>
      <c r="G214" s="332" t="s">
        <v>12</v>
      </c>
      <c r="H214" s="338">
        <f>H215+H216</f>
        <v>68813.34</v>
      </c>
      <c r="I214" s="338">
        <f t="shared" ref="I214:M214" si="81">I215+I216</f>
        <v>68813.34</v>
      </c>
      <c r="J214" s="338">
        <f t="shared" si="81"/>
        <v>0</v>
      </c>
      <c r="K214" s="338">
        <f t="shared" si="81"/>
        <v>0</v>
      </c>
      <c r="L214" s="338">
        <f t="shared" si="81"/>
        <v>0</v>
      </c>
      <c r="M214" s="338">
        <f t="shared" si="81"/>
        <v>0</v>
      </c>
      <c r="N214" s="1679"/>
      <c r="O214" s="1605"/>
      <c r="P214" s="1681">
        <v>1</v>
      </c>
      <c r="R214" s="1" t="s">
        <v>1144</v>
      </c>
    </row>
    <row r="215" spans="1:23" s="1" customFormat="1" ht="28.5" customHeight="1" x14ac:dyDescent="0.3">
      <c r="A215" s="1641"/>
      <c r="B215" s="1541"/>
      <c r="C215" s="1541"/>
      <c r="D215" s="1541"/>
      <c r="E215" s="1541"/>
      <c r="F215" s="1541"/>
      <c r="G215" s="332" t="s">
        <v>13</v>
      </c>
      <c r="H215" s="338">
        <f>I215+J215+K215+L215+M215</f>
        <v>48100.52</v>
      </c>
      <c r="I215" s="338">
        <f>I218</f>
        <v>48100.52</v>
      </c>
      <c r="J215" s="338">
        <f t="shared" ref="J215:M216" si="82">J218</f>
        <v>0</v>
      </c>
      <c r="K215" s="338">
        <f t="shared" si="82"/>
        <v>0</v>
      </c>
      <c r="L215" s="338">
        <f t="shared" si="82"/>
        <v>0</v>
      </c>
      <c r="M215" s="338">
        <f t="shared" si="82"/>
        <v>0</v>
      </c>
      <c r="N215" s="1679"/>
      <c r="O215" s="1606"/>
      <c r="P215" s="1681"/>
    </row>
    <row r="216" spans="1:23" s="1" customFormat="1" ht="52.5" customHeight="1" x14ac:dyDescent="0.3">
      <c r="A216" s="1641"/>
      <c r="B216" s="1541"/>
      <c r="C216" s="1541"/>
      <c r="D216" s="1541"/>
      <c r="E216" s="1541"/>
      <c r="F216" s="1541"/>
      <c r="G216" s="332" t="s">
        <v>3</v>
      </c>
      <c r="H216" s="338">
        <f>I216+J216+K216+L216+M216</f>
        <v>20712.82</v>
      </c>
      <c r="I216" s="338">
        <f>I219</f>
        <v>20712.82</v>
      </c>
      <c r="J216" s="338">
        <f t="shared" si="82"/>
        <v>0</v>
      </c>
      <c r="K216" s="338">
        <f t="shared" si="82"/>
        <v>0</v>
      </c>
      <c r="L216" s="338">
        <f t="shared" si="82"/>
        <v>0</v>
      </c>
      <c r="M216" s="338">
        <f t="shared" si="82"/>
        <v>0</v>
      </c>
      <c r="N216" s="1679"/>
      <c r="O216" s="1607"/>
      <c r="P216" s="1681"/>
    </row>
    <row r="217" spans="1:23" s="1" customFormat="1" ht="17.25" customHeight="1" x14ac:dyDescent="0.3">
      <c r="A217" s="1682" t="s">
        <v>1159</v>
      </c>
      <c r="B217" s="1541" t="s">
        <v>275</v>
      </c>
      <c r="C217" s="1601">
        <v>2018</v>
      </c>
      <c r="D217" s="1602"/>
      <c r="E217" s="1603">
        <f>H217</f>
        <v>68813.34</v>
      </c>
      <c r="F217" s="341"/>
      <c r="G217" s="332" t="s">
        <v>12</v>
      </c>
      <c r="H217" s="338">
        <f>H218+H219</f>
        <v>68813.34</v>
      </c>
      <c r="I217" s="338">
        <f>I218+I219</f>
        <v>68813.34</v>
      </c>
      <c r="J217" s="338">
        <f t="shared" ref="J217:M217" si="83">J218+J219</f>
        <v>0</v>
      </c>
      <c r="K217" s="338">
        <f t="shared" si="83"/>
        <v>0</v>
      </c>
      <c r="L217" s="338">
        <f t="shared" si="83"/>
        <v>0</v>
      </c>
      <c r="M217" s="338">
        <f t="shared" si="83"/>
        <v>0</v>
      </c>
      <c r="N217" s="1604"/>
      <c r="O217" s="1605" t="s">
        <v>16</v>
      </c>
      <c r="P217" s="1683"/>
    </row>
    <row r="218" spans="1:23" s="1" customFormat="1" ht="28.5" customHeight="1" x14ac:dyDescent="0.3">
      <c r="A218" s="1682"/>
      <c r="B218" s="1541"/>
      <c r="C218" s="1601"/>
      <c r="D218" s="1602"/>
      <c r="E218" s="1603"/>
      <c r="F218" s="341"/>
      <c r="G218" s="332" t="s">
        <v>13</v>
      </c>
      <c r="H218" s="338">
        <f>I218+J218+K218+L218+M218</f>
        <v>48100.52</v>
      </c>
      <c r="I218" s="338">
        <v>48100.52</v>
      </c>
      <c r="J218" s="156"/>
      <c r="K218" s="156"/>
      <c r="L218" s="156"/>
      <c r="M218" s="156"/>
      <c r="N218" s="1604"/>
      <c r="O218" s="1606"/>
      <c r="P218" s="1683"/>
      <c r="W218" s="1">
        <v>1</v>
      </c>
    </row>
    <row r="219" spans="1:23" s="1" customFormat="1" ht="51" customHeight="1" x14ac:dyDescent="0.3">
      <c r="A219" s="1682"/>
      <c r="B219" s="1541"/>
      <c r="C219" s="1601"/>
      <c r="D219" s="1602"/>
      <c r="E219" s="1603"/>
      <c r="F219" s="341"/>
      <c r="G219" s="332" t="s">
        <v>3</v>
      </c>
      <c r="H219" s="338">
        <f>I219+J219+K219+L219+M219</f>
        <v>20712.82</v>
      </c>
      <c r="I219" s="338">
        <v>20712.82</v>
      </c>
      <c r="J219" s="156"/>
      <c r="K219" s="156"/>
      <c r="L219" s="156"/>
      <c r="M219" s="156"/>
      <c r="N219" s="1604"/>
      <c r="O219" s="1607"/>
      <c r="P219" s="1683"/>
    </row>
    <row r="220" spans="1:23" s="1" customFormat="1" ht="15" customHeight="1" x14ac:dyDescent="0.3">
      <c r="A220" s="1641" t="s">
        <v>845</v>
      </c>
      <c r="B220" s="1541" t="s">
        <v>1516</v>
      </c>
      <c r="C220" s="1541"/>
      <c r="D220" s="1541"/>
      <c r="E220" s="1541"/>
      <c r="F220" s="1541"/>
      <c r="G220" s="332" t="s">
        <v>12</v>
      </c>
      <c r="H220" s="338">
        <f>H221+H222</f>
        <v>63108.35</v>
      </c>
      <c r="I220" s="338">
        <f t="shared" ref="I220:M220" si="84">I221+I222</f>
        <v>63108.35</v>
      </c>
      <c r="J220" s="338">
        <f t="shared" si="84"/>
        <v>0</v>
      </c>
      <c r="K220" s="338">
        <f t="shared" si="84"/>
        <v>0</v>
      </c>
      <c r="L220" s="338">
        <f t="shared" si="84"/>
        <v>0</v>
      </c>
      <c r="M220" s="338">
        <f t="shared" si="84"/>
        <v>0</v>
      </c>
      <c r="N220" s="1679"/>
      <c r="O220" s="1605"/>
      <c r="P220" s="1681">
        <v>4</v>
      </c>
      <c r="R220" s="1" t="s">
        <v>1162</v>
      </c>
    </row>
    <row r="221" spans="1:23" s="1" customFormat="1" ht="28.5" customHeight="1" x14ac:dyDescent="0.3">
      <c r="A221" s="1641"/>
      <c r="B221" s="1541"/>
      <c r="C221" s="1541"/>
      <c r="D221" s="1541"/>
      <c r="E221" s="1541"/>
      <c r="F221" s="1541"/>
      <c r="G221" s="332" t="s">
        <v>13</v>
      </c>
      <c r="H221" s="338">
        <f>I221+J221+K221+L221+M221</f>
        <v>46132.21</v>
      </c>
      <c r="I221" s="338">
        <f>I224+I227+I230+I233</f>
        <v>46132.21</v>
      </c>
      <c r="J221" s="338">
        <f t="shared" ref="J221:M222" si="85">J224+J227+J230+J233</f>
        <v>0</v>
      </c>
      <c r="K221" s="338">
        <f t="shared" si="85"/>
        <v>0</v>
      </c>
      <c r="L221" s="338">
        <f t="shared" si="85"/>
        <v>0</v>
      </c>
      <c r="M221" s="338">
        <f t="shared" si="85"/>
        <v>0</v>
      </c>
      <c r="N221" s="1679"/>
      <c r="O221" s="1606"/>
      <c r="P221" s="1681"/>
    </row>
    <row r="222" spans="1:23" s="1" customFormat="1" ht="54" customHeight="1" x14ac:dyDescent="0.3">
      <c r="A222" s="1641"/>
      <c r="B222" s="1541"/>
      <c r="C222" s="1541"/>
      <c r="D222" s="1541"/>
      <c r="E222" s="1541"/>
      <c r="F222" s="1541"/>
      <c r="G222" s="332" t="s">
        <v>3</v>
      </c>
      <c r="H222" s="338">
        <f>I222+J222+K222+L222+M222</f>
        <v>16976.14</v>
      </c>
      <c r="I222" s="338">
        <f>I225+I228+I231+I234</f>
        <v>16976.14</v>
      </c>
      <c r="J222" s="338">
        <f t="shared" si="85"/>
        <v>0</v>
      </c>
      <c r="K222" s="338">
        <f t="shared" si="85"/>
        <v>0</v>
      </c>
      <c r="L222" s="338">
        <f t="shared" si="85"/>
        <v>0</v>
      </c>
      <c r="M222" s="338">
        <f t="shared" si="85"/>
        <v>0</v>
      </c>
      <c r="N222" s="1679"/>
      <c r="O222" s="1607"/>
      <c r="P222" s="1681"/>
    </row>
    <row r="223" spans="1:23" s="1" customFormat="1" ht="13.5" customHeight="1" x14ac:dyDescent="0.3">
      <c r="A223" s="1682" t="s">
        <v>1180</v>
      </c>
      <c r="B223" s="1541" t="s">
        <v>276</v>
      </c>
      <c r="C223" s="1601">
        <v>2018</v>
      </c>
      <c r="D223" s="1602"/>
      <c r="E223" s="1603">
        <f>H223</f>
        <v>11533.34</v>
      </c>
      <c r="F223" s="341"/>
      <c r="G223" s="332" t="s">
        <v>12</v>
      </c>
      <c r="H223" s="338">
        <f>H224+H225</f>
        <v>11533.34</v>
      </c>
      <c r="I223" s="338">
        <f>I224+I225</f>
        <v>11533.34</v>
      </c>
      <c r="J223" s="338">
        <f t="shared" ref="J223:M223" si="86">J224+J225</f>
        <v>0</v>
      </c>
      <c r="K223" s="338">
        <f t="shared" si="86"/>
        <v>0</v>
      </c>
      <c r="L223" s="338">
        <f t="shared" si="86"/>
        <v>0</v>
      </c>
      <c r="M223" s="338">
        <f t="shared" si="86"/>
        <v>0</v>
      </c>
      <c r="N223" s="1604"/>
      <c r="O223" s="1605" t="s">
        <v>16</v>
      </c>
      <c r="P223" s="1683"/>
    </row>
    <row r="224" spans="1:23" s="1" customFormat="1" ht="28.5" customHeight="1" x14ac:dyDescent="0.3">
      <c r="A224" s="1682"/>
      <c r="B224" s="1541"/>
      <c r="C224" s="1601"/>
      <c r="D224" s="1602"/>
      <c r="E224" s="1603"/>
      <c r="F224" s="341"/>
      <c r="G224" s="332" t="s">
        <v>13</v>
      </c>
      <c r="H224" s="338">
        <f>I224+J224+K224+L224+M224</f>
        <v>8430.8700000000008</v>
      </c>
      <c r="I224" s="338">
        <v>8430.8700000000008</v>
      </c>
      <c r="J224" s="156"/>
      <c r="K224" s="156"/>
      <c r="L224" s="156"/>
      <c r="M224" s="156"/>
      <c r="N224" s="1604"/>
      <c r="O224" s="1606"/>
      <c r="P224" s="1683"/>
      <c r="W224" s="1">
        <v>1</v>
      </c>
    </row>
    <row r="225" spans="1:23" s="1" customFormat="1" ht="57" customHeight="1" x14ac:dyDescent="0.3">
      <c r="A225" s="1682"/>
      <c r="B225" s="1541"/>
      <c r="C225" s="1601"/>
      <c r="D225" s="1602"/>
      <c r="E225" s="1603"/>
      <c r="F225" s="341"/>
      <c r="G225" s="332" t="s">
        <v>3</v>
      </c>
      <c r="H225" s="338">
        <f>I225+J225+K225+L225+M225</f>
        <v>3102.47</v>
      </c>
      <c r="I225" s="338">
        <v>3102.47</v>
      </c>
      <c r="J225" s="156"/>
      <c r="K225" s="156"/>
      <c r="L225" s="156"/>
      <c r="M225" s="156"/>
      <c r="N225" s="1604"/>
      <c r="O225" s="1607"/>
      <c r="P225" s="1683"/>
    </row>
    <row r="226" spans="1:23" s="1" customFormat="1" ht="18.75" customHeight="1" x14ac:dyDescent="0.3">
      <c r="A226" s="1682" t="s">
        <v>1181</v>
      </c>
      <c r="B226" s="1541" t="s">
        <v>277</v>
      </c>
      <c r="C226" s="1601">
        <v>2018</v>
      </c>
      <c r="D226" s="1602"/>
      <c r="E226" s="1603">
        <f>H226</f>
        <v>8848.34</v>
      </c>
      <c r="F226" s="341"/>
      <c r="G226" s="332" t="s">
        <v>12</v>
      </c>
      <c r="H226" s="338">
        <f>H227+H228</f>
        <v>8848.34</v>
      </c>
      <c r="I226" s="338">
        <f>I227+I228</f>
        <v>8848.34</v>
      </c>
      <c r="J226" s="338">
        <f t="shared" ref="J226:M226" si="87">J227+J228</f>
        <v>0</v>
      </c>
      <c r="K226" s="338">
        <f t="shared" si="87"/>
        <v>0</v>
      </c>
      <c r="L226" s="338">
        <f t="shared" si="87"/>
        <v>0</v>
      </c>
      <c r="M226" s="338">
        <f t="shared" si="87"/>
        <v>0</v>
      </c>
      <c r="N226" s="1604"/>
      <c r="O226" s="1605" t="s">
        <v>16</v>
      </c>
      <c r="P226" s="1683"/>
    </row>
    <row r="227" spans="1:23" s="1" customFormat="1" ht="30.6" customHeight="1" x14ac:dyDescent="0.3">
      <c r="A227" s="1682"/>
      <c r="B227" s="1541"/>
      <c r="C227" s="1601"/>
      <c r="D227" s="1602"/>
      <c r="E227" s="1603"/>
      <c r="F227" s="341"/>
      <c r="G227" s="332" t="s">
        <v>13</v>
      </c>
      <c r="H227" s="338">
        <f>I227+J227+K227+L227+M227</f>
        <v>6468.14</v>
      </c>
      <c r="I227" s="338">
        <v>6468.14</v>
      </c>
      <c r="J227" s="156"/>
      <c r="K227" s="156"/>
      <c r="L227" s="156"/>
      <c r="M227" s="156"/>
      <c r="N227" s="1604"/>
      <c r="O227" s="1606"/>
      <c r="P227" s="1683"/>
      <c r="W227" s="1">
        <v>1</v>
      </c>
    </row>
    <row r="228" spans="1:23" s="1" customFormat="1" ht="51.75" customHeight="1" x14ac:dyDescent="0.3">
      <c r="A228" s="1682"/>
      <c r="B228" s="1541"/>
      <c r="C228" s="1601"/>
      <c r="D228" s="1602"/>
      <c r="E228" s="1603"/>
      <c r="F228" s="341"/>
      <c r="G228" s="332" t="s">
        <v>3</v>
      </c>
      <c r="H228" s="338">
        <f>I228+J228+K228+L228+M228</f>
        <v>2380.1999999999998</v>
      </c>
      <c r="I228" s="338">
        <v>2380.1999999999998</v>
      </c>
      <c r="J228" s="156"/>
      <c r="K228" s="156"/>
      <c r="L228" s="156"/>
      <c r="M228" s="156"/>
      <c r="N228" s="1604"/>
      <c r="O228" s="1607"/>
      <c r="P228" s="1683"/>
    </row>
    <row r="229" spans="1:23" s="1" customFormat="1" ht="17.25" customHeight="1" x14ac:dyDescent="0.3">
      <c r="A229" s="1682" t="s">
        <v>1182</v>
      </c>
      <c r="B229" s="1541" t="s">
        <v>278</v>
      </c>
      <c r="C229" s="1601">
        <v>2018</v>
      </c>
      <c r="D229" s="1602"/>
      <c r="E229" s="1603">
        <f>H229</f>
        <v>18730</v>
      </c>
      <c r="F229" s="341"/>
      <c r="G229" s="332" t="s">
        <v>12</v>
      </c>
      <c r="H229" s="338">
        <f>H230+H231</f>
        <v>18730</v>
      </c>
      <c r="I229" s="338">
        <f>I230+I231</f>
        <v>18730</v>
      </c>
      <c r="J229" s="338">
        <f t="shared" ref="J229:M229" si="88">J230+J231</f>
        <v>0</v>
      </c>
      <c r="K229" s="338">
        <f t="shared" si="88"/>
        <v>0</v>
      </c>
      <c r="L229" s="338">
        <f t="shared" si="88"/>
        <v>0</v>
      </c>
      <c r="M229" s="338">
        <f t="shared" si="88"/>
        <v>0</v>
      </c>
      <c r="N229" s="1604"/>
      <c r="O229" s="1605" t="s">
        <v>16</v>
      </c>
      <c r="P229" s="1683"/>
    </row>
    <row r="230" spans="1:23" s="1" customFormat="1" ht="28.5" customHeight="1" x14ac:dyDescent="0.3">
      <c r="A230" s="1682"/>
      <c r="B230" s="1541"/>
      <c r="C230" s="1601"/>
      <c r="D230" s="1602"/>
      <c r="E230" s="1603"/>
      <c r="F230" s="341"/>
      <c r="G230" s="332" t="s">
        <v>13</v>
      </c>
      <c r="H230" s="338">
        <f>I230+J230+K230+L230+M230</f>
        <v>13691.63</v>
      </c>
      <c r="I230" s="338">
        <v>13691.63</v>
      </c>
      <c r="J230" s="156"/>
      <c r="K230" s="156"/>
      <c r="L230" s="156"/>
      <c r="M230" s="156"/>
      <c r="N230" s="1604"/>
      <c r="O230" s="1606"/>
      <c r="P230" s="1683"/>
      <c r="W230" s="1">
        <v>1</v>
      </c>
    </row>
    <row r="231" spans="1:23" s="1" customFormat="1" ht="47.25" customHeight="1" x14ac:dyDescent="0.3">
      <c r="A231" s="1682"/>
      <c r="B231" s="1541"/>
      <c r="C231" s="1601"/>
      <c r="D231" s="1602"/>
      <c r="E231" s="1603"/>
      <c r="F231" s="341"/>
      <c r="G231" s="332" t="s">
        <v>3</v>
      </c>
      <c r="H231" s="338">
        <f>I231+J231+K231+L231+M231</f>
        <v>5038.37</v>
      </c>
      <c r="I231" s="338">
        <v>5038.37</v>
      </c>
      <c r="J231" s="156"/>
      <c r="K231" s="156"/>
      <c r="L231" s="156"/>
      <c r="M231" s="156"/>
      <c r="N231" s="1604"/>
      <c r="O231" s="1607"/>
      <c r="P231" s="1683"/>
    </row>
    <row r="232" spans="1:23" s="1" customFormat="1" ht="18.75" customHeight="1" x14ac:dyDescent="0.3">
      <c r="A232" s="1682" t="s">
        <v>1183</v>
      </c>
      <c r="B232" s="1541" t="s">
        <v>286</v>
      </c>
      <c r="C232" s="1601">
        <v>2018</v>
      </c>
      <c r="D232" s="1602"/>
      <c r="E232" s="1603">
        <f>H232</f>
        <v>23996.67</v>
      </c>
      <c r="F232" s="341"/>
      <c r="G232" s="332" t="s">
        <v>12</v>
      </c>
      <c r="H232" s="338">
        <f>H233+H234</f>
        <v>23996.67</v>
      </c>
      <c r="I232" s="338">
        <f>I233+I234</f>
        <v>23996.67</v>
      </c>
      <c r="J232" s="338">
        <f t="shared" ref="J232:M232" si="89">J233+J234</f>
        <v>0</v>
      </c>
      <c r="K232" s="338">
        <f t="shared" si="89"/>
        <v>0</v>
      </c>
      <c r="L232" s="338">
        <f t="shared" si="89"/>
        <v>0</v>
      </c>
      <c r="M232" s="338">
        <f t="shared" si="89"/>
        <v>0</v>
      </c>
      <c r="N232" s="1604"/>
      <c r="O232" s="1605" t="s">
        <v>16</v>
      </c>
      <c r="P232" s="1696"/>
      <c r="Q232" s="47"/>
    </row>
    <row r="233" spans="1:23" s="1" customFormat="1" ht="28.5" customHeight="1" x14ac:dyDescent="0.3">
      <c r="A233" s="1682"/>
      <c r="B233" s="1541"/>
      <c r="C233" s="1601"/>
      <c r="D233" s="1602"/>
      <c r="E233" s="1603"/>
      <c r="F233" s="341"/>
      <c r="G233" s="332" t="s">
        <v>13</v>
      </c>
      <c r="H233" s="338">
        <f>I233+J233+K233+L233+M233</f>
        <v>17541.57</v>
      </c>
      <c r="I233" s="338">
        <v>17541.57</v>
      </c>
      <c r="J233" s="156"/>
      <c r="K233" s="156"/>
      <c r="L233" s="156"/>
      <c r="M233" s="156"/>
      <c r="N233" s="1604"/>
      <c r="O233" s="1606"/>
      <c r="P233" s="1696"/>
      <c r="Q233" s="47"/>
      <c r="W233" s="1">
        <v>1</v>
      </c>
    </row>
    <row r="234" spans="1:23" s="1" customFormat="1" ht="47.25" customHeight="1" x14ac:dyDescent="0.3">
      <c r="A234" s="1682"/>
      <c r="B234" s="1541"/>
      <c r="C234" s="1601"/>
      <c r="D234" s="1602"/>
      <c r="E234" s="1603"/>
      <c r="F234" s="341"/>
      <c r="G234" s="332" t="s">
        <v>3</v>
      </c>
      <c r="H234" s="338">
        <f>I234+J234+K234+L234+M234</f>
        <v>6455.1</v>
      </c>
      <c r="I234" s="338">
        <v>6455.1</v>
      </c>
      <c r="J234" s="156"/>
      <c r="K234" s="156"/>
      <c r="L234" s="156"/>
      <c r="M234" s="156"/>
      <c r="N234" s="1604"/>
      <c r="O234" s="1607"/>
      <c r="P234" s="1696"/>
      <c r="Q234" s="47"/>
    </row>
    <row r="235" spans="1:23" s="1" customFormat="1" ht="15" customHeight="1" x14ac:dyDescent="0.3">
      <c r="A235" s="1641" t="s">
        <v>837</v>
      </c>
      <c r="B235" s="1541" t="s">
        <v>932</v>
      </c>
      <c r="C235" s="1541"/>
      <c r="D235" s="1541"/>
      <c r="E235" s="1541"/>
      <c r="F235" s="1541"/>
      <c r="G235" s="332" t="s">
        <v>12</v>
      </c>
      <c r="H235" s="338">
        <f>H236+H237</f>
        <v>68025</v>
      </c>
      <c r="I235" s="338">
        <f t="shared" ref="I235:M235" si="90">I236+I237</f>
        <v>68025</v>
      </c>
      <c r="J235" s="338">
        <f t="shared" si="90"/>
        <v>0</v>
      </c>
      <c r="K235" s="338">
        <f t="shared" si="90"/>
        <v>0</v>
      </c>
      <c r="L235" s="338">
        <f t="shared" si="90"/>
        <v>0</v>
      </c>
      <c r="M235" s="338">
        <f t="shared" si="90"/>
        <v>0</v>
      </c>
      <c r="N235" s="1679"/>
      <c r="O235" s="1605"/>
      <c r="P235" s="1681">
        <v>6</v>
      </c>
    </row>
    <row r="236" spans="1:23" s="1" customFormat="1" ht="28.5" customHeight="1" x14ac:dyDescent="0.3">
      <c r="A236" s="1641"/>
      <c r="B236" s="1541"/>
      <c r="C236" s="1541"/>
      <c r="D236" s="1541"/>
      <c r="E236" s="1541"/>
      <c r="F236" s="1541"/>
      <c r="G236" s="332" t="s">
        <v>13</v>
      </c>
      <c r="H236" s="338">
        <f>I236+J236+K236+L236+M236</f>
        <v>49930.35</v>
      </c>
      <c r="I236" s="338">
        <f>I239+I242+I245+I248+I251+I254</f>
        <v>49930.35</v>
      </c>
      <c r="J236" s="338">
        <f t="shared" ref="J236:M237" si="91">J239+J242+J245+J248+J251+J254</f>
        <v>0</v>
      </c>
      <c r="K236" s="338">
        <f t="shared" si="91"/>
        <v>0</v>
      </c>
      <c r="L236" s="338">
        <f t="shared" si="91"/>
        <v>0</v>
      </c>
      <c r="M236" s="338">
        <f t="shared" si="91"/>
        <v>0</v>
      </c>
      <c r="N236" s="1679"/>
      <c r="O236" s="1606"/>
      <c r="P236" s="1681"/>
      <c r="R236" s="1" t="s">
        <v>1184</v>
      </c>
    </row>
    <row r="237" spans="1:23" s="1" customFormat="1" ht="47.25" customHeight="1" x14ac:dyDescent="0.3">
      <c r="A237" s="1641"/>
      <c r="B237" s="1541"/>
      <c r="C237" s="1541"/>
      <c r="D237" s="1541"/>
      <c r="E237" s="1541"/>
      <c r="F237" s="1541"/>
      <c r="G237" s="332" t="s">
        <v>3</v>
      </c>
      <c r="H237" s="338">
        <f>I237+J237+K237+L237+M237</f>
        <v>18094.650000000001</v>
      </c>
      <c r="I237" s="338">
        <f>I240+I243+I246+I249+I252+I255</f>
        <v>18094.650000000001</v>
      </c>
      <c r="J237" s="338">
        <f t="shared" si="91"/>
        <v>0</v>
      </c>
      <c r="K237" s="338">
        <f t="shared" si="91"/>
        <v>0</v>
      </c>
      <c r="L237" s="338">
        <f t="shared" si="91"/>
        <v>0</v>
      </c>
      <c r="M237" s="338">
        <f t="shared" si="91"/>
        <v>0</v>
      </c>
      <c r="N237" s="1679"/>
      <c r="O237" s="1607"/>
      <c r="P237" s="1681"/>
    </row>
    <row r="238" spans="1:23" s="1" customFormat="1" ht="15" customHeight="1" x14ac:dyDescent="0.3">
      <c r="A238" s="1682" t="s">
        <v>1185</v>
      </c>
      <c r="B238" s="1541" t="s">
        <v>279</v>
      </c>
      <c r="C238" s="1601">
        <v>2018</v>
      </c>
      <c r="D238" s="1602"/>
      <c r="E238" s="1603">
        <v>25225</v>
      </c>
      <c r="F238" s="341"/>
      <c r="G238" s="332" t="s">
        <v>12</v>
      </c>
      <c r="H238" s="338">
        <f>H239+H240</f>
        <v>25225</v>
      </c>
      <c r="I238" s="338">
        <f>I239+I240</f>
        <v>25225</v>
      </c>
      <c r="J238" s="338">
        <f t="shared" ref="J238:M238" si="92">J239+J240</f>
        <v>0</v>
      </c>
      <c r="K238" s="338">
        <f t="shared" si="92"/>
        <v>0</v>
      </c>
      <c r="L238" s="338">
        <f t="shared" si="92"/>
        <v>0</v>
      </c>
      <c r="M238" s="338">
        <f t="shared" si="92"/>
        <v>0</v>
      </c>
      <c r="N238" s="1604"/>
      <c r="O238" s="1605" t="s">
        <v>16</v>
      </c>
      <c r="P238" s="1683"/>
    </row>
    <row r="239" spans="1:23" s="1" customFormat="1" ht="30.75" customHeight="1" x14ac:dyDescent="0.3">
      <c r="A239" s="1682"/>
      <c r="B239" s="1541"/>
      <c r="C239" s="1601"/>
      <c r="D239" s="1602"/>
      <c r="E239" s="1603"/>
      <c r="F239" s="341"/>
      <c r="G239" s="332" t="s">
        <v>13</v>
      </c>
      <c r="H239" s="338">
        <f>I239+J239+K239+L239+M239</f>
        <v>18515.150000000001</v>
      </c>
      <c r="I239" s="338">
        <f>E238*Q239</f>
        <v>18515.150000000001</v>
      </c>
      <c r="J239" s="156"/>
      <c r="K239" s="156"/>
      <c r="L239" s="156"/>
      <c r="M239" s="156"/>
      <c r="N239" s="1604"/>
      <c r="O239" s="1606"/>
      <c r="P239" s="1683"/>
      <c r="Q239" s="1">
        <v>0.73399999999999999</v>
      </c>
      <c r="W239" s="1">
        <v>1</v>
      </c>
    </row>
    <row r="240" spans="1:23" s="1" customFormat="1" ht="51.75" customHeight="1" x14ac:dyDescent="0.3">
      <c r="A240" s="1682"/>
      <c r="B240" s="1541"/>
      <c r="C240" s="1601"/>
      <c r="D240" s="1602"/>
      <c r="E240" s="1603"/>
      <c r="F240" s="341"/>
      <c r="G240" s="332" t="s">
        <v>3</v>
      </c>
      <c r="H240" s="338">
        <f>I240+J240+K240+L240+M240</f>
        <v>6709.85</v>
      </c>
      <c r="I240" s="338">
        <f>E238*Q240</f>
        <v>6709.85</v>
      </c>
      <c r="J240" s="156"/>
      <c r="K240" s="156"/>
      <c r="L240" s="156"/>
      <c r="M240" s="156"/>
      <c r="N240" s="1604"/>
      <c r="O240" s="1607"/>
      <c r="P240" s="1683"/>
      <c r="Q240" s="1">
        <v>0.26600000000000001</v>
      </c>
    </row>
    <row r="241" spans="1:23" s="1" customFormat="1" ht="17.25" customHeight="1" x14ac:dyDescent="0.3">
      <c r="A241" s="1682" t="s">
        <v>1186</v>
      </c>
      <c r="B241" s="1541" t="s">
        <v>280</v>
      </c>
      <c r="C241" s="1601">
        <v>2018</v>
      </c>
      <c r="D241" s="1602"/>
      <c r="E241" s="1603">
        <v>13600</v>
      </c>
      <c r="F241" s="341"/>
      <c r="G241" s="332" t="s">
        <v>12</v>
      </c>
      <c r="H241" s="338">
        <f>H242+H243</f>
        <v>13600</v>
      </c>
      <c r="I241" s="338">
        <f>I242+I243</f>
        <v>13600</v>
      </c>
      <c r="J241" s="338">
        <f t="shared" ref="J241:M241" si="93">J242+J243</f>
        <v>0</v>
      </c>
      <c r="K241" s="338">
        <f t="shared" si="93"/>
        <v>0</v>
      </c>
      <c r="L241" s="338">
        <f t="shared" si="93"/>
        <v>0</v>
      </c>
      <c r="M241" s="338">
        <f t="shared" si="93"/>
        <v>0</v>
      </c>
      <c r="N241" s="1604"/>
      <c r="O241" s="1605" t="s">
        <v>16</v>
      </c>
      <c r="P241" s="1683"/>
    </row>
    <row r="242" spans="1:23" s="1" customFormat="1" ht="28.5" customHeight="1" x14ac:dyDescent="0.3">
      <c r="A242" s="1682"/>
      <c r="B242" s="1541"/>
      <c r="C242" s="1601"/>
      <c r="D242" s="1602"/>
      <c r="E242" s="1603"/>
      <c r="F242" s="341"/>
      <c r="G242" s="332" t="s">
        <v>13</v>
      </c>
      <c r="H242" s="338">
        <f>I242+J242+K242+L242+M242</f>
        <v>9982.4</v>
      </c>
      <c r="I242" s="338">
        <f>E241*Q242</f>
        <v>9982.4</v>
      </c>
      <c r="J242" s="156"/>
      <c r="K242" s="156"/>
      <c r="L242" s="156"/>
      <c r="M242" s="156"/>
      <c r="N242" s="1604"/>
      <c r="O242" s="1606"/>
      <c r="P242" s="1683"/>
      <c r="Q242" s="1">
        <v>0.73399999999999999</v>
      </c>
      <c r="W242" s="1">
        <v>1</v>
      </c>
    </row>
    <row r="243" spans="1:23" s="1" customFormat="1" ht="54.75" customHeight="1" x14ac:dyDescent="0.3">
      <c r="A243" s="1682"/>
      <c r="B243" s="1541"/>
      <c r="C243" s="1601"/>
      <c r="D243" s="1602"/>
      <c r="E243" s="1603"/>
      <c r="F243" s="341"/>
      <c r="G243" s="332" t="s">
        <v>3</v>
      </c>
      <c r="H243" s="338">
        <f>I243+J243+K243+L243+M243</f>
        <v>3617.6</v>
      </c>
      <c r="I243" s="338">
        <f>E241*Q243</f>
        <v>3617.6</v>
      </c>
      <c r="J243" s="156"/>
      <c r="K243" s="156"/>
      <c r="L243" s="156"/>
      <c r="M243" s="156"/>
      <c r="N243" s="1604"/>
      <c r="O243" s="1607"/>
      <c r="P243" s="1683"/>
      <c r="Q243" s="1">
        <v>0.26600000000000001</v>
      </c>
    </row>
    <row r="244" spans="1:23" s="1" customFormat="1" ht="15" customHeight="1" x14ac:dyDescent="0.3">
      <c r="A244" s="1682" t="s">
        <v>1187</v>
      </c>
      <c r="B244" s="1541" t="s">
        <v>281</v>
      </c>
      <c r="C244" s="1601">
        <v>2018</v>
      </c>
      <c r="D244" s="1602"/>
      <c r="E244" s="1603">
        <v>6200</v>
      </c>
      <c r="F244" s="341"/>
      <c r="G244" s="332" t="s">
        <v>12</v>
      </c>
      <c r="H244" s="338">
        <f>H245+H246</f>
        <v>6200</v>
      </c>
      <c r="I244" s="338">
        <f>I245+I246</f>
        <v>6200</v>
      </c>
      <c r="J244" s="338">
        <f t="shared" ref="J244:M244" si="94">J245+J246</f>
        <v>0</v>
      </c>
      <c r="K244" s="338">
        <f t="shared" si="94"/>
        <v>0</v>
      </c>
      <c r="L244" s="338">
        <f t="shared" si="94"/>
        <v>0</v>
      </c>
      <c r="M244" s="338">
        <f t="shared" si="94"/>
        <v>0</v>
      </c>
      <c r="N244" s="1604"/>
      <c r="O244" s="1605" t="s">
        <v>16</v>
      </c>
      <c r="P244" s="1683"/>
    </row>
    <row r="245" spans="1:23" s="1" customFormat="1" ht="28.5" customHeight="1" x14ac:dyDescent="0.3">
      <c r="A245" s="1682"/>
      <c r="B245" s="1541"/>
      <c r="C245" s="1601"/>
      <c r="D245" s="1602"/>
      <c r="E245" s="1603"/>
      <c r="F245" s="341"/>
      <c r="G245" s="332" t="s">
        <v>13</v>
      </c>
      <c r="H245" s="338">
        <f>I245+J245+K245+L245+M245</f>
        <v>4550.8</v>
      </c>
      <c r="I245" s="338">
        <f>E244*Q245</f>
        <v>4550.8</v>
      </c>
      <c r="J245" s="156"/>
      <c r="K245" s="156"/>
      <c r="L245" s="156"/>
      <c r="M245" s="156"/>
      <c r="N245" s="1604"/>
      <c r="O245" s="1606"/>
      <c r="P245" s="1683"/>
      <c r="Q245" s="1">
        <v>0.73399999999999999</v>
      </c>
      <c r="W245" s="1">
        <v>1</v>
      </c>
    </row>
    <row r="246" spans="1:23" s="1" customFormat="1" ht="50.25" customHeight="1" x14ac:dyDescent="0.3">
      <c r="A246" s="1682"/>
      <c r="B246" s="1541"/>
      <c r="C246" s="1601"/>
      <c r="D246" s="1602"/>
      <c r="E246" s="1603"/>
      <c r="F246" s="341"/>
      <c r="G246" s="332" t="s">
        <v>3</v>
      </c>
      <c r="H246" s="338">
        <f>I246+J246+K246+L246+M246</f>
        <v>1649.2</v>
      </c>
      <c r="I246" s="338">
        <f>E244*Q246</f>
        <v>1649.2</v>
      </c>
      <c r="J246" s="156"/>
      <c r="K246" s="156"/>
      <c r="L246" s="156"/>
      <c r="M246" s="156"/>
      <c r="N246" s="1604"/>
      <c r="O246" s="1607"/>
      <c r="P246" s="1683"/>
      <c r="Q246" s="1">
        <v>0.26600000000000001</v>
      </c>
    </row>
    <row r="247" spans="1:23" s="1" customFormat="1" ht="19.5" customHeight="1" x14ac:dyDescent="0.3">
      <c r="A247" s="1682" t="s">
        <v>1188</v>
      </c>
      <c r="B247" s="1541" t="s">
        <v>282</v>
      </c>
      <c r="C247" s="1601">
        <v>2018</v>
      </c>
      <c r="D247" s="1602"/>
      <c r="E247" s="1603">
        <v>6500</v>
      </c>
      <c r="F247" s="341"/>
      <c r="G247" s="332" t="s">
        <v>12</v>
      </c>
      <c r="H247" s="338">
        <f>H248+H249</f>
        <v>6500</v>
      </c>
      <c r="I247" s="338">
        <f>I248+I249</f>
        <v>6500</v>
      </c>
      <c r="J247" s="338">
        <f t="shared" ref="J247:M247" si="95">J248+J249</f>
        <v>0</v>
      </c>
      <c r="K247" s="338">
        <f t="shared" si="95"/>
        <v>0</v>
      </c>
      <c r="L247" s="338">
        <f t="shared" si="95"/>
        <v>0</v>
      </c>
      <c r="M247" s="338">
        <f t="shared" si="95"/>
        <v>0</v>
      </c>
      <c r="N247" s="1604"/>
      <c r="O247" s="1605" t="s">
        <v>16</v>
      </c>
      <c r="P247" s="1683"/>
    </row>
    <row r="248" spans="1:23" s="1" customFormat="1" ht="28.5" customHeight="1" x14ac:dyDescent="0.3">
      <c r="A248" s="1682"/>
      <c r="B248" s="1541"/>
      <c r="C248" s="1601"/>
      <c r="D248" s="1602"/>
      <c r="E248" s="1603"/>
      <c r="F248" s="341"/>
      <c r="G248" s="332" t="s">
        <v>13</v>
      </c>
      <c r="H248" s="338">
        <f>I248+J248+K248+L248+M248</f>
        <v>4771</v>
      </c>
      <c r="I248" s="338">
        <f>E247*Q248</f>
        <v>4771</v>
      </c>
      <c r="J248" s="156"/>
      <c r="K248" s="156"/>
      <c r="L248" s="156"/>
      <c r="M248" s="156"/>
      <c r="N248" s="1604"/>
      <c r="O248" s="1606"/>
      <c r="P248" s="1683"/>
      <c r="Q248" s="1">
        <v>0.73399999999999999</v>
      </c>
      <c r="W248" s="1">
        <v>1</v>
      </c>
    </row>
    <row r="249" spans="1:23" s="1" customFormat="1" ht="48" customHeight="1" x14ac:dyDescent="0.3">
      <c r="A249" s="1682"/>
      <c r="B249" s="1541"/>
      <c r="C249" s="1601"/>
      <c r="D249" s="1602"/>
      <c r="E249" s="1603"/>
      <c r="F249" s="341"/>
      <c r="G249" s="332" t="s">
        <v>3</v>
      </c>
      <c r="H249" s="338">
        <f>I249+J249+K249+L249+M249</f>
        <v>1729</v>
      </c>
      <c r="I249" s="338">
        <f>E247*Q249</f>
        <v>1729</v>
      </c>
      <c r="J249" s="156"/>
      <c r="K249" s="156"/>
      <c r="L249" s="156"/>
      <c r="M249" s="156"/>
      <c r="N249" s="1604"/>
      <c r="O249" s="1607"/>
      <c r="P249" s="1683"/>
      <c r="Q249" s="1">
        <v>0.26600000000000001</v>
      </c>
    </row>
    <row r="250" spans="1:23" s="1" customFormat="1" ht="19.5" customHeight="1" x14ac:dyDescent="0.3">
      <c r="A250" s="1682" t="s">
        <v>1189</v>
      </c>
      <c r="B250" s="1541" t="s">
        <v>283</v>
      </c>
      <c r="C250" s="1601">
        <v>2018</v>
      </c>
      <c r="D250" s="1602"/>
      <c r="E250" s="1603">
        <v>7700</v>
      </c>
      <c r="F250" s="341"/>
      <c r="G250" s="332" t="s">
        <v>12</v>
      </c>
      <c r="H250" s="338">
        <f>H251+H252</f>
        <v>7700</v>
      </c>
      <c r="I250" s="338">
        <f>I251+I252</f>
        <v>7700</v>
      </c>
      <c r="J250" s="338">
        <f t="shared" ref="J250:M250" si="96">J251+J252</f>
        <v>0</v>
      </c>
      <c r="K250" s="338">
        <f t="shared" si="96"/>
        <v>0</v>
      </c>
      <c r="L250" s="338">
        <f t="shared" si="96"/>
        <v>0</v>
      </c>
      <c r="M250" s="338">
        <f t="shared" si="96"/>
        <v>0</v>
      </c>
      <c r="N250" s="1604"/>
      <c r="O250" s="1605" t="s">
        <v>16</v>
      </c>
      <c r="P250" s="1683"/>
    </row>
    <row r="251" spans="1:23" s="1" customFormat="1" ht="28.5" customHeight="1" x14ac:dyDescent="0.3">
      <c r="A251" s="1682"/>
      <c r="B251" s="1541"/>
      <c r="C251" s="1601"/>
      <c r="D251" s="1602"/>
      <c r="E251" s="1603"/>
      <c r="F251" s="341"/>
      <c r="G251" s="332" t="s">
        <v>13</v>
      </c>
      <c r="H251" s="338">
        <f>I251+J251+K251+L251+M251</f>
        <v>5651.8</v>
      </c>
      <c r="I251" s="338">
        <f>E250*Q251</f>
        <v>5651.8</v>
      </c>
      <c r="J251" s="156"/>
      <c r="K251" s="156"/>
      <c r="L251" s="156"/>
      <c r="M251" s="156"/>
      <c r="N251" s="1604"/>
      <c r="O251" s="1606"/>
      <c r="P251" s="1683"/>
      <c r="Q251" s="1">
        <v>0.73399999999999999</v>
      </c>
      <c r="W251" s="1">
        <v>1</v>
      </c>
    </row>
    <row r="252" spans="1:23" s="1" customFormat="1" ht="51.75" customHeight="1" x14ac:dyDescent="0.3">
      <c r="A252" s="1682"/>
      <c r="B252" s="1541"/>
      <c r="C252" s="1601"/>
      <c r="D252" s="1602"/>
      <c r="E252" s="1603"/>
      <c r="F252" s="341"/>
      <c r="G252" s="332" t="s">
        <v>3</v>
      </c>
      <c r="H252" s="338">
        <f>I252+J252+K252+L252+M252</f>
        <v>2048.1999999999998</v>
      </c>
      <c r="I252" s="338">
        <f>E250*Q252</f>
        <v>2048.1999999999998</v>
      </c>
      <c r="J252" s="156"/>
      <c r="K252" s="156"/>
      <c r="L252" s="156"/>
      <c r="M252" s="156"/>
      <c r="N252" s="1604"/>
      <c r="O252" s="1607"/>
      <c r="P252" s="1683"/>
      <c r="Q252" s="1">
        <v>0.26600000000000001</v>
      </c>
    </row>
    <row r="253" spans="1:23" s="1" customFormat="1" ht="15.75" customHeight="1" x14ac:dyDescent="0.3">
      <c r="A253" s="1682" t="s">
        <v>1190</v>
      </c>
      <c r="B253" s="1541" t="s">
        <v>284</v>
      </c>
      <c r="C253" s="1601">
        <v>2018</v>
      </c>
      <c r="D253" s="1602"/>
      <c r="E253" s="1603">
        <v>8800</v>
      </c>
      <c r="F253" s="341"/>
      <c r="G253" s="332" t="s">
        <v>12</v>
      </c>
      <c r="H253" s="338">
        <f>H254+H255</f>
        <v>8800</v>
      </c>
      <c r="I253" s="338">
        <f>I254+I255</f>
        <v>8800</v>
      </c>
      <c r="J253" s="338">
        <f t="shared" ref="J253:M253" si="97">J254+J255</f>
        <v>0</v>
      </c>
      <c r="K253" s="338">
        <f t="shared" si="97"/>
        <v>0</v>
      </c>
      <c r="L253" s="338">
        <f t="shared" si="97"/>
        <v>0</v>
      </c>
      <c r="M253" s="338">
        <f t="shared" si="97"/>
        <v>0</v>
      </c>
      <c r="N253" s="1604"/>
      <c r="O253" s="1605" t="s">
        <v>16</v>
      </c>
      <c r="P253" s="1683"/>
    </row>
    <row r="254" spans="1:23" s="1" customFormat="1" ht="28.5" customHeight="1" x14ac:dyDescent="0.3">
      <c r="A254" s="1682"/>
      <c r="B254" s="1541"/>
      <c r="C254" s="1601"/>
      <c r="D254" s="1602"/>
      <c r="E254" s="1603"/>
      <c r="F254" s="341"/>
      <c r="G254" s="332" t="s">
        <v>13</v>
      </c>
      <c r="H254" s="338">
        <f>I254+J254+K254+L254+M254</f>
        <v>6459.2</v>
      </c>
      <c r="I254" s="338">
        <f>E253*Q254</f>
        <v>6459.2</v>
      </c>
      <c r="J254" s="156"/>
      <c r="K254" s="156"/>
      <c r="L254" s="156"/>
      <c r="M254" s="156"/>
      <c r="N254" s="1604"/>
      <c r="O254" s="1606"/>
      <c r="P254" s="1683"/>
      <c r="Q254" s="1">
        <v>0.73399999999999999</v>
      </c>
      <c r="W254" s="1">
        <v>1</v>
      </c>
    </row>
    <row r="255" spans="1:23" s="1" customFormat="1" ht="54.75" customHeight="1" x14ac:dyDescent="0.3">
      <c r="A255" s="1682"/>
      <c r="B255" s="1541"/>
      <c r="C255" s="1601"/>
      <c r="D255" s="1602"/>
      <c r="E255" s="1603"/>
      <c r="F255" s="341"/>
      <c r="G255" s="332" t="s">
        <v>3</v>
      </c>
      <c r="H255" s="338">
        <f>I255+J255+K255+L255+M255</f>
        <v>2340.8000000000002</v>
      </c>
      <c r="I255" s="338">
        <f>E253*Q255</f>
        <v>2340.8000000000002</v>
      </c>
      <c r="J255" s="156"/>
      <c r="K255" s="156"/>
      <c r="L255" s="156"/>
      <c r="M255" s="156"/>
      <c r="N255" s="1604"/>
      <c r="O255" s="1607"/>
      <c r="P255" s="1683"/>
      <c r="Q255" s="1">
        <v>0.26600000000000001</v>
      </c>
    </row>
    <row r="256" spans="1:23" s="1" customFormat="1" ht="18" customHeight="1" x14ac:dyDescent="0.3">
      <c r="A256" s="1641" t="s">
        <v>838</v>
      </c>
      <c r="B256" s="1541" t="s">
        <v>319</v>
      </c>
      <c r="C256" s="1541"/>
      <c r="D256" s="1541"/>
      <c r="E256" s="1541"/>
      <c r="F256" s="1541"/>
      <c r="G256" s="332" t="s">
        <v>12</v>
      </c>
      <c r="H256" s="338">
        <f>H257+H258</f>
        <v>5579.08</v>
      </c>
      <c r="I256" s="338">
        <f t="shared" ref="I256:M256" si="98">I257+I258</f>
        <v>5579.08</v>
      </c>
      <c r="J256" s="338">
        <f t="shared" si="98"/>
        <v>0</v>
      </c>
      <c r="K256" s="338">
        <f t="shared" si="98"/>
        <v>0</v>
      </c>
      <c r="L256" s="338">
        <f t="shared" si="98"/>
        <v>0</v>
      </c>
      <c r="M256" s="338">
        <f t="shared" si="98"/>
        <v>0</v>
      </c>
      <c r="N256" s="1679"/>
      <c r="O256" s="1605"/>
      <c r="P256" s="1681">
        <v>3</v>
      </c>
    </row>
    <row r="257" spans="1:23" s="1" customFormat="1" ht="28.5" customHeight="1" x14ac:dyDescent="0.3">
      <c r="A257" s="1641"/>
      <c r="B257" s="1541"/>
      <c r="C257" s="1541"/>
      <c r="D257" s="1541"/>
      <c r="E257" s="1541"/>
      <c r="F257" s="1541"/>
      <c r="G257" s="332" t="s">
        <v>13</v>
      </c>
      <c r="H257" s="338">
        <f>I257+J257+K257+L257+M257</f>
        <v>4446.53</v>
      </c>
      <c r="I257" s="338">
        <f>I260+I263+I266</f>
        <v>4446.53</v>
      </c>
      <c r="J257" s="338">
        <f t="shared" ref="J257:M258" si="99">J260+J263+J266</f>
        <v>0</v>
      </c>
      <c r="K257" s="338">
        <f t="shared" si="99"/>
        <v>0</v>
      </c>
      <c r="L257" s="338">
        <f t="shared" si="99"/>
        <v>0</v>
      </c>
      <c r="M257" s="338">
        <f t="shared" si="99"/>
        <v>0</v>
      </c>
      <c r="N257" s="1679"/>
      <c r="O257" s="1606"/>
      <c r="P257" s="1681"/>
      <c r="R257" s="1" t="s">
        <v>1166</v>
      </c>
    </row>
    <row r="258" spans="1:23" s="1" customFormat="1" ht="52.5" customHeight="1" x14ac:dyDescent="0.3">
      <c r="A258" s="1641"/>
      <c r="B258" s="1541"/>
      <c r="C258" s="1541"/>
      <c r="D258" s="1541"/>
      <c r="E258" s="1541"/>
      <c r="F258" s="1541"/>
      <c r="G258" s="332" t="s">
        <v>3</v>
      </c>
      <c r="H258" s="338">
        <f>I258+J258+K258+L258+M258</f>
        <v>1132.55</v>
      </c>
      <c r="I258" s="338">
        <f>I261+I264+I267</f>
        <v>1132.55</v>
      </c>
      <c r="J258" s="338">
        <f t="shared" si="99"/>
        <v>0</v>
      </c>
      <c r="K258" s="338">
        <f t="shared" si="99"/>
        <v>0</v>
      </c>
      <c r="L258" s="338">
        <f t="shared" si="99"/>
        <v>0</v>
      </c>
      <c r="M258" s="338">
        <f t="shared" si="99"/>
        <v>0</v>
      </c>
      <c r="N258" s="1679"/>
      <c r="O258" s="1607"/>
      <c r="P258" s="1681"/>
    </row>
    <row r="259" spans="1:23" s="1" customFormat="1" ht="15" customHeight="1" x14ac:dyDescent="0.3">
      <c r="A259" s="1682" t="s">
        <v>1191</v>
      </c>
      <c r="B259" s="1541" t="s">
        <v>289</v>
      </c>
      <c r="C259" s="1601">
        <v>2018</v>
      </c>
      <c r="D259" s="1602"/>
      <c r="E259" s="1603">
        <f>H259</f>
        <v>3650</v>
      </c>
      <c r="F259" s="341"/>
      <c r="G259" s="332" t="s">
        <v>12</v>
      </c>
      <c r="H259" s="338">
        <f>H260+H261</f>
        <v>3650</v>
      </c>
      <c r="I259" s="338">
        <f>I260+I261</f>
        <v>3650</v>
      </c>
      <c r="J259" s="338">
        <f t="shared" ref="J259:M259" si="100">J260+J261</f>
        <v>0</v>
      </c>
      <c r="K259" s="338">
        <f t="shared" si="100"/>
        <v>0</v>
      </c>
      <c r="L259" s="338">
        <f t="shared" si="100"/>
        <v>0</v>
      </c>
      <c r="M259" s="338">
        <f t="shared" si="100"/>
        <v>0</v>
      </c>
      <c r="N259" s="1604"/>
      <c r="O259" s="1605" t="s">
        <v>16</v>
      </c>
      <c r="P259" s="1683"/>
    </row>
    <row r="260" spans="1:23" s="1" customFormat="1" ht="29.25" customHeight="1" x14ac:dyDescent="0.3">
      <c r="A260" s="1682"/>
      <c r="B260" s="1541"/>
      <c r="C260" s="1601"/>
      <c r="D260" s="1602"/>
      <c r="E260" s="1603"/>
      <c r="F260" s="341"/>
      <c r="G260" s="332" t="s">
        <v>13</v>
      </c>
      <c r="H260" s="338">
        <f>I260+J260+K260+L260+M260</f>
        <v>2909.05</v>
      </c>
      <c r="I260" s="338">
        <v>2909.05</v>
      </c>
      <c r="J260" s="156"/>
      <c r="K260" s="156"/>
      <c r="L260" s="156"/>
      <c r="M260" s="156"/>
      <c r="N260" s="1604"/>
      <c r="O260" s="1606"/>
      <c r="P260" s="1683"/>
      <c r="W260" s="1">
        <v>1</v>
      </c>
    </row>
    <row r="261" spans="1:23" s="1" customFormat="1" ht="45.75" customHeight="1" x14ac:dyDescent="0.3">
      <c r="A261" s="1682"/>
      <c r="B261" s="1541"/>
      <c r="C261" s="1601"/>
      <c r="D261" s="1602"/>
      <c r="E261" s="1603"/>
      <c r="F261" s="341"/>
      <c r="G261" s="332" t="s">
        <v>3</v>
      </c>
      <c r="H261" s="338">
        <f>I261+J261+K261+L261+M261</f>
        <v>740.95</v>
      </c>
      <c r="I261" s="338">
        <v>740.95</v>
      </c>
      <c r="J261" s="156"/>
      <c r="K261" s="156"/>
      <c r="L261" s="156"/>
      <c r="M261" s="156"/>
      <c r="N261" s="1604"/>
      <c r="O261" s="1607"/>
      <c r="P261" s="1683"/>
    </row>
    <row r="262" spans="1:23" s="1" customFormat="1" ht="17.25" customHeight="1" x14ac:dyDescent="0.3">
      <c r="A262" s="1682" t="s">
        <v>1192</v>
      </c>
      <c r="B262" s="1541" t="s">
        <v>290</v>
      </c>
      <c r="C262" s="1601">
        <v>2018</v>
      </c>
      <c r="D262" s="1602"/>
      <c r="E262" s="1603">
        <f>H262</f>
        <v>964.54</v>
      </c>
      <c r="F262" s="341"/>
      <c r="G262" s="332" t="s">
        <v>12</v>
      </c>
      <c r="H262" s="338">
        <f>H263+H264</f>
        <v>964.54</v>
      </c>
      <c r="I262" s="338">
        <f>I263+I264</f>
        <v>964.54</v>
      </c>
      <c r="J262" s="338">
        <f t="shared" ref="J262:M262" si="101">J263+J264</f>
        <v>0</v>
      </c>
      <c r="K262" s="338">
        <f t="shared" si="101"/>
        <v>0</v>
      </c>
      <c r="L262" s="338">
        <f t="shared" si="101"/>
        <v>0</v>
      </c>
      <c r="M262" s="338">
        <f t="shared" si="101"/>
        <v>0</v>
      </c>
      <c r="N262" s="1604"/>
      <c r="O262" s="1605" t="s">
        <v>16</v>
      </c>
      <c r="P262" s="1683"/>
    </row>
    <row r="263" spans="1:23" s="1" customFormat="1" ht="28.5" customHeight="1" x14ac:dyDescent="0.3">
      <c r="A263" s="1682"/>
      <c r="B263" s="1541"/>
      <c r="C263" s="1601"/>
      <c r="D263" s="1602"/>
      <c r="E263" s="1603"/>
      <c r="F263" s="341"/>
      <c r="G263" s="332" t="s">
        <v>13</v>
      </c>
      <c r="H263" s="338">
        <f>I263+J263+K263+L263+M263</f>
        <v>768.74</v>
      </c>
      <c r="I263" s="338">
        <v>768.74</v>
      </c>
      <c r="J263" s="156"/>
      <c r="K263" s="156"/>
      <c r="L263" s="156"/>
      <c r="M263" s="156"/>
      <c r="N263" s="1604"/>
      <c r="O263" s="1606"/>
      <c r="P263" s="1683"/>
      <c r="W263" s="1">
        <v>1</v>
      </c>
    </row>
    <row r="264" spans="1:23" s="1" customFormat="1" ht="54" customHeight="1" x14ac:dyDescent="0.3">
      <c r="A264" s="1682"/>
      <c r="B264" s="1541"/>
      <c r="C264" s="1601"/>
      <c r="D264" s="1602"/>
      <c r="E264" s="1603"/>
      <c r="F264" s="341"/>
      <c r="G264" s="332" t="s">
        <v>3</v>
      </c>
      <c r="H264" s="338">
        <f>I264+J264+K264+L264+M264</f>
        <v>195.8</v>
      </c>
      <c r="I264" s="338">
        <v>195.8</v>
      </c>
      <c r="J264" s="156"/>
      <c r="K264" s="156"/>
      <c r="L264" s="156"/>
      <c r="M264" s="156"/>
      <c r="N264" s="1604"/>
      <c r="O264" s="1607"/>
      <c r="P264" s="1683"/>
    </row>
    <row r="265" spans="1:23" s="1" customFormat="1" ht="17.25" customHeight="1" x14ac:dyDescent="0.3">
      <c r="A265" s="1682" t="s">
        <v>1193</v>
      </c>
      <c r="B265" s="1541" t="s">
        <v>291</v>
      </c>
      <c r="C265" s="1601">
        <v>2018</v>
      </c>
      <c r="D265" s="1602"/>
      <c r="E265" s="1603">
        <f>H265</f>
        <v>964.54</v>
      </c>
      <c r="F265" s="341"/>
      <c r="G265" s="332" t="s">
        <v>12</v>
      </c>
      <c r="H265" s="338">
        <f>H266+H267</f>
        <v>964.54</v>
      </c>
      <c r="I265" s="338">
        <f>I266+I267</f>
        <v>964.54</v>
      </c>
      <c r="J265" s="338">
        <f t="shared" ref="J265:M265" si="102">J266+J267</f>
        <v>0</v>
      </c>
      <c r="K265" s="338">
        <f t="shared" si="102"/>
        <v>0</v>
      </c>
      <c r="L265" s="338">
        <f t="shared" si="102"/>
        <v>0</v>
      </c>
      <c r="M265" s="338">
        <f t="shared" si="102"/>
        <v>0</v>
      </c>
      <c r="N265" s="1604"/>
      <c r="O265" s="1605" t="s">
        <v>16</v>
      </c>
      <c r="P265" s="1683"/>
    </row>
    <row r="266" spans="1:23" s="1" customFormat="1" ht="28.5" customHeight="1" x14ac:dyDescent="0.3">
      <c r="A266" s="1682"/>
      <c r="B266" s="1541"/>
      <c r="C266" s="1601"/>
      <c r="D266" s="1602"/>
      <c r="E266" s="1603"/>
      <c r="F266" s="341"/>
      <c r="G266" s="332" t="s">
        <v>13</v>
      </c>
      <c r="H266" s="338">
        <f>I266+J266+K266+L266+M266</f>
        <v>768.74</v>
      </c>
      <c r="I266" s="338">
        <v>768.74</v>
      </c>
      <c r="J266" s="156"/>
      <c r="K266" s="156"/>
      <c r="L266" s="156"/>
      <c r="M266" s="156"/>
      <c r="N266" s="1604"/>
      <c r="O266" s="1606"/>
      <c r="P266" s="1683"/>
      <c r="W266" s="1">
        <v>1</v>
      </c>
    </row>
    <row r="267" spans="1:23" s="1" customFormat="1" ht="49.5" customHeight="1" x14ac:dyDescent="0.3">
      <c r="A267" s="1682"/>
      <c r="B267" s="1541"/>
      <c r="C267" s="1601"/>
      <c r="D267" s="1602"/>
      <c r="E267" s="1603"/>
      <c r="F267" s="341"/>
      <c r="G267" s="332" t="s">
        <v>3</v>
      </c>
      <c r="H267" s="338">
        <f>I267+J267+K267+L267+M267</f>
        <v>195.8</v>
      </c>
      <c r="I267" s="338">
        <v>195.8</v>
      </c>
      <c r="J267" s="156"/>
      <c r="K267" s="156"/>
      <c r="L267" s="156"/>
      <c r="M267" s="156"/>
      <c r="N267" s="1604"/>
      <c r="O267" s="1607"/>
      <c r="P267" s="1683"/>
    </row>
    <row r="268" spans="1:23" s="1" customFormat="1" ht="17.25" customHeight="1" x14ac:dyDescent="0.3">
      <c r="A268" s="1641" t="s">
        <v>1194</v>
      </c>
      <c r="B268" s="1541" t="s">
        <v>1518</v>
      </c>
      <c r="C268" s="1541"/>
      <c r="D268" s="1541"/>
      <c r="E268" s="1541"/>
      <c r="F268" s="1541"/>
      <c r="G268" s="332" t="s">
        <v>12</v>
      </c>
      <c r="H268" s="338">
        <f>H269+H270</f>
        <v>89466.67</v>
      </c>
      <c r="I268" s="338">
        <f t="shared" ref="I268:M268" si="103">I269+I270</f>
        <v>89466.67</v>
      </c>
      <c r="J268" s="338">
        <f t="shared" si="103"/>
        <v>0</v>
      </c>
      <c r="K268" s="338">
        <f t="shared" si="103"/>
        <v>0</v>
      </c>
      <c r="L268" s="338">
        <f t="shared" si="103"/>
        <v>0</v>
      </c>
      <c r="M268" s="338">
        <f t="shared" si="103"/>
        <v>0</v>
      </c>
      <c r="N268" s="1679"/>
      <c r="O268" s="1605"/>
      <c r="P268" s="1681">
        <v>6</v>
      </c>
      <c r="R268" s="1697" t="s">
        <v>1184</v>
      </c>
      <c r="S268" s="1698" t="s">
        <v>299</v>
      </c>
      <c r="T268" s="338"/>
      <c r="U268" s="338"/>
    </row>
    <row r="269" spans="1:23" s="1" customFormat="1" ht="28.5" customHeight="1" x14ac:dyDescent="0.3">
      <c r="A269" s="1641"/>
      <c r="B269" s="1541"/>
      <c r="C269" s="1541"/>
      <c r="D269" s="1541"/>
      <c r="E269" s="1541"/>
      <c r="F269" s="1541"/>
      <c r="G269" s="332" t="s">
        <v>13</v>
      </c>
      <c r="H269" s="338">
        <f>I269+J269+K269+L269+M269</f>
        <v>77478.14</v>
      </c>
      <c r="I269" s="338">
        <f>I272+I275+I278+I281+I284+I287</f>
        <v>77478.14</v>
      </c>
      <c r="J269" s="338">
        <f t="shared" ref="J269:M270" si="104">J272+J275+J278+J281+J284+J287</f>
        <v>0</v>
      </c>
      <c r="K269" s="338">
        <f t="shared" si="104"/>
        <v>0</v>
      </c>
      <c r="L269" s="338">
        <f t="shared" si="104"/>
        <v>0</v>
      </c>
      <c r="M269" s="338">
        <f t="shared" si="104"/>
        <v>0</v>
      </c>
      <c r="N269" s="1679"/>
      <c r="O269" s="1606"/>
      <c r="P269" s="1681"/>
      <c r="R269" s="1697"/>
      <c r="S269" s="1699"/>
      <c r="T269" s="261">
        <v>0.69899999999999995</v>
      </c>
      <c r="U269" s="338"/>
    </row>
    <row r="270" spans="1:23" s="1" customFormat="1" ht="57.75" customHeight="1" x14ac:dyDescent="0.3">
      <c r="A270" s="1641"/>
      <c r="B270" s="1541"/>
      <c r="C270" s="1541"/>
      <c r="D270" s="1541"/>
      <c r="E270" s="1541"/>
      <c r="F270" s="1541"/>
      <c r="G270" s="332" t="s">
        <v>3</v>
      </c>
      <c r="H270" s="338">
        <f>I270+J270+K270+L270+M270</f>
        <v>11988.53</v>
      </c>
      <c r="I270" s="338">
        <f>I273+I276+I279+I282+I285+I288</f>
        <v>11988.53</v>
      </c>
      <c r="J270" s="338">
        <f t="shared" si="104"/>
        <v>0</v>
      </c>
      <c r="K270" s="338">
        <f t="shared" si="104"/>
        <v>0</v>
      </c>
      <c r="L270" s="338">
        <f t="shared" si="104"/>
        <v>0</v>
      </c>
      <c r="M270" s="338">
        <f t="shared" si="104"/>
        <v>0</v>
      </c>
      <c r="N270" s="1679"/>
      <c r="O270" s="1607"/>
      <c r="P270" s="1681"/>
      <c r="R270" s="1697"/>
      <c r="S270" s="1699"/>
      <c r="T270" s="261">
        <v>0.30099999999999999</v>
      </c>
      <c r="U270" s="338"/>
    </row>
    <row r="271" spans="1:23" s="1" customFormat="1" ht="15" customHeight="1" x14ac:dyDescent="0.3">
      <c r="A271" s="1682" t="s">
        <v>1195</v>
      </c>
      <c r="B271" s="1541" t="s">
        <v>292</v>
      </c>
      <c r="C271" s="1601">
        <v>2018</v>
      </c>
      <c r="D271" s="1602"/>
      <c r="E271" s="1603">
        <f>H271</f>
        <v>30500</v>
      </c>
      <c r="F271" s="341"/>
      <c r="G271" s="332" t="s">
        <v>12</v>
      </c>
      <c r="H271" s="338">
        <f>H272+H273</f>
        <v>30500</v>
      </c>
      <c r="I271" s="338">
        <f>I272+I273</f>
        <v>30500</v>
      </c>
      <c r="J271" s="338">
        <f t="shared" ref="J271:M271" si="105">J272+J273</f>
        <v>0</v>
      </c>
      <c r="K271" s="338">
        <f t="shared" si="105"/>
        <v>0</v>
      </c>
      <c r="L271" s="338">
        <f t="shared" si="105"/>
        <v>0</v>
      </c>
      <c r="M271" s="338">
        <f t="shared" si="105"/>
        <v>0</v>
      </c>
      <c r="N271" s="1604"/>
      <c r="O271" s="1605" t="s">
        <v>16</v>
      </c>
      <c r="P271" s="1683"/>
    </row>
    <row r="272" spans="1:23" s="1" customFormat="1" ht="27.75" customHeight="1" x14ac:dyDescent="0.3">
      <c r="A272" s="1682"/>
      <c r="B272" s="1541"/>
      <c r="C272" s="1601"/>
      <c r="D272" s="1602"/>
      <c r="E272" s="1603"/>
      <c r="F272" s="341"/>
      <c r="G272" s="332" t="s">
        <v>13</v>
      </c>
      <c r="H272" s="338">
        <f>I272+J272+K272+L272+M272</f>
        <v>26413</v>
      </c>
      <c r="I272" s="338">
        <v>26413</v>
      </c>
      <c r="J272" s="156"/>
      <c r="K272" s="156"/>
      <c r="L272" s="156"/>
      <c r="M272" s="156"/>
      <c r="N272" s="1604"/>
      <c r="O272" s="1606"/>
      <c r="P272" s="1683"/>
      <c r="W272" s="1">
        <v>1</v>
      </c>
    </row>
    <row r="273" spans="1:23" s="1" customFormat="1" ht="54" customHeight="1" x14ac:dyDescent="0.3">
      <c r="A273" s="1682"/>
      <c r="B273" s="1541"/>
      <c r="C273" s="1601"/>
      <c r="D273" s="1602"/>
      <c r="E273" s="1603"/>
      <c r="F273" s="341"/>
      <c r="G273" s="332" t="s">
        <v>3</v>
      </c>
      <c r="H273" s="338">
        <f>I273+J273+K273+L273+M273</f>
        <v>4087</v>
      </c>
      <c r="I273" s="338">
        <v>4087</v>
      </c>
      <c r="J273" s="156"/>
      <c r="K273" s="156"/>
      <c r="L273" s="156"/>
      <c r="M273" s="156"/>
      <c r="N273" s="1604"/>
      <c r="O273" s="1607"/>
      <c r="P273" s="1683"/>
    </row>
    <row r="274" spans="1:23" s="1" customFormat="1" ht="17.25" customHeight="1" x14ac:dyDescent="0.3">
      <c r="A274" s="1682" t="s">
        <v>1196</v>
      </c>
      <c r="B274" s="1541" t="s">
        <v>293</v>
      </c>
      <c r="C274" s="1601">
        <v>2018</v>
      </c>
      <c r="D274" s="1602"/>
      <c r="E274" s="1603">
        <f>H274</f>
        <v>38500</v>
      </c>
      <c r="F274" s="341"/>
      <c r="G274" s="332" t="s">
        <v>12</v>
      </c>
      <c r="H274" s="338">
        <f>H275+H276</f>
        <v>38500</v>
      </c>
      <c r="I274" s="338">
        <f>I275+I276</f>
        <v>38500</v>
      </c>
      <c r="J274" s="338">
        <f t="shared" ref="J274:M274" si="106">J275+J276</f>
        <v>0</v>
      </c>
      <c r="K274" s="338">
        <f t="shared" si="106"/>
        <v>0</v>
      </c>
      <c r="L274" s="338">
        <f t="shared" si="106"/>
        <v>0</v>
      </c>
      <c r="M274" s="338">
        <f t="shared" si="106"/>
        <v>0</v>
      </c>
      <c r="N274" s="1604"/>
      <c r="O274" s="1605" t="s">
        <v>16</v>
      </c>
      <c r="P274" s="1683"/>
    </row>
    <row r="275" spans="1:23" s="1" customFormat="1" ht="28.5" customHeight="1" x14ac:dyDescent="0.3">
      <c r="A275" s="1682"/>
      <c r="B275" s="1541"/>
      <c r="C275" s="1601"/>
      <c r="D275" s="1602"/>
      <c r="E275" s="1603"/>
      <c r="F275" s="341"/>
      <c r="G275" s="332" t="s">
        <v>13</v>
      </c>
      <c r="H275" s="338">
        <f>I275+J275+K275+L275+M275</f>
        <v>33341</v>
      </c>
      <c r="I275" s="338">
        <v>33341</v>
      </c>
      <c r="J275" s="156"/>
      <c r="K275" s="156"/>
      <c r="L275" s="156"/>
      <c r="M275" s="156"/>
      <c r="N275" s="1604"/>
      <c r="O275" s="1606"/>
      <c r="P275" s="1683"/>
      <c r="W275" s="1">
        <v>1</v>
      </c>
    </row>
    <row r="276" spans="1:23" s="1" customFormat="1" ht="50.25" customHeight="1" x14ac:dyDescent="0.3">
      <c r="A276" s="1682"/>
      <c r="B276" s="1541"/>
      <c r="C276" s="1601"/>
      <c r="D276" s="1602"/>
      <c r="E276" s="1603"/>
      <c r="F276" s="341"/>
      <c r="G276" s="332" t="s">
        <v>3</v>
      </c>
      <c r="H276" s="338">
        <f>I276+J276+K276+L276+M276</f>
        <v>5159</v>
      </c>
      <c r="I276" s="338">
        <v>5159</v>
      </c>
      <c r="J276" s="156"/>
      <c r="K276" s="156"/>
      <c r="L276" s="156"/>
      <c r="M276" s="156"/>
      <c r="N276" s="1604"/>
      <c r="O276" s="1607"/>
      <c r="P276" s="1683"/>
    </row>
    <row r="277" spans="1:23" s="1" customFormat="1" ht="17.25" customHeight="1" x14ac:dyDescent="0.3">
      <c r="A277" s="1682" t="s">
        <v>1197</v>
      </c>
      <c r="B277" s="1541" t="s">
        <v>294</v>
      </c>
      <c r="C277" s="1601">
        <v>2018</v>
      </c>
      <c r="D277" s="1602"/>
      <c r="E277" s="1603">
        <f>H277</f>
        <v>5900</v>
      </c>
      <c r="F277" s="341"/>
      <c r="G277" s="332" t="s">
        <v>12</v>
      </c>
      <c r="H277" s="338">
        <f>H278+H279</f>
        <v>5900</v>
      </c>
      <c r="I277" s="338">
        <f>I278+I279</f>
        <v>5900</v>
      </c>
      <c r="J277" s="338">
        <f t="shared" ref="J277:M277" si="107">J278+J279</f>
        <v>0</v>
      </c>
      <c r="K277" s="338">
        <f t="shared" si="107"/>
        <v>0</v>
      </c>
      <c r="L277" s="338">
        <f t="shared" si="107"/>
        <v>0</v>
      </c>
      <c r="M277" s="338">
        <f t="shared" si="107"/>
        <v>0</v>
      </c>
      <c r="N277" s="1604"/>
      <c r="O277" s="1605" t="s">
        <v>16</v>
      </c>
      <c r="P277" s="1683"/>
    </row>
    <row r="278" spans="1:23" s="1" customFormat="1" ht="28.5" customHeight="1" x14ac:dyDescent="0.3">
      <c r="A278" s="1682"/>
      <c r="B278" s="1541"/>
      <c r="C278" s="1601"/>
      <c r="D278" s="1602"/>
      <c r="E278" s="1603"/>
      <c r="F278" s="341"/>
      <c r="G278" s="332" t="s">
        <v>13</v>
      </c>
      <c r="H278" s="338">
        <f>I278+J278+K278+L278+M278</f>
        <v>5109.3999999999996</v>
      </c>
      <c r="I278" s="338">
        <v>5109.3999999999996</v>
      </c>
      <c r="J278" s="156"/>
      <c r="K278" s="156"/>
      <c r="L278" s="156"/>
      <c r="M278" s="156"/>
      <c r="N278" s="1604"/>
      <c r="O278" s="1606"/>
      <c r="P278" s="1683"/>
      <c r="W278" s="1">
        <v>1</v>
      </c>
    </row>
    <row r="279" spans="1:23" s="1" customFormat="1" ht="51.75" customHeight="1" x14ac:dyDescent="0.3">
      <c r="A279" s="1682"/>
      <c r="B279" s="1541"/>
      <c r="C279" s="1601"/>
      <c r="D279" s="1602"/>
      <c r="E279" s="1603"/>
      <c r="F279" s="341"/>
      <c r="G279" s="332" t="s">
        <v>3</v>
      </c>
      <c r="H279" s="338">
        <f>I279+J279+K279+L279+M279</f>
        <v>790.6</v>
      </c>
      <c r="I279" s="338">
        <v>790.6</v>
      </c>
      <c r="J279" s="156"/>
      <c r="K279" s="156"/>
      <c r="L279" s="156"/>
      <c r="M279" s="156"/>
      <c r="N279" s="1604"/>
      <c r="O279" s="1607"/>
      <c r="P279" s="1683"/>
    </row>
    <row r="280" spans="1:23" s="1" customFormat="1" ht="17.25" customHeight="1" x14ac:dyDescent="0.3">
      <c r="A280" s="1682" t="s">
        <v>1198</v>
      </c>
      <c r="B280" s="1541" t="s">
        <v>295</v>
      </c>
      <c r="C280" s="1601">
        <v>2018</v>
      </c>
      <c r="D280" s="1602"/>
      <c r="E280" s="1603">
        <f>H280</f>
        <v>4466.67</v>
      </c>
      <c r="F280" s="341"/>
      <c r="G280" s="332" t="s">
        <v>12</v>
      </c>
      <c r="H280" s="338">
        <f>H281+H282</f>
        <v>4466.67</v>
      </c>
      <c r="I280" s="338">
        <f>I281+I282</f>
        <v>4466.67</v>
      </c>
      <c r="J280" s="338">
        <f t="shared" ref="J280:M280" si="108">J281+J282</f>
        <v>0</v>
      </c>
      <c r="K280" s="338">
        <f t="shared" si="108"/>
        <v>0</v>
      </c>
      <c r="L280" s="338">
        <f t="shared" si="108"/>
        <v>0</v>
      </c>
      <c r="M280" s="338">
        <f t="shared" si="108"/>
        <v>0</v>
      </c>
      <c r="N280" s="1604"/>
      <c r="O280" s="1605" t="s">
        <v>16</v>
      </c>
      <c r="P280" s="1683"/>
    </row>
    <row r="281" spans="1:23" s="1" customFormat="1" ht="28.5" customHeight="1" x14ac:dyDescent="0.3">
      <c r="A281" s="1682"/>
      <c r="B281" s="1541"/>
      <c r="C281" s="1601"/>
      <c r="D281" s="1602"/>
      <c r="E281" s="1603"/>
      <c r="F281" s="341"/>
      <c r="G281" s="332" t="s">
        <v>13</v>
      </c>
      <c r="H281" s="338">
        <f>I281+J281+K281+L281+M281</f>
        <v>3868.14</v>
      </c>
      <c r="I281" s="338">
        <v>3868.14</v>
      </c>
      <c r="J281" s="156"/>
      <c r="K281" s="156"/>
      <c r="L281" s="156"/>
      <c r="M281" s="156"/>
      <c r="N281" s="1604"/>
      <c r="O281" s="1606"/>
      <c r="P281" s="1683"/>
      <c r="W281" s="1">
        <v>1</v>
      </c>
    </row>
    <row r="282" spans="1:23" s="1" customFormat="1" ht="52.5" customHeight="1" x14ac:dyDescent="0.3">
      <c r="A282" s="1682"/>
      <c r="B282" s="1541"/>
      <c r="C282" s="1601"/>
      <c r="D282" s="1602"/>
      <c r="E282" s="1603"/>
      <c r="F282" s="341"/>
      <c r="G282" s="332" t="s">
        <v>3</v>
      </c>
      <c r="H282" s="338">
        <f>I282+J282+K282+L282+M282</f>
        <v>598.53</v>
      </c>
      <c r="I282" s="338">
        <v>598.53</v>
      </c>
      <c r="J282" s="156"/>
      <c r="K282" s="156"/>
      <c r="L282" s="156"/>
      <c r="M282" s="156"/>
      <c r="N282" s="1604"/>
      <c r="O282" s="1607"/>
      <c r="P282" s="1683"/>
    </row>
    <row r="283" spans="1:23" s="1" customFormat="1" ht="17.25" customHeight="1" x14ac:dyDescent="0.3">
      <c r="A283" s="1682" t="s">
        <v>1199</v>
      </c>
      <c r="B283" s="1541" t="s">
        <v>296</v>
      </c>
      <c r="C283" s="1601">
        <v>2018</v>
      </c>
      <c r="D283" s="1602"/>
      <c r="E283" s="1603">
        <f>H283</f>
        <v>3200</v>
      </c>
      <c r="F283" s="341"/>
      <c r="G283" s="332" t="s">
        <v>12</v>
      </c>
      <c r="H283" s="338">
        <f>H284+H285</f>
        <v>3200</v>
      </c>
      <c r="I283" s="338">
        <f>I284+I285</f>
        <v>3200</v>
      </c>
      <c r="J283" s="338">
        <f t="shared" ref="J283:M283" si="109">J284+J285</f>
        <v>0</v>
      </c>
      <c r="K283" s="338">
        <f t="shared" si="109"/>
        <v>0</v>
      </c>
      <c r="L283" s="338">
        <f t="shared" si="109"/>
        <v>0</v>
      </c>
      <c r="M283" s="338">
        <f t="shared" si="109"/>
        <v>0</v>
      </c>
      <c r="N283" s="1604"/>
      <c r="O283" s="1605" t="s">
        <v>16</v>
      </c>
      <c r="P283" s="1683"/>
    </row>
    <row r="284" spans="1:23" s="1" customFormat="1" ht="28.5" customHeight="1" x14ac:dyDescent="0.3">
      <c r="A284" s="1682"/>
      <c r="B284" s="1541"/>
      <c r="C284" s="1601"/>
      <c r="D284" s="1602"/>
      <c r="E284" s="1603"/>
      <c r="F284" s="341"/>
      <c r="G284" s="332" t="s">
        <v>13</v>
      </c>
      <c r="H284" s="338">
        <f>I284+J284+K284+L284+M284</f>
        <v>2771.2</v>
      </c>
      <c r="I284" s="338">
        <v>2771.2</v>
      </c>
      <c r="J284" s="156"/>
      <c r="K284" s="156"/>
      <c r="L284" s="156"/>
      <c r="M284" s="156"/>
      <c r="N284" s="1604"/>
      <c r="O284" s="1606"/>
      <c r="P284" s="1683"/>
      <c r="W284" s="1">
        <v>1</v>
      </c>
    </row>
    <row r="285" spans="1:23" s="1" customFormat="1" ht="54" customHeight="1" x14ac:dyDescent="0.3">
      <c r="A285" s="1682"/>
      <c r="B285" s="1541"/>
      <c r="C285" s="1601"/>
      <c r="D285" s="1602"/>
      <c r="E285" s="1603"/>
      <c r="F285" s="341"/>
      <c r="G285" s="332" t="s">
        <v>3</v>
      </c>
      <c r="H285" s="338">
        <f>I285+J285+K285+L285+M285</f>
        <v>428.8</v>
      </c>
      <c r="I285" s="338">
        <v>428.8</v>
      </c>
      <c r="J285" s="156"/>
      <c r="K285" s="156"/>
      <c r="L285" s="156"/>
      <c r="M285" s="156"/>
      <c r="N285" s="1604"/>
      <c r="O285" s="1607"/>
      <c r="P285" s="1683"/>
    </row>
    <row r="286" spans="1:23" s="1" customFormat="1" ht="17.25" customHeight="1" x14ac:dyDescent="0.3">
      <c r="A286" s="1682" t="s">
        <v>1200</v>
      </c>
      <c r="B286" s="1541" t="s">
        <v>297</v>
      </c>
      <c r="C286" s="1601">
        <v>2018</v>
      </c>
      <c r="D286" s="1602"/>
      <c r="E286" s="1603">
        <f>H286</f>
        <v>6900</v>
      </c>
      <c r="F286" s="341"/>
      <c r="G286" s="332" t="s">
        <v>12</v>
      </c>
      <c r="H286" s="338">
        <f>H287+H288</f>
        <v>6900</v>
      </c>
      <c r="I286" s="338">
        <f>I287+I288</f>
        <v>6900</v>
      </c>
      <c r="J286" s="338">
        <f t="shared" ref="J286:M286" si="110">J287+J288</f>
        <v>0</v>
      </c>
      <c r="K286" s="338">
        <f t="shared" si="110"/>
        <v>0</v>
      </c>
      <c r="L286" s="338">
        <f t="shared" si="110"/>
        <v>0</v>
      </c>
      <c r="M286" s="338">
        <f t="shared" si="110"/>
        <v>0</v>
      </c>
      <c r="N286" s="1604"/>
      <c r="O286" s="1605" t="s">
        <v>16</v>
      </c>
      <c r="P286" s="1683"/>
    </row>
    <row r="287" spans="1:23" s="1" customFormat="1" ht="28.5" customHeight="1" x14ac:dyDescent="0.3">
      <c r="A287" s="1682"/>
      <c r="B287" s="1541"/>
      <c r="C287" s="1601"/>
      <c r="D287" s="1602"/>
      <c r="E287" s="1603"/>
      <c r="F287" s="341"/>
      <c r="G287" s="332" t="s">
        <v>13</v>
      </c>
      <c r="H287" s="338">
        <f>I287+J287+K287+L287+M287</f>
        <v>5975.4</v>
      </c>
      <c r="I287" s="338">
        <v>5975.4</v>
      </c>
      <c r="J287" s="156"/>
      <c r="K287" s="156"/>
      <c r="L287" s="156"/>
      <c r="M287" s="156"/>
      <c r="N287" s="1604"/>
      <c r="O287" s="1606"/>
      <c r="P287" s="1683"/>
      <c r="W287" s="1">
        <v>1</v>
      </c>
    </row>
    <row r="288" spans="1:23" s="1" customFormat="1" ht="52.5" customHeight="1" x14ac:dyDescent="0.3">
      <c r="A288" s="1682"/>
      <c r="B288" s="1541"/>
      <c r="C288" s="1601"/>
      <c r="D288" s="1602"/>
      <c r="E288" s="1603"/>
      <c r="F288" s="341"/>
      <c r="G288" s="332" t="s">
        <v>3</v>
      </c>
      <c r="H288" s="338">
        <f>I288+J288+K288+L288+M288</f>
        <v>924.6</v>
      </c>
      <c r="I288" s="338">
        <v>924.6</v>
      </c>
      <c r="J288" s="156"/>
      <c r="K288" s="156"/>
      <c r="L288" s="156"/>
      <c r="M288" s="156"/>
      <c r="N288" s="1604"/>
      <c r="O288" s="1607"/>
      <c r="P288" s="1683"/>
    </row>
    <row r="289" spans="1:23" s="1" customFormat="1" ht="17.25" customHeight="1" x14ac:dyDescent="0.3">
      <c r="A289" s="1641" t="s">
        <v>1201</v>
      </c>
      <c r="B289" s="1541" t="s">
        <v>1519</v>
      </c>
      <c r="C289" s="1541"/>
      <c r="D289" s="1541"/>
      <c r="E289" s="1541"/>
      <c r="F289" s="1541"/>
      <c r="G289" s="332" t="s">
        <v>12</v>
      </c>
      <c r="H289" s="338">
        <f>H290+H291</f>
        <v>67567.199999999997</v>
      </c>
      <c r="I289" s="338">
        <f t="shared" ref="I289:M289" si="111">I290+I291</f>
        <v>67567.199999999997</v>
      </c>
      <c r="J289" s="338">
        <f t="shared" si="111"/>
        <v>0</v>
      </c>
      <c r="K289" s="338">
        <f t="shared" si="111"/>
        <v>0</v>
      </c>
      <c r="L289" s="338">
        <f t="shared" si="111"/>
        <v>0</v>
      </c>
      <c r="M289" s="338">
        <f t="shared" si="111"/>
        <v>0</v>
      </c>
      <c r="N289" s="1679"/>
      <c r="O289" s="1605"/>
      <c r="P289" s="1681">
        <v>4</v>
      </c>
      <c r="R289" s="1" t="s">
        <v>1162</v>
      </c>
    </row>
    <row r="290" spans="1:23" s="1" customFormat="1" ht="28.5" customHeight="1" x14ac:dyDescent="0.3">
      <c r="A290" s="1641"/>
      <c r="B290" s="1541"/>
      <c r="C290" s="1541"/>
      <c r="D290" s="1541"/>
      <c r="E290" s="1541"/>
      <c r="F290" s="1541"/>
      <c r="G290" s="332" t="s">
        <v>13</v>
      </c>
      <c r="H290" s="338">
        <f>I290+J290+K290+L290+M290</f>
        <v>47229.62</v>
      </c>
      <c r="I290" s="338">
        <f>I293+I296+I299+I302</f>
        <v>47229.62</v>
      </c>
      <c r="J290" s="338">
        <f t="shared" ref="J290:M291" si="112">J293+J296</f>
        <v>0</v>
      </c>
      <c r="K290" s="338">
        <f t="shared" si="112"/>
        <v>0</v>
      </c>
      <c r="L290" s="338">
        <f t="shared" si="112"/>
        <v>0</v>
      </c>
      <c r="M290" s="338">
        <f t="shared" si="112"/>
        <v>0</v>
      </c>
      <c r="N290" s="1679"/>
      <c r="O290" s="1606"/>
      <c r="P290" s="1681"/>
    </row>
    <row r="291" spans="1:23" s="1" customFormat="1" ht="51.75" customHeight="1" x14ac:dyDescent="0.3">
      <c r="A291" s="1641"/>
      <c r="B291" s="1541"/>
      <c r="C291" s="1541"/>
      <c r="D291" s="1541"/>
      <c r="E291" s="1541"/>
      <c r="F291" s="1541"/>
      <c r="G291" s="332" t="s">
        <v>3</v>
      </c>
      <c r="H291" s="338">
        <f>I291+J291+K291+L291+M291</f>
        <v>20337.580000000002</v>
      </c>
      <c r="I291" s="338">
        <f>I294+I297+I300+I303</f>
        <v>20337.580000000002</v>
      </c>
      <c r="J291" s="338">
        <f t="shared" si="112"/>
        <v>0</v>
      </c>
      <c r="K291" s="338">
        <f t="shared" si="112"/>
        <v>0</v>
      </c>
      <c r="L291" s="338">
        <f t="shared" si="112"/>
        <v>0</v>
      </c>
      <c r="M291" s="338">
        <f t="shared" si="112"/>
        <v>0</v>
      </c>
      <c r="N291" s="1679"/>
      <c r="O291" s="1607"/>
      <c r="P291" s="1681"/>
    </row>
    <row r="292" spans="1:23" s="1" customFormat="1" ht="17.25" customHeight="1" x14ac:dyDescent="0.3">
      <c r="A292" s="1682" t="s">
        <v>1202</v>
      </c>
      <c r="B292" s="1700" t="s">
        <v>298</v>
      </c>
      <c r="C292" s="1601">
        <v>2018</v>
      </c>
      <c r="D292" s="1602"/>
      <c r="E292" s="1603">
        <f>H292</f>
        <v>34200</v>
      </c>
      <c r="F292" s="341"/>
      <c r="G292" s="332" t="s">
        <v>12</v>
      </c>
      <c r="H292" s="338">
        <f>H293+H294</f>
        <v>34200</v>
      </c>
      <c r="I292" s="338">
        <f>I293+I294</f>
        <v>34200</v>
      </c>
      <c r="J292" s="338">
        <f t="shared" ref="J292:M292" si="113">J293+J294</f>
        <v>0</v>
      </c>
      <c r="K292" s="338">
        <f t="shared" si="113"/>
        <v>0</v>
      </c>
      <c r="L292" s="338">
        <f t="shared" si="113"/>
        <v>0</v>
      </c>
      <c r="M292" s="338">
        <f t="shared" si="113"/>
        <v>0</v>
      </c>
      <c r="N292" s="1604"/>
      <c r="O292" s="1605" t="s">
        <v>16</v>
      </c>
      <c r="P292" s="1683"/>
    </row>
    <row r="293" spans="1:23" s="1" customFormat="1" ht="28.5" customHeight="1" x14ac:dyDescent="0.3">
      <c r="A293" s="1682"/>
      <c r="B293" s="1541"/>
      <c r="C293" s="1601"/>
      <c r="D293" s="1602"/>
      <c r="E293" s="1603"/>
      <c r="F293" s="341"/>
      <c r="G293" s="332" t="s">
        <v>13</v>
      </c>
      <c r="H293" s="338">
        <f>I293+J293+K293+L293+M293</f>
        <v>23905.8</v>
      </c>
      <c r="I293" s="338">
        <v>23905.8</v>
      </c>
      <c r="J293" s="156"/>
      <c r="K293" s="156"/>
      <c r="L293" s="156"/>
      <c r="M293" s="156"/>
      <c r="N293" s="1604"/>
      <c r="O293" s="1606"/>
      <c r="P293" s="1683"/>
      <c r="W293" s="1">
        <v>1</v>
      </c>
    </row>
    <row r="294" spans="1:23" s="1" customFormat="1" ht="56.25" customHeight="1" x14ac:dyDescent="0.3">
      <c r="A294" s="1682"/>
      <c r="B294" s="1541"/>
      <c r="C294" s="1601"/>
      <c r="D294" s="1602"/>
      <c r="E294" s="1603"/>
      <c r="F294" s="341"/>
      <c r="G294" s="332" t="s">
        <v>3</v>
      </c>
      <c r="H294" s="338">
        <f>I294+J294+K294+L294+M294</f>
        <v>10294.200000000001</v>
      </c>
      <c r="I294" s="338">
        <v>10294.200000000001</v>
      </c>
      <c r="J294" s="156"/>
      <c r="K294" s="156"/>
      <c r="L294" s="156"/>
      <c r="M294" s="156"/>
      <c r="N294" s="1604"/>
      <c r="O294" s="1607"/>
      <c r="P294" s="1683"/>
    </row>
    <row r="295" spans="1:23" s="1" customFormat="1" ht="15" customHeight="1" x14ac:dyDescent="0.3">
      <c r="A295" s="1682" t="s">
        <v>1203</v>
      </c>
      <c r="B295" s="1700" t="s">
        <v>300</v>
      </c>
      <c r="C295" s="1601">
        <v>2018</v>
      </c>
      <c r="D295" s="1602"/>
      <c r="E295" s="1603">
        <f>H295</f>
        <v>22366.7</v>
      </c>
      <c r="F295" s="341"/>
      <c r="G295" s="332" t="s">
        <v>12</v>
      </c>
      <c r="H295" s="338">
        <f>H296+H297</f>
        <v>22366.7</v>
      </c>
      <c r="I295" s="338">
        <f>I296+I297</f>
        <v>22366.7</v>
      </c>
      <c r="J295" s="338">
        <f t="shared" ref="J295:M295" si="114">J296+J297</f>
        <v>0</v>
      </c>
      <c r="K295" s="338">
        <f t="shared" si="114"/>
        <v>0</v>
      </c>
      <c r="L295" s="338">
        <f t="shared" si="114"/>
        <v>0</v>
      </c>
      <c r="M295" s="338">
        <f t="shared" si="114"/>
        <v>0</v>
      </c>
      <c r="N295" s="1604"/>
      <c r="O295" s="1605" t="s">
        <v>16</v>
      </c>
      <c r="P295" s="1683"/>
    </row>
    <row r="296" spans="1:23" s="1" customFormat="1" ht="30.75" customHeight="1" x14ac:dyDescent="0.3">
      <c r="A296" s="1682"/>
      <c r="B296" s="1541"/>
      <c r="C296" s="1601"/>
      <c r="D296" s="1602"/>
      <c r="E296" s="1603"/>
      <c r="F296" s="341"/>
      <c r="G296" s="332" t="s">
        <v>13</v>
      </c>
      <c r="H296" s="338">
        <f>I296+J296+K296+L296+M296</f>
        <v>15634.32</v>
      </c>
      <c r="I296" s="338">
        <v>15634.32</v>
      </c>
      <c r="J296" s="156"/>
      <c r="K296" s="156"/>
      <c r="L296" s="156"/>
      <c r="M296" s="156"/>
      <c r="N296" s="1604"/>
      <c r="O296" s="1606"/>
      <c r="P296" s="1683"/>
      <c r="W296" s="1">
        <v>1</v>
      </c>
    </row>
    <row r="297" spans="1:23" s="1" customFormat="1" ht="49.5" customHeight="1" x14ac:dyDescent="0.3">
      <c r="A297" s="1682"/>
      <c r="B297" s="1541"/>
      <c r="C297" s="1601"/>
      <c r="D297" s="1602"/>
      <c r="E297" s="1603"/>
      <c r="F297" s="341"/>
      <c r="G297" s="332" t="s">
        <v>3</v>
      </c>
      <c r="H297" s="338">
        <f>I297+J297+K297+L297+M297</f>
        <v>6732.38</v>
      </c>
      <c r="I297" s="338">
        <v>6732.38</v>
      </c>
      <c r="J297" s="156"/>
      <c r="K297" s="156"/>
      <c r="L297" s="156"/>
      <c r="M297" s="156"/>
      <c r="N297" s="1604"/>
      <c r="O297" s="1607"/>
      <c r="P297" s="1683"/>
      <c r="Q297" s="1">
        <f>I297/I295</f>
        <v>0.30100014754076398</v>
      </c>
    </row>
    <row r="298" spans="1:23" s="1" customFormat="1" ht="17.25" customHeight="1" x14ac:dyDescent="0.3">
      <c r="A298" s="1682" t="s">
        <v>1204</v>
      </c>
      <c r="B298" s="1700" t="s">
        <v>945</v>
      </c>
      <c r="C298" s="1601">
        <v>2018</v>
      </c>
      <c r="D298" s="1602"/>
      <c r="E298" s="1603">
        <v>5500</v>
      </c>
      <c r="F298" s="341"/>
      <c r="G298" s="332" t="s">
        <v>12</v>
      </c>
      <c r="H298" s="338">
        <f>H299+H300</f>
        <v>5500.5</v>
      </c>
      <c r="I298" s="338">
        <f>I299+I300</f>
        <v>5500.5</v>
      </c>
      <c r="J298" s="338">
        <f t="shared" ref="J298:M298" si="115">J299+J300</f>
        <v>0</v>
      </c>
      <c r="K298" s="338">
        <f t="shared" si="115"/>
        <v>0</v>
      </c>
      <c r="L298" s="338">
        <f t="shared" si="115"/>
        <v>0</v>
      </c>
      <c r="M298" s="338">
        <f t="shared" si="115"/>
        <v>0</v>
      </c>
      <c r="N298" s="1604"/>
      <c r="O298" s="1605" t="s">
        <v>16</v>
      </c>
      <c r="P298" s="1683"/>
    </row>
    <row r="299" spans="1:23" s="1" customFormat="1" ht="28.5" customHeight="1" x14ac:dyDescent="0.3">
      <c r="A299" s="1682"/>
      <c r="B299" s="1541"/>
      <c r="C299" s="1601"/>
      <c r="D299" s="1602"/>
      <c r="E299" s="1603"/>
      <c r="F299" s="341"/>
      <c r="G299" s="332" t="s">
        <v>13</v>
      </c>
      <c r="H299" s="338">
        <f>I299+J299+K299+L299+M299</f>
        <v>3845</v>
      </c>
      <c r="I299" s="930">
        <v>3845</v>
      </c>
      <c r="J299" s="156"/>
      <c r="K299" s="156"/>
      <c r="L299" s="156"/>
      <c r="M299" s="156"/>
      <c r="N299" s="1604"/>
      <c r="O299" s="1606"/>
      <c r="P299" s="1683"/>
      <c r="W299" s="1">
        <v>1</v>
      </c>
    </row>
    <row r="300" spans="1:23" s="1" customFormat="1" ht="50.25" customHeight="1" x14ac:dyDescent="0.3">
      <c r="A300" s="1682"/>
      <c r="B300" s="1541"/>
      <c r="C300" s="1601"/>
      <c r="D300" s="1602"/>
      <c r="E300" s="1603"/>
      <c r="F300" s="341"/>
      <c r="G300" s="332" t="s">
        <v>3</v>
      </c>
      <c r="H300" s="338">
        <f>I300+J300+K300+L300+M300</f>
        <v>1655.5</v>
      </c>
      <c r="I300" s="338">
        <f>E298*T270</f>
        <v>1655.5</v>
      </c>
      <c r="J300" s="156"/>
      <c r="K300" s="156"/>
      <c r="L300" s="156"/>
      <c r="M300" s="156"/>
      <c r="N300" s="1604"/>
      <c r="O300" s="1607"/>
      <c r="P300" s="1683"/>
    </row>
    <row r="301" spans="1:23" s="1" customFormat="1" ht="15" customHeight="1" x14ac:dyDescent="0.3">
      <c r="A301" s="1682" t="s">
        <v>1205</v>
      </c>
      <c r="B301" s="1700" t="s">
        <v>1206</v>
      </c>
      <c r="C301" s="1601">
        <v>2018</v>
      </c>
      <c r="D301" s="1701"/>
      <c r="E301" s="339">
        <f>H301</f>
        <v>5500</v>
      </c>
      <c r="F301" s="341"/>
      <c r="G301" s="332" t="s">
        <v>12</v>
      </c>
      <c r="H301" s="338">
        <f>H302+H303</f>
        <v>5500</v>
      </c>
      <c r="I301" s="338">
        <v>5500</v>
      </c>
      <c r="J301" s="338">
        <f t="shared" ref="J301:M303" si="116">J302+J303</f>
        <v>0</v>
      </c>
      <c r="K301" s="338">
        <f t="shared" si="116"/>
        <v>0</v>
      </c>
      <c r="L301" s="338">
        <f t="shared" si="116"/>
        <v>0</v>
      </c>
      <c r="M301" s="338">
        <f t="shared" si="116"/>
        <v>0</v>
      </c>
      <c r="N301" s="1604"/>
      <c r="O301" s="1605" t="s">
        <v>16</v>
      </c>
      <c r="P301" s="1683"/>
      <c r="S301" s="47">
        <v>0.69899999999999995</v>
      </c>
      <c r="T301" s="309">
        <f>I302/$S301</f>
        <v>5500</v>
      </c>
    </row>
    <row r="302" spans="1:23" s="1" customFormat="1" ht="15" customHeight="1" x14ac:dyDescent="0.3">
      <c r="A302" s="1682"/>
      <c r="B302" s="1541"/>
      <c r="C302" s="1601"/>
      <c r="D302" s="1702"/>
      <c r="E302" s="339"/>
      <c r="F302" s="341"/>
      <c r="G302" s="332" t="s">
        <v>13</v>
      </c>
      <c r="H302" s="338">
        <f>I302+J302+K302+L302+M302</f>
        <v>3844.5</v>
      </c>
      <c r="I302" s="338">
        <f>I301*0.699</f>
        <v>3844.5</v>
      </c>
      <c r="J302" s="338">
        <f t="shared" si="116"/>
        <v>0</v>
      </c>
      <c r="K302" s="338">
        <f t="shared" si="116"/>
        <v>0</v>
      </c>
      <c r="L302" s="338">
        <f t="shared" si="116"/>
        <v>0</v>
      </c>
      <c r="M302" s="338">
        <f t="shared" si="116"/>
        <v>0</v>
      </c>
      <c r="N302" s="1604"/>
      <c r="O302" s="1606"/>
      <c r="P302" s="1683"/>
      <c r="S302" s="47">
        <f>1-S301</f>
        <v>0.30099999999999999</v>
      </c>
      <c r="T302" s="309">
        <f>T301*$S302</f>
        <v>1655.5</v>
      </c>
      <c r="W302" s="1">
        <v>1</v>
      </c>
    </row>
    <row r="303" spans="1:23" s="1" customFormat="1" ht="49.5" customHeight="1" x14ac:dyDescent="0.3">
      <c r="A303" s="1682"/>
      <c r="B303" s="1541"/>
      <c r="C303" s="1601"/>
      <c r="D303" s="1703"/>
      <c r="E303" s="339"/>
      <c r="F303" s="341"/>
      <c r="G303" s="332" t="s">
        <v>3</v>
      </c>
      <c r="H303" s="338">
        <f>I303+J303+K303+L303+M303</f>
        <v>1655.5</v>
      </c>
      <c r="I303" s="338">
        <f>I301*0.301</f>
        <v>1655.5</v>
      </c>
      <c r="J303" s="338">
        <f t="shared" si="116"/>
        <v>0</v>
      </c>
      <c r="K303" s="338">
        <f t="shared" si="116"/>
        <v>0</v>
      </c>
      <c r="L303" s="338">
        <f t="shared" si="116"/>
        <v>0</v>
      </c>
      <c r="M303" s="338">
        <f t="shared" si="116"/>
        <v>0</v>
      </c>
      <c r="N303" s="1604"/>
      <c r="O303" s="1607"/>
      <c r="P303" s="1683"/>
    </row>
    <row r="304" spans="1:23" s="1" customFormat="1" ht="15" customHeight="1" x14ac:dyDescent="0.3">
      <c r="A304" s="1641" t="s">
        <v>1207</v>
      </c>
      <c r="B304" s="1541" t="s">
        <v>321</v>
      </c>
      <c r="C304" s="1541"/>
      <c r="D304" s="1541"/>
      <c r="E304" s="1541"/>
      <c r="F304" s="1541"/>
      <c r="G304" s="332" t="s">
        <v>12</v>
      </c>
      <c r="H304" s="338">
        <f>H305+H306</f>
        <v>50966.8</v>
      </c>
      <c r="I304" s="338">
        <f t="shared" ref="I304:M304" si="117">I305+I306</f>
        <v>50966.8</v>
      </c>
      <c r="J304" s="338">
        <f>J305+J306</f>
        <v>0</v>
      </c>
      <c r="K304" s="338">
        <f t="shared" si="117"/>
        <v>0</v>
      </c>
      <c r="L304" s="338">
        <f>L305+L306</f>
        <v>0</v>
      </c>
      <c r="M304" s="338">
        <f t="shared" si="117"/>
        <v>0</v>
      </c>
      <c r="N304" s="1679"/>
      <c r="O304" s="1605"/>
      <c r="P304" s="1681">
        <v>6</v>
      </c>
    </row>
    <row r="305" spans="1:23" s="1" customFormat="1" ht="28.5" customHeight="1" x14ac:dyDescent="0.3">
      <c r="A305" s="1641"/>
      <c r="B305" s="1541"/>
      <c r="C305" s="1541"/>
      <c r="D305" s="1541"/>
      <c r="E305" s="1541"/>
      <c r="F305" s="1541"/>
      <c r="G305" s="332" t="s">
        <v>13</v>
      </c>
      <c r="H305" s="338">
        <f>I305+J305+K305+L305+M305</f>
        <v>41436</v>
      </c>
      <c r="I305" s="338">
        <f t="shared" ref="I305:M306" si="118">I308+I311+I314+I317+I320+I323</f>
        <v>41436</v>
      </c>
      <c r="J305" s="338">
        <f t="shared" si="118"/>
        <v>0</v>
      </c>
      <c r="K305" s="338">
        <f t="shared" si="118"/>
        <v>0</v>
      </c>
      <c r="L305" s="338">
        <f t="shared" si="118"/>
        <v>0</v>
      </c>
      <c r="M305" s="338">
        <f t="shared" si="118"/>
        <v>0</v>
      </c>
      <c r="N305" s="1679"/>
      <c r="O305" s="1606"/>
      <c r="P305" s="1681"/>
      <c r="R305" s="311" t="s">
        <v>1184</v>
      </c>
    </row>
    <row r="306" spans="1:23" s="1" customFormat="1" ht="46.5" customHeight="1" x14ac:dyDescent="0.3">
      <c r="A306" s="1641"/>
      <c r="B306" s="1541"/>
      <c r="C306" s="1541"/>
      <c r="D306" s="1541"/>
      <c r="E306" s="1541"/>
      <c r="F306" s="1541"/>
      <c r="G306" s="332" t="s">
        <v>3</v>
      </c>
      <c r="H306" s="338">
        <f>I306+J306+K306+L306+M306</f>
        <v>9530.7999999999993</v>
      </c>
      <c r="I306" s="338">
        <f t="shared" si="118"/>
        <v>9530.7999999999993</v>
      </c>
      <c r="J306" s="338">
        <f t="shared" si="118"/>
        <v>0</v>
      </c>
      <c r="K306" s="338">
        <f t="shared" si="118"/>
        <v>0</v>
      </c>
      <c r="L306" s="338">
        <f t="shared" si="118"/>
        <v>0</v>
      </c>
      <c r="M306" s="338">
        <f t="shared" si="118"/>
        <v>0</v>
      </c>
      <c r="N306" s="1679"/>
      <c r="O306" s="1607"/>
      <c r="P306" s="1681"/>
    </row>
    <row r="307" spans="1:23" s="1" customFormat="1" ht="22.5" customHeight="1" x14ac:dyDescent="0.3">
      <c r="A307" s="1682" t="s">
        <v>1208</v>
      </c>
      <c r="B307" s="1700" t="s">
        <v>301</v>
      </c>
      <c r="C307" s="1601">
        <v>2018</v>
      </c>
      <c r="D307" s="1701"/>
      <c r="E307" s="339">
        <f>H307</f>
        <v>8500</v>
      </c>
      <c r="F307" s="341"/>
      <c r="G307" s="332" t="s">
        <v>12</v>
      </c>
      <c r="H307" s="338">
        <f>H308+H309</f>
        <v>8500</v>
      </c>
      <c r="I307" s="338">
        <f>I308+I309</f>
        <v>8500</v>
      </c>
      <c r="J307" s="338">
        <f t="shared" ref="J307:M307" si="119">J308+J309</f>
        <v>0</v>
      </c>
      <c r="K307" s="338">
        <f t="shared" si="119"/>
        <v>0</v>
      </c>
      <c r="L307" s="338">
        <f t="shared" si="119"/>
        <v>0</v>
      </c>
      <c r="M307" s="338">
        <f t="shared" si="119"/>
        <v>0</v>
      </c>
      <c r="N307" s="1604"/>
      <c r="O307" s="1605" t="s">
        <v>16</v>
      </c>
      <c r="P307" s="1683"/>
    </row>
    <row r="308" spans="1:23" s="1" customFormat="1" ht="30.75" customHeight="1" x14ac:dyDescent="0.3">
      <c r="A308" s="1682"/>
      <c r="B308" s="1541"/>
      <c r="C308" s="1601"/>
      <c r="D308" s="1702"/>
      <c r="E308" s="339"/>
      <c r="F308" s="341"/>
      <c r="G308" s="332" t="s">
        <v>13</v>
      </c>
      <c r="H308" s="338">
        <f>I308+J308+K308+L308+M308</f>
        <v>6910.5</v>
      </c>
      <c r="I308" s="338">
        <v>6910.5</v>
      </c>
      <c r="J308" s="156"/>
      <c r="K308" s="156"/>
      <c r="L308" s="156"/>
      <c r="M308" s="156"/>
      <c r="N308" s="1604"/>
      <c r="O308" s="1606"/>
      <c r="P308" s="1683"/>
      <c r="Q308" s="1">
        <f>I311/I310</f>
        <v>0.81299999999999994</v>
      </c>
      <c r="W308" s="1">
        <v>1</v>
      </c>
    </row>
    <row r="309" spans="1:23" s="1" customFormat="1" ht="54.75" customHeight="1" x14ac:dyDescent="0.3">
      <c r="A309" s="1682"/>
      <c r="B309" s="1541"/>
      <c r="C309" s="1601"/>
      <c r="D309" s="1703"/>
      <c r="E309" s="339"/>
      <c r="F309" s="341"/>
      <c r="G309" s="332" t="s">
        <v>3</v>
      </c>
      <c r="H309" s="338">
        <f>I309+J309+K309+L309+M309</f>
        <v>1589.5</v>
      </c>
      <c r="I309" s="338">
        <v>1589.5</v>
      </c>
      <c r="J309" s="156"/>
      <c r="K309" s="156"/>
      <c r="L309" s="156"/>
      <c r="M309" s="156"/>
      <c r="N309" s="1604"/>
      <c r="O309" s="1607"/>
      <c r="P309" s="1683"/>
      <c r="Q309" s="1">
        <f>I312/I310</f>
        <v>0.187</v>
      </c>
    </row>
    <row r="310" spans="1:23" s="1" customFormat="1" ht="16.5" customHeight="1" x14ac:dyDescent="0.3">
      <c r="A310" s="1682" t="s">
        <v>1209</v>
      </c>
      <c r="B310" s="1700" t="s">
        <v>302</v>
      </c>
      <c r="C310" s="1601">
        <v>2018</v>
      </c>
      <c r="D310" s="1701"/>
      <c r="E310" s="339">
        <f t="shared" ref="E310" si="120">H310</f>
        <v>9850</v>
      </c>
      <c r="F310" s="341"/>
      <c r="G310" s="332" t="s">
        <v>12</v>
      </c>
      <c r="H310" s="338">
        <f t="shared" ref="H310:M310" si="121">H311+H312</f>
        <v>9850</v>
      </c>
      <c r="I310" s="338">
        <f t="shared" si="121"/>
        <v>9850</v>
      </c>
      <c r="J310" s="338">
        <f t="shared" si="121"/>
        <v>0</v>
      </c>
      <c r="K310" s="338">
        <f t="shared" si="121"/>
        <v>0</v>
      </c>
      <c r="L310" s="338">
        <f t="shared" si="121"/>
        <v>0</v>
      </c>
      <c r="M310" s="338">
        <f t="shared" si="121"/>
        <v>0</v>
      </c>
      <c r="N310" s="1604"/>
      <c r="O310" s="1605" t="s">
        <v>16</v>
      </c>
      <c r="P310" s="1683"/>
    </row>
    <row r="311" spans="1:23" s="1" customFormat="1" ht="28.5" customHeight="1" x14ac:dyDescent="0.3">
      <c r="A311" s="1682"/>
      <c r="B311" s="1541"/>
      <c r="C311" s="1601"/>
      <c r="D311" s="1702"/>
      <c r="E311" s="339"/>
      <c r="F311" s="341"/>
      <c r="G311" s="332" t="s">
        <v>13</v>
      </c>
      <c r="H311" s="338">
        <f t="shared" ref="H311:H312" si="122">I311+J311+K311+L311+M311</f>
        <v>8008.05</v>
      </c>
      <c r="I311" s="338">
        <v>8008.05</v>
      </c>
      <c r="J311" s="156"/>
      <c r="K311" s="156"/>
      <c r="L311" s="156"/>
      <c r="M311" s="156"/>
      <c r="N311" s="1604"/>
      <c r="O311" s="1606"/>
      <c r="P311" s="1683"/>
      <c r="Q311" s="1">
        <f>I314/I313</f>
        <v>0.81299951351726996</v>
      </c>
      <c r="W311" s="1">
        <v>1</v>
      </c>
    </row>
    <row r="312" spans="1:23" s="1" customFormat="1" ht="46.5" customHeight="1" x14ac:dyDescent="0.3">
      <c r="A312" s="1682"/>
      <c r="B312" s="1541"/>
      <c r="C312" s="1601"/>
      <c r="D312" s="1703"/>
      <c r="E312" s="339"/>
      <c r="F312" s="341"/>
      <c r="G312" s="332" t="s">
        <v>3</v>
      </c>
      <c r="H312" s="338">
        <f t="shared" si="122"/>
        <v>1841.95</v>
      </c>
      <c r="I312" s="338">
        <v>1841.95</v>
      </c>
      <c r="J312" s="156"/>
      <c r="K312" s="156"/>
      <c r="L312" s="156"/>
      <c r="M312" s="156"/>
      <c r="N312" s="1604"/>
      <c r="O312" s="1607"/>
      <c r="P312" s="1683"/>
      <c r="Q312" s="1">
        <f>I315/I313</f>
        <v>0.18700048648272999</v>
      </c>
    </row>
    <row r="313" spans="1:23" s="1" customFormat="1" ht="18.75" customHeight="1" x14ac:dyDescent="0.3">
      <c r="A313" s="1682" t="s">
        <v>1210</v>
      </c>
      <c r="B313" s="1700" t="s">
        <v>303</v>
      </c>
      <c r="C313" s="1601">
        <v>2018</v>
      </c>
      <c r="D313" s="1701"/>
      <c r="E313" s="339">
        <f>H313</f>
        <v>8633.4</v>
      </c>
      <c r="F313" s="341"/>
      <c r="G313" s="332" t="s">
        <v>12</v>
      </c>
      <c r="H313" s="338">
        <f>H314+H315</f>
        <v>8633.4</v>
      </c>
      <c r="I313" s="338">
        <f>I314+I315</f>
        <v>8633.4</v>
      </c>
      <c r="J313" s="338">
        <f t="shared" ref="J313:M313" si="123">J314+J315</f>
        <v>0</v>
      </c>
      <c r="K313" s="338">
        <f t="shared" si="123"/>
        <v>0</v>
      </c>
      <c r="L313" s="338">
        <f t="shared" si="123"/>
        <v>0</v>
      </c>
      <c r="M313" s="338">
        <f t="shared" si="123"/>
        <v>0</v>
      </c>
      <c r="N313" s="1604"/>
      <c r="O313" s="1605" t="s">
        <v>16</v>
      </c>
      <c r="P313" s="1683"/>
    </row>
    <row r="314" spans="1:23" s="1" customFormat="1" ht="28.5" customHeight="1" x14ac:dyDescent="0.3">
      <c r="A314" s="1682"/>
      <c r="B314" s="1541"/>
      <c r="C314" s="1601"/>
      <c r="D314" s="1702"/>
      <c r="E314" s="339"/>
      <c r="F314" s="341"/>
      <c r="G314" s="332" t="s">
        <v>13</v>
      </c>
      <c r="H314" s="338">
        <f>I314+J314+K314+L314+M314</f>
        <v>7018.95</v>
      </c>
      <c r="I314" s="338">
        <v>7018.95</v>
      </c>
      <c r="J314" s="156"/>
      <c r="K314" s="156"/>
      <c r="L314" s="156"/>
      <c r="M314" s="156"/>
      <c r="N314" s="1604"/>
      <c r="O314" s="1606"/>
      <c r="P314" s="1683"/>
      <c r="Q314" s="1">
        <f>I317/I316</f>
        <v>0.81299951351726996</v>
      </c>
      <c r="W314" s="1">
        <v>1</v>
      </c>
    </row>
    <row r="315" spans="1:23" s="1" customFormat="1" ht="49.5" customHeight="1" x14ac:dyDescent="0.3">
      <c r="A315" s="1682"/>
      <c r="B315" s="1541"/>
      <c r="C315" s="1601"/>
      <c r="D315" s="1703"/>
      <c r="E315" s="339"/>
      <c r="F315" s="341"/>
      <c r="G315" s="332" t="s">
        <v>3</v>
      </c>
      <c r="H315" s="338">
        <f>I315+J315+K315+L315+M315</f>
        <v>1614.45</v>
      </c>
      <c r="I315" s="338">
        <v>1614.45</v>
      </c>
      <c r="J315" s="156"/>
      <c r="K315" s="156"/>
      <c r="L315" s="156"/>
      <c r="M315" s="156"/>
      <c r="N315" s="1604"/>
      <c r="O315" s="1607"/>
      <c r="P315" s="1683"/>
      <c r="Q315" s="1">
        <f>I318/I316</f>
        <v>0.18700048648272999</v>
      </c>
    </row>
    <row r="316" spans="1:23" s="1" customFormat="1" ht="49.5" customHeight="1" x14ac:dyDescent="0.3">
      <c r="A316" s="1682" t="s">
        <v>1211</v>
      </c>
      <c r="B316" s="1700" t="s">
        <v>304</v>
      </c>
      <c r="C316" s="1601">
        <v>2018</v>
      </c>
      <c r="D316" s="1701"/>
      <c r="E316" s="339">
        <f>H316</f>
        <v>8633.4</v>
      </c>
      <c r="F316" s="341"/>
      <c r="G316" s="332" t="s">
        <v>12</v>
      </c>
      <c r="H316" s="338">
        <f>H317+H318</f>
        <v>8633.4</v>
      </c>
      <c r="I316" s="338">
        <f>I317+I318</f>
        <v>8633.4</v>
      </c>
      <c r="J316" s="338">
        <f t="shared" ref="J316:M316" si="124">J317+J318</f>
        <v>0</v>
      </c>
      <c r="K316" s="338">
        <f t="shared" si="124"/>
        <v>0</v>
      </c>
      <c r="L316" s="338">
        <f t="shared" si="124"/>
        <v>0</v>
      </c>
      <c r="M316" s="338">
        <f t="shared" si="124"/>
        <v>0</v>
      </c>
      <c r="N316" s="1604"/>
      <c r="O316" s="1605" t="s">
        <v>16</v>
      </c>
      <c r="P316" s="1683"/>
    </row>
    <row r="317" spans="1:23" s="1" customFormat="1" ht="49.5" customHeight="1" x14ac:dyDescent="0.3">
      <c r="A317" s="1682"/>
      <c r="B317" s="1541"/>
      <c r="C317" s="1601"/>
      <c r="D317" s="1702"/>
      <c r="E317" s="339"/>
      <c r="F317" s="341"/>
      <c r="G317" s="332" t="s">
        <v>13</v>
      </c>
      <c r="H317" s="338">
        <f>I317+J317+K317+L317+M317</f>
        <v>7018.95</v>
      </c>
      <c r="I317" s="338">
        <v>7018.95</v>
      </c>
      <c r="J317" s="156"/>
      <c r="K317" s="156"/>
      <c r="L317" s="156"/>
      <c r="M317" s="156"/>
      <c r="N317" s="1604"/>
      <c r="O317" s="1606"/>
      <c r="P317" s="1683"/>
      <c r="Q317" s="1">
        <f>I320/I319</f>
        <v>0.81299999999999994</v>
      </c>
      <c r="W317" s="1">
        <v>1</v>
      </c>
    </row>
    <row r="318" spans="1:23" s="1" customFormat="1" ht="49.5" customHeight="1" x14ac:dyDescent="0.3">
      <c r="A318" s="1682"/>
      <c r="B318" s="1541"/>
      <c r="C318" s="1601"/>
      <c r="D318" s="1703"/>
      <c r="E318" s="339"/>
      <c r="F318" s="341"/>
      <c r="G318" s="332" t="s">
        <v>3</v>
      </c>
      <c r="H318" s="338">
        <f>I318+J318+K318+L318+M318</f>
        <v>1614.45</v>
      </c>
      <c r="I318" s="338">
        <v>1614.45</v>
      </c>
      <c r="J318" s="156"/>
      <c r="K318" s="156"/>
      <c r="L318" s="156"/>
      <c r="M318" s="156"/>
      <c r="N318" s="1604"/>
      <c r="O318" s="1607"/>
      <c r="P318" s="1683"/>
      <c r="Q318" s="1">
        <f>I321/I319</f>
        <v>0.187</v>
      </c>
    </row>
    <row r="319" spans="1:23" s="1" customFormat="1" ht="49.5" customHeight="1" x14ac:dyDescent="0.3">
      <c r="A319" s="1682" t="s">
        <v>1212</v>
      </c>
      <c r="B319" s="1700" t="s">
        <v>305</v>
      </c>
      <c r="C319" s="1601">
        <v>2018</v>
      </c>
      <c r="D319" s="1701"/>
      <c r="E319" s="339">
        <f>H319</f>
        <v>9850</v>
      </c>
      <c r="F319" s="341"/>
      <c r="G319" s="332" t="s">
        <v>12</v>
      </c>
      <c r="H319" s="338">
        <f>H320+H321</f>
        <v>9850</v>
      </c>
      <c r="I319" s="338">
        <f>I320+I321</f>
        <v>9850</v>
      </c>
      <c r="J319" s="338">
        <f t="shared" ref="J319:M319" si="125">J320+J321</f>
        <v>0</v>
      </c>
      <c r="K319" s="338">
        <f t="shared" si="125"/>
        <v>0</v>
      </c>
      <c r="L319" s="338">
        <f t="shared" si="125"/>
        <v>0</v>
      </c>
      <c r="M319" s="338">
        <f t="shared" si="125"/>
        <v>0</v>
      </c>
      <c r="N319" s="1604"/>
      <c r="O319" s="1605" t="s">
        <v>16</v>
      </c>
      <c r="P319" s="1683"/>
    </row>
    <row r="320" spans="1:23" s="1" customFormat="1" ht="49.5" customHeight="1" x14ac:dyDescent="0.3">
      <c r="A320" s="1682"/>
      <c r="B320" s="1541"/>
      <c r="C320" s="1601"/>
      <c r="D320" s="1702"/>
      <c r="E320" s="339"/>
      <c r="F320" s="341"/>
      <c r="G320" s="332" t="s">
        <v>13</v>
      </c>
      <c r="H320" s="338">
        <f>I320+J320+K320+L320+M320</f>
        <v>8008.05</v>
      </c>
      <c r="I320" s="338">
        <v>8008.05</v>
      </c>
      <c r="J320" s="156"/>
      <c r="K320" s="156"/>
      <c r="L320" s="156"/>
      <c r="M320" s="156"/>
      <c r="N320" s="1604"/>
      <c r="O320" s="1606"/>
      <c r="P320" s="1683"/>
      <c r="W320" s="1">
        <v>1</v>
      </c>
    </row>
    <row r="321" spans="1:23" s="1" customFormat="1" ht="49.5" customHeight="1" x14ac:dyDescent="0.3">
      <c r="A321" s="1682"/>
      <c r="B321" s="1541"/>
      <c r="C321" s="1601"/>
      <c r="D321" s="1703"/>
      <c r="E321" s="339"/>
      <c r="F321" s="341"/>
      <c r="G321" s="332" t="s">
        <v>3</v>
      </c>
      <c r="H321" s="338">
        <f>I321+J321+K321+L321+M321</f>
        <v>1841.95</v>
      </c>
      <c r="I321" s="338">
        <v>1841.95</v>
      </c>
      <c r="J321" s="156"/>
      <c r="K321" s="156"/>
      <c r="L321" s="156"/>
      <c r="M321" s="156"/>
      <c r="N321" s="1604"/>
      <c r="O321" s="1607"/>
      <c r="P321" s="1683"/>
    </row>
    <row r="322" spans="1:23" s="1" customFormat="1" ht="49.5" customHeight="1" x14ac:dyDescent="0.3">
      <c r="A322" s="1682" t="s">
        <v>943</v>
      </c>
      <c r="B322" s="1700" t="s">
        <v>1213</v>
      </c>
      <c r="C322" s="1601">
        <v>2018</v>
      </c>
      <c r="D322" s="1701"/>
      <c r="E322" s="339">
        <f>H322</f>
        <v>5500</v>
      </c>
      <c r="F322" s="341"/>
      <c r="G322" s="332" t="s">
        <v>12</v>
      </c>
      <c r="H322" s="338">
        <f>H323+H324</f>
        <v>5500</v>
      </c>
      <c r="I322" s="338">
        <f>I323+I324</f>
        <v>5500</v>
      </c>
      <c r="J322" s="338">
        <f t="shared" ref="J322:M322" si="126">J323+J324</f>
        <v>0</v>
      </c>
      <c r="K322" s="338">
        <f t="shared" si="126"/>
        <v>0</v>
      </c>
      <c r="L322" s="338">
        <f t="shared" si="126"/>
        <v>0</v>
      </c>
      <c r="M322" s="338">
        <f t="shared" si="126"/>
        <v>0</v>
      </c>
      <c r="N322" s="1604"/>
      <c r="O322" s="1605" t="s">
        <v>16</v>
      </c>
      <c r="P322" s="1683"/>
    </row>
    <row r="323" spans="1:23" s="1" customFormat="1" ht="49.5" customHeight="1" x14ac:dyDescent="0.3">
      <c r="A323" s="1682"/>
      <c r="B323" s="1541"/>
      <c r="C323" s="1601"/>
      <c r="D323" s="1702"/>
      <c r="E323" s="339"/>
      <c r="F323" s="341"/>
      <c r="G323" s="332" t="s">
        <v>13</v>
      </c>
      <c r="H323" s="338">
        <f>I323+J323+K323+L323+M323</f>
        <v>4471.5</v>
      </c>
      <c r="I323" s="338">
        <v>4471.5</v>
      </c>
      <c r="J323" s="156"/>
      <c r="K323" s="156"/>
      <c r="L323" s="156"/>
      <c r="M323" s="156"/>
      <c r="N323" s="1604"/>
      <c r="O323" s="1606"/>
      <c r="P323" s="1683"/>
      <c r="W323" s="1">
        <v>1</v>
      </c>
    </row>
    <row r="324" spans="1:23" s="1" customFormat="1" ht="49.5" customHeight="1" x14ac:dyDescent="0.3">
      <c r="A324" s="1682"/>
      <c r="B324" s="1541"/>
      <c r="C324" s="1601"/>
      <c r="D324" s="1703"/>
      <c r="E324" s="339"/>
      <c r="F324" s="341"/>
      <c r="G324" s="332" t="s">
        <v>3</v>
      </c>
      <c r="H324" s="338">
        <f>I324+J324+K324+L324+M324</f>
        <v>1028.5</v>
      </c>
      <c r="I324" s="338">
        <v>1028.5</v>
      </c>
      <c r="J324" s="156"/>
      <c r="K324" s="156"/>
      <c r="L324" s="156"/>
      <c r="M324" s="156"/>
      <c r="N324" s="1604"/>
      <c r="O324" s="1607"/>
      <c r="P324" s="1683"/>
      <c r="Q324" s="1">
        <f>I327/I325</f>
        <v>9.7374999999999996E-3</v>
      </c>
    </row>
    <row r="325" spans="1:23" s="1" customFormat="1" ht="64.5" customHeight="1" x14ac:dyDescent="0.3">
      <c r="A325" s="1641" t="s">
        <v>1214</v>
      </c>
      <c r="B325" s="1541" t="s">
        <v>324</v>
      </c>
      <c r="C325" s="1541"/>
      <c r="D325" s="1541"/>
      <c r="E325" s="1541"/>
      <c r="F325" s="1541"/>
      <c r="G325" s="332" t="s">
        <v>12</v>
      </c>
      <c r="H325" s="338">
        <f>H326+H327</f>
        <v>155800</v>
      </c>
      <c r="I325" s="338">
        <v>160000</v>
      </c>
      <c r="J325" s="338">
        <f t="shared" ref="J325:M325" si="127">J326+J327</f>
        <v>0</v>
      </c>
      <c r="K325" s="338">
        <f t="shared" si="127"/>
        <v>0</v>
      </c>
      <c r="L325" s="338">
        <f t="shared" si="127"/>
        <v>0</v>
      </c>
      <c r="M325" s="338">
        <f t="shared" si="127"/>
        <v>0</v>
      </c>
      <c r="N325" s="1679"/>
      <c r="O325" s="1605"/>
      <c r="P325" s="1681">
        <v>1</v>
      </c>
      <c r="R325" s="1" t="s">
        <v>1144</v>
      </c>
    </row>
    <row r="326" spans="1:23" s="1" customFormat="1" ht="49.5" customHeight="1" x14ac:dyDescent="0.3">
      <c r="A326" s="1641"/>
      <c r="B326" s="1541"/>
      <c r="C326" s="1541"/>
      <c r="D326" s="1541"/>
      <c r="E326" s="1541"/>
      <c r="F326" s="1541"/>
      <c r="G326" s="332" t="s">
        <v>13</v>
      </c>
      <c r="H326" s="338">
        <f>I326+J326+K326+L326+M326</f>
        <v>154242</v>
      </c>
      <c r="I326" s="338">
        <f>I329</f>
        <v>154242</v>
      </c>
      <c r="J326" s="338">
        <f t="shared" ref="J326:M327" si="128">J329</f>
        <v>0</v>
      </c>
      <c r="K326" s="338">
        <f t="shared" si="128"/>
        <v>0</v>
      </c>
      <c r="L326" s="338">
        <f t="shared" si="128"/>
        <v>0</v>
      </c>
      <c r="M326" s="338">
        <f t="shared" si="128"/>
        <v>0</v>
      </c>
      <c r="N326" s="1679"/>
      <c r="O326" s="1606"/>
      <c r="P326" s="1681"/>
    </row>
    <row r="327" spans="1:23" s="1" customFormat="1" ht="49.5" customHeight="1" x14ac:dyDescent="0.3">
      <c r="A327" s="1641"/>
      <c r="B327" s="1541"/>
      <c r="C327" s="1541"/>
      <c r="D327" s="1541"/>
      <c r="E327" s="1541"/>
      <c r="F327" s="1541"/>
      <c r="G327" s="332" t="s">
        <v>3</v>
      </c>
      <c r="H327" s="338">
        <f>I327+J327+K327+L327+M327</f>
        <v>1558</v>
      </c>
      <c r="I327" s="338">
        <f>I330</f>
        <v>1558</v>
      </c>
      <c r="J327" s="338">
        <f t="shared" si="128"/>
        <v>0</v>
      </c>
      <c r="K327" s="338">
        <f t="shared" si="128"/>
        <v>0</v>
      </c>
      <c r="L327" s="338">
        <f t="shared" si="128"/>
        <v>0</v>
      </c>
      <c r="M327" s="338">
        <f t="shared" si="128"/>
        <v>0</v>
      </c>
      <c r="N327" s="1679"/>
      <c r="O327" s="1607"/>
      <c r="P327" s="1681"/>
    </row>
    <row r="328" spans="1:23" s="1" customFormat="1" ht="30" customHeight="1" x14ac:dyDescent="0.3">
      <c r="A328" s="1682" t="s">
        <v>1215</v>
      </c>
      <c r="B328" s="1700" t="s">
        <v>864</v>
      </c>
      <c r="C328" s="1601">
        <v>2018</v>
      </c>
      <c r="D328" s="1602"/>
      <c r="E328" s="1603">
        <f>H328</f>
        <v>155800</v>
      </c>
      <c r="F328" s="341"/>
      <c r="G328" s="332" t="s">
        <v>12</v>
      </c>
      <c r="H328" s="338">
        <f>H329+H330</f>
        <v>155800</v>
      </c>
      <c r="I328" s="338">
        <f>I329/0.99</f>
        <v>155800</v>
      </c>
      <c r="J328" s="338">
        <f t="shared" ref="J328:M328" si="129">J329+J330</f>
        <v>0</v>
      </c>
      <c r="K328" s="338">
        <f t="shared" si="129"/>
        <v>0</v>
      </c>
      <c r="L328" s="338">
        <f t="shared" si="129"/>
        <v>0</v>
      </c>
      <c r="M328" s="338">
        <f t="shared" si="129"/>
        <v>0</v>
      </c>
      <c r="N328" s="1604"/>
      <c r="O328" s="1614" t="s">
        <v>16</v>
      </c>
      <c r="P328" s="1704"/>
      <c r="S328" s="47">
        <v>0.99</v>
      </c>
      <c r="T328" s="309">
        <f>I329/$S328</f>
        <v>155800</v>
      </c>
    </row>
    <row r="329" spans="1:23" s="1" customFormat="1" ht="21.6" customHeight="1" x14ac:dyDescent="0.3">
      <c r="A329" s="1682"/>
      <c r="B329" s="1541"/>
      <c r="C329" s="1601"/>
      <c r="D329" s="1602"/>
      <c r="E329" s="1603"/>
      <c r="F329" s="341"/>
      <c r="G329" s="332" t="s">
        <v>13</v>
      </c>
      <c r="H329" s="338">
        <f>I329+J329+K329+L329+M329</f>
        <v>154242</v>
      </c>
      <c r="I329" s="338">
        <f>154242</f>
        <v>154242</v>
      </c>
      <c r="J329" s="156"/>
      <c r="K329" s="156"/>
      <c r="L329" s="156"/>
      <c r="M329" s="156"/>
      <c r="N329" s="1604"/>
      <c r="O329" s="1614"/>
      <c r="P329" s="1704"/>
      <c r="S329" s="47">
        <f>1-S328</f>
        <v>0.01</v>
      </c>
      <c r="T329" s="309">
        <f>T328*$S329</f>
        <v>1558</v>
      </c>
      <c r="W329" s="1">
        <v>1</v>
      </c>
    </row>
    <row r="330" spans="1:23" s="1" customFormat="1" ht="27" customHeight="1" x14ac:dyDescent="0.3">
      <c r="A330" s="1682"/>
      <c r="B330" s="1541"/>
      <c r="C330" s="1601"/>
      <c r="D330" s="1602"/>
      <c r="E330" s="1603"/>
      <c r="F330" s="341"/>
      <c r="G330" s="332" t="s">
        <v>3</v>
      </c>
      <c r="H330" s="338">
        <f>I330+J330+K330+L330+M330</f>
        <v>1558</v>
      </c>
      <c r="I330" s="338">
        <f>I328/100*1</f>
        <v>1558</v>
      </c>
      <c r="J330" s="156"/>
      <c r="K330" s="156"/>
      <c r="L330" s="156"/>
      <c r="M330" s="156"/>
      <c r="N330" s="1604"/>
      <c r="O330" s="1614"/>
      <c r="P330" s="1704"/>
    </row>
    <row r="331" spans="1:23" s="1" customFormat="1" ht="12" customHeight="1" x14ac:dyDescent="0.3">
      <c r="A331" s="1641" t="s">
        <v>1216</v>
      </c>
      <c r="B331" s="1541" t="s">
        <v>97</v>
      </c>
      <c r="C331" s="1541"/>
      <c r="D331" s="1541"/>
      <c r="E331" s="1541"/>
      <c r="F331" s="1541"/>
      <c r="G331" s="332" t="s">
        <v>12</v>
      </c>
      <c r="H331" s="338">
        <f>H332+H333</f>
        <v>23353.35</v>
      </c>
      <c r="I331" s="338">
        <f t="shared" ref="I331:M331" si="130">I332+I333</f>
        <v>23353.35</v>
      </c>
      <c r="J331" s="338">
        <f t="shared" si="130"/>
        <v>0</v>
      </c>
      <c r="K331" s="338">
        <f t="shared" si="130"/>
        <v>0</v>
      </c>
      <c r="L331" s="338">
        <f t="shared" si="130"/>
        <v>0</v>
      </c>
      <c r="M331" s="338">
        <f t="shared" si="130"/>
        <v>0</v>
      </c>
      <c r="N331" s="1679"/>
      <c r="O331" s="1605"/>
      <c r="P331" s="1681">
        <v>4</v>
      </c>
      <c r="R331" s="1" t="s">
        <v>1162</v>
      </c>
    </row>
    <row r="332" spans="1:23" s="1" customFormat="1" ht="24.75" customHeight="1" x14ac:dyDescent="0.3">
      <c r="A332" s="1641"/>
      <c r="B332" s="1541"/>
      <c r="C332" s="1541"/>
      <c r="D332" s="1541"/>
      <c r="E332" s="1541"/>
      <c r="F332" s="1541"/>
      <c r="G332" s="332" t="s">
        <v>13</v>
      </c>
      <c r="H332" s="338">
        <f>I332+J332+K332+L332+M332</f>
        <v>16697.650000000001</v>
      </c>
      <c r="I332" s="338">
        <f>I335+I338+I341+I344</f>
        <v>16697.650000000001</v>
      </c>
      <c r="J332" s="338">
        <f t="shared" ref="J332:M333" si="131">J335+J338+J341+J344</f>
        <v>0</v>
      </c>
      <c r="K332" s="338">
        <f t="shared" si="131"/>
        <v>0</v>
      </c>
      <c r="L332" s="338">
        <f t="shared" si="131"/>
        <v>0</v>
      </c>
      <c r="M332" s="338">
        <f t="shared" si="131"/>
        <v>0</v>
      </c>
      <c r="N332" s="1679"/>
      <c r="O332" s="1606"/>
      <c r="P332" s="1681"/>
      <c r="Q332" s="1">
        <f>I335/I334</f>
        <v>0.715000207574503</v>
      </c>
    </row>
    <row r="333" spans="1:23" s="1" customFormat="1" ht="37.5" customHeight="1" x14ac:dyDescent="0.3">
      <c r="A333" s="1641"/>
      <c r="B333" s="1541"/>
      <c r="C333" s="1541"/>
      <c r="D333" s="1541"/>
      <c r="E333" s="1541"/>
      <c r="F333" s="1541"/>
      <c r="G333" s="332" t="s">
        <v>3</v>
      </c>
      <c r="H333" s="338">
        <f>I333+J333+K333+L333+M333</f>
        <v>6655.7</v>
      </c>
      <c r="I333" s="338">
        <f>I336+I339+I342+I345</f>
        <v>6655.7</v>
      </c>
      <c r="J333" s="338">
        <f t="shared" si="131"/>
        <v>0</v>
      </c>
      <c r="K333" s="338">
        <f t="shared" si="131"/>
        <v>0</v>
      </c>
      <c r="L333" s="338">
        <f t="shared" si="131"/>
        <v>0</v>
      </c>
      <c r="M333" s="338">
        <f t="shared" si="131"/>
        <v>0</v>
      </c>
      <c r="N333" s="1679"/>
      <c r="O333" s="1607"/>
      <c r="P333" s="1681"/>
      <c r="Q333" s="1">
        <f>I336/I334</f>
        <v>0.284999792425497</v>
      </c>
    </row>
    <row r="334" spans="1:23" s="1" customFormat="1" ht="19.5" customHeight="1" x14ac:dyDescent="0.3">
      <c r="A334" s="1682" t="s">
        <v>1217</v>
      </c>
      <c r="B334" s="1541" t="s">
        <v>285</v>
      </c>
      <c r="C334" s="1601">
        <v>2018</v>
      </c>
      <c r="D334" s="1602"/>
      <c r="E334" s="1603">
        <f>H334</f>
        <v>4576.67</v>
      </c>
      <c r="F334" s="341"/>
      <c r="G334" s="332" t="s">
        <v>12</v>
      </c>
      <c r="H334" s="338">
        <f>H335+H336</f>
        <v>4576.67</v>
      </c>
      <c r="I334" s="338">
        <f>I335+I336</f>
        <v>4576.67</v>
      </c>
      <c r="J334" s="338">
        <f t="shared" ref="J334:M334" si="132">J335+J336</f>
        <v>0</v>
      </c>
      <c r="K334" s="338">
        <f t="shared" si="132"/>
        <v>0</v>
      </c>
      <c r="L334" s="338">
        <f t="shared" si="132"/>
        <v>0</v>
      </c>
      <c r="M334" s="338">
        <f t="shared" si="132"/>
        <v>0</v>
      </c>
      <c r="N334" s="1604"/>
      <c r="O334" s="1605" t="s">
        <v>16</v>
      </c>
      <c r="P334" s="1683"/>
    </row>
    <row r="335" spans="1:23" s="1" customFormat="1" ht="31.95" customHeight="1" x14ac:dyDescent="0.3">
      <c r="A335" s="1682"/>
      <c r="B335" s="1541"/>
      <c r="C335" s="1601"/>
      <c r="D335" s="1602"/>
      <c r="E335" s="1603"/>
      <c r="F335" s="341"/>
      <c r="G335" s="332" t="s">
        <v>13</v>
      </c>
      <c r="H335" s="338">
        <f>I335+J335+K335+L335+M335</f>
        <v>3272.32</v>
      </c>
      <c r="I335" s="338">
        <v>3272.32</v>
      </c>
      <c r="J335" s="156"/>
      <c r="K335" s="156"/>
      <c r="L335" s="156"/>
      <c r="M335" s="156"/>
      <c r="N335" s="1604"/>
      <c r="O335" s="1606"/>
      <c r="P335" s="1683"/>
      <c r="Q335" s="1">
        <f>I338/I337</f>
        <v>0.71500013255807804</v>
      </c>
      <c r="W335" s="1">
        <v>1</v>
      </c>
    </row>
    <row r="336" spans="1:23" s="1" customFormat="1" ht="55.5" customHeight="1" x14ac:dyDescent="0.3">
      <c r="A336" s="1682"/>
      <c r="B336" s="1541"/>
      <c r="C336" s="1601"/>
      <c r="D336" s="1602"/>
      <c r="E336" s="1603"/>
      <c r="F336" s="341"/>
      <c r="G336" s="332" t="s">
        <v>3</v>
      </c>
      <c r="H336" s="338">
        <f>I336+J336+K336+L336+M336</f>
        <v>1304.3499999999999</v>
      </c>
      <c r="I336" s="338">
        <v>1304.3499999999999</v>
      </c>
      <c r="J336" s="156"/>
      <c r="K336" s="156"/>
      <c r="L336" s="156"/>
      <c r="M336" s="156"/>
      <c r="N336" s="1604"/>
      <c r="O336" s="1607"/>
      <c r="P336" s="1683"/>
      <c r="Q336" s="1">
        <f>I339/I337</f>
        <v>0.28499986744192202</v>
      </c>
    </row>
    <row r="337" spans="1:23" s="1" customFormat="1" ht="16.2" customHeight="1" x14ac:dyDescent="0.3">
      <c r="A337" s="1682" t="s">
        <v>1218</v>
      </c>
      <c r="B337" s="1541" t="s">
        <v>287</v>
      </c>
      <c r="C337" s="1601">
        <v>2018</v>
      </c>
      <c r="D337" s="1602"/>
      <c r="E337" s="1603">
        <f>H337</f>
        <v>7166.67</v>
      </c>
      <c r="F337" s="341"/>
      <c r="G337" s="332" t="s">
        <v>12</v>
      </c>
      <c r="H337" s="338">
        <f>H338+H339</f>
        <v>7166.67</v>
      </c>
      <c r="I337" s="338">
        <f>I338+I339</f>
        <v>7166.67</v>
      </c>
      <c r="J337" s="338">
        <f t="shared" ref="J337:M337" si="133">J338+J339</f>
        <v>0</v>
      </c>
      <c r="K337" s="338">
        <f t="shared" si="133"/>
        <v>0</v>
      </c>
      <c r="L337" s="338">
        <f t="shared" si="133"/>
        <v>0</v>
      </c>
      <c r="M337" s="338">
        <f t="shared" si="133"/>
        <v>0</v>
      </c>
      <c r="N337" s="1604"/>
      <c r="O337" s="1605" t="s">
        <v>16</v>
      </c>
      <c r="P337" s="1683"/>
    </row>
    <row r="338" spans="1:23" s="1" customFormat="1" ht="33.75" customHeight="1" x14ac:dyDescent="0.3">
      <c r="A338" s="1682"/>
      <c r="B338" s="1541"/>
      <c r="C338" s="1601"/>
      <c r="D338" s="1602"/>
      <c r="E338" s="1603"/>
      <c r="F338" s="341"/>
      <c r="G338" s="332" t="s">
        <v>13</v>
      </c>
      <c r="H338" s="338">
        <f>I338+J338+K338+L338+M338</f>
        <v>5124.17</v>
      </c>
      <c r="I338" s="338">
        <v>5124.17</v>
      </c>
      <c r="J338" s="156"/>
      <c r="K338" s="156"/>
      <c r="L338" s="156"/>
      <c r="M338" s="156"/>
      <c r="N338" s="1604"/>
      <c r="O338" s="1606"/>
      <c r="P338" s="1683"/>
      <c r="Q338" s="1">
        <f>I341/I340</f>
        <v>0.71500021033194805</v>
      </c>
      <c r="W338" s="1">
        <v>1</v>
      </c>
    </row>
    <row r="339" spans="1:23" s="1" customFormat="1" ht="48" customHeight="1" x14ac:dyDescent="0.3">
      <c r="A339" s="1682"/>
      <c r="B339" s="1541"/>
      <c r="C339" s="1601"/>
      <c r="D339" s="1602"/>
      <c r="E339" s="1603"/>
      <c r="F339" s="341"/>
      <c r="G339" s="332" t="s">
        <v>3</v>
      </c>
      <c r="H339" s="338">
        <f>I339+J339+K339+L339+M339</f>
        <v>2042.5</v>
      </c>
      <c r="I339" s="338">
        <v>2042.5</v>
      </c>
      <c r="J339" s="156"/>
      <c r="K339" s="156"/>
      <c r="L339" s="156"/>
      <c r="M339" s="156"/>
      <c r="N339" s="1604"/>
      <c r="O339" s="1607"/>
      <c r="P339" s="1683"/>
      <c r="Q339" s="1">
        <f>I342/I340</f>
        <v>0.28499978966805201</v>
      </c>
    </row>
    <row r="340" spans="1:23" s="1" customFormat="1" ht="19.5" customHeight="1" x14ac:dyDescent="0.3">
      <c r="A340" s="1682" t="s">
        <v>1219</v>
      </c>
      <c r="B340" s="1541" t="s">
        <v>288</v>
      </c>
      <c r="C340" s="1601">
        <v>2018</v>
      </c>
      <c r="D340" s="1602"/>
      <c r="E340" s="1603">
        <f>H340</f>
        <v>4516.67</v>
      </c>
      <c r="F340" s="341"/>
      <c r="G340" s="332" t="s">
        <v>12</v>
      </c>
      <c r="H340" s="338">
        <f>H341+H342</f>
        <v>4516.67</v>
      </c>
      <c r="I340" s="338">
        <f>I341+I342</f>
        <v>4516.67</v>
      </c>
      <c r="J340" s="338">
        <f t="shared" ref="J340:M340" si="134">J341+J342</f>
        <v>0</v>
      </c>
      <c r="K340" s="338">
        <f t="shared" si="134"/>
        <v>0</v>
      </c>
      <c r="L340" s="338">
        <f t="shared" si="134"/>
        <v>0</v>
      </c>
      <c r="M340" s="338">
        <f t="shared" si="134"/>
        <v>0</v>
      </c>
      <c r="N340" s="1604"/>
      <c r="O340" s="1605" t="s">
        <v>16</v>
      </c>
      <c r="P340" s="1683"/>
    </row>
    <row r="341" spans="1:23" s="1" customFormat="1" ht="29.25" customHeight="1" x14ac:dyDescent="0.3">
      <c r="A341" s="1682"/>
      <c r="B341" s="1541"/>
      <c r="C341" s="1601"/>
      <c r="D341" s="1602"/>
      <c r="E341" s="1603"/>
      <c r="F341" s="341"/>
      <c r="G341" s="332" t="s">
        <v>13</v>
      </c>
      <c r="H341" s="338">
        <f>I341+J341+K341+L341+M341</f>
        <v>3229.42</v>
      </c>
      <c r="I341" s="338">
        <v>3229.42</v>
      </c>
      <c r="J341" s="156"/>
      <c r="K341" s="156"/>
      <c r="L341" s="156"/>
      <c r="M341" s="156"/>
      <c r="N341" s="1604"/>
      <c r="O341" s="1606"/>
      <c r="P341" s="1683"/>
      <c r="Q341" s="1">
        <f>I344/I343</f>
        <v>0.71500026785689097</v>
      </c>
      <c r="W341" s="1">
        <v>1</v>
      </c>
    </row>
    <row r="342" spans="1:23" s="1" customFormat="1" ht="30" customHeight="1" x14ac:dyDescent="0.3">
      <c r="A342" s="1682"/>
      <c r="B342" s="1541"/>
      <c r="C342" s="1601"/>
      <c r="D342" s="1602"/>
      <c r="E342" s="1603"/>
      <c r="F342" s="341"/>
      <c r="G342" s="332" t="s">
        <v>3</v>
      </c>
      <c r="H342" s="338">
        <f>I342+J342+K342+L342+M342</f>
        <v>1287.25</v>
      </c>
      <c r="I342" s="338">
        <v>1287.25</v>
      </c>
      <c r="J342" s="156"/>
      <c r="K342" s="156"/>
      <c r="L342" s="156"/>
      <c r="M342" s="156"/>
      <c r="N342" s="1604"/>
      <c r="O342" s="1607"/>
      <c r="P342" s="1683"/>
      <c r="Q342" s="1">
        <f>I345/I343</f>
        <v>0.28499973214310897</v>
      </c>
    </row>
    <row r="343" spans="1:23" s="1" customFormat="1" ht="21" customHeight="1" x14ac:dyDescent="0.3">
      <c r="A343" s="1682" t="s">
        <v>1220</v>
      </c>
      <c r="B343" s="1541" t="s">
        <v>1346</v>
      </c>
      <c r="C343" s="1601">
        <v>2018</v>
      </c>
      <c r="D343" s="1602"/>
      <c r="E343" s="1603">
        <f>H343</f>
        <v>7093.34</v>
      </c>
      <c r="F343" s="341"/>
      <c r="G343" s="332" t="s">
        <v>12</v>
      </c>
      <c r="H343" s="338">
        <f>H344+H345</f>
        <v>7093.34</v>
      </c>
      <c r="I343" s="338">
        <f>I344+I345</f>
        <v>7093.34</v>
      </c>
      <c r="J343" s="338">
        <f t="shared" ref="J343:M343" si="135">J344+J345</f>
        <v>0</v>
      </c>
      <c r="K343" s="338">
        <f t="shared" si="135"/>
        <v>0</v>
      </c>
      <c r="L343" s="338">
        <f t="shared" si="135"/>
        <v>0</v>
      </c>
      <c r="M343" s="338">
        <f t="shared" si="135"/>
        <v>0</v>
      </c>
      <c r="N343" s="1604"/>
      <c r="O343" s="1605" t="s">
        <v>16</v>
      </c>
      <c r="P343" s="1683"/>
    </row>
    <row r="344" spans="1:23" s="1" customFormat="1" ht="37.5" customHeight="1" x14ac:dyDescent="0.3">
      <c r="A344" s="1682"/>
      <c r="B344" s="1541"/>
      <c r="C344" s="1601"/>
      <c r="D344" s="1602"/>
      <c r="E344" s="1603"/>
      <c r="F344" s="341"/>
      <c r="G344" s="332" t="s">
        <v>13</v>
      </c>
      <c r="H344" s="338">
        <f>I344+J344+K344+L344+M344</f>
        <v>5071.74</v>
      </c>
      <c r="I344" s="338">
        <v>5071.74</v>
      </c>
      <c r="J344" s="156"/>
      <c r="K344" s="156"/>
      <c r="L344" s="156"/>
      <c r="M344" s="156"/>
      <c r="N344" s="1604"/>
      <c r="O344" s="1606"/>
      <c r="P344" s="1683"/>
      <c r="W344" s="1">
        <v>1</v>
      </c>
    </row>
    <row r="345" spans="1:23" s="1" customFormat="1" ht="37.5" customHeight="1" x14ac:dyDescent="0.3">
      <c r="A345" s="1682"/>
      <c r="B345" s="1541"/>
      <c r="C345" s="1601"/>
      <c r="D345" s="1602"/>
      <c r="E345" s="1603"/>
      <c r="F345" s="341"/>
      <c r="G345" s="332" t="s">
        <v>3</v>
      </c>
      <c r="H345" s="338">
        <f>I345+J345+K345+L345+M345</f>
        <v>2021.6</v>
      </c>
      <c r="I345" s="338">
        <v>2021.6</v>
      </c>
      <c r="J345" s="156"/>
      <c r="K345" s="156"/>
      <c r="L345" s="156"/>
      <c r="M345" s="156"/>
      <c r="N345" s="1604"/>
      <c r="O345" s="1607"/>
      <c r="P345" s="1683"/>
    </row>
    <row r="346" spans="1:23" s="1" customFormat="1" ht="14.4" x14ac:dyDescent="0.3">
      <c r="A346" s="1682" t="s">
        <v>1221</v>
      </c>
      <c r="B346" s="1705" t="s">
        <v>112</v>
      </c>
      <c r="C346" s="1706"/>
      <c r="D346" s="1706"/>
      <c r="E346" s="1706"/>
      <c r="F346" s="1707"/>
      <c r="G346" s="349" t="s">
        <v>12</v>
      </c>
      <c r="H346" s="359">
        <f t="shared" ref="H346:M346" si="136">H347+H348</f>
        <v>81956.160000000003</v>
      </c>
      <c r="I346" s="359">
        <f t="shared" si="136"/>
        <v>81956.160000000003</v>
      </c>
      <c r="J346" s="359">
        <f t="shared" si="136"/>
        <v>0</v>
      </c>
      <c r="K346" s="359">
        <f t="shared" si="136"/>
        <v>0</v>
      </c>
      <c r="L346" s="359">
        <f t="shared" si="136"/>
        <v>0</v>
      </c>
      <c r="M346" s="359">
        <f t="shared" si="136"/>
        <v>0</v>
      </c>
      <c r="N346" s="1714"/>
      <c r="O346" s="1605"/>
      <c r="P346" s="1681"/>
      <c r="R346" s="6"/>
      <c r="S346" s="47">
        <v>0.99</v>
      </c>
      <c r="T346" s="309">
        <f>I350/$S346</f>
        <v>20696</v>
      </c>
    </row>
    <row r="347" spans="1:23" s="47" customFormat="1" ht="34.5" customHeight="1" x14ac:dyDescent="0.3">
      <c r="A347" s="1682"/>
      <c r="B347" s="1708"/>
      <c r="C347" s="1709"/>
      <c r="D347" s="1709"/>
      <c r="E347" s="1709"/>
      <c r="F347" s="1710"/>
      <c r="G347" s="349" t="s">
        <v>13</v>
      </c>
      <c r="H347" s="359">
        <f>SUM(I347:M347)</f>
        <v>81956.160000000003</v>
      </c>
      <c r="I347" s="359">
        <f>I350+I353+I356+I359</f>
        <v>81956.160000000003</v>
      </c>
      <c r="J347" s="359">
        <f t="shared" ref="J347:M348" si="137">J350+J353+J356+J359</f>
        <v>0</v>
      </c>
      <c r="K347" s="359">
        <f t="shared" si="137"/>
        <v>0</v>
      </c>
      <c r="L347" s="359">
        <f t="shared" si="137"/>
        <v>0</v>
      </c>
      <c r="M347" s="359">
        <f t="shared" si="137"/>
        <v>0</v>
      </c>
      <c r="N347" s="1715"/>
      <c r="O347" s="1606"/>
      <c r="P347" s="1681"/>
      <c r="Q347" s="1"/>
      <c r="S347" s="47">
        <f>1-S346</f>
        <v>0.01</v>
      </c>
      <c r="T347" s="309"/>
    </row>
    <row r="348" spans="1:23" s="47" customFormat="1" ht="63.75" customHeight="1" x14ac:dyDescent="0.3">
      <c r="A348" s="1682"/>
      <c r="B348" s="1711"/>
      <c r="C348" s="1712"/>
      <c r="D348" s="1712"/>
      <c r="E348" s="1712"/>
      <c r="F348" s="1713"/>
      <c r="G348" s="363" t="s">
        <v>14</v>
      </c>
      <c r="H348" s="69">
        <f>SUM(I348:M348)</f>
        <v>0</v>
      </c>
      <c r="I348" s="359">
        <f>I351+I354+I357+I360</f>
        <v>0</v>
      </c>
      <c r="J348" s="359">
        <f t="shared" si="137"/>
        <v>0</v>
      </c>
      <c r="K348" s="359">
        <f t="shared" si="137"/>
        <v>0</v>
      </c>
      <c r="L348" s="359">
        <f t="shared" si="137"/>
        <v>0</v>
      </c>
      <c r="M348" s="359">
        <f t="shared" si="137"/>
        <v>0</v>
      </c>
      <c r="N348" s="1716"/>
      <c r="O348" s="1607"/>
      <c r="P348" s="1681"/>
      <c r="Q348" s="1"/>
    </row>
    <row r="349" spans="1:23" s="1" customFormat="1" ht="24" customHeight="1" x14ac:dyDescent="0.3">
      <c r="A349" s="1682" t="s">
        <v>1222</v>
      </c>
      <c r="B349" s="1717" t="s">
        <v>1223</v>
      </c>
      <c r="C349" s="1718" t="s">
        <v>82</v>
      </c>
      <c r="D349" s="1718" t="s">
        <v>1015</v>
      </c>
      <c r="E349" s="1719">
        <f>F349+H349</f>
        <v>20696</v>
      </c>
      <c r="F349" s="359">
        <f>F350+F351</f>
        <v>206.96</v>
      </c>
      <c r="G349" s="349" t="s">
        <v>12</v>
      </c>
      <c r="H349" s="359">
        <f t="shared" ref="H349:M349" si="138">H350+H351</f>
        <v>20489.04</v>
      </c>
      <c r="I349" s="359">
        <f t="shared" si="138"/>
        <v>20489.04</v>
      </c>
      <c r="J349" s="359">
        <f t="shared" si="138"/>
        <v>0</v>
      </c>
      <c r="K349" s="359">
        <f t="shared" si="138"/>
        <v>0</v>
      </c>
      <c r="L349" s="359">
        <f t="shared" si="138"/>
        <v>0</v>
      </c>
      <c r="M349" s="359">
        <f t="shared" si="138"/>
        <v>0</v>
      </c>
      <c r="N349" s="1714"/>
      <c r="O349" s="1605"/>
      <c r="P349" s="1683"/>
    </row>
    <row r="350" spans="1:23" s="1" customFormat="1" ht="39.6" x14ac:dyDescent="0.3">
      <c r="A350" s="1682"/>
      <c r="B350" s="1717"/>
      <c r="C350" s="1718"/>
      <c r="D350" s="1718"/>
      <c r="E350" s="1719"/>
      <c r="F350" s="359">
        <v>0</v>
      </c>
      <c r="G350" s="349" t="s">
        <v>13</v>
      </c>
      <c r="H350" s="359">
        <f t="shared" ref="H350:H360" si="139">SUM(I350:M350)</f>
        <v>20489.04</v>
      </c>
      <c r="I350" s="359">
        <v>20489.04</v>
      </c>
      <c r="J350" s="359">
        <v>0</v>
      </c>
      <c r="K350" s="359">
        <v>0</v>
      </c>
      <c r="L350" s="359">
        <v>0</v>
      </c>
      <c r="M350" s="359">
        <v>0</v>
      </c>
      <c r="N350" s="1715"/>
      <c r="O350" s="1606"/>
      <c r="P350" s="1683"/>
      <c r="W350" s="1">
        <v>1</v>
      </c>
    </row>
    <row r="351" spans="1:23" s="1" customFormat="1" ht="27.75" customHeight="1" x14ac:dyDescent="0.3">
      <c r="A351" s="1682"/>
      <c r="B351" s="1717"/>
      <c r="C351" s="1718"/>
      <c r="D351" s="1718"/>
      <c r="E351" s="1719"/>
      <c r="F351" s="69">
        <v>206.96</v>
      </c>
      <c r="G351" s="363" t="s">
        <v>14</v>
      </c>
      <c r="H351" s="69">
        <f t="shared" si="139"/>
        <v>0</v>
      </c>
      <c r="I351" s="359">
        <v>0</v>
      </c>
      <c r="J351" s="359">
        <v>0</v>
      </c>
      <c r="K351" s="359">
        <v>0</v>
      </c>
      <c r="L351" s="359">
        <v>0</v>
      </c>
      <c r="M351" s="359">
        <v>0</v>
      </c>
      <c r="N351" s="1716"/>
      <c r="O351" s="1607"/>
      <c r="P351" s="1683"/>
    </row>
    <row r="352" spans="1:23" s="1" customFormat="1" ht="32.25" customHeight="1" x14ac:dyDescent="0.3">
      <c r="A352" s="1682" t="s">
        <v>1224</v>
      </c>
      <c r="B352" s="1717" t="s">
        <v>1225</v>
      </c>
      <c r="C352" s="1718" t="s">
        <v>82</v>
      </c>
      <c r="D352" s="1718" t="s">
        <v>1015</v>
      </c>
      <c r="E352" s="1719">
        <f>F352+H352</f>
        <v>20696</v>
      </c>
      <c r="F352" s="359">
        <f>F353+F354</f>
        <v>206.96</v>
      </c>
      <c r="G352" s="349" t="s">
        <v>12</v>
      </c>
      <c r="H352" s="359">
        <f t="shared" ref="H352:M352" si="140">H353+H354</f>
        <v>20489.04</v>
      </c>
      <c r="I352" s="359">
        <f t="shared" si="140"/>
        <v>20489.04</v>
      </c>
      <c r="J352" s="359">
        <f t="shared" si="140"/>
        <v>0</v>
      </c>
      <c r="K352" s="359">
        <f t="shared" si="140"/>
        <v>0</v>
      </c>
      <c r="L352" s="359">
        <f t="shared" si="140"/>
        <v>0</v>
      </c>
      <c r="M352" s="359">
        <f t="shared" si="140"/>
        <v>0</v>
      </c>
      <c r="N352" s="1720"/>
      <c r="O352" s="342"/>
      <c r="P352" s="344"/>
    </row>
    <row r="353" spans="1:23" s="1" customFormat="1" ht="39" customHeight="1" x14ac:dyDescent="0.3">
      <c r="A353" s="1682"/>
      <c r="B353" s="1717"/>
      <c r="C353" s="1718"/>
      <c r="D353" s="1718"/>
      <c r="E353" s="1719"/>
      <c r="F353" s="359">
        <v>0</v>
      </c>
      <c r="G353" s="349" t="s">
        <v>13</v>
      </c>
      <c r="H353" s="359">
        <f t="shared" si="139"/>
        <v>20489.04</v>
      </c>
      <c r="I353" s="359">
        <v>20489.04</v>
      </c>
      <c r="J353" s="359">
        <v>0</v>
      </c>
      <c r="K353" s="359">
        <v>0</v>
      </c>
      <c r="L353" s="359">
        <v>0</v>
      </c>
      <c r="M353" s="359">
        <v>0</v>
      </c>
      <c r="N353" s="1721"/>
      <c r="O353" s="342"/>
      <c r="P353" s="344"/>
      <c r="W353" s="1">
        <v>1</v>
      </c>
    </row>
    <row r="354" spans="1:23" s="1" customFormat="1" ht="66" x14ac:dyDescent="0.3">
      <c r="A354" s="1682"/>
      <c r="B354" s="1717"/>
      <c r="C354" s="1718"/>
      <c r="D354" s="1718"/>
      <c r="E354" s="1719"/>
      <c r="F354" s="69">
        <v>206.96</v>
      </c>
      <c r="G354" s="363" t="s">
        <v>14</v>
      </c>
      <c r="H354" s="69">
        <f t="shared" si="139"/>
        <v>0</v>
      </c>
      <c r="I354" s="359">
        <v>0</v>
      </c>
      <c r="J354" s="359">
        <v>0</v>
      </c>
      <c r="K354" s="359">
        <v>0</v>
      </c>
      <c r="L354" s="359">
        <v>0</v>
      </c>
      <c r="M354" s="359">
        <v>0</v>
      </c>
      <c r="N354" s="1722"/>
      <c r="O354" s="342"/>
      <c r="P354" s="344"/>
    </row>
    <row r="355" spans="1:23" s="1" customFormat="1" ht="14.4" x14ac:dyDescent="0.3">
      <c r="A355" s="1682" t="s">
        <v>1226</v>
      </c>
      <c r="B355" s="1717" t="s">
        <v>1227</v>
      </c>
      <c r="C355" s="1718" t="s">
        <v>82</v>
      </c>
      <c r="D355" s="1718" t="s">
        <v>1015</v>
      </c>
      <c r="E355" s="1719">
        <f>F355+H355</f>
        <v>20696</v>
      </c>
      <c r="F355" s="359">
        <f>F356+F357</f>
        <v>206.96</v>
      </c>
      <c r="G355" s="349" t="s">
        <v>12</v>
      </c>
      <c r="H355" s="359">
        <f t="shared" ref="H355:M355" si="141">H356+H357</f>
        <v>20489.04</v>
      </c>
      <c r="I355" s="359">
        <f t="shared" si="141"/>
        <v>20489.04</v>
      </c>
      <c r="J355" s="359">
        <f t="shared" si="141"/>
        <v>0</v>
      </c>
      <c r="K355" s="359">
        <f t="shared" si="141"/>
        <v>0</v>
      </c>
      <c r="L355" s="359">
        <f t="shared" si="141"/>
        <v>0</v>
      </c>
      <c r="M355" s="359">
        <f t="shared" si="141"/>
        <v>0</v>
      </c>
      <c r="N355" s="1720"/>
      <c r="O355" s="1605"/>
      <c r="P355" s="1683"/>
    </row>
    <row r="356" spans="1:23" s="1" customFormat="1" ht="39.6" x14ac:dyDescent="0.3">
      <c r="A356" s="1682"/>
      <c r="B356" s="1717"/>
      <c r="C356" s="1718"/>
      <c r="D356" s="1718"/>
      <c r="E356" s="1719"/>
      <c r="F356" s="359">
        <v>0</v>
      </c>
      <c r="G356" s="349" t="s">
        <v>13</v>
      </c>
      <c r="H356" s="359">
        <f t="shared" si="139"/>
        <v>20489.04</v>
      </c>
      <c r="I356" s="359">
        <v>20489.04</v>
      </c>
      <c r="J356" s="359">
        <v>0</v>
      </c>
      <c r="K356" s="359">
        <v>0</v>
      </c>
      <c r="L356" s="359">
        <v>0</v>
      </c>
      <c r="M356" s="359">
        <v>0</v>
      </c>
      <c r="N356" s="1721"/>
      <c r="O356" s="1606"/>
      <c r="P356" s="1683"/>
      <c r="W356" s="1">
        <v>1</v>
      </c>
    </row>
    <row r="357" spans="1:23" s="1" customFormat="1" ht="37.5" customHeight="1" x14ac:dyDescent="0.3">
      <c r="A357" s="1682"/>
      <c r="B357" s="1717"/>
      <c r="C357" s="1718"/>
      <c r="D357" s="1718"/>
      <c r="E357" s="1719"/>
      <c r="F357" s="69">
        <v>206.96</v>
      </c>
      <c r="G357" s="363" t="s">
        <v>14</v>
      </c>
      <c r="H357" s="69">
        <f t="shared" si="139"/>
        <v>0</v>
      </c>
      <c r="I357" s="359">
        <v>0</v>
      </c>
      <c r="J357" s="359">
        <v>0</v>
      </c>
      <c r="K357" s="359">
        <v>0</v>
      </c>
      <c r="L357" s="359">
        <v>0</v>
      </c>
      <c r="M357" s="359">
        <v>0</v>
      </c>
      <c r="N357" s="1722"/>
      <c r="O357" s="1607"/>
      <c r="P357" s="1683"/>
    </row>
    <row r="358" spans="1:23" s="1" customFormat="1" ht="14.4" x14ac:dyDescent="0.3">
      <c r="A358" s="1682" t="s">
        <v>1228</v>
      </c>
      <c r="B358" s="1717" t="s">
        <v>1229</v>
      </c>
      <c r="C358" s="1718" t="s">
        <v>82</v>
      </c>
      <c r="D358" s="1718" t="s">
        <v>1015</v>
      </c>
      <c r="E358" s="1719">
        <f>F358+H358</f>
        <v>20696</v>
      </c>
      <c r="F358" s="359">
        <f>F359+F360</f>
        <v>206.96</v>
      </c>
      <c r="G358" s="349" t="s">
        <v>12</v>
      </c>
      <c r="H358" s="359">
        <f t="shared" ref="H358:M358" si="142">H359+H360</f>
        <v>20489.04</v>
      </c>
      <c r="I358" s="359">
        <f t="shared" si="142"/>
        <v>20489.04</v>
      </c>
      <c r="J358" s="359">
        <f t="shared" si="142"/>
        <v>0</v>
      </c>
      <c r="K358" s="359">
        <f t="shared" si="142"/>
        <v>0</v>
      </c>
      <c r="L358" s="359">
        <f t="shared" si="142"/>
        <v>0</v>
      </c>
      <c r="M358" s="359">
        <f t="shared" si="142"/>
        <v>0</v>
      </c>
      <c r="N358" s="1720"/>
      <c r="O358" s="1605"/>
      <c r="P358" s="1683"/>
    </row>
    <row r="359" spans="1:23" s="1" customFormat="1" ht="39.6" x14ac:dyDescent="0.3">
      <c r="A359" s="1682"/>
      <c r="B359" s="1717"/>
      <c r="C359" s="1718"/>
      <c r="D359" s="1718"/>
      <c r="E359" s="1719"/>
      <c r="F359" s="359">
        <v>0</v>
      </c>
      <c r="G359" s="349" t="s">
        <v>13</v>
      </c>
      <c r="H359" s="359">
        <f t="shared" si="139"/>
        <v>20489.04</v>
      </c>
      <c r="I359" s="359">
        <v>20489.04</v>
      </c>
      <c r="J359" s="359"/>
      <c r="K359" s="359">
        <v>0</v>
      </c>
      <c r="L359" s="359">
        <v>0</v>
      </c>
      <c r="M359" s="359">
        <v>0</v>
      </c>
      <c r="N359" s="1721"/>
      <c r="O359" s="1606"/>
      <c r="P359" s="1683"/>
      <c r="W359" s="1">
        <v>1</v>
      </c>
    </row>
    <row r="360" spans="1:23" s="1" customFormat="1" ht="66" x14ac:dyDescent="0.3">
      <c r="A360" s="1682"/>
      <c r="B360" s="1717"/>
      <c r="C360" s="1718"/>
      <c r="D360" s="1718"/>
      <c r="E360" s="1719"/>
      <c r="F360" s="69">
        <v>206.96</v>
      </c>
      <c r="G360" s="363" t="s">
        <v>14</v>
      </c>
      <c r="H360" s="69">
        <f t="shared" si="139"/>
        <v>0</v>
      </c>
      <c r="I360" s="359">
        <v>0</v>
      </c>
      <c r="J360" s="359">
        <v>0</v>
      </c>
      <c r="K360" s="359">
        <v>0</v>
      </c>
      <c r="L360" s="359">
        <v>0</v>
      </c>
      <c r="M360" s="359">
        <v>0</v>
      </c>
      <c r="N360" s="1722"/>
      <c r="O360" s="1607"/>
      <c r="P360" s="1683"/>
    </row>
    <row r="361" spans="1:23" s="1" customFormat="1" ht="14.4" x14ac:dyDescent="0.3">
      <c r="A361" s="1625" t="s">
        <v>1023</v>
      </c>
      <c r="B361" s="1628" t="s">
        <v>347</v>
      </c>
      <c r="C361" s="1629"/>
      <c r="D361" s="1629"/>
      <c r="E361" s="1629"/>
      <c r="F361" s="1630"/>
      <c r="G361" s="332" t="s">
        <v>12</v>
      </c>
      <c r="H361" s="338">
        <f>H362+H363</f>
        <v>31998.77</v>
      </c>
      <c r="I361" s="338">
        <f>I362+I363</f>
        <v>31998.77</v>
      </c>
      <c r="J361" s="338">
        <f t="shared" ref="J361:M361" si="143">J362+J363</f>
        <v>0</v>
      </c>
      <c r="K361" s="338">
        <f t="shared" si="143"/>
        <v>0</v>
      </c>
      <c r="L361" s="338">
        <f t="shared" si="143"/>
        <v>0</v>
      </c>
      <c r="M361" s="338">
        <f t="shared" si="143"/>
        <v>0</v>
      </c>
      <c r="N361" s="1645"/>
      <c r="O361" s="1605"/>
      <c r="P361" s="1681">
        <v>1</v>
      </c>
    </row>
    <row r="362" spans="1:23" s="1" customFormat="1" ht="24" x14ac:dyDescent="0.3">
      <c r="A362" s="1626"/>
      <c r="B362" s="1631"/>
      <c r="C362" s="1598"/>
      <c r="D362" s="1598"/>
      <c r="E362" s="1598"/>
      <c r="F362" s="1632"/>
      <c r="G362" s="332" t="s">
        <v>13</v>
      </c>
      <c r="H362" s="338">
        <f>I362+J362+K362+L362+M362</f>
        <v>22879.119999999999</v>
      </c>
      <c r="I362" s="338">
        <f>I365</f>
        <v>22879.119999999999</v>
      </c>
      <c r="J362" s="338">
        <f t="shared" ref="J362:M363" si="144">J365</f>
        <v>0</v>
      </c>
      <c r="K362" s="338">
        <f t="shared" si="144"/>
        <v>0</v>
      </c>
      <c r="L362" s="338">
        <f t="shared" si="144"/>
        <v>0</v>
      </c>
      <c r="M362" s="338">
        <f t="shared" si="144"/>
        <v>0</v>
      </c>
      <c r="N362" s="1646"/>
      <c r="O362" s="1606"/>
      <c r="P362" s="1681"/>
      <c r="R362" s="1" t="s">
        <v>1144</v>
      </c>
    </row>
    <row r="363" spans="1:23" s="1" customFormat="1" ht="60" x14ac:dyDescent="0.3">
      <c r="A363" s="1627"/>
      <c r="B363" s="1633"/>
      <c r="C363" s="1634"/>
      <c r="D363" s="1634"/>
      <c r="E363" s="1634"/>
      <c r="F363" s="1635"/>
      <c r="G363" s="332" t="s">
        <v>3</v>
      </c>
      <c r="H363" s="338">
        <f>I363+J363+K363+L363+M363</f>
        <v>9119.65</v>
      </c>
      <c r="I363" s="338">
        <f>I366</f>
        <v>9119.65</v>
      </c>
      <c r="J363" s="338">
        <f t="shared" si="144"/>
        <v>0</v>
      </c>
      <c r="K363" s="338">
        <f t="shared" si="144"/>
        <v>0</v>
      </c>
      <c r="L363" s="338">
        <f t="shared" si="144"/>
        <v>0</v>
      </c>
      <c r="M363" s="338">
        <f t="shared" si="144"/>
        <v>0</v>
      </c>
      <c r="N363" s="1647"/>
      <c r="O363" s="1607"/>
      <c r="P363" s="1681"/>
    </row>
    <row r="364" spans="1:23" s="1" customFormat="1" ht="14.4" x14ac:dyDescent="0.3">
      <c r="A364" s="1641" t="s">
        <v>1230</v>
      </c>
      <c r="B364" s="1541" t="s">
        <v>1231</v>
      </c>
      <c r="C364" s="1601">
        <v>2018</v>
      </c>
      <c r="D364" s="1601"/>
      <c r="E364" s="1603">
        <f>H364</f>
        <v>31998.77</v>
      </c>
      <c r="F364" s="409">
        <f>F365+F366</f>
        <v>0</v>
      </c>
      <c r="G364" s="332" t="s">
        <v>12</v>
      </c>
      <c r="H364" s="338">
        <f>H365+H366</f>
        <v>31998.77</v>
      </c>
      <c r="I364" s="338">
        <f>I365/0.715</f>
        <v>31998.77</v>
      </c>
      <c r="J364" s="338">
        <f t="shared" ref="J364:M364" si="145">J365/0.715</f>
        <v>0</v>
      </c>
      <c r="K364" s="338">
        <f t="shared" si="145"/>
        <v>0</v>
      </c>
      <c r="L364" s="338">
        <f t="shared" si="145"/>
        <v>0</v>
      </c>
      <c r="M364" s="338">
        <f t="shared" si="145"/>
        <v>0</v>
      </c>
      <c r="N364" s="1613"/>
      <c r="O364" s="1605" t="s">
        <v>16</v>
      </c>
      <c r="P364" s="1681"/>
      <c r="S364" s="47">
        <v>0.71499999999999997</v>
      </c>
      <c r="T364" s="309">
        <f>I365/$S364</f>
        <v>31998.77</v>
      </c>
    </row>
    <row r="365" spans="1:23" s="1" customFormat="1" ht="24" x14ac:dyDescent="0.3">
      <c r="A365" s="1641"/>
      <c r="B365" s="1541"/>
      <c r="C365" s="1601"/>
      <c r="D365" s="1601"/>
      <c r="E365" s="1603"/>
      <c r="F365" s="409">
        <v>0</v>
      </c>
      <c r="G365" s="332" t="s">
        <v>13</v>
      </c>
      <c r="H365" s="338">
        <f>I365+J365+K365+L365+M365</f>
        <v>22879.119999999999</v>
      </c>
      <c r="I365" s="338">
        <f>31998.77*0.715</f>
        <v>22879.119999999999</v>
      </c>
      <c r="J365" s="338">
        <v>0</v>
      </c>
      <c r="K365" s="338">
        <v>0</v>
      </c>
      <c r="L365" s="338">
        <v>0</v>
      </c>
      <c r="M365" s="338">
        <v>0</v>
      </c>
      <c r="N365" s="1613"/>
      <c r="O365" s="1606"/>
      <c r="P365" s="1681"/>
      <c r="S365" s="47">
        <f>1-S364</f>
        <v>0.28499999999999998</v>
      </c>
      <c r="T365" s="309">
        <f>T364*$S365</f>
        <v>9119.65</v>
      </c>
      <c r="W365" s="1">
        <v>1</v>
      </c>
    </row>
    <row r="366" spans="1:23" s="1" customFormat="1" ht="60" x14ac:dyDescent="0.3">
      <c r="A366" s="1641"/>
      <c r="B366" s="1541"/>
      <c r="C366" s="1601"/>
      <c r="D366" s="1601"/>
      <c r="E366" s="1603"/>
      <c r="F366" s="409">
        <v>0</v>
      </c>
      <c r="G366" s="332" t="s">
        <v>3</v>
      </c>
      <c r="H366" s="338">
        <f>I366+J366+K366+L366+M366</f>
        <v>9119.65</v>
      </c>
      <c r="I366" s="338">
        <f>I364*0.285</f>
        <v>9119.65</v>
      </c>
      <c r="J366" s="338">
        <v>0</v>
      </c>
      <c r="K366" s="338">
        <v>0</v>
      </c>
      <c r="L366" s="338">
        <v>0</v>
      </c>
      <c r="M366" s="338">
        <v>0</v>
      </c>
      <c r="N366" s="1613"/>
      <c r="O366" s="1607"/>
      <c r="P366" s="1681"/>
    </row>
    <row r="367" spans="1:23" s="1" customFormat="1" ht="14.4" x14ac:dyDescent="0.3">
      <c r="A367" s="1625" t="s">
        <v>1232</v>
      </c>
      <c r="B367" s="1628" t="s">
        <v>1233</v>
      </c>
      <c r="C367" s="1629"/>
      <c r="D367" s="1629"/>
      <c r="E367" s="1629"/>
      <c r="F367" s="1630"/>
      <c r="G367" s="332" t="s">
        <v>12</v>
      </c>
      <c r="H367" s="338">
        <f>H368+H369</f>
        <v>111049.16</v>
      </c>
      <c r="I367" s="1293">
        <f>I368+I369</f>
        <v>111049.16</v>
      </c>
      <c r="J367" s="338">
        <f>J368+J369</f>
        <v>0</v>
      </c>
      <c r="K367" s="338">
        <f t="shared" ref="K367:M367" si="146">K368/0.796</f>
        <v>0</v>
      </c>
      <c r="L367" s="338">
        <f t="shared" si="146"/>
        <v>0</v>
      </c>
      <c r="M367" s="338">
        <f t="shared" si="146"/>
        <v>0</v>
      </c>
      <c r="N367" s="1645"/>
      <c r="O367" s="1605"/>
      <c r="P367" s="1681">
        <v>3</v>
      </c>
    </row>
    <row r="368" spans="1:23" s="1" customFormat="1" ht="24" x14ac:dyDescent="0.3">
      <c r="A368" s="1626"/>
      <c r="B368" s="1631"/>
      <c r="C368" s="1598"/>
      <c r="D368" s="1598"/>
      <c r="E368" s="1598"/>
      <c r="F368" s="1632"/>
      <c r="G368" s="332" t="s">
        <v>13</v>
      </c>
      <c r="H368" s="338">
        <f>I368+J368+K368+L368+M368</f>
        <v>72293</v>
      </c>
      <c r="I368" s="338">
        <f>I371</f>
        <v>72293</v>
      </c>
      <c r="J368" s="338">
        <f>J371</f>
        <v>0</v>
      </c>
      <c r="K368" s="338">
        <v>0</v>
      </c>
      <c r="L368" s="338">
        <v>0</v>
      </c>
      <c r="M368" s="338">
        <v>0</v>
      </c>
      <c r="N368" s="1646"/>
      <c r="O368" s="1606"/>
      <c r="P368" s="1681"/>
      <c r="W368" s="1">
        <v>1</v>
      </c>
    </row>
    <row r="369" spans="1:24" s="1" customFormat="1" ht="60" x14ac:dyDescent="0.3">
      <c r="A369" s="1627"/>
      <c r="B369" s="1633"/>
      <c r="C369" s="1634"/>
      <c r="D369" s="1634"/>
      <c r="E369" s="1634"/>
      <c r="F369" s="1635"/>
      <c r="G369" s="332" t="s">
        <v>3</v>
      </c>
      <c r="H369" s="338">
        <f>I369+J369+K369+L369+M369</f>
        <v>38756.160000000003</v>
      </c>
      <c r="I369" s="338">
        <f>I372</f>
        <v>38756.160000000003</v>
      </c>
      <c r="J369" s="338">
        <f>J372</f>
        <v>0</v>
      </c>
      <c r="K369" s="338">
        <v>0</v>
      </c>
      <c r="L369" s="338">
        <v>0</v>
      </c>
      <c r="M369" s="338">
        <v>0</v>
      </c>
      <c r="N369" s="1647"/>
      <c r="O369" s="1607"/>
      <c r="P369" s="1681"/>
      <c r="R369" s="414" t="s">
        <v>1234</v>
      </c>
    </row>
    <row r="370" spans="1:24" s="1" customFormat="1" ht="14.4" x14ac:dyDescent="0.3">
      <c r="A370" s="1641" t="s">
        <v>1235</v>
      </c>
      <c r="B370" s="1723" t="s">
        <v>1236</v>
      </c>
      <c r="C370" s="1726">
        <v>2018</v>
      </c>
      <c r="D370" s="1601"/>
      <c r="E370" s="1603">
        <f t="shared" ref="E370" si="147">H370</f>
        <v>111049.16</v>
      </c>
      <c r="F370" s="409">
        <f>F371+F372</f>
        <v>0</v>
      </c>
      <c r="G370" s="332" t="s">
        <v>12</v>
      </c>
      <c r="H370" s="338">
        <f>H371+H372</f>
        <v>111049.16</v>
      </c>
      <c r="I370" s="1293">
        <f>I371/0.651</f>
        <v>111049.16</v>
      </c>
      <c r="J370" s="338">
        <f>J371+J372</f>
        <v>0</v>
      </c>
      <c r="K370" s="338">
        <f t="shared" ref="K370:M370" si="148">K371/0.651</f>
        <v>0</v>
      </c>
      <c r="L370" s="338">
        <f t="shared" si="148"/>
        <v>0</v>
      </c>
      <c r="M370" s="338">
        <f t="shared" si="148"/>
        <v>0</v>
      </c>
      <c r="N370" s="1613"/>
      <c r="O370" s="1605" t="s">
        <v>16</v>
      </c>
      <c r="P370" s="1681"/>
    </row>
    <row r="371" spans="1:24" s="1" customFormat="1" ht="29.25" customHeight="1" x14ac:dyDescent="0.3">
      <c r="A371" s="1641"/>
      <c r="B371" s="1724"/>
      <c r="C371" s="1726"/>
      <c r="D371" s="1601"/>
      <c r="E371" s="1603"/>
      <c r="F371" s="409">
        <v>0</v>
      </c>
      <c r="G371" s="332" t="s">
        <v>13</v>
      </c>
      <c r="H371" s="338">
        <f>I371+J371+K371+L371+M371</f>
        <v>72293</v>
      </c>
      <c r="I371" s="1293">
        <f>62092+10200+1</f>
        <v>72293</v>
      </c>
      <c r="J371" s="338">
        <v>0</v>
      </c>
      <c r="K371" s="338">
        <v>0</v>
      </c>
      <c r="L371" s="338">
        <v>0</v>
      </c>
      <c r="M371" s="338">
        <v>0</v>
      </c>
      <c r="N371" s="1613"/>
      <c r="O371" s="1606"/>
      <c r="P371" s="1681"/>
      <c r="R371" s="414" t="s">
        <v>1237</v>
      </c>
      <c r="S371" s="47"/>
      <c r="T371" s="309"/>
      <c r="W371" s="1">
        <v>1</v>
      </c>
    </row>
    <row r="372" spans="1:24" s="1" customFormat="1" ht="60" x14ac:dyDescent="0.3">
      <c r="A372" s="1641"/>
      <c r="B372" s="1725"/>
      <c r="C372" s="1726"/>
      <c r="D372" s="1601"/>
      <c r="E372" s="1603"/>
      <c r="F372" s="409">
        <v>0</v>
      </c>
      <c r="G372" s="332" t="s">
        <v>3</v>
      </c>
      <c r="H372" s="338">
        <f>I372+J372+K372+L372+M372</f>
        <v>38756.160000000003</v>
      </c>
      <c r="I372" s="338">
        <f>I370*0.349</f>
        <v>38756.160000000003</v>
      </c>
      <c r="J372" s="338">
        <v>0</v>
      </c>
      <c r="K372" s="338">
        <v>0</v>
      </c>
      <c r="L372" s="338">
        <v>0</v>
      </c>
      <c r="M372" s="338">
        <v>0</v>
      </c>
      <c r="N372" s="1613"/>
      <c r="O372" s="1607"/>
      <c r="P372" s="1681"/>
      <c r="R372" s="416"/>
      <c r="S372" s="47"/>
      <c r="T372" s="309"/>
    </row>
    <row r="373" spans="1:24" s="1" customFormat="1" ht="14.4" x14ac:dyDescent="0.3">
      <c r="A373" s="1625" t="s">
        <v>1238</v>
      </c>
      <c r="B373" s="1628" t="s">
        <v>1239</v>
      </c>
      <c r="C373" s="1629"/>
      <c r="D373" s="1629"/>
      <c r="E373" s="1629"/>
      <c r="F373" s="1630"/>
      <c r="G373" s="332" t="s">
        <v>12</v>
      </c>
      <c r="H373" s="338">
        <f>H374+H375</f>
        <v>221289.79</v>
      </c>
      <c r="I373" s="338">
        <f>I374+I375</f>
        <v>164446.5</v>
      </c>
      <c r="J373" s="338">
        <f>J374+J375</f>
        <v>56843.29</v>
      </c>
      <c r="K373" s="338">
        <f t="shared" ref="K373:M373" si="149">K374/0.796</f>
        <v>0</v>
      </c>
      <c r="L373" s="338">
        <f t="shared" si="149"/>
        <v>0</v>
      </c>
      <c r="M373" s="338">
        <f t="shared" si="149"/>
        <v>0</v>
      </c>
      <c r="N373" s="1645"/>
      <c r="O373" s="1605"/>
      <c r="P373" s="1681">
        <v>2</v>
      </c>
      <c r="S373" s="47">
        <v>0.8</v>
      </c>
      <c r="T373" s="309">
        <f>I377/$S373</f>
        <v>85207.5</v>
      </c>
      <c r="U373" s="309">
        <f>J377/$S373</f>
        <v>56843.29</v>
      </c>
    </row>
    <row r="374" spans="1:24" s="1" customFormat="1" ht="28.8" x14ac:dyDescent="0.3">
      <c r="A374" s="1626"/>
      <c r="B374" s="1631"/>
      <c r="C374" s="1598"/>
      <c r="D374" s="1598"/>
      <c r="E374" s="1598"/>
      <c r="F374" s="1632"/>
      <c r="G374" s="332" t="s">
        <v>13</v>
      </c>
      <c r="H374" s="338">
        <f>I374+J374+K374+L374+M374</f>
        <v>177031.85</v>
      </c>
      <c r="I374" s="338">
        <f>I377+I380</f>
        <v>131557.22</v>
      </c>
      <c r="J374" s="338">
        <f>J377+J380</f>
        <v>45474.63</v>
      </c>
      <c r="K374" s="338">
        <v>0</v>
      </c>
      <c r="L374" s="338">
        <v>0</v>
      </c>
      <c r="M374" s="338">
        <v>0</v>
      </c>
      <c r="N374" s="1646"/>
      <c r="O374" s="1606"/>
      <c r="P374" s="1681"/>
      <c r="R374" s="414" t="s">
        <v>1240</v>
      </c>
      <c r="S374" s="47">
        <f>1-S373</f>
        <v>0.2</v>
      </c>
      <c r="T374" s="309">
        <f>T373*$S374</f>
        <v>17041.5</v>
      </c>
      <c r="U374" s="309">
        <f>U373*$S374</f>
        <v>11368.66</v>
      </c>
    </row>
    <row r="375" spans="1:24" s="1" customFormat="1" ht="51" customHeight="1" x14ac:dyDescent="0.3">
      <c r="A375" s="1627"/>
      <c r="B375" s="1633"/>
      <c r="C375" s="1634"/>
      <c r="D375" s="1634"/>
      <c r="E375" s="1634"/>
      <c r="F375" s="1635"/>
      <c r="G375" s="332" t="s">
        <v>3</v>
      </c>
      <c r="H375" s="338">
        <f>I375+J375+K375+L375+M375</f>
        <v>44257.94</v>
      </c>
      <c r="I375" s="338">
        <f>I378+I381</f>
        <v>32889.279999999999</v>
      </c>
      <c r="J375" s="338">
        <f>J378+J381</f>
        <v>11368.66</v>
      </c>
      <c r="K375" s="338">
        <v>0</v>
      </c>
      <c r="L375" s="338">
        <v>0</v>
      </c>
      <c r="M375" s="338">
        <v>0</v>
      </c>
      <c r="N375" s="1647"/>
      <c r="O375" s="1607"/>
      <c r="P375" s="1681"/>
    </row>
    <row r="376" spans="1:24" s="1" customFormat="1" ht="14.4" x14ac:dyDescent="0.3">
      <c r="A376" s="1641" t="s">
        <v>1241</v>
      </c>
      <c r="B376" s="1570" t="s">
        <v>1242</v>
      </c>
      <c r="C376" s="1601" t="s">
        <v>208</v>
      </c>
      <c r="D376" s="1601"/>
      <c r="E376" s="1603">
        <f>H376</f>
        <v>142050.79</v>
      </c>
      <c r="F376" s="409">
        <f>F377+F378</f>
        <v>0</v>
      </c>
      <c r="G376" s="332" t="s">
        <v>12</v>
      </c>
      <c r="H376" s="338">
        <f>H377+H378</f>
        <v>142050.79</v>
      </c>
      <c r="I376" s="338">
        <f>I377/0.8</f>
        <v>85207.5</v>
      </c>
      <c r="J376" s="338">
        <f t="shared" ref="J376:M376" si="150">J377/0.8</f>
        <v>56843.29</v>
      </c>
      <c r="K376" s="338">
        <f t="shared" si="150"/>
        <v>0</v>
      </c>
      <c r="L376" s="338">
        <f t="shared" si="150"/>
        <v>0</v>
      </c>
      <c r="M376" s="338">
        <f t="shared" si="150"/>
        <v>0</v>
      </c>
      <c r="N376" s="1613"/>
      <c r="O376" s="1605" t="s">
        <v>16</v>
      </c>
      <c r="P376" s="1681"/>
      <c r="S376" s="47">
        <v>0.8</v>
      </c>
      <c r="T376" s="309">
        <f>I380/$S376</f>
        <v>79239.03</v>
      </c>
    </row>
    <row r="377" spans="1:24" s="1" customFormat="1" ht="24" x14ac:dyDescent="0.3">
      <c r="A377" s="1641"/>
      <c r="B377" s="1571"/>
      <c r="C377" s="1601"/>
      <c r="D377" s="1601"/>
      <c r="E377" s="1603"/>
      <c r="F377" s="409">
        <v>0</v>
      </c>
      <c r="G377" s="332" t="s">
        <v>13</v>
      </c>
      <c r="H377" s="338">
        <f>I377+J377+K377+L377+M377</f>
        <v>113640.63</v>
      </c>
      <c r="I377" s="338">
        <v>68166</v>
      </c>
      <c r="J377" s="338">
        <v>45474.63</v>
      </c>
      <c r="K377" s="338">
        <v>0</v>
      </c>
      <c r="L377" s="338">
        <v>0</v>
      </c>
      <c r="M377" s="338">
        <v>0</v>
      </c>
      <c r="N377" s="1613"/>
      <c r="O377" s="1606"/>
      <c r="P377" s="1681"/>
      <c r="S377" s="47">
        <f>1-S376</f>
        <v>0.2</v>
      </c>
      <c r="T377" s="309">
        <f>T376*$S377</f>
        <v>15847.81</v>
      </c>
      <c r="X377" s="1">
        <v>1</v>
      </c>
    </row>
    <row r="378" spans="1:24" s="1" customFormat="1" ht="51" customHeight="1" x14ac:dyDescent="0.3">
      <c r="A378" s="1641"/>
      <c r="B378" s="1572"/>
      <c r="C378" s="1601"/>
      <c r="D378" s="1601"/>
      <c r="E378" s="1603"/>
      <c r="F378" s="409">
        <v>0</v>
      </c>
      <c r="G378" s="332" t="s">
        <v>3</v>
      </c>
      <c r="H378" s="338">
        <f>I378+J378+K378+L378+M378</f>
        <v>28410.16</v>
      </c>
      <c r="I378" s="338">
        <f>I376*0.2</f>
        <v>17041.5</v>
      </c>
      <c r="J378" s="338">
        <f>J376*0.2</f>
        <v>11368.66</v>
      </c>
      <c r="K378" s="338">
        <v>0</v>
      </c>
      <c r="L378" s="338">
        <v>0</v>
      </c>
      <c r="M378" s="338">
        <v>0</v>
      </c>
      <c r="N378" s="1613"/>
      <c r="O378" s="1607"/>
      <c r="P378" s="1681"/>
    </row>
    <row r="379" spans="1:24" s="1" customFormat="1" ht="14.4" x14ac:dyDescent="0.3">
      <c r="A379" s="1641" t="s">
        <v>1243</v>
      </c>
      <c r="B379" s="1570" t="s">
        <v>1244</v>
      </c>
      <c r="C379" s="1601">
        <v>2018</v>
      </c>
      <c r="D379" s="1601"/>
      <c r="E379" s="1603">
        <v>79239</v>
      </c>
      <c r="F379" s="409">
        <f>F380+F381</f>
        <v>0</v>
      </c>
      <c r="G379" s="332" t="s">
        <v>12</v>
      </c>
      <c r="H379" s="338">
        <f>H380+H381</f>
        <v>79239</v>
      </c>
      <c r="I379" s="338">
        <v>79239</v>
      </c>
      <c r="J379" s="338">
        <f t="shared" ref="J379:M379" si="151">J380/0.8</f>
        <v>0</v>
      </c>
      <c r="K379" s="338">
        <f t="shared" si="151"/>
        <v>0</v>
      </c>
      <c r="L379" s="338">
        <f t="shared" si="151"/>
        <v>0</v>
      </c>
      <c r="M379" s="338">
        <f t="shared" si="151"/>
        <v>0</v>
      </c>
      <c r="N379" s="1613"/>
      <c r="O379" s="1605" t="s">
        <v>16</v>
      </c>
      <c r="P379" s="1727"/>
    </row>
    <row r="380" spans="1:24" s="1" customFormat="1" ht="24" x14ac:dyDescent="0.3">
      <c r="A380" s="1641"/>
      <c r="B380" s="1571"/>
      <c r="C380" s="1601"/>
      <c r="D380" s="1601"/>
      <c r="E380" s="1603"/>
      <c r="F380" s="409">
        <v>0</v>
      </c>
      <c r="G380" s="332" t="s">
        <v>13</v>
      </c>
      <c r="H380" s="338">
        <f>I380+J380+K380+L380+M380</f>
        <v>63391.22</v>
      </c>
      <c r="I380" s="960">
        <f>63391.25-0.03</f>
        <v>63391.22</v>
      </c>
      <c r="J380" s="338">
        <v>0</v>
      </c>
      <c r="K380" s="338">
        <v>0</v>
      </c>
      <c r="L380" s="338">
        <v>0</v>
      </c>
      <c r="M380" s="338">
        <v>0</v>
      </c>
      <c r="N380" s="1613"/>
      <c r="O380" s="1606"/>
      <c r="P380" s="1727"/>
      <c r="R380" s="1" t="s">
        <v>1162</v>
      </c>
      <c r="W380" s="1">
        <v>1</v>
      </c>
    </row>
    <row r="381" spans="1:24" s="1" customFormat="1" ht="51.75" customHeight="1" x14ac:dyDescent="0.3">
      <c r="A381" s="1641"/>
      <c r="B381" s="1572"/>
      <c r="C381" s="1601"/>
      <c r="D381" s="1601"/>
      <c r="E381" s="1603"/>
      <c r="F381" s="409">
        <v>0</v>
      </c>
      <c r="G381" s="332" t="s">
        <v>3</v>
      </c>
      <c r="H381" s="338">
        <f>I381+J381+K381+L381+M381</f>
        <v>15847.78</v>
      </c>
      <c r="I381" s="960">
        <f>(I379*0.2)-0.02</f>
        <v>15847.78</v>
      </c>
      <c r="J381" s="338">
        <v>0</v>
      </c>
      <c r="K381" s="338">
        <v>0</v>
      </c>
      <c r="L381" s="338">
        <v>0</v>
      </c>
      <c r="M381" s="338">
        <v>0</v>
      </c>
      <c r="N381" s="1613"/>
      <c r="O381" s="1607"/>
      <c r="P381" s="1727"/>
    </row>
    <row r="382" spans="1:24" s="1" customFormat="1" ht="51.75" customHeight="1" x14ac:dyDescent="0.3">
      <c r="A382" s="1041" t="s">
        <v>1477</v>
      </c>
      <c r="B382" s="1450" t="s">
        <v>1475</v>
      </c>
      <c r="C382" s="1045"/>
      <c r="D382" s="1083"/>
      <c r="E382" s="1043"/>
      <c r="F382" s="1084"/>
      <c r="G382" s="1037" t="s">
        <v>12</v>
      </c>
      <c r="H382" s="1088">
        <f t="shared" ref="H382:M382" si="152">H383+H384</f>
        <v>10106.92</v>
      </c>
      <c r="I382" s="1088">
        <f>I383+I384</f>
        <v>10106.92</v>
      </c>
      <c r="J382" s="1042">
        <f t="shared" si="152"/>
        <v>0</v>
      </c>
      <c r="K382" s="1042">
        <f t="shared" si="152"/>
        <v>0</v>
      </c>
      <c r="L382" s="1042">
        <f t="shared" si="152"/>
        <v>0</v>
      </c>
      <c r="M382" s="1042">
        <f t="shared" si="152"/>
        <v>0</v>
      </c>
      <c r="N382" s="1048"/>
      <c r="O382" s="1039"/>
      <c r="P382" s="1047">
        <v>3</v>
      </c>
      <c r="R382" s="1" t="s">
        <v>1166</v>
      </c>
    </row>
    <row r="383" spans="1:24" s="1" customFormat="1" ht="51.75" customHeight="1" x14ac:dyDescent="0.3">
      <c r="A383" s="1085"/>
      <c r="B383" s="1451"/>
      <c r="C383" s="1045"/>
      <c r="D383" s="1083"/>
      <c r="E383" s="1043"/>
      <c r="F383" s="1084"/>
      <c r="G383" s="1037" t="s">
        <v>13</v>
      </c>
      <c r="H383" s="1088">
        <f>H386</f>
        <v>7469.01</v>
      </c>
      <c r="I383" s="1088">
        <f>I386</f>
        <v>7469.01</v>
      </c>
      <c r="J383" s="1042">
        <v>0</v>
      </c>
      <c r="K383" s="1042">
        <f t="shared" ref="K383:M384" si="153">K386+K389+K392</f>
        <v>0</v>
      </c>
      <c r="L383" s="1042">
        <f t="shared" si="153"/>
        <v>0</v>
      </c>
      <c r="M383" s="1042">
        <f t="shared" si="153"/>
        <v>0</v>
      </c>
      <c r="N383" s="1086"/>
      <c r="O383" s="1046"/>
      <c r="P383" s="1087"/>
      <c r="W383" s="1">
        <v>1</v>
      </c>
    </row>
    <row r="384" spans="1:24" s="1" customFormat="1" ht="51.75" customHeight="1" x14ac:dyDescent="0.3">
      <c r="A384" s="1085"/>
      <c r="B384" s="1092"/>
      <c r="C384" s="1045"/>
      <c r="D384" s="1083"/>
      <c r="E384" s="1043"/>
      <c r="F384" s="1084"/>
      <c r="G384" s="1037" t="s">
        <v>3</v>
      </c>
      <c r="H384" s="1088">
        <f>H387</f>
        <v>2637.91</v>
      </c>
      <c r="I384" s="1088">
        <f>I387</f>
        <v>2637.91</v>
      </c>
      <c r="J384" s="1042">
        <v>0</v>
      </c>
      <c r="K384" s="1042">
        <f t="shared" si="153"/>
        <v>0</v>
      </c>
      <c r="L384" s="1042">
        <f t="shared" si="153"/>
        <v>0</v>
      </c>
      <c r="M384" s="1042">
        <f t="shared" si="153"/>
        <v>0</v>
      </c>
      <c r="N384" s="1086"/>
      <c r="O384" s="1046"/>
      <c r="P384" s="1087"/>
    </row>
    <row r="385" spans="1:25" s="1" customFormat="1" ht="51.75" customHeight="1" x14ac:dyDescent="0.3">
      <c r="A385" s="1085" t="s">
        <v>1478</v>
      </c>
      <c r="B385" s="1038" t="s">
        <v>680</v>
      </c>
      <c r="C385" s="1045">
        <v>2018</v>
      </c>
      <c r="D385" s="1083"/>
      <c r="E385" s="1043">
        <v>10106.92</v>
      </c>
      <c r="F385" s="1084"/>
      <c r="G385" s="1037" t="s">
        <v>12</v>
      </c>
      <c r="H385" s="1088">
        <f t="shared" ref="H385:M385" si="154">H386+H387</f>
        <v>10106.92</v>
      </c>
      <c r="I385" s="1088">
        <f t="shared" si="154"/>
        <v>10106.92</v>
      </c>
      <c r="J385" s="1042">
        <f t="shared" si="154"/>
        <v>0</v>
      </c>
      <c r="K385" s="1042">
        <f t="shared" si="154"/>
        <v>0</v>
      </c>
      <c r="L385" s="1042">
        <f t="shared" si="154"/>
        <v>0</v>
      </c>
      <c r="M385" s="1042">
        <f t="shared" si="154"/>
        <v>0</v>
      </c>
      <c r="N385" s="1086"/>
      <c r="O385" s="1039" t="s">
        <v>16</v>
      </c>
      <c r="P385" s="1087"/>
    </row>
    <row r="386" spans="1:25" s="1" customFormat="1" ht="51.75" customHeight="1" x14ac:dyDescent="0.3">
      <c r="A386" s="1041"/>
      <c r="B386" s="1093"/>
      <c r="C386" s="1045"/>
      <c r="D386" s="1045"/>
      <c r="E386" s="1043"/>
      <c r="F386" s="1084"/>
      <c r="G386" s="1037" t="s">
        <v>13</v>
      </c>
      <c r="H386" s="1088">
        <f>I386+J386+K386+L386+M386</f>
        <v>7469.01</v>
      </c>
      <c r="I386" s="1088">
        <v>7469.01</v>
      </c>
      <c r="J386" s="1042">
        <v>0</v>
      </c>
      <c r="K386" s="1042">
        <f t="shared" ref="K386:M387" si="155">K387+K388</f>
        <v>0</v>
      </c>
      <c r="L386" s="1042">
        <f t="shared" si="155"/>
        <v>0</v>
      </c>
      <c r="M386" s="1042">
        <f t="shared" si="155"/>
        <v>0</v>
      </c>
      <c r="N386" s="1044"/>
      <c r="O386" s="1040"/>
      <c r="P386" s="1087"/>
      <c r="W386" s="1">
        <v>1</v>
      </c>
    </row>
    <row r="387" spans="1:25" s="1" customFormat="1" ht="51.75" customHeight="1" x14ac:dyDescent="0.3">
      <c r="A387" s="1041"/>
      <c r="B387" s="1093"/>
      <c r="C387" s="1045"/>
      <c r="D387" s="1045"/>
      <c r="E387" s="1043"/>
      <c r="F387" s="1084"/>
      <c r="G387" s="1037" t="s">
        <v>3</v>
      </c>
      <c r="H387" s="1088">
        <f>I387+J387+K387+L387+M387</f>
        <v>2637.91</v>
      </c>
      <c r="I387" s="1088">
        <v>2637.91</v>
      </c>
      <c r="J387" s="1042">
        <v>0</v>
      </c>
      <c r="K387" s="1042">
        <f t="shared" si="155"/>
        <v>0</v>
      </c>
      <c r="L387" s="1042">
        <f t="shared" si="155"/>
        <v>0</v>
      </c>
      <c r="M387" s="1042">
        <f t="shared" si="155"/>
        <v>0</v>
      </c>
      <c r="N387" s="1044"/>
      <c r="O387" s="1040"/>
      <c r="P387" s="1087"/>
    </row>
    <row r="388" spans="1:25" s="1" customFormat="1" ht="51.75" customHeight="1" x14ac:dyDescent="0.3">
      <c r="A388" s="1041"/>
      <c r="B388" s="1093"/>
      <c r="C388" s="1045"/>
      <c r="D388" s="1045"/>
      <c r="E388" s="1043"/>
      <c r="F388" s="409"/>
      <c r="G388" s="1037"/>
      <c r="H388" s="1042"/>
      <c r="I388" s="1042"/>
      <c r="J388" s="1042"/>
      <c r="K388" s="1042"/>
      <c r="L388" s="1042"/>
      <c r="M388" s="1042"/>
      <c r="N388" s="1044"/>
      <c r="O388" s="1040"/>
      <c r="P388" s="962"/>
    </row>
    <row r="389" spans="1:25" s="1" customFormat="1" ht="24" x14ac:dyDescent="0.3">
      <c r="A389" s="832" t="s">
        <v>1023</v>
      </c>
      <c r="B389" s="1541" t="s">
        <v>739</v>
      </c>
      <c r="C389" s="1541"/>
      <c r="D389" s="1541"/>
      <c r="E389" s="1541"/>
      <c r="F389" s="1541"/>
      <c r="G389" s="831" t="s">
        <v>13</v>
      </c>
      <c r="H389" s="833">
        <f>I389+J389+K389+L389+M389</f>
        <v>5.18</v>
      </c>
      <c r="I389" s="960">
        <v>4.3099999999999996</v>
      </c>
      <c r="J389" s="833">
        <v>0.87</v>
      </c>
      <c r="K389" s="833"/>
      <c r="L389" s="833"/>
      <c r="M389" s="833"/>
      <c r="N389" s="838"/>
      <c r="O389" s="835"/>
      <c r="P389" s="962"/>
      <c r="R389" s="276">
        <v>2019</v>
      </c>
      <c r="S389" s="276">
        <f>4+1+1</f>
        <v>6</v>
      </c>
    </row>
    <row r="390" spans="1:25" s="1" customFormat="1" ht="18.75" customHeight="1" x14ac:dyDescent="0.3">
      <c r="A390" s="1728" t="s">
        <v>1353</v>
      </c>
      <c r="B390" s="1728"/>
      <c r="C390" s="1728"/>
      <c r="D390" s="1728"/>
      <c r="E390" s="1728"/>
      <c r="F390" s="833">
        <f>F391+F392+F393</f>
        <v>827.84</v>
      </c>
      <c r="G390" s="831" t="s">
        <v>42</v>
      </c>
      <c r="H390" s="833">
        <f>H391+H392+H393</f>
        <v>1638866.2</v>
      </c>
      <c r="I390" s="833">
        <f>I391+I392+I393</f>
        <v>1557232.04</v>
      </c>
      <c r="J390" s="833">
        <f t="shared" ref="J390:M390" si="156">J391+J392+J393</f>
        <v>81634.16</v>
      </c>
      <c r="K390" s="833">
        <f t="shared" si="156"/>
        <v>0</v>
      </c>
      <c r="L390" s="833">
        <f t="shared" si="156"/>
        <v>0</v>
      </c>
      <c r="M390" s="833">
        <f t="shared" si="156"/>
        <v>0</v>
      </c>
      <c r="N390" s="1614"/>
      <c r="O390" s="1605"/>
      <c r="P390" s="1729" t="s">
        <v>1245</v>
      </c>
      <c r="R390" s="276">
        <v>2020</v>
      </c>
      <c r="S390" s="276">
        <v>0</v>
      </c>
    </row>
    <row r="391" spans="1:25" s="1" customFormat="1" ht="33.75" customHeight="1" x14ac:dyDescent="0.3">
      <c r="A391" s="1728"/>
      <c r="B391" s="1728"/>
      <c r="C391" s="1728"/>
      <c r="D391" s="1728"/>
      <c r="E391" s="1728"/>
      <c r="F391" s="833">
        <v>0</v>
      </c>
      <c r="G391" s="831" t="s">
        <v>13</v>
      </c>
      <c r="H391" s="833">
        <f>I391+J391+K391+L391+M391</f>
        <v>1287014</v>
      </c>
      <c r="I391" s="960">
        <f>I82+I97+I115+I121+I127+I139+I151+I166+I186+I194+I209+I215+I221+I236+I257+I269+I290+I305+I326+I389+I332+I347+I362+I368+I374+I383</f>
        <v>1222946</v>
      </c>
      <c r="J391" s="1210">
        <f>J82+J97+J115+J121+J127+J139+J151+J166+J186+J194+J209+J215+J221+J236+J257+J269+J290+J305+J326+J389+J332+J347+J362+J368+J374+J383</f>
        <v>64068</v>
      </c>
      <c r="K391" s="833">
        <f>K82+K97+K115+K121+K127+K139+K151+K166+K186+K194+K209+K215+K221+K236+K257+K269+K290+K305+K326+K389+K332+K347+K362+K368+K374</f>
        <v>0</v>
      </c>
      <c r="L391" s="833">
        <f>L82+L97+L115+L121+L127+L139+L151+L166+L186+L194+L209+L215+L221+L236+L257+L269+L290+L305+L326+L389+L332+L347+L362+L368+L374</f>
        <v>0</v>
      </c>
      <c r="M391" s="833">
        <f>M82+M97+M115+M121+M127+M139+M151+M166+M186+M194+M209+M215+M221+M236+M257+M269+M290+M305+M326+M389+M332+M347+M362+M368+M374</f>
        <v>0</v>
      </c>
      <c r="N391" s="1614"/>
      <c r="O391" s="1606"/>
      <c r="P391" s="1729"/>
      <c r="W391" s="1">
        <f>SUM(W79:W390)</f>
        <v>71</v>
      </c>
      <c r="X391" s="1">
        <f t="shared" ref="X391:Y391" si="157">SUM(X79:X390)</f>
        <v>5</v>
      </c>
      <c r="Y391" s="1">
        <f t="shared" si="157"/>
        <v>0</v>
      </c>
    </row>
    <row r="392" spans="1:25" s="1" customFormat="1" ht="34.5" customHeight="1" x14ac:dyDescent="0.3">
      <c r="A392" s="1728"/>
      <c r="B392" s="1728"/>
      <c r="C392" s="1728"/>
      <c r="D392" s="1728"/>
      <c r="E392" s="1728"/>
      <c r="F392" s="833">
        <f>F360+F357+F354+F351</f>
        <v>827.84</v>
      </c>
      <c r="G392" s="839" t="s">
        <v>34</v>
      </c>
      <c r="H392" s="833">
        <f t="shared" ref="H392:H393" si="158">I392+J392+K392+L392+M392</f>
        <v>316166.76</v>
      </c>
      <c r="I392" s="833">
        <f>I83+I98+I116+I122+I128+I140+I152+I167+I187+I195+I210+I216+I222+I237+I258+I270+I291+I306+I327+I333+I348+I363+I369+I375+I384</f>
        <v>298600.59999999998</v>
      </c>
      <c r="J392" s="833">
        <f>J83+J98+J116+J122+J128+J140+J152+J167+J187+J195+J210+J216+J222+J237+J258+J270+J291+J306+J327+J333+J348+J363+J369+J375</f>
        <v>17566.16</v>
      </c>
      <c r="K392" s="833">
        <f>K83+K98+K116+K122+K128+K140+K152+K167+K187+K195+K210+K216+K222+K237+K258+K270+K291+K306+K327+K333+K348+K363+K369+K375</f>
        <v>0</v>
      </c>
      <c r="L392" s="833">
        <f>L83+L98+L116+L122+L128+L140+L152+L167+L187+L195+L210+L216+L222+L237+L258+L270+L291+L306+L327+L333+L348+L363+L369+L375</f>
        <v>0</v>
      </c>
      <c r="M392" s="833">
        <f>M83+M98+M116+M122+M128+M140+M152+M167+M187+M195+M210+M216+M222+M237+M258+M270+M291+M306+M327+M333+M348+M363+M369+M375</f>
        <v>0</v>
      </c>
      <c r="N392" s="1614"/>
      <c r="O392" s="1606"/>
      <c r="P392" s="1729"/>
    </row>
    <row r="393" spans="1:25" s="1" customFormat="1" ht="24" x14ac:dyDescent="0.3">
      <c r="A393" s="1728"/>
      <c r="B393" s="1728"/>
      <c r="C393" s="1728"/>
      <c r="D393" s="1728"/>
      <c r="E393" s="1728"/>
      <c r="F393" s="833">
        <v>0</v>
      </c>
      <c r="G393" s="839" t="s">
        <v>15</v>
      </c>
      <c r="H393" s="833">
        <f t="shared" si="158"/>
        <v>35685.440000000002</v>
      </c>
      <c r="I393" s="833">
        <f>I168+I188</f>
        <v>35685.440000000002</v>
      </c>
      <c r="J393" s="833">
        <f>J168+J188</f>
        <v>0</v>
      </c>
      <c r="K393" s="833">
        <f>K168+K188</f>
        <v>0</v>
      </c>
      <c r="L393" s="833">
        <f>L168+L188</f>
        <v>0</v>
      </c>
      <c r="M393" s="833">
        <f>M168+M188</f>
        <v>0</v>
      </c>
      <c r="N393" s="1614"/>
      <c r="O393" s="1607"/>
      <c r="P393" s="1729"/>
    </row>
    <row r="394" spans="1:25" ht="32.25" customHeight="1" x14ac:dyDescent="0.3">
      <c r="A394" s="1731" t="s">
        <v>169</v>
      </c>
      <c r="B394" s="1731"/>
      <c r="C394" s="1731"/>
      <c r="D394" s="1731"/>
      <c r="E394" s="1731"/>
      <c r="F394" s="1731"/>
      <c r="G394" s="1731"/>
      <c r="H394" s="1731"/>
      <c r="I394" s="1731"/>
      <c r="J394" s="1731"/>
      <c r="K394" s="1731"/>
      <c r="L394" s="1731"/>
      <c r="M394" s="1731"/>
      <c r="N394" s="1731"/>
      <c r="O394" s="1732"/>
      <c r="P394" s="1736" t="s">
        <v>1352</v>
      </c>
      <c r="Q394" s="1737"/>
    </row>
    <row r="395" spans="1:25" s="1" customFormat="1" ht="13.5" customHeight="1" x14ac:dyDescent="0.3">
      <c r="A395" s="420"/>
      <c r="B395" s="420"/>
      <c r="C395" s="420"/>
      <c r="D395" s="420"/>
      <c r="E395" s="420"/>
      <c r="F395" s="420"/>
      <c r="G395" s="420"/>
      <c r="H395" s="420"/>
      <c r="I395" s="420"/>
      <c r="J395" s="420"/>
      <c r="K395" s="420"/>
      <c r="L395" s="420"/>
      <c r="M395" s="420"/>
      <c r="N395" s="420"/>
      <c r="O395" s="421"/>
      <c r="P395" s="422"/>
    </row>
    <row r="396" spans="1:25" s="102" customFormat="1" ht="56.25" customHeight="1" x14ac:dyDescent="0.3">
      <c r="A396" s="1636" t="s">
        <v>1438</v>
      </c>
      <c r="B396" s="1636"/>
      <c r="C396" s="1636"/>
      <c r="D396" s="1636"/>
      <c r="E396" s="1636"/>
      <c r="F396" s="1636"/>
      <c r="G396" s="1636"/>
      <c r="H396" s="1636"/>
      <c r="I396" s="1636"/>
      <c r="J396" s="1636"/>
      <c r="K396" s="1636"/>
      <c r="L396" s="1636"/>
      <c r="M396" s="1636"/>
      <c r="N396" s="1636"/>
      <c r="O396" s="1637"/>
      <c r="P396" s="931"/>
      <c r="Q396" s="311"/>
    </row>
    <row r="397" spans="1:25" ht="14.4" x14ac:dyDescent="0.3">
      <c r="A397" s="1625" t="s">
        <v>46</v>
      </c>
      <c r="B397" s="1666" t="s">
        <v>822</v>
      </c>
      <c r="C397" s="1666" t="s">
        <v>823</v>
      </c>
      <c r="D397" s="1666" t="s">
        <v>854</v>
      </c>
      <c r="E397" s="1666" t="s">
        <v>52</v>
      </c>
      <c r="F397" s="1666" t="s">
        <v>545</v>
      </c>
      <c r="G397" s="1541" t="s">
        <v>59</v>
      </c>
      <c r="H397" s="1603" t="s">
        <v>106</v>
      </c>
      <c r="I397" s="1603"/>
      <c r="J397" s="1603"/>
      <c r="K397" s="1603"/>
      <c r="L397" s="1603"/>
      <c r="M397" s="1603"/>
      <c r="N397" s="1613" t="s">
        <v>50</v>
      </c>
      <c r="O397" s="1664" t="s">
        <v>820</v>
      </c>
      <c r="P397" s="79"/>
      <c r="Q397" s="1"/>
    </row>
    <row r="398" spans="1:25" ht="60.75" customHeight="1" x14ac:dyDescent="0.3">
      <c r="A398" s="1627"/>
      <c r="B398" s="1667"/>
      <c r="C398" s="1667"/>
      <c r="D398" s="1667"/>
      <c r="E398" s="1667"/>
      <c r="F398" s="1667"/>
      <c r="G398" s="1541"/>
      <c r="H398" s="289" t="s">
        <v>33</v>
      </c>
      <c r="I398" s="289" t="s">
        <v>4</v>
      </c>
      <c r="J398" s="289" t="s">
        <v>91</v>
      </c>
      <c r="K398" s="289" t="s">
        <v>90</v>
      </c>
      <c r="L398" s="289" t="s">
        <v>89</v>
      </c>
      <c r="M398" s="289" t="s">
        <v>221</v>
      </c>
      <c r="N398" s="1613"/>
      <c r="O398" s="1665"/>
      <c r="P398" s="79"/>
      <c r="Q398" s="1"/>
    </row>
    <row r="399" spans="1:25" ht="14.4" x14ac:dyDescent="0.3">
      <c r="A399" s="90">
        <v>1</v>
      </c>
      <c r="B399" s="154">
        <v>2</v>
      </c>
      <c r="C399" s="154">
        <v>3</v>
      </c>
      <c r="D399" s="154">
        <v>4</v>
      </c>
      <c r="E399" s="154">
        <v>5</v>
      </c>
      <c r="F399" s="154">
        <v>6</v>
      </c>
      <c r="G399" s="410">
        <v>7</v>
      </c>
      <c r="H399" s="154">
        <v>8</v>
      </c>
      <c r="I399" s="154">
        <v>9</v>
      </c>
      <c r="J399" s="154">
        <v>10</v>
      </c>
      <c r="K399" s="154">
        <v>11</v>
      </c>
      <c r="L399" s="154">
        <v>12</v>
      </c>
      <c r="M399" s="154">
        <v>13</v>
      </c>
      <c r="N399" s="155">
        <v>14</v>
      </c>
      <c r="O399" s="155">
        <v>15</v>
      </c>
      <c r="P399" s="79"/>
    </row>
    <row r="400" spans="1:25" ht="14.4" x14ac:dyDescent="0.3">
      <c r="A400" s="1641" t="s">
        <v>551</v>
      </c>
      <c r="B400" s="1700" t="s">
        <v>553</v>
      </c>
      <c r="C400" s="1601">
        <v>2018</v>
      </c>
      <c r="D400" s="1602"/>
      <c r="E400" s="1603"/>
      <c r="F400" s="290"/>
      <c r="G400" s="332" t="s">
        <v>12</v>
      </c>
      <c r="H400" s="294">
        <f>H401</f>
        <v>289058.73</v>
      </c>
      <c r="I400" s="294">
        <f t="shared" ref="I400:M400" si="159">I401</f>
        <v>289058.73</v>
      </c>
      <c r="J400" s="294">
        <f t="shared" si="159"/>
        <v>0</v>
      </c>
      <c r="K400" s="294">
        <f t="shared" si="159"/>
        <v>0</v>
      </c>
      <c r="L400" s="294">
        <f t="shared" si="159"/>
        <v>0</v>
      </c>
      <c r="M400" s="294">
        <f t="shared" si="159"/>
        <v>0</v>
      </c>
      <c r="N400" s="1730"/>
      <c r="O400" s="1605" t="s">
        <v>16</v>
      </c>
      <c r="P400" s="79"/>
    </row>
    <row r="401" spans="1:23" ht="24" x14ac:dyDescent="0.3">
      <c r="A401" s="1641"/>
      <c r="B401" s="1541"/>
      <c r="C401" s="1601"/>
      <c r="D401" s="1602"/>
      <c r="E401" s="1603"/>
      <c r="F401" s="290"/>
      <c r="G401" s="332" t="s">
        <v>13</v>
      </c>
      <c r="H401" s="294">
        <f>I401+J401+K401+L401+M401</f>
        <v>289058.73</v>
      </c>
      <c r="I401" s="294">
        <v>289058.73</v>
      </c>
      <c r="J401" s="156"/>
      <c r="K401" s="156"/>
      <c r="L401" s="156"/>
      <c r="M401" s="156"/>
      <c r="N401" s="1730"/>
      <c r="O401" s="1607"/>
      <c r="P401" s="79"/>
      <c r="Q401" s="17"/>
    </row>
    <row r="402" spans="1:23" ht="14.4" x14ac:dyDescent="0.3">
      <c r="A402" s="1641" t="s">
        <v>552</v>
      </c>
      <c r="B402" s="1700" t="s">
        <v>554</v>
      </c>
      <c r="C402" s="1601">
        <v>2018</v>
      </c>
      <c r="D402" s="1602"/>
      <c r="E402" s="1603"/>
      <c r="F402" s="290"/>
      <c r="G402" s="332" t="s">
        <v>12</v>
      </c>
      <c r="H402" s="294">
        <f>H403</f>
        <v>425356</v>
      </c>
      <c r="I402" s="294">
        <f t="shared" ref="I402:M402" si="160">I403</f>
        <v>425356</v>
      </c>
      <c r="J402" s="294">
        <f t="shared" si="160"/>
        <v>0</v>
      </c>
      <c r="K402" s="294">
        <f t="shared" si="160"/>
        <v>0</v>
      </c>
      <c r="L402" s="294">
        <f t="shared" si="160"/>
        <v>0</v>
      </c>
      <c r="M402" s="294">
        <f t="shared" si="160"/>
        <v>0</v>
      </c>
      <c r="N402" s="1730"/>
      <c r="O402" s="1605" t="s">
        <v>16</v>
      </c>
    </row>
    <row r="403" spans="1:23" ht="24" x14ac:dyDescent="0.3">
      <c r="A403" s="1641"/>
      <c r="B403" s="1541"/>
      <c r="C403" s="1601"/>
      <c r="D403" s="1602"/>
      <c r="E403" s="1603"/>
      <c r="F403" s="290"/>
      <c r="G403" s="332" t="s">
        <v>13</v>
      </c>
      <c r="H403" s="294">
        <f>I403+J403+K403+L403+M403</f>
        <v>425356</v>
      </c>
      <c r="I403" s="294">
        <v>425356</v>
      </c>
      <c r="J403" s="156"/>
      <c r="K403" s="156"/>
      <c r="L403" s="156"/>
      <c r="M403" s="156"/>
      <c r="N403" s="1730"/>
      <c r="O403" s="1607"/>
    </row>
    <row r="404" spans="1:23" ht="45.75" customHeight="1" x14ac:dyDescent="0.3">
      <c r="A404" s="293" t="s">
        <v>581</v>
      </c>
      <c r="B404" s="1619" t="s">
        <v>207</v>
      </c>
      <c r="C404" s="1620"/>
      <c r="D404" s="1620"/>
      <c r="E404" s="1620"/>
      <c r="F404" s="1621"/>
      <c r="G404" s="332" t="s">
        <v>13</v>
      </c>
      <c r="H404" s="294">
        <f>I404+J404+K404+L404+M404</f>
        <v>45.27</v>
      </c>
      <c r="I404" s="294">
        <v>45.27</v>
      </c>
      <c r="J404" s="294"/>
      <c r="K404" s="294"/>
      <c r="L404" s="294"/>
      <c r="M404" s="294"/>
      <c r="N404" s="291"/>
      <c r="O404" s="292"/>
      <c r="P404" s="82"/>
    </row>
    <row r="405" spans="1:23" s="1" customFormat="1" ht="48.75" customHeight="1" x14ac:dyDescent="0.3">
      <c r="A405" s="1601" t="s">
        <v>1359</v>
      </c>
      <c r="B405" s="1601"/>
      <c r="C405" s="1601"/>
      <c r="D405" s="1601"/>
      <c r="E405" s="1601"/>
      <c r="F405" s="833"/>
      <c r="G405" s="831" t="s">
        <v>42</v>
      </c>
      <c r="H405" s="833">
        <f>H406</f>
        <v>714460</v>
      </c>
      <c r="I405" s="833">
        <f t="shared" ref="I405:M405" si="161">I406</f>
        <v>714460</v>
      </c>
      <c r="J405" s="833">
        <f t="shared" si="161"/>
        <v>0</v>
      </c>
      <c r="K405" s="833">
        <f t="shared" si="161"/>
        <v>0</v>
      </c>
      <c r="L405" s="833">
        <f t="shared" si="161"/>
        <v>0</v>
      </c>
      <c r="M405" s="833">
        <f t="shared" si="161"/>
        <v>0</v>
      </c>
      <c r="N405" s="1734"/>
      <c r="O405" s="1664"/>
      <c r="P405" s="1735" t="s">
        <v>550</v>
      </c>
    </row>
    <row r="406" spans="1:23" s="1" customFormat="1" ht="24" x14ac:dyDescent="0.3">
      <c r="A406" s="1601"/>
      <c r="B406" s="1601"/>
      <c r="C406" s="1601"/>
      <c r="D406" s="1601"/>
      <c r="E406" s="1601"/>
      <c r="F406" s="833"/>
      <c r="G406" s="831" t="s">
        <v>13</v>
      </c>
      <c r="H406" s="833">
        <f>I406+J406+K406+L406+M406</f>
        <v>714460</v>
      </c>
      <c r="I406" s="833">
        <f>I401+I403+I404</f>
        <v>714460</v>
      </c>
      <c r="J406" s="833">
        <f t="shared" ref="J406:M406" si="162">J401+J403+J404</f>
        <v>0</v>
      </c>
      <c r="K406" s="833">
        <f t="shared" si="162"/>
        <v>0</v>
      </c>
      <c r="L406" s="833">
        <f t="shared" si="162"/>
        <v>0</v>
      </c>
      <c r="M406" s="833">
        <f t="shared" si="162"/>
        <v>0</v>
      </c>
      <c r="N406" s="1734"/>
      <c r="O406" s="1665"/>
      <c r="P406" s="1735"/>
      <c r="Q406" s="47"/>
    </row>
    <row r="407" spans="1:23" ht="37.5" customHeight="1" x14ac:dyDescent="0.3">
      <c r="A407" s="1740" t="s">
        <v>169</v>
      </c>
      <c r="B407" s="1740"/>
      <c r="C407" s="1740"/>
      <c r="D407" s="1740"/>
      <c r="E407" s="1740"/>
      <c r="F407" s="1740"/>
      <c r="G407" s="1740"/>
      <c r="H407" s="1740"/>
      <c r="I407" s="1740"/>
      <c r="J407" s="1740"/>
      <c r="K407" s="1740"/>
      <c r="L407" s="1740"/>
      <c r="M407" s="1740"/>
      <c r="N407" s="1740"/>
      <c r="O407" s="347"/>
      <c r="P407" s="1736" t="s">
        <v>1352</v>
      </c>
      <c r="Q407" s="1737"/>
    </row>
    <row r="408" spans="1:23" ht="37.5" customHeight="1" x14ac:dyDescent="0.3">
      <c r="A408" s="345"/>
      <c r="B408" s="345"/>
      <c r="C408" s="345"/>
      <c r="D408" s="345"/>
      <c r="E408" s="345"/>
      <c r="F408" s="345"/>
      <c r="G408" s="345"/>
      <c r="H408" s="345"/>
      <c r="I408" s="345"/>
      <c r="J408" s="345"/>
      <c r="K408" s="345"/>
      <c r="L408" s="345"/>
      <c r="M408" s="345"/>
      <c r="N408" s="345"/>
      <c r="O408" s="345"/>
      <c r="P408" s="340"/>
      <c r="Q408" s="47"/>
    </row>
    <row r="409" spans="1:23" ht="45" customHeight="1" x14ac:dyDescent="0.3">
      <c r="A409" s="1733" t="s">
        <v>1357</v>
      </c>
      <c r="B409" s="1733"/>
      <c r="C409" s="1733"/>
      <c r="D409" s="1733"/>
      <c r="E409" s="1733"/>
      <c r="F409" s="1733"/>
      <c r="G409" s="1733"/>
      <c r="H409" s="1733"/>
      <c r="I409" s="1733"/>
      <c r="J409" s="1733"/>
      <c r="K409" s="1733"/>
      <c r="L409" s="1733"/>
      <c r="M409" s="1733"/>
      <c r="N409" s="1733"/>
      <c r="O409" s="1663"/>
      <c r="P409" s="465" t="s">
        <v>1364</v>
      </c>
      <c r="Q409" s="466"/>
      <c r="R409" s="467"/>
      <c r="S409" s="467"/>
      <c r="T409" s="467"/>
    </row>
    <row r="410" spans="1:23" ht="18" customHeight="1" x14ac:dyDescent="0.3">
      <c r="A410" s="1741" t="s">
        <v>105</v>
      </c>
      <c r="B410" s="1741"/>
      <c r="C410" s="1741"/>
      <c r="D410" s="1741"/>
      <c r="E410" s="1741"/>
      <c r="F410" s="1741"/>
      <c r="G410" s="1741"/>
      <c r="H410" s="1741"/>
      <c r="I410" s="1741"/>
      <c r="J410" s="1741"/>
      <c r="K410" s="1741"/>
      <c r="L410" s="1741"/>
      <c r="M410" s="1741"/>
      <c r="N410" s="1741"/>
      <c r="O410" s="295"/>
      <c r="P410" s="211"/>
      <c r="Q410" s="1"/>
    </row>
    <row r="411" spans="1:23" ht="14.4" x14ac:dyDescent="0.3">
      <c r="A411" s="1741" t="s">
        <v>855</v>
      </c>
      <c r="B411" s="1741"/>
      <c r="C411" s="1741"/>
      <c r="D411" s="1741"/>
      <c r="E411" s="1741"/>
      <c r="F411" s="1741"/>
      <c r="G411" s="1741"/>
      <c r="H411" s="1741"/>
      <c r="I411" s="1741"/>
      <c r="J411" s="1741"/>
      <c r="K411" s="1741"/>
      <c r="L411" s="1741"/>
      <c r="M411" s="1741"/>
      <c r="N411" s="1741"/>
      <c r="O411" s="295"/>
      <c r="P411" s="211"/>
      <c r="Q411" s="1"/>
    </row>
    <row r="412" spans="1:23" ht="14.4" x14ac:dyDescent="0.3">
      <c r="A412" s="1625" t="s">
        <v>46</v>
      </c>
      <c r="B412" s="1666" t="s">
        <v>822</v>
      </c>
      <c r="C412" s="1666" t="s">
        <v>823</v>
      </c>
      <c r="D412" s="1666" t="s">
        <v>854</v>
      </c>
      <c r="E412" s="1666" t="s">
        <v>52</v>
      </c>
      <c r="F412" s="1666" t="s">
        <v>545</v>
      </c>
      <c r="G412" s="1541" t="s">
        <v>59</v>
      </c>
      <c r="H412" s="1603" t="s">
        <v>106</v>
      </c>
      <c r="I412" s="1603"/>
      <c r="J412" s="1603"/>
      <c r="K412" s="1603"/>
      <c r="L412" s="1603"/>
      <c r="M412" s="1603"/>
      <c r="N412" s="1613" t="s">
        <v>50</v>
      </c>
      <c r="O412" s="1664" t="s">
        <v>820</v>
      </c>
      <c r="P412" s="79"/>
    </row>
    <row r="413" spans="1:23" ht="46.5" customHeight="1" x14ac:dyDescent="0.3">
      <c r="A413" s="1627"/>
      <c r="B413" s="1667"/>
      <c r="C413" s="1667"/>
      <c r="D413" s="1667"/>
      <c r="E413" s="1667"/>
      <c r="F413" s="1667"/>
      <c r="G413" s="1541"/>
      <c r="H413" s="289" t="s">
        <v>33</v>
      </c>
      <c r="I413" s="289" t="s">
        <v>4</v>
      </c>
      <c r="J413" s="289" t="s">
        <v>91</v>
      </c>
      <c r="K413" s="289" t="s">
        <v>90</v>
      </c>
      <c r="L413" s="289" t="s">
        <v>89</v>
      </c>
      <c r="M413" s="289" t="s">
        <v>221</v>
      </c>
      <c r="N413" s="1613"/>
      <c r="O413" s="1665"/>
      <c r="P413" s="79"/>
    </row>
    <row r="414" spans="1:23" ht="14.4" x14ac:dyDescent="0.3">
      <c r="A414" s="90">
        <v>1</v>
      </c>
      <c r="B414" s="154">
        <v>2</v>
      </c>
      <c r="C414" s="154">
        <v>3</v>
      </c>
      <c r="D414" s="154">
        <v>4</v>
      </c>
      <c r="E414" s="154">
        <v>5</v>
      </c>
      <c r="F414" s="154">
        <v>6</v>
      </c>
      <c r="G414" s="410">
        <v>7</v>
      </c>
      <c r="H414" s="154">
        <v>8</v>
      </c>
      <c r="I414" s="154">
        <v>9</v>
      </c>
      <c r="J414" s="154">
        <v>10</v>
      </c>
      <c r="K414" s="154">
        <v>11</v>
      </c>
      <c r="L414" s="154">
        <v>12</v>
      </c>
      <c r="M414" s="154">
        <v>13</v>
      </c>
      <c r="N414" s="155">
        <v>14</v>
      </c>
      <c r="O414" s="155">
        <v>15</v>
      </c>
      <c r="P414" s="79"/>
    </row>
    <row r="415" spans="1:23" ht="66" customHeight="1" x14ac:dyDescent="0.3">
      <c r="A415" s="1641" t="s">
        <v>576</v>
      </c>
      <c r="B415" s="1541" t="s">
        <v>857</v>
      </c>
      <c r="C415" s="1541">
        <v>2018</v>
      </c>
      <c r="D415" s="1541" t="s">
        <v>542</v>
      </c>
      <c r="E415" s="1612">
        <f t="shared" ref="E415" si="163">F415+H415</f>
        <v>0</v>
      </c>
      <c r="F415" s="157"/>
      <c r="G415" s="332" t="s">
        <v>12</v>
      </c>
      <c r="H415" s="294">
        <f>H416</f>
        <v>0</v>
      </c>
      <c r="I415" s="294">
        <f>I416</f>
        <v>0</v>
      </c>
      <c r="J415" s="327">
        <v>0</v>
      </c>
      <c r="K415" s="327">
        <v>0</v>
      </c>
      <c r="L415" s="327">
        <v>0</v>
      </c>
      <c r="M415" s="327">
        <v>0</v>
      </c>
      <c r="N415" s="1738"/>
      <c r="O415" s="1605" t="s">
        <v>856</v>
      </c>
      <c r="W415">
        <v>1</v>
      </c>
    </row>
    <row r="416" spans="1:23" ht="24" x14ac:dyDescent="0.3">
      <c r="A416" s="1641"/>
      <c r="B416" s="1541"/>
      <c r="C416" s="1541"/>
      <c r="D416" s="1541"/>
      <c r="E416" s="1541"/>
      <c r="F416" s="157"/>
      <c r="G416" s="369" t="s">
        <v>15</v>
      </c>
      <c r="H416" s="294">
        <f t="shared" ref="H416:H418" si="164">SUM(I416:M416)</f>
        <v>0</v>
      </c>
      <c r="I416" s="294">
        <f>4600*0</f>
        <v>0</v>
      </c>
      <c r="J416" s="327">
        <v>0</v>
      </c>
      <c r="K416" s="327">
        <v>0</v>
      </c>
      <c r="L416" s="327">
        <v>0</v>
      </c>
      <c r="M416" s="327">
        <v>0</v>
      </c>
      <c r="N416" s="1739"/>
      <c r="O416" s="1607"/>
    </row>
    <row r="417" spans="1:23" ht="14.4" x14ac:dyDescent="0.3">
      <c r="A417" s="1641" t="s">
        <v>131</v>
      </c>
      <c r="B417" s="1541" t="s">
        <v>543</v>
      </c>
      <c r="C417" s="1541">
        <v>2018</v>
      </c>
      <c r="D417" s="1541" t="s">
        <v>544</v>
      </c>
      <c r="E417" s="1612">
        <f>F417+H417</f>
        <v>0</v>
      </c>
      <c r="F417" s="157"/>
      <c r="G417" s="332" t="s">
        <v>12</v>
      </c>
      <c r="H417" s="294">
        <f>H418</f>
        <v>0</v>
      </c>
      <c r="I417" s="294">
        <f>I418*0</f>
        <v>0</v>
      </c>
      <c r="J417" s="327">
        <v>0</v>
      </c>
      <c r="K417" s="327">
        <v>0</v>
      </c>
      <c r="L417" s="327">
        <v>0</v>
      </c>
      <c r="M417" s="327">
        <v>0</v>
      </c>
      <c r="N417" s="1738"/>
      <c r="O417" s="1605" t="s">
        <v>856</v>
      </c>
    </row>
    <row r="418" spans="1:23" ht="63.75" customHeight="1" x14ac:dyDescent="0.3">
      <c r="A418" s="1641"/>
      <c r="B418" s="1541"/>
      <c r="C418" s="1541"/>
      <c r="D418" s="1541"/>
      <c r="E418" s="1541"/>
      <c r="F418" s="157"/>
      <c r="G418" s="369" t="s">
        <v>15</v>
      </c>
      <c r="H418" s="294">
        <f t="shared" si="164"/>
        <v>0</v>
      </c>
      <c r="I418" s="294">
        <f>1400*0</f>
        <v>0</v>
      </c>
      <c r="J418" s="327">
        <v>0</v>
      </c>
      <c r="K418" s="327">
        <v>0</v>
      </c>
      <c r="L418" s="327">
        <v>0</v>
      </c>
      <c r="M418" s="327">
        <v>0</v>
      </c>
      <c r="N418" s="1739"/>
      <c r="O418" s="1607"/>
      <c r="W418">
        <v>1</v>
      </c>
    </row>
    <row r="419" spans="1:23" ht="17.25" customHeight="1" x14ac:dyDescent="0.3">
      <c r="A419" s="1541" t="s">
        <v>1358</v>
      </c>
      <c r="B419" s="1541"/>
      <c r="C419" s="1541"/>
      <c r="D419" s="1541"/>
      <c r="E419" s="1541"/>
      <c r="F419" s="294"/>
      <c r="G419" s="332" t="s">
        <v>42</v>
      </c>
      <c r="H419" s="294">
        <f>H420</f>
        <v>0</v>
      </c>
      <c r="I419" s="294">
        <f>I420</f>
        <v>0</v>
      </c>
      <c r="J419" s="294">
        <f t="shared" ref="J419:M419" si="165">J420</f>
        <v>0</v>
      </c>
      <c r="K419" s="294">
        <f t="shared" si="165"/>
        <v>0</v>
      </c>
      <c r="L419" s="294">
        <f>L420</f>
        <v>0</v>
      </c>
      <c r="M419" s="294">
        <f t="shared" si="165"/>
        <v>0</v>
      </c>
      <c r="N419" s="1734"/>
      <c r="O419" s="1664"/>
      <c r="P419" s="1735" t="s">
        <v>549</v>
      </c>
    </row>
    <row r="420" spans="1:23" ht="24" x14ac:dyDescent="0.3">
      <c r="A420" s="1541"/>
      <c r="B420" s="1541"/>
      <c r="C420" s="1541"/>
      <c r="D420" s="1541"/>
      <c r="E420" s="1541"/>
      <c r="F420" s="294"/>
      <c r="G420" s="332" t="s">
        <v>231</v>
      </c>
      <c r="H420" s="294">
        <f>I420+J420+K420+L420+M420</f>
        <v>0</v>
      </c>
      <c r="I420" s="294">
        <f>(I415+I417)*0</f>
        <v>0</v>
      </c>
      <c r="J420" s="294">
        <f>J415+J417</f>
        <v>0</v>
      </c>
      <c r="K420" s="294">
        <f>K415+K417</f>
        <v>0</v>
      </c>
      <c r="L420" s="294">
        <f>L417+L415</f>
        <v>0</v>
      </c>
      <c r="M420" s="294">
        <f t="shared" ref="M420" si="166">M416+M418</f>
        <v>0</v>
      </c>
      <c r="N420" s="1734"/>
      <c r="O420" s="1665"/>
      <c r="P420" s="1735"/>
      <c r="W420" s="1265">
        <f>W415+W418</f>
        <v>2</v>
      </c>
    </row>
  </sheetData>
  <customSheetViews>
    <customSheetView guid="{7DDEA387-EEC9-4633-99BE-C0D9299FB093}" scale="85" showPageBreaks="1" fitToPage="1" printArea="1" hiddenRows="1" view="pageBreakPreview" topLeftCell="A169">
      <pane xSplit="15" topLeftCell="P1" activePane="topRight" state="frozen"/>
      <selection pane="topRight" activeCell="B173" sqref="B173:B176"/>
      <rowBreaks count="19" manualBreakCount="19">
        <brk id="11" max="16383" man="1"/>
        <brk id="23" max="14" man="1"/>
        <brk id="38" max="14" man="1"/>
        <brk id="50" max="16383" man="1"/>
        <brk id="72" max="14" man="1"/>
        <brk id="97" max="14" man="1"/>
        <brk id="119" max="16383" man="1"/>
        <brk id="146" max="14" man="1"/>
        <brk id="176" max="14" man="1"/>
        <brk id="192" max="16383" man="1"/>
        <brk id="216" max="16383" man="1"/>
        <brk id="239" max="14" man="1"/>
        <brk id="255" max="14" man="1"/>
        <brk id="273" max="14" man="1"/>
        <brk id="285" max="14" man="1"/>
        <brk id="321" max="14" man="1"/>
        <brk id="339" max="14" man="1"/>
        <brk id="378" max="14" man="1"/>
        <brk id="407" max="14" man="1"/>
      </rowBreaks>
      <pageMargins left="0.11811023622047245" right="0.11811023622047245" top="0.19685039370078741" bottom="0.19685039370078741" header="0.31496062992125984" footer="0.31496062992125984"/>
      <pageSetup paperSize="9" scale="78" fitToHeight="0" orientation="landscape" r:id="rId1"/>
    </customSheetView>
    <customSheetView guid="{6592EBC0-D945-4F6F-93D1-49FCB588A4A0}" scale="85" showPageBreaks="1" fitToPage="1" printArea="1" hiddenRows="1" view="pageBreakPreview" topLeftCell="A393">
      <selection activeCell="B126" sqref="B126:F128"/>
      <pageMargins left="0.11811023622047245" right="0.11811023622047245" top="0.19685039370078741" bottom="0.19685039370078741" header="0.31496062992125984" footer="0.31496062992125984"/>
      <pageSetup paperSize="9" scale="54" fitToHeight="0" orientation="portrait" r:id="rId2"/>
    </customSheetView>
    <customSheetView guid="{001F394D-7E32-49E0-9108-A9790B233A9D}" scale="85" showPageBreaks="1" fitToPage="1" printArea="1" hiddenRows="1" view="pageBreakPreview" topLeftCell="A72">
      <selection activeCell="F202" sqref="A202:XFD202"/>
      <rowBreaks count="19" manualBreakCount="19">
        <brk id="11" max="16383" man="1"/>
        <brk id="23" max="14" man="1"/>
        <brk id="38" max="14" man="1"/>
        <brk id="50" max="16383" man="1"/>
        <brk id="72" max="14" man="1"/>
        <brk id="97" max="14" man="1"/>
        <brk id="119" max="16383" man="1"/>
        <brk id="146" max="14" man="1"/>
        <brk id="175" max="14" man="1"/>
        <brk id="189" max="16383" man="1"/>
        <brk id="213" max="16383" man="1"/>
        <brk id="236" max="14" man="1"/>
        <brk id="252" max="14" man="1"/>
        <brk id="270" max="14" man="1"/>
        <brk id="282" max="14" man="1"/>
        <brk id="318" max="14" man="1"/>
        <brk id="336" max="14" man="1"/>
        <brk id="375" max="14" man="1"/>
        <brk id="404" max="14" man="1"/>
      </rowBreaks>
      <pageMargins left="0.11811023622047245" right="0.11811023622047245" top="0.19685039370078741" bottom="0.19685039370078741" header="0.31496062992125984" footer="0.31496062992125984"/>
      <pageSetup paperSize="9" scale="78" fitToHeight="0" orientation="landscape" r:id="rId3"/>
    </customSheetView>
    <customSheetView guid="{F08E63B0-D6C4-4E18-B2B6-E1E751FE7DF2}" scale="85" showPageBreaks="1" fitToPage="1" printArea="1" hiddenRows="1" view="pageBreakPreview" topLeftCell="A72">
      <selection activeCell="F202" sqref="A202:XFD202"/>
      <rowBreaks count="19" manualBreakCount="19">
        <brk id="11" max="16383" man="1"/>
        <brk id="23" max="14" man="1"/>
        <brk id="38" max="14" man="1"/>
        <brk id="50" max="16383" man="1"/>
        <brk id="72" max="14" man="1"/>
        <brk id="97" max="14" man="1"/>
        <brk id="119" max="16383" man="1"/>
        <brk id="146" max="14" man="1"/>
        <brk id="175" max="14" man="1"/>
        <brk id="189" max="16383" man="1"/>
        <brk id="213" max="16383" man="1"/>
        <brk id="236" max="14" man="1"/>
        <brk id="252" max="14" man="1"/>
        <brk id="270" max="14" man="1"/>
        <brk id="282" max="14" man="1"/>
        <brk id="318" max="14" man="1"/>
        <brk id="336" max="14" man="1"/>
        <brk id="375" max="14" man="1"/>
        <brk id="404" max="14" man="1"/>
      </rowBreaks>
      <pageMargins left="0.11811023622047245" right="0.11811023622047245" top="0.19685039370078741" bottom="0.19685039370078741" header="0.31496062992125984" footer="0.31496062992125984"/>
      <pageSetup paperSize="9" scale="78" fitToHeight="0" orientation="landscape" r:id="rId4"/>
    </customSheetView>
    <customSheetView guid="{D32E4BC6-6FD7-4441-855E-C6B8F80A132E}" scale="85" showPageBreaks="1" fitToPage="1" printArea="1" hiddenRows="1" view="pageBreakPreview" topLeftCell="A12">
      <selection activeCell="B21" sqref="B21:B23"/>
      <rowBreaks count="19" manualBreakCount="19">
        <brk id="11" max="16383" man="1"/>
        <brk id="23" max="14" man="1"/>
        <brk id="38" max="14" man="1"/>
        <brk id="50" max="16383" man="1"/>
        <brk id="72" max="14" man="1"/>
        <brk id="97" max="14" man="1"/>
        <brk id="119" max="16383" man="1"/>
        <brk id="146" max="14" man="1"/>
        <brk id="176" max="14" man="1"/>
        <brk id="190" max="16383" man="1"/>
        <brk id="214" max="16383" man="1"/>
        <brk id="237" max="14" man="1"/>
        <brk id="253" max="14" man="1"/>
        <brk id="271" max="14" man="1"/>
        <brk id="283" max="14" man="1"/>
        <brk id="319" max="14" man="1"/>
        <brk id="337" max="14" man="1"/>
        <brk id="376" max="14" man="1"/>
        <brk id="398" max="14" man="1"/>
      </rowBreaks>
      <pageMargins left="0.11811023622047245" right="0.11811023622047245" top="0.19685039370078741" bottom="0.19685039370078741" header="0.31496062992125984" footer="0.31496062992125984"/>
      <pageSetup paperSize="9" scale="78" fitToHeight="0" orientation="landscape" r:id="rId5"/>
    </customSheetView>
  </customSheetViews>
  <mergeCells count="947">
    <mergeCell ref="P394:Q394"/>
    <mergeCell ref="P407:Q407"/>
    <mergeCell ref="P419:P420"/>
    <mergeCell ref="O415:O416"/>
    <mergeCell ref="A417:A418"/>
    <mergeCell ref="B417:B418"/>
    <mergeCell ref="C417:C418"/>
    <mergeCell ref="D417:D418"/>
    <mergeCell ref="E417:E418"/>
    <mergeCell ref="N417:N418"/>
    <mergeCell ref="O417:O418"/>
    <mergeCell ref="O412:O413"/>
    <mergeCell ref="A415:A416"/>
    <mergeCell ref="B415:B416"/>
    <mergeCell ref="C415:C416"/>
    <mergeCell ref="D415:D416"/>
    <mergeCell ref="E415:E416"/>
    <mergeCell ref="N415:N416"/>
    <mergeCell ref="A419:E420"/>
    <mergeCell ref="N419:N420"/>
    <mergeCell ref="O419:O420"/>
    <mergeCell ref="A407:N407"/>
    <mergeCell ref="A410:N410"/>
    <mergeCell ref="A411:N411"/>
    <mergeCell ref="A412:A413"/>
    <mergeCell ref="B412:B413"/>
    <mergeCell ref="C412:C413"/>
    <mergeCell ref="D412:D413"/>
    <mergeCell ref="E412:E413"/>
    <mergeCell ref="F412:F413"/>
    <mergeCell ref="G412:G413"/>
    <mergeCell ref="H412:M412"/>
    <mergeCell ref="N412:N413"/>
    <mergeCell ref="A409:O409"/>
    <mergeCell ref="O402:O403"/>
    <mergeCell ref="B404:F404"/>
    <mergeCell ref="A405:E406"/>
    <mergeCell ref="N405:N406"/>
    <mergeCell ref="O405:O406"/>
    <mergeCell ref="P405:P406"/>
    <mergeCell ref="A402:A403"/>
    <mergeCell ref="B402:B403"/>
    <mergeCell ref="C402:C403"/>
    <mergeCell ref="D402:D403"/>
    <mergeCell ref="E402:E403"/>
    <mergeCell ref="N402:N403"/>
    <mergeCell ref="B389:F389"/>
    <mergeCell ref="A390:E393"/>
    <mergeCell ref="N390:N393"/>
    <mergeCell ref="O390:O393"/>
    <mergeCell ref="P390:P393"/>
    <mergeCell ref="N397:N398"/>
    <mergeCell ref="O397:O398"/>
    <mergeCell ref="A400:A401"/>
    <mergeCell ref="B400:B401"/>
    <mergeCell ref="C400:C401"/>
    <mergeCell ref="D400:D401"/>
    <mergeCell ref="E400:E401"/>
    <mergeCell ref="N400:N401"/>
    <mergeCell ref="O400:O401"/>
    <mergeCell ref="A397:A398"/>
    <mergeCell ref="B397:B398"/>
    <mergeCell ref="C397:C398"/>
    <mergeCell ref="D397:D398"/>
    <mergeCell ref="E397:E398"/>
    <mergeCell ref="F397:F398"/>
    <mergeCell ref="G397:G398"/>
    <mergeCell ref="H397:M397"/>
    <mergeCell ref="A394:O394"/>
    <mergeCell ref="A396:O396"/>
    <mergeCell ref="O376:O378"/>
    <mergeCell ref="P376:P378"/>
    <mergeCell ref="A379:A381"/>
    <mergeCell ref="B379:B381"/>
    <mergeCell ref="C379:C381"/>
    <mergeCell ref="D379:D381"/>
    <mergeCell ref="E379:E381"/>
    <mergeCell ref="N379:N381"/>
    <mergeCell ref="O379:O381"/>
    <mergeCell ref="P379:P381"/>
    <mergeCell ref="A376:A378"/>
    <mergeCell ref="B376:B378"/>
    <mergeCell ref="C376:C378"/>
    <mergeCell ref="D376:D378"/>
    <mergeCell ref="E376:E378"/>
    <mergeCell ref="N376:N378"/>
    <mergeCell ref="A373:A375"/>
    <mergeCell ref="B373:F375"/>
    <mergeCell ref="N373:N375"/>
    <mergeCell ref="O373:O375"/>
    <mergeCell ref="P373:P375"/>
    <mergeCell ref="A370:A372"/>
    <mergeCell ref="B370:B372"/>
    <mergeCell ref="C370:C372"/>
    <mergeCell ref="D370:D372"/>
    <mergeCell ref="E370:E372"/>
    <mergeCell ref="N370:N372"/>
    <mergeCell ref="O361:O363"/>
    <mergeCell ref="P361:P363"/>
    <mergeCell ref="A364:A366"/>
    <mergeCell ref="B364:B366"/>
    <mergeCell ref="C364:C366"/>
    <mergeCell ref="D364:D366"/>
    <mergeCell ref="E364:E366"/>
    <mergeCell ref="O370:O372"/>
    <mergeCell ref="P370:P372"/>
    <mergeCell ref="O367:O369"/>
    <mergeCell ref="P367:P369"/>
    <mergeCell ref="N364:N366"/>
    <mergeCell ref="O364:O366"/>
    <mergeCell ref="P364:P366"/>
    <mergeCell ref="A361:A363"/>
    <mergeCell ref="B361:F363"/>
    <mergeCell ref="N361:N363"/>
    <mergeCell ref="O355:O357"/>
    <mergeCell ref="P355:P357"/>
    <mergeCell ref="A358:A360"/>
    <mergeCell ref="B358:B360"/>
    <mergeCell ref="C358:C360"/>
    <mergeCell ref="D358:D360"/>
    <mergeCell ref="E358:E360"/>
    <mergeCell ref="N358:N360"/>
    <mergeCell ref="O358:O360"/>
    <mergeCell ref="P358:P360"/>
    <mergeCell ref="A355:A357"/>
    <mergeCell ref="B355:B357"/>
    <mergeCell ref="C355:C357"/>
    <mergeCell ref="D355:D357"/>
    <mergeCell ref="E355:E357"/>
    <mergeCell ref="N355:N357"/>
    <mergeCell ref="A352:A354"/>
    <mergeCell ref="B352:B354"/>
    <mergeCell ref="C352:C354"/>
    <mergeCell ref="D352:D354"/>
    <mergeCell ref="E352:E354"/>
    <mergeCell ref="N352:N354"/>
    <mergeCell ref="A367:A369"/>
    <mergeCell ref="B367:F369"/>
    <mergeCell ref="N367:N369"/>
    <mergeCell ref="A346:A348"/>
    <mergeCell ref="B346:F348"/>
    <mergeCell ref="N346:N348"/>
    <mergeCell ref="O346:O348"/>
    <mergeCell ref="P346:P348"/>
    <mergeCell ref="A349:A351"/>
    <mergeCell ref="B349:B351"/>
    <mergeCell ref="C349:C351"/>
    <mergeCell ref="D349:D351"/>
    <mergeCell ref="E349:E351"/>
    <mergeCell ref="N349:N351"/>
    <mergeCell ref="O349:O351"/>
    <mergeCell ref="P349:P351"/>
    <mergeCell ref="O340:O342"/>
    <mergeCell ref="P340:P342"/>
    <mergeCell ref="A343:A345"/>
    <mergeCell ref="B343:B345"/>
    <mergeCell ref="C343:C345"/>
    <mergeCell ref="D343:D345"/>
    <mergeCell ref="E343:E345"/>
    <mergeCell ref="N343:N345"/>
    <mergeCell ref="O343:O345"/>
    <mergeCell ref="P343:P345"/>
    <mergeCell ref="A340:A342"/>
    <mergeCell ref="B340:B342"/>
    <mergeCell ref="C340:C342"/>
    <mergeCell ref="D340:D342"/>
    <mergeCell ref="E340:E342"/>
    <mergeCell ref="N340:N342"/>
    <mergeCell ref="O334:O336"/>
    <mergeCell ref="P334:P336"/>
    <mergeCell ref="A337:A339"/>
    <mergeCell ref="B337:B339"/>
    <mergeCell ref="C337:C339"/>
    <mergeCell ref="D337:D339"/>
    <mergeCell ref="E337:E339"/>
    <mergeCell ref="N337:N339"/>
    <mergeCell ref="O337:O339"/>
    <mergeCell ref="P337:P339"/>
    <mergeCell ref="A334:A336"/>
    <mergeCell ref="B334:B336"/>
    <mergeCell ref="C334:C336"/>
    <mergeCell ref="D334:D336"/>
    <mergeCell ref="E334:E336"/>
    <mergeCell ref="N334:N336"/>
    <mergeCell ref="N328:N330"/>
    <mergeCell ref="O328:O330"/>
    <mergeCell ref="P328:P330"/>
    <mergeCell ref="A331:A333"/>
    <mergeCell ref="B331:F333"/>
    <mergeCell ref="N331:N333"/>
    <mergeCell ref="O331:O333"/>
    <mergeCell ref="P331:P333"/>
    <mergeCell ref="A325:A327"/>
    <mergeCell ref="B325:F327"/>
    <mergeCell ref="N325:N327"/>
    <mergeCell ref="O325:O327"/>
    <mergeCell ref="P325:P327"/>
    <mergeCell ref="A328:A330"/>
    <mergeCell ref="B328:B330"/>
    <mergeCell ref="C328:C330"/>
    <mergeCell ref="D328:D330"/>
    <mergeCell ref="E328:E330"/>
    <mergeCell ref="P319:P321"/>
    <mergeCell ref="A322:A324"/>
    <mergeCell ref="B322:B324"/>
    <mergeCell ref="C322:C324"/>
    <mergeCell ref="D322:D324"/>
    <mergeCell ref="N322:N324"/>
    <mergeCell ref="O322:O324"/>
    <mergeCell ref="P322:P324"/>
    <mergeCell ref="A319:A321"/>
    <mergeCell ref="B319:B321"/>
    <mergeCell ref="C319:C321"/>
    <mergeCell ref="D319:D321"/>
    <mergeCell ref="N319:N321"/>
    <mergeCell ref="O319:O321"/>
    <mergeCell ref="A310:A312"/>
    <mergeCell ref="B310:B312"/>
    <mergeCell ref="C310:C312"/>
    <mergeCell ref="D310:D312"/>
    <mergeCell ref="N310:N312"/>
    <mergeCell ref="O310:O312"/>
    <mergeCell ref="P310:P312"/>
    <mergeCell ref="P313:P315"/>
    <mergeCell ref="A316:A318"/>
    <mergeCell ref="B316:B318"/>
    <mergeCell ref="C316:C318"/>
    <mergeCell ref="D316:D318"/>
    <mergeCell ref="N316:N318"/>
    <mergeCell ref="O316:O318"/>
    <mergeCell ref="P316:P318"/>
    <mergeCell ref="A313:A315"/>
    <mergeCell ref="B313:B315"/>
    <mergeCell ref="C313:C315"/>
    <mergeCell ref="D313:D315"/>
    <mergeCell ref="N313:N315"/>
    <mergeCell ref="O313:O315"/>
    <mergeCell ref="A304:A306"/>
    <mergeCell ref="B304:F306"/>
    <mergeCell ref="N304:N306"/>
    <mergeCell ref="O304:O306"/>
    <mergeCell ref="P304:P306"/>
    <mergeCell ref="A307:A309"/>
    <mergeCell ref="B307:B309"/>
    <mergeCell ref="C307:C309"/>
    <mergeCell ref="D307:D309"/>
    <mergeCell ref="N307:N309"/>
    <mergeCell ref="O307:O309"/>
    <mergeCell ref="P307:P309"/>
    <mergeCell ref="O298:O300"/>
    <mergeCell ref="P298:P300"/>
    <mergeCell ref="A301:A303"/>
    <mergeCell ref="B301:B303"/>
    <mergeCell ref="C301:C303"/>
    <mergeCell ref="D301:D303"/>
    <mergeCell ref="N301:N303"/>
    <mergeCell ref="O301:O303"/>
    <mergeCell ref="P301:P303"/>
    <mergeCell ref="A298:A300"/>
    <mergeCell ref="B298:B300"/>
    <mergeCell ref="C298:C300"/>
    <mergeCell ref="D298:D300"/>
    <mergeCell ref="E298:E300"/>
    <mergeCell ref="N298:N300"/>
    <mergeCell ref="O292:O294"/>
    <mergeCell ref="P292:P294"/>
    <mergeCell ref="A295:A297"/>
    <mergeCell ref="B295:B297"/>
    <mergeCell ref="C295:C297"/>
    <mergeCell ref="D295:D297"/>
    <mergeCell ref="E295:E297"/>
    <mergeCell ref="N295:N297"/>
    <mergeCell ref="O295:O297"/>
    <mergeCell ref="P295:P297"/>
    <mergeCell ref="A292:A294"/>
    <mergeCell ref="B292:B294"/>
    <mergeCell ref="C292:C294"/>
    <mergeCell ref="D292:D294"/>
    <mergeCell ref="E292:E294"/>
    <mergeCell ref="N292:N294"/>
    <mergeCell ref="O286:O288"/>
    <mergeCell ref="P286:P288"/>
    <mergeCell ref="A289:A291"/>
    <mergeCell ref="B289:F291"/>
    <mergeCell ref="N289:N291"/>
    <mergeCell ref="O289:O291"/>
    <mergeCell ref="P289:P291"/>
    <mergeCell ref="A286:A288"/>
    <mergeCell ref="B286:B288"/>
    <mergeCell ref="C286:C288"/>
    <mergeCell ref="D286:D288"/>
    <mergeCell ref="E286:E288"/>
    <mergeCell ref="N286:N288"/>
    <mergeCell ref="O280:O282"/>
    <mergeCell ref="P280:P282"/>
    <mergeCell ref="A283:A285"/>
    <mergeCell ref="B283:B285"/>
    <mergeCell ref="C283:C285"/>
    <mergeCell ref="D283:D285"/>
    <mergeCell ref="E283:E285"/>
    <mergeCell ref="N283:N285"/>
    <mergeCell ref="O283:O285"/>
    <mergeCell ref="P283:P285"/>
    <mergeCell ref="A280:A282"/>
    <mergeCell ref="B280:B282"/>
    <mergeCell ref="C280:C282"/>
    <mergeCell ref="D280:D282"/>
    <mergeCell ref="E280:E282"/>
    <mergeCell ref="N280:N282"/>
    <mergeCell ref="O274:O276"/>
    <mergeCell ref="P274:P276"/>
    <mergeCell ref="A277:A279"/>
    <mergeCell ref="B277:B279"/>
    <mergeCell ref="C277:C279"/>
    <mergeCell ref="D277:D279"/>
    <mergeCell ref="E277:E279"/>
    <mergeCell ref="N277:N279"/>
    <mergeCell ref="O277:O279"/>
    <mergeCell ref="P277:P279"/>
    <mergeCell ref="A274:A276"/>
    <mergeCell ref="B274:B276"/>
    <mergeCell ref="C274:C276"/>
    <mergeCell ref="D274:D276"/>
    <mergeCell ref="E274:E276"/>
    <mergeCell ref="N274:N276"/>
    <mergeCell ref="R268:R270"/>
    <mergeCell ref="S268:S270"/>
    <mergeCell ref="A271:A273"/>
    <mergeCell ref="B271:B273"/>
    <mergeCell ref="C271:C273"/>
    <mergeCell ref="D271:D273"/>
    <mergeCell ref="E271:E273"/>
    <mergeCell ref="N271:N273"/>
    <mergeCell ref="O271:O273"/>
    <mergeCell ref="P271:P273"/>
    <mergeCell ref="O265:O267"/>
    <mergeCell ref="P265:P267"/>
    <mergeCell ref="A268:A270"/>
    <mergeCell ref="B268:F270"/>
    <mergeCell ref="N268:N270"/>
    <mergeCell ref="O268:O270"/>
    <mergeCell ref="P268:P270"/>
    <mergeCell ref="A265:A267"/>
    <mergeCell ref="B265:B267"/>
    <mergeCell ref="C265:C267"/>
    <mergeCell ref="D265:D267"/>
    <mergeCell ref="E265:E267"/>
    <mergeCell ref="N265:N267"/>
    <mergeCell ref="O259:O261"/>
    <mergeCell ref="P259:P261"/>
    <mergeCell ref="A262:A264"/>
    <mergeCell ref="B262:B264"/>
    <mergeCell ref="C262:C264"/>
    <mergeCell ref="D262:D264"/>
    <mergeCell ref="E262:E264"/>
    <mergeCell ref="N262:N264"/>
    <mergeCell ref="O262:O264"/>
    <mergeCell ref="P262:P264"/>
    <mergeCell ref="A259:A261"/>
    <mergeCell ref="B259:B261"/>
    <mergeCell ref="C259:C261"/>
    <mergeCell ref="D259:D261"/>
    <mergeCell ref="E259:E261"/>
    <mergeCell ref="N259:N261"/>
    <mergeCell ref="O253:O255"/>
    <mergeCell ref="P253:P255"/>
    <mergeCell ref="A256:A258"/>
    <mergeCell ref="B256:F258"/>
    <mergeCell ref="N256:N258"/>
    <mergeCell ref="O256:O258"/>
    <mergeCell ref="P256:P258"/>
    <mergeCell ref="A253:A255"/>
    <mergeCell ref="B253:B255"/>
    <mergeCell ref="C253:C255"/>
    <mergeCell ref="D253:D255"/>
    <mergeCell ref="E253:E255"/>
    <mergeCell ref="N253:N255"/>
    <mergeCell ref="O247:O249"/>
    <mergeCell ref="P247:P249"/>
    <mergeCell ref="A250:A252"/>
    <mergeCell ref="B250:B252"/>
    <mergeCell ref="C250:C252"/>
    <mergeCell ref="D250:D252"/>
    <mergeCell ref="E250:E252"/>
    <mergeCell ref="N250:N252"/>
    <mergeCell ref="O250:O252"/>
    <mergeCell ref="P250:P252"/>
    <mergeCell ref="A247:A249"/>
    <mergeCell ref="B247:B249"/>
    <mergeCell ref="C247:C249"/>
    <mergeCell ref="D247:D249"/>
    <mergeCell ref="E247:E249"/>
    <mergeCell ref="N247:N249"/>
    <mergeCell ref="A241:A243"/>
    <mergeCell ref="B241:B243"/>
    <mergeCell ref="C241:C243"/>
    <mergeCell ref="D241:D243"/>
    <mergeCell ref="E241:E243"/>
    <mergeCell ref="N241:N243"/>
    <mergeCell ref="O241:O243"/>
    <mergeCell ref="P241:P243"/>
    <mergeCell ref="A244:A246"/>
    <mergeCell ref="B244:B246"/>
    <mergeCell ref="C244:C246"/>
    <mergeCell ref="D244:D246"/>
    <mergeCell ref="E244:E246"/>
    <mergeCell ref="N244:N246"/>
    <mergeCell ref="O244:O246"/>
    <mergeCell ref="P244:P246"/>
    <mergeCell ref="A235:A237"/>
    <mergeCell ref="B235:F237"/>
    <mergeCell ref="N235:N237"/>
    <mergeCell ref="O235:O237"/>
    <mergeCell ref="P235:P237"/>
    <mergeCell ref="A238:A240"/>
    <mergeCell ref="B238:B240"/>
    <mergeCell ref="C238:C240"/>
    <mergeCell ref="D238:D240"/>
    <mergeCell ref="E238:E240"/>
    <mergeCell ref="N238:N240"/>
    <mergeCell ref="O238:O240"/>
    <mergeCell ref="P238:P240"/>
    <mergeCell ref="O229:O231"/>
    <mergeCell ref="P229:P231"/>
    <mergeCell ref="A232:A234"/>
    <mergeCell ref="B232:B234"/>
    <mergeCell ref="C232:C234"/>
    <mergeCell ref="D232:D234"/>
    <mergeCell ref="E232:E234"/>
    <mergeCell ref="N232:N234"/>
    <mergeCell ref="O232:O234"/>
    <mergeCell ref="P232:P234"/>
    <mergeCell ref="A229:A231"/>
    <mergeCell ref="B229:B231"/>
    <mergeCell ref="C229:C231"/>
    <mergeCell ref="D229:D231"/>
    <mergeCell ref="E229:E231"/>
    <mergeCell ref="N229:N231"/>
    <mergeCell ref="O223:O225"/>
    <mergeCell ref="P223:P225"/>
    <mergeCell ref="A226:A228"/>
    <mergeCell ref="B226:B228"/>
    <mergeCell ref="C226:C228"/>
    <mergeCell ref="D226:D228"/>
    <mergeCell ref="E226:E228"/>
    <mergeCell ref="N226:N228"/>
    <mergeCell ref="O226:O228"/>
    <mergeCell ref="P226:P228"/>
    <mergeCell ref="A223:A225"/>
    <mergeCell ref="B223:B225"/>
    <mergeCell ref="C223:C225"/>
    <mergeCell ref="D223:D225"/>
    <mergeCell ref="E223:E225"/>
    <mergeCell ref="N223:N225"/>
    <mergeCell ref="O217:O219"/>
    <mergeCell ref="P217:P219"/>
    <mergeCell ref="A220:A222"/>
    <mergeCell ref="B220:F222"/>
    <mergeCell ref="N220:N222"/>
    <mergeCell ref="O220:O222"/>
    <mergeCell ref="P220:P222"/>
    <mergeCell ref="A217:A219"/>
    <mergeCell ref="B217:B219"/>
    <mergeCell ref="C217:C219"/>
    <mergeCell ref="D217:D219"/>
    <mergeCell ref="E217:E219"/>
    <mergeCell ref="N217:N219"/>
    <mergeCell ref="N211:N213"/>
    <mergeCell ref="O211:O213"/>
    <mergeCell ref="P211:P213"/>
    <mergeCell ref="A214:A216"/>
    <mergeCell ref="B214:F216"/>
    <mergeCell ref="N214:N216"/>
    <mergeCell ref="O214:O216"/>
    <mergeCell ref="P214:P216"/>
    <mergeCell ref="A208:A210"/>
    <mergeCell ref="B208:F210"/>
    <mergeCell ref="N208:N210"/>
    <mergeCell ref="O208:O210"/>
    <mergeCell ref="P208:P210"/>
    <mergeCell ref="A211:A213"/>
    <mergeCell ref="B211:B213"/>
    <mergeCell ref="C211:C213"/>
    <mergeCell ref="D211:D213"/>
    <mergeCell ref="E211:E213"/>
    <mergeCell ref="S201:S203"/>
    <mergeCell ref="A202:A204"/>
    <mergeCell ref="B202:B204"/>
    <mergeCell ref="C202:C204"/>
    <mergeCell ref="D202:D204"/>
    <mergeCell ref="E202:E204"/>
    <mergeCell ref="N202:N204"/>
    <mergeCell ref="O202:O204"/>
    <mergeCell ref="P202:P204"/>
    <mergeCell ref="O196:O198"/>
    <mergeCell ref="P196:P198"/>
    <mergeCell ref="A199:A201"/>
    <mergeCell ref="B199:B201"/>
    <mergeCell ref="C199:C201"/>
    <mergeCell ref="D199:D201"/>
    <mergeCell ref="E199:E201"/>
    <mergeCell ref="N199:N201"/>
    <mergeCell ref="O199:O201"/>
    <mergeCell ref="P199:P201"/>
    <mergeCell ref="A196:A198"/>
    <mergeCell ref="B196:B198"/>
    <mergeCell ref="C196:C198"/>
    <mergeCell ref="D196:D198"/>
    <mergeCell ref="E196:E198"/>
    <mergeCell ref="N196:N198"/>
    <mergeCell ref="O189:O192"/>
    <mergeCell ref="P189:P191"/>
    <mergeCell ref="A189:A192"/>
    <mergeCell ref="B189:B192"/>
    <mergeCell ref="C189:C192"/>
    <mergeCell ref="D189:D192"/>
    <mergeCell ref="E189:E192"/>
    <mergeCell ref="N189:N192"/>
    <mergeCell ref="A193:A195"/>
    <mergeCell ref="B193:F195"/>
    <mergeCell ref="N193:N195"/>
    <mergeCell ref="O193:O195"/>
    <mergeCell ref="P193:P195"/>
    <mergeCell ref="O181:O183"/>
    <mergeCell ref="P181:P183"/>
    <mergeCell ref="Q181:Q183"/>
    <mergeCell ref="A185:A188"/>
    <mergeCell ref="B185:F188"/>
    <mergeCell ref="N185:N188"/>
    <mergeCell ref="O185:O188"/>
    <mergeCell ref="P185:P188"/>
    <mergeCell ref="A181:A183"/>
    <mergeCell ref="B181:B183"/>
    <mergeCell ref="C181:C183"/>
    <mergeCell ref="D181:D183"/>
    <mergeCell ref="E181:E183"/>
    <mergeCell ref="N181:N183"/>
    <mergeCell ref="A173:A176"/>
    <mergeCell ref="B173:B176"/>
    <mergeCell ref="C173:C176"/>
    <mergeCell ref="D173:D176"/>
    <mergeCell ref="E173:E176"/>
    <mergeCell ref="N173:N175"/>
    <mergeCell ref="O173:O176"/>
    <mergeCell ref="P173:P176"/>
    <mergeCell ref="A177:A179"/>
    <mergeCell ref="B177:B179"/>
    <mergeCell ref="C177:C179"/>
    <mergeCell ref="D177:D179"/>
    <mergeCell ref="E177:E179"/>
    <mergeCell ref="N177:N179"/>
    <mergeCell ref="O177:O179"/>
    <mergeCell ref="P177:P179"/>
    <mergeCell ref="A165:A168"/>
    <mergeCell ref="B165:F168"/>
    <mergeCell ref="N165:N168"/>
    <mergeCell ref="O165:O168"/>
    <mergeCell ref="P165:P168"/>
    <mergeCell ref="A169:A171"/>
    <mergeCell ref="B169:B171"/>
    <mergeCell ref="C169:C171"/>
    <mergeCell ref="D169:D171"/>
    <mergeCell ref="E169:E171"/>
    <mergeCell ref="N169:N171"/>
    <mergeCell ref="O169:O171"/>
    <mergeCell ref="P169:P171"/>
    <mergeCell ref="O159:O161"/>
    <mergeCell ref="P159:P161"/>
    <mergeCell ref="A162:A164"/>
    <mergeCell ref="B162:B164"/>
    <mergeCell ref="C162:C164"/>
    <mergeCell ref="D162:D164"/>
    <mergeCell ref="E162:E164"/>
    <mergeCell ref="N162:N164"/>
    <mergeCell ref="O162:O164"/>
    <mergeCell ref="P162:P164"/>
    <mergeCell ref="A159:A161"/>
    <mergeCell ref="B159:B161"/>
    <mergeCell ref="C159:C161"/>
    <mergeCell ref="D159:D161"/>
    <mergeCell ref="E159:E161"/>
    <mergeCell ref="N159:N161"/>
    <mergeCell ref="O153:O155"/>
    <mergeCell ref="P153:P155"/>
    <mergeCell ref="A156:A158"/>
    <mergeCell ref="B156:B158"/>
    <mergeCell ref="C156:C158"/>
    <mergeCell ref="D156:D158"/>
    <mergeCell ref="E156:E158"/>
    <mergeCell ref="N156:N158"/>
    <mergeCell ref="O156:O158"/>
    <mergeCell ref="P156:P158"/>
    <mergeCell ref="A153:A155"/>
    <mergeCell ref="B153:B155"/>
    <mergeCell ref="C153:C155"/>
    <mergeCell ref="D153:D155"/>
    <mergeCell ref="E153:E155"/>
    <mergeCell ref="N153:N155"/>
    <mergeCell ref="O147:O149"/>
    <mergeCell ref="P147:P149"/>
    <mergeCell ref="R149:R151"/>
    <mergeCell ref="A150:A152"/>
    <mergeCell ref="B150:F152"/>
    <mergeCell ref="N150:N152"/>
    <mergeCell ref="O150:O152"/>
    <mergeCell ref="P150:P152"/>
    <mergeCell ref="A147:A149"/>
    <mergeCell ref="B147:B149"/>
    <mergeCell ref="C147:C149"/>
    <mergeCell ref="D147:D149"/>
    <mergeCell ref="E147:E149"/>
    <mergeCell ref="N147:N149"/>
    <mergeCell ref="O141:O143"/>
    <mergeCell ref="P141:P143"/>
    <mergeCell ref="A144:A146"/>
    <mergeCell ref="B144:B146"/>
    <mergeCell ref="C144:C146"/>
    <mergeCell ref="D144:D146"/>
    <mergeCell ref="E144:E146"/>
    <mergeCell ref="N144:N146"/>
    <mergeCell ref="O144:O146"/>
    <mergeCell ref="P144:P146"/>
    <mergeCell ref="A141:A143"/>
    <mergeCell ref="B141:B143"/>
    <mergeCell ref="C141:C143"/>
    <mergeCell ref="D141:D143"/>
    <mergeCell ref="E141:E143"/>
    <mergeCell ref="N141:N143"/>
    <mergeCell ref="O135:O137"/>
    <mergeCell ref="P135:P137"/>
    <mergeCell ref="A138:A140"/>
    <mergeCell ref="B138:F140"/>
    <mergeCell ref="N138:N140"/>
    <mergeCell ref="O138:O140"/>
    <mergeCell ref="P138:P140"/>
    <mergeCell ref="A135:A137"/>
    <mergeCell ref="B135:B137"/>
    <mergeCell ref="C135:C137"/>
    <mergeCell ref="D135:D137"/>
    <mergeCell ref="E135:E137"/>
    <mergeCell ref="N135:N137"/>
    <mergeCell ref="O129:O131"/>
    <mergeCell ref="P129:P131"/>
    <mergeCell ref="A132:A134"/>
    <mergeCell ref="B132:B134"/>
    <mergeCell ref="C132:C134"/>
    <mergeCell ref="D132:D134"/>
    <mergeCell ref="E132:E134"/>
    <mergeCell ref="N132:N134"/>
    <mergeCell ref="O132:O134"/>
    <mergeCell ref="P132:P134"/>
    <mergeCell ref="A129:A131"/>
    <mergeCell ref="B129:B131"/>
    <mergeCell ref="C129:C131"/>
    <mergeCell ref="D129:D131"/>
    <mergeCell ref="E129:E131"/>
    <mergeCell ref="N129:N131"/>
    <mergeCell ref="O123:O125"/>
    <mergeCell ref="P123:P125"/>
    <mergeCell ref="A126:A128"/>
    <mergeCell ref="B126:F128"/>
    <mergeCell ref="N126:N128"/>
    <mergeCell ref="O126:O128"/>
    <mergeCell ref="P126:P128"/>
    <mergeCell ref="A123:A125"/>
    <mergeCell ref="B123:B125"/>
    <mergeCell ref="C123:C125"/>
    <mergeCell ref="D123:D125"/>
    <mergeCell ref="E123:E125"/>
    <mergeCell ref="N123:N125"/>
    <mergeCell ref="O117:O119"/>
    <mergeCell ref="P117:P119"/>
    <mergeCell ref="A120:A122"/>
    <mergeCell ref="B120:F122"/>
    <mergeCell ref="N120:N122"/>
    <mergeCell ref="O120:O122"/>
    <mergeCell ref="P120:P122"/>
    <mergeCell ref="A117:A119"/>
    <mergeCell ref="B117:B119"/>
    <mergeCell ref="C117:C119"/>
    <mergeCell ref="D117:D119"/>
    <mergeCell ref="E117:E119"/>
    <mergeCell ref="N117:N119"/>
    <mergeCell ref="O111:O113"/>
    <mergeCell ref="P111:P113"/>
    <mergeCell ref="A114:A116"/>
    <mergeCell ref="B114:F116"/>
    <mergeCell ref="N114:N116"/>
    <mergeCell ref="O114:O116"/>
    <mergeCell ref="P114:P116"/>
    <mergeCell ref="A111:A113"/>
    <mergeCell ref="B111:B113"/>
    <mergeCell ref="C111:C113"/>
    <mergeCell ref="D111:D113"/>
    <mergeCell ref="E111:E113"/>
    <mergeCell ref="N111:N113"/>
    <mergeCell ref="O105:O107"/>
    <mergeCell ref="P105:P107"/>
    <mergeCell ref="A108:A110"/>
    <mergeCell ref="B108:B110"/>
    <mergeCell ref="C108:C110"/>
    <mergeCell ref="D108:D110"/>
    <mergeCell ref="E108:E110"/>
    <mergeCell ref="N108:N110"/>
    <mergeCell ref="O108:O110"/>
    <mergeCell ref="P108:P110"/>
    <mergeCell ref="A105:A107"/>
    <mergeCell ref="B105:B107"/>
    <mergeCell ref="C105:C107"/>
    <mergeCell ref="D105:D107"/>
    <mergeCell ref="E105:E107"/>
    <mergeCell ref="N105:N107"/>
    <mergeCell ref="O99:O101"/>
    <mergeCell ref="P99:P101"/>
    <mergeCell ref="A102:A104"/>
    <mergeCell ref="B102:B104"/>
    <mergeCell ref="C102:C104"/>
    <mergeCell ref="D102:D104"/>
    <mergeCell ref="E102:E104"/>
    <mergeCell ref="N102:N104"/>
    <mergeCell ref="O102:O104"/>
    <mergeCell ref="P102:P104"/>
    <mergeCell ref="A99:A101"/>
    <mergeCell ref="B99:B101"/>
    <mergeCell ref="C99:C101"/>
    <mergeCell ref="D99:D101"/>
    <mergeCell ref="E99:E101"/>
    <mergeCell ref="N99:N101"/>
    <mergeCell ref="O93:O95"/>
    <mergeCell ref="P93:P95"/>
    <mergeCell ref="A96:A98"/>
    <mergeCell ref="B96:F98"/>
    <mergeCell ref="N96:N98"/>
    <mergeCell ref="O96:O98"/>
    <mergeCell ref="P96:P98"/>
    <mergeCell ref="A93:A95"/>
    <mergeCell ref="B93:B95"/>
    <mergeCell ref="C93:C95"/>
    <mergeCell ref="D93:D95"/>
    <mergeCell ref="E93:E95"/>
    <mergeCell ref="N93:N95"/>
    <mergeCell ref="A90:A92"/>
    <mergeCell ref="B90:B92"/>
    <mergeCell ref="C90:C92"/>
    <mergeCell ref="D90:D92"/>
    <mergeCell ref="E90:E92"/>
    <mergeCell ref="N90:N92"/>
    <mergeCell ref="O90:O92"/>
    <mergeCell ref="P90:P92"/>
    <mergeCell ref="A87:A89"/>
    <mergeCell ref="B87:B89"/>
    <mergeCell ref="C87:C89"/>
    <mergeCell ref="D87:D89"/>
    <mergeCell ref="E87:E89"/>
    <mergeCell ref="N87:N89"/>
    <mergeCell ref="A84:A86"/>
    <mergeCell ref="B84:B86"/>
    <mergeCell ref="C84:C86"/>
    <mergeCell ref="D84:D86"/>
    <mergeCell ref="E84:E86"/>
    <mergeCell ref="N84:N86"/>
    <mergeCell ref="O84:O86"/>
    <mergeCell ref="P84:P86"/>
    <mergeCell ref="O87:O89"/>
    <mergeCell ref="P87:P89"/>
    <mergeCell ref="P73:Q73"/>
    <mergeCell ref="G78:G79"/>
    <mergeCell ref="H78:M78"/>
    <mergeCell ref="N78:N79"/>
    <mergeCell ref="O78:O79"/>
    <mergeCell ref="A81:A83"/>
    <mergeCell ref="B81:F83"/>
    <mergeCell ref="N81:N83"/>
    <mergeCell ref="O81:O83"/>
    <mergeCell ref="A76:N76"/>
    <mergeCell ref="A77:N77"/>
    <mergeCell ref="A78:A79"/>
    <mergeCell ref="B78:B79"/>
    <mergeCell ref="C78:C79"/>
    <mergeCell ref="D78:D79"/>
    <mergeCell ref="E78:E79"/>
    <mergeCell ref="F78:F79"/>
    <mergeCell ref="P81:P83"/>
    <mergeCell ref="P70:P72"/>
    <mergeCell ref="O66:O68"/>
    <mergeCell ref="P66:P68"/>
    <mergeCell ref="A66:A68"/>
    <mergeCell ref="B66:B68"/>
    <mergeCell ref="C66:C68"/>
    <mergeCell ref="D66:D68"/>
    <mergeCell ref="E66:E68"/>
    <mergeCell ref="N66:N68"/>
    <mergeCell ref="P60:P62"/>
    <mergeCell ref="A63:A65"/>
    <mergeCell ref="B63:F65"/>
    <mergeCell ref="N63:N65"/>
    <mergeCell ref="O63:O65"/>
    <mergeCell ref="P63:P65"/>
    <mergeCell ref="A60:A62"/>
    <mergeCell ref="B60:B62"/>
    <mergeCell ref="C60:C62"/>
    <mergeCell ref="D60:D62"/>
    <mergeCell ref="E60:E62"/>
    <mergeCell ref="N60:N62"/>
    <mergeCell ref="P54:P56"/>
    <mergeCell ref="A57:A59"/>
    <mergeCell ref="B57:F59"/>
    <mergeCell ref="N57:N59"/>
    <mergeCell ref="O57:O59"/>
    <mergeCell ref="P57:P59"/>
    <mergeCell ref="A54:A56"/>
    <mergeCell ref="B54:B56"/>
    <mergeCell ref="C54:C56"/>
    <mergeCell ref="D54:D56"/>
    <mergeCell ref="E54:E56"/>
    <mergeCell ref="N54:N56"/>
    <mergeCell ref="P48:P50"/>
    <mergeCell ref="A51:A53"/>
    <mergeCell ref="B51:F53"/>
    <mergeCell ref="N51:N53"/>
    <mergeCell ref="O51:O53"/>
    <mergeCell ref="P51:P53"/>
    <mergeCell ref="A48:A50"/>
    <mergeCell ref="B48:B50"/>
    <mergeCell ref="C48:C50"/>
    <mergeCell ref="D48:D50"/>
    <mergeCell ref="E48:E50"/>
    <mergeCell ref="N48:N50"/>
    <mergeCell ref="P42:P44"/>
    <mergeCell ref="A45:A47"/>
    <mergeCell ref="B45:F47"/>
    <mergeCell ref="N45:N47"/>
    <mergeCell ref="O45:O47"/>
    <mergeCell ref="P45:P47"/>
    <mergeCell ref="A42:A44"/>
    <mergeCell ref="B42:B44"/>
    <mergeCell ref="C42:C44"/>
    <mergeCell ref="D42:D44"/>
    <mergeCell ref="E42:E44"/>
    <mergeCell ref="N42:N44"/>
    <mergeCell ref="P36:P38"/>
    <mergeCell ref="A39:A41"/>
    <mergeCell ref="B39:F41"/>
    <mergeCell ref="N39:N41"/>
    <mergeCell ref="O39:O41"/>
    <mergeCell ref="P39:P41"/>
    <mergeCell ref="A33:A35"/>
    <mergeCell ref="B33:F35"/>
    <mergeCell ref="N33:N35"/>
    <mergeCell ref="O33:O35"/>
    <mergeCell ref="P33:P35"/>
    <mergeCell ref="A36:A38"/>
    <mergeCell ref="B36:B38"/>
    <mergeCell ref="C36:C38"/>
    <mergeCell ref="D36:D38"/>
    <mergeCell ref="E36:E38"/>
    <mergeCell ref="P30:P32"/>
    <mergeCell ref="A27:A29"/>
    <mergeCell ref="B27:B29"/>
    <mergeCell ref="C27:C29"/>
    <mergeCell ref="D27:D29"/>
    <mergeCell ref="E27:E29"/>
    <mergeCell ref="N27:N29"/>
    <mergeCell ref="O27:O29"/>
    <mergeCell ref="P27:P29"/>
    <mergeCell ref="N12:N14"/>
    <mergeCell ref="O12:O14"/>
    <mergeCell ref="A15:A17"/>
    <mergeCell ref="A30:A32"/>
    <mergeCell ref="B30:B32"/>
    <mergeCell ref="C30:C32"/>
    <mergeCell ref="D30:D32"/>
    <mergeCell ref="E30:E32"/>
    <mergeCell ref="N30:N32"/>
    <mergeCell ref="O30:O32"/>
    <mergeCell ref="A1:O1"/>
    <mergeCell ref="P6:P8"/>
    <mergeCell ref="A9:A11"/>
    <mergeCell ref="B9:B11"/>
    <mergeCell ref="C9:C11"/>
    <mergeCell ref="D9:D11"/>
    <mergeCell ref="E9:E11"/>
    <mergeCell ref="N9:N11"/>
    <mergeCell ref="O9:O11"/>
    <mergeCell ref="P9:P11"/>
    <mergeCell ref="N3:N4"/>
    <mergeCell ref="O3:O4"/>
    <mergeCell ref="A6:A8"/>
    <mergeCell ref="B6:F8"/>
    <mergeCell ref="N6:N8"/>
    <mergeCell ref="O6:O8"/>
    <mergeCell ref="A3:A4"/>
    <mergeCell ref="B3:B4"/>
    <mergeCell ref="C3:C4"/>
    <mergeCell ref="D3:D4"/>
    <mergeCell ref="E3:E4"/>
    <mergeCell ref="F3:F4"/>
    <mergeCell ref="G3:G4"/>
    <mergeCell ref="H3:M3"/>
    <mergeCell ref="P21:P23"/>
    <mergeCell ref="A24:A26"/>
    <mergeCell ref="B24:F26"/>
    <mergeCell ref="A2:O2"/>
    <mergeCell ref="N24:N26"/>
    <mergeCell ref="O24:O26"/>
    <mergeCell ref="P24:P26"/>
    <mergeCell ref="A21:A23"/>
    <mergeCell ref="B21:B23"/>
    <mergeCell ref="C21:C23"/>
    <mergeCell ref="D21:D23"/>
    <mergeCell ref="E21:E23"/>
    <mergeCell ref="N21:N23"/>
    <mergeCell ref="P15:P17"/>
    <mergeCell ref="A18:A20"/>
    <mergeCell ref="B18:F20"/>
    <mergeCell ref="N18:N20"/>
    <mergeCell ref="O18:O20"/>
    <mergeCell ref="P18:P20"/>
    <mergeCell ref="P12:P14"/>
    <mergeCell ref="N15:N17"/>
    <mergeCell ref="O15:O17"/>
    <mergeCell ref="A12:A14"/>
    <mergeCell ref="B12:F14"/>
    <mergeCell ref="B205:B207"/>
    <mergeCell ref="C205:C207"/>
    <mergeCell ref="D205:D207"/>
    <mergeCell ref="E205:E207"/>
    <mergeCell ref="N205:N207"/>
    <mergeCell ref="O205:O207"/>
    <mergeCell ref="A205:A207"/>
    <mergeCell ref="B15:B17"/>
    <mergeCell ref="C15:C17"/>
    <mergeCell ref="D15:D17"/>
    <mergeCell ref="E15:E17"/>
    <mergeCell ref="O21:O23"/>
    <mergeCell ref="N36:N38"/>
    <mergeCell ref="O36:O38"/>
    <mergeCell ref="O42:O44"/>
    <mergeCell ref="O48:O50"/>
    <mergeCell ref="O54:O56"/>
    <mergeCell ref="O60:O62"/>
    <mergeCell ref="A73:O73"/>
    <mergeCell ref="A75:O75"/>
    <mergeCell ref="B69:F69"/>
    <mergeCell ref="A70:E72"/>
    <mergeCell ref="N70:N72"/>
    <mergeCell ref="O70:O72"/>
  </mergeCells>
  <pageMargins left="0.11811023622047245" right="0.11811023622047245" top="0.19685039370078741" bottom="0.19685039370078741" header="0.31496062992125984" footer="0.31496062992125984"/>
  <pageSetup paperSize="9" scale="78" fitToHeight="0" orientation="landscape" r:id="rId6"/>
  <rowBreaks count="19" manualBreakCount="19">
    <brk id="11" max="16383" man="1"/>
    <brk id="23" max="14" man="1"/>
    <brk id="38" max="14" man="1"/>
    <brk id="50" max="16383" man="1"/>
    <brk id="72" max="14" man="1"/>
    <brk id="97" max="14" man="1"/>
    <brk id="119" max="16383" man="1"/>
    <brk id="146" max="14" man="1"/>
    <brk id="176" max="14" man="1"/>
    <brk id="192" max="16383" man="1"/>
    <brk id="216" max="16383" man="1"/>
    <brk id="239" max="14" man="1"/>
    <brk id="255" max="14" man="1"/>
    <brk id="273" max="14" man="1"/>
    <brk id="285" max="14" man="1"/>
    <brk id="321" max="14" man="1"/>
    <brk id="339" max="14" man="1"/>
    <brk id="378" max="14" man="1"/>
    <brk id="407" max="14" man="1"/>
  </rowBreaks>
  <legacy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16"/>
  <sheetViews>
    <sheetView tabSelected="1" view="pageBreakPreview" zoomScale="80" zoomScaleNormal="70" zoomScaleSheetLayoutView="70" zoomScalePageLayoutView="70" workbookViewId="0">
      <selection activeCell="F9" sqref="F9"/>
    </sheetView>
  </sheetViews>
  <sheetFormatPr defaultColWidth="8.6640625" defaultRowHeight="14.4" x14ac:dyDescent="0.3"/>
  <cols>
    <col min="1" max="1" width="10.33203125" style="6" customWidth="1"/>
    <col min="2" max="2" width="10.44140625" style="6" customWidth="1"/>
    <col min="3" max="3" width="13.44140625" style="6" customWidth="1"/>
    <col min="4" max="4" width="24.109375" style="6" customWidth="1"/>
    <col min="5" max="5" width="19.109375" style="6" customWidth="1"/>
    <col min="6" max="6" width="18.109375" style="6" customWidth="1"/>
    <col min="7" max="9" width="15.33203125" style="6" customWidth="1"/>
    <col min="10" max="10" width="12.44140625" style="6" customWidth="1"/>
    <col min="11" max="11" width="18.33203125" style="6" customWidth="1"/>
    <col min="14" max="14" width="24.33203125" customWidth="1"/>
    <col min="15" max="15" width="23.88671875" customWidth="1"/>
    <col min="16" max="16" width="25" customWidth="1"/>
    <col min="18" max="18" width="28.33203125" customWidth="1"/>
  </cols>
  <sheetData>
    <row r="1" spans="1:18" s="45" customFormat="1" ht="28.5" customHeight="1" x14ac:dyDescent="0.3">
      <c r="A1" s="1748" t="s">
        <v>1337</v>
      </c>
      <c r="B1" s="1748"/>
      <c r="C1" s="1748"/>
      <c r="D1" s="1748"/>
      <c r="E1" s="1748"/>
      <c r="F1" s="1748"/>
      <c r="G1" s="1748"/>
      <c r="H1" s="1748"/>
      <c r="I1" s="1748"/>
      <c r="J1" s="1748"/>
      <c r="K1" s="1748"/>
    </row>
    <row r="2" spans="1:18" ht="48.75" customHeight="1" x14ac:dyDescent="0.3">
      <c r="A2" s="1749" t="s">
        <v>0</v>
      </c>
      <c r="B2" s="1750"/>
      <c r="C2" s="1751"/>
      <c r="D2" s="1752" t="s">
        <v>1</v>
      </c>
      <c r="E2" s="1753"/>
      <c r="F2" s="1753"/>
      <c r="G2" s="1753"/>
      <c r="H2" s="1753"/>
      <c r="I2" s="1753"/>
      <c r="J2" s="1753"/>
      <c r="K2" s="1754"/>
      <c r="O2" s="1428" t="s">
        <v>1677</v>
      </c>
    </row>
    <row r="3" spans="1:18" ht="18.75" customHeight="1" x14ac:dyDescent="0.3">
      <c r="A3" s="1755" t="s">
        <v>220</v>
      </c>
      <c r="B3" s="1756"/>
      <c r="C3" s="1757"/>
      <c r="D3" s="1764" t="s">
        <v>61</v>
      </c>
      <c r="E3" s="1764" t="s">
        <v>62</v>
      </c>
      <c r="F3" s="1765" t="s">
        <v>63</v>
      </c>
      <c r="G3" s="1765"/>
      <c r="H3" s="1765"/>
      <c r="I3" s="1765"/>
      <c r="J3" s="1765"/>
      <c r="K3" s="1765"/>
    </row>
    <row r="4" spans="1:18" ht="20.25" customHeight="1" x14ac:dyDescent="0.3">
      <c r="A4" s="1758"/>
      <c r="B4" s="1759"/>
      <c r="C4" s="1760"/>
      <c r="D4" s="1764"/>
      <c r="E4" s="1764"/>
      <c r="F4" s="477" t="s">
        <v>4</v>
      </c>
      <c r="G4" s="477" t="s">
        <v>91</v>
      </c>
      <c r="H4" s="477" t="s">
        <v>90</v>
      </c>
      <c r="I4" s="477" t="s">
        <v>89</v>
      </c>
      <c r="J4" s="477" t="s">
        <v>221</v>
      </c>
      <c r="K4" s="477" t="s">
        <v>12</v>
      </c>
    </row>
    <row r="5" spans="1:18" ht="32.25" customHeight="1" x14ac:dyDescent="0.3">
      <c r="A5" s="1761"/>
      <c r="B5" s="1762"/>
      <c r="C5" s="1763"/>
      <c r="D5" s="350"/>
      <c r="E5" s="350" t="s">
        <v>222</v>
      </c>
      <c r="F5" s="353">
        <f>F6+F9+F10+F11</f>
        <v>3279873.23</v>
      </c>
      <c r="G5" s="353">
        <f t="shared" ref="G5:J5" si="0">G6+G9+G10+G11</f>
        <v>4127085.3</v>
      </c>
      <c r="H5" s="353">
        <f t="shared" si="0"/>
        <v>2541974.7000000002</v>
      </c>
      <c r="I5" s="353">
        <f t="shared" si="0"/>
        <v>2108631.7000000002</v>
      </c>
      <c r="J5" s="353">
        <f t="shared" si="0"/>
        <v>0</v>
      </c>
      <c r="K5" s="353">
        <f>K6+K9+K10+K11</f>
        <v>12057564.93</v>
      </c>
      <c r="N5" s="1432">
        <f t="shared" ref="N5:O5" si="1">N6+N9+N10+N11</f>
        <v>5562717.8399999999</v>
      </c>
      <c r="O5" s="1432">
        <f t="shared" si="1"/>
        <v>6494847.0899999999</v>
      </c>
      <c r="P5" s="103"/>
    </row>
    <row r="6" spans="1:18" ht="75.75" customHeight="1" x14ac:dyDescent="0.3">
      <c r="A6" s="1742"/>
      <c r="B6" s="1743"/>
      <c r="C6" s="1746"/>
      <c r="D6" s="350"/>
      <c r="E6" s="350" t="s">
        <v>223</v>
      </c>
      <c r="F6" s="476">
        <f>F7+F8</f>
        <v>2249177</v>
      </c>
      <c r="G6" s="476">
        <f t="shared" ref="G6:J6" si="2">G7+G8</f>
        <v>3495414</v>
      </c>
      <c r="H6" s="476">
        <f t="shared" si="2"/>
        <v>2318184</v>
      </c>
      <c r="I6" s="476">
        <f t="shared" si="2"/>
        <v>1884841</v>
      </c>
      <c r="J6" s="476">
        <f t="shared" si="2"/>
        <v>0</v>
      </c>
      <c r="K6" s="353">
        <f>F6+G6+H6+I6+J6</f>
        <v>9947616</v>
      </c>
      <c r="N6" s="1426">
        <v>4509882</v>
      </c>
      <c r="O6" s="1427">
        <f>K6-N6</f>
        <v>5437734</v>
      </c>
      <c r="P6" s="1429" t="s">
        <v>223</v>
      </c>
    </row>
    <row r="7" spans="1:18" ht="63.75" customHeight="1" x14ac:dyDescent="0.3">
      <c r="A7" s="1742"/>
      <c r="B7" s="1743"/>
      <c r="C7" s="1746"/>
      <c r="D7" s="350" t="s">
        <v>16</v>
      </c>
      <c r="E7" s="350" t="s">
        <v>13</v>
      </c>
      <c r="F7" s="353">
        <f>'ПМ П2'!G12+'ПМ П2'!G17+'ПМ П2'!G20+'ПМ П2'!G32+'ПМ П2'!G37+'ПМ П2'!G41+'ПМ П2'!G43+'ПМ П2'!G25</f>
        <v>2198783</v>
      </c>
      <c r="G7" s="353">
        <f>'ПМ П2'!H12+'ПМ П2'!H17+'ПМ П2'!H20+'ПМ П2'!H32+'ПМ П2'!H37+'ПМ П2'!H41+'ПМ П2'!H43+'ПМ П2'!H25</f>
        <v>3415918</v>
      </c>
      <c r="H7" s="353">
        <f>'ПМ П2'!I12+'ПМ П2'!I17+'ПМ П2'!I20+'ПМ П2'!I32+'ПМ П2'!I37+'ПМ П2'!I41+'ПМ П2'!I43+'ПМ П2'!I25</f>
        <v>2318184</v>
      </c>
      <c r="I7" s="353">
        <f>'ПМ П2'!J12+'ПМ П2'!J17+'ПМ П2'!J20+'ПМ П2'!J32+'ПМ П2'!J37+'ПМ П2'!J41+'ПМ П2'!J43+'ПМ П2'!J25</f>
        <v>1884841</v>
      </c>
      <c r="J7" s="353">
        <f>'ПМ П2'!K12+'ПМ П2'!K17+'ПМ П2'!K20+'ПМ П2'!K32+'ПМ П2'!K37+'ПМ П2'!K41+'ПМ П2'!K43+'ПМ П2'!K25</f>
        <v>0</v>
      </c>
      <c r="K7" s="353">
        <f>F7+G7+H7+I7+J7</f>
        <v>9817726</v>
      </c>
      <c r="N7" s="1427">
        <v>4382153</v>
      </c>
      <c r="O7" s="1427">
        <f t="shared" ref="O7:O11" si="3">K7-N7</f>
        <v>5435573</v>
      </c>
      <c r="P7" s="1433" t="s">
        <v>16</v>
      </c>
      <c r="R7" s="1445">
        <v>1928787</v>
      </c>
    </row>
    <row r="8" spans="1:18" ht="63.75" customHeight="1" x14ac:dyDescent="0.3">
      <c r="A8" s="1742"/>
      <c r="B8" s="1743"/>
      <c r="C8" s="1746"/>
      <c r="D8" s="350" t="s">
        <v>47</v>
      </c>
      <c r="E8" s="350" t="s">
        <v>13</v>
      </c>
      <c r="F8" s="353">
        <f>'ПМ П2'!G33+'ПМ П2'!G13</f>
        <v>50394</v>
      </c>
      <c r="G8" s="353">
        <f>'ПМ П2'!H33+'ПМ П2'!H13</f>
        <v>79496</v>
      </c>
      <c r="H8" s="353">
        <f>'ПМ П2'!I33+'ПМ П2'!I13</f>
        <v>0</v>
      </c>
      <c r="I8" s="353">
        <f>'ПМ П2'!J33+'ПМ П2'!J13</f>
        <v>0</v>
      </c>
      <c r="J8" s="353">
        <f>'ПМ П2'!K33+'ПМ П2'!K13</f>
        <v>0</v>
      </c>
      <c r="K8" s="353">
        <f t="shared" ref="K8:K11" si="4">F8+G8+H8+I8+J8</f>
        <v>129890</v>
      </c>
      <c r="N8" s="1427">
        <v>127729</v>
      </c>
      <c r="O8" s="1427">
        <f t="shared" si="3"/>
        <v>2161</v>
      </c>
      <c r="P8" s="1433" t="s">
        <v>47</v>
      </c>
      <c r="R8" s="1445">
        <v>86196</v>
      </c>
    </row>
    <row r="9" spans="1:18" ht="98.25" customHeight="1" x14ac:dyDescent="0.3">
      <c r="A9" s="1742"/>
      <c r="B9" s="1743"/>
      <c r="C9" s="1746"/>
      <c r="D9" s="350"/>
      <c r="E9" s="350" t="s">
        <v>14</v>
      </c>
      <c r="F9" s="353">
        <f>'ПМ П2'!G7+'ПМ П2'!G28</f>
        <v>567646.5</v>
      </c>
      <c r="G9" s="353">
        <f>'ПМ П2'!H7+'ПМ П2'!H28</f>
        <v>622736.5</v>
      </c>
      <c r="H9" s="353">
        <f>'ПМ П2'!I7+'ПМ П2'!I28</f>
        <v>223790.7</v>
      </c>
      <c r="I9" s="353">
        <f>'ПМ П2'!J7+'ПМ П2'!J28</f>
        <v>223790.7</v>
      </c>
      <c r="J9" s="353">
        <f>'ПМ П2'!K7+'ПМ П2'!K28</f>
        <v>0</v>
      </c>
      <c r="K9" s="353">
        <f t="shared" si="4"/>
        <v>1637964.4</v>
      </c>
      <c r="N9" s="1427">
        <v>878033.64</v>
      </c>
      <c r="O9" s="1427">
        <f t="shared" si="3"/>
        <v>759930.76</v>
      </c>
      <c r="P9" s="1429" t="s">
        <v>14</v>
      </c>
      <c r="R9" s="1445">
        <v>556903.29</v>
      </c>
    </row>
    <row r="10" spans="1:18" ht="49.5" customHeight="1" x14ac:dyDescent="0.3">
      <c r="A10" s="1742"/>
      <c r="B10" s="1743"/>
      <c r="C10" s="1746"/>
      <c r="D10" s="350"/>
      <c r="E10" s="350" t="s">
        <v>231</v>
      </c>
      <c r="F10" s="770">
        <f>'ПМ П2'!G8+'ПМ П2'!G29</f>
        <v>138049.73000000001</v>
      </c>
      <c r="G10" s="938">
        <f>'ПМ П2'!H8+'ПМ П2'!H29</f>
        <v>8934.7999999999993</v>
      </c>
      <c r="H10" s="938">
        <f>'ПМ П2'!I8+'ПМ П2'!I29</f>
        <v>0</v>
      </c>
      <c r="I10" s="938">
        <f>'ПМ П2'!J8+'ПМ П2'!J29</f>
        <v>0</v>
      </c>
      <c r="J10" s="938">
        <f>'ПМ П2'!K8+'ПМ П2'!K29</f>
        <v>0</v>
      </c>
      <c r="K10" s="353">
        <f>F10+G10+H10+I10+J10</f>
        <v>146984.53</v>
      </c>
      <c r="N10" s="1427">
        <v>59802.2</v>
      </c>
      <c r="O10" s="1427">
        <f t="shared" si="3"/>
        <v>87182.33</v>
      </c>
      <c r="P10" s="1429" t="s">
        <v>231</v>
      </c>
      <c r="R10" s="1445">
        <v>50867.4</v>
      </c>
    </row>
    <row r="11" spans="1:18" ht="89.25" customHeight="1" x14ac:dyDescent="0.3">
      <c r="A11" s="1744"/>
      <c r="B11" s="1745"/>
      <c r="C11" s="1747"/>
      <c r="D11" s="350"/>
      <c r="E11" s="350" t="s">
        <v>144</v>
      </c>
      <c r="F11" s="353">
        <f>'ПМ П2'!G9</f>
        <v>325000</v>
      </c>
      <c r="G11" s="353">
        <f>'ПМ П2'!H9</f>
        <v>0</v>
      </c>
      <c r="H11" s="353">
        <f>'ПМ П2'!I9</f>
        <v>0</v>
      </c>
      <c r="I11" s="353">
        <f>'ПМ П2'!J9</f>
        <v>0</v>
      </c>
      <c r="J11" s="353">
        <f>'ПМ П2'!K9</f>
        <v>0</v>
      </c>
      <c r="K11" s="353">
        <f t="shared" si="4"/>
        <v>325000</v>
      </c>
      <c r="N11" s="1427">
        <v>115000</v>
      </c>
      <c r="O11" s="1427">
        <f t="shared" si="3"/>
        <v>210000</v>
      </c>
      <c r="P11" s="1429" t="s">
        <v>144</v>
      </c>
      <c r="R11" s="1445">
        <v>115000</v>
      </c>
    </row>
    <row r="13" spans="1:18" x14ac:dyDescent="0.3">
      <c r="F13" s="92">
        <f>'ПМ П2'!G12+'ПМ П2'!G17+'ПМ П2'!G20+'ПМ П2'!G25+'ПМ П2'!G32+'ПМ П2'!G37+'ПМ П2'!G41+'ПМ П2'!G43</f>
        <v>2198783</v>
      </c>
    </row>
    <row r="14" spans="1:18" x14ac:dyDescent="0.3">
      <c r="F14" s="92">
        <f>'ПМ П2'!G13+'ПМ П2'!G33</f>
        <v>50394</v>
      </c>
    </row>
    <row r="15" spans="1:18" x14ac:dyDescent="0.3">
      <c r="F15" s="92">
        <f>'ПМ П2'!G7+'ПМ П2'!G28</f>
        <v>567646.5</v>
      </c>
    </row>
    <row r="16" spans="1:18" x14ac:dyDescent="0.3">
      <c r="F16" s="92">
        <f>'ПМ П2'!G8+'ПМ П2'!G29</f>
        <v>138049.73000000001</v>
      </c>
    </row>
  </sheetData>
  <customSheetViews>
    <customSheetView guid="{7DDEA387-EEC9-4633-99BE-C0D9299FB093}" scale="80" showPageBreaks="1" printArea="1" view="pageBreakPreview">
      <selection activeCell="F9" sqref="F9"/>
      <pageMargins left="0.70866141732283472" right="0.70866141732283472" top="0.74803149606299213" bottom="0.74803149606299213" header="0.31496062992125984" footer="0.31496062992125984"/>
      <pageSetup paperSize="9" scale="60" orientation="landscape" r:id="rId1"/>
    </customSheetView>
    <customSheetView guid="{6592EBC0-D945-4F6F-93D1-49FCB588A4A0}" scale="70" showPageBreaks="1" printArea="1" topLeftCell="A2">
      <selection activeCell="U8" sqref="U8"/>
      <pageMargins left="0.70866141732283472" right="0.70866141732283472" top="0.74803149606299213" bottom="0.74803149606299213" header="0.31496062992125984" footer="0.31496062992125984"/>
      <pageSetup paperSize="9" scale="60" orientation="landscape" r:id="rId2"/>
    </customSheetView>
    <customSheetView guid="{001F394D-7E32-49E0-9108-A9790B233A9D}" scale="80" showPageBreaks="1" printArea="1" view="pageBreakPreview">
      <selection activeCell="L8" sqref="L8"/>
      <pageMargins left="0.70866141732283472" right="0.70866141732283472" top="0.74803149606299213" bottom="0.74803149606299213" header="0.31496062992125984" footer="0.31496062992125984"/>
      <pageSetup paperSize="9" scale="60" orientation="landscape" r:id="rId3"/>
    </customSheetView>
    <customSheetView guid="{F08E63B0-D6C4-4E18-B2B6-E1E751FE7DF2}" scale="80" showPageBreaks="1" printArea="1" view="pageBreakPreview">
      <selection activeCell="L8" sqref="L8"/>
      <pageMargins left="0.70866141732283472" right="0.70866141732283472" top="0.74803149606299213" bottom="0.74803149606299213" header="0.31496062992125984" footer="0.31496062992125984"/>
      <pageSetup paperSize="9" scale="60" orientation="landscape" r:id="rId4"/>
    </customSheetView>
    <customSheetView guid="{D32E4BC6-6FD7-4441-855E-C6B8F80A132E}" scale="80" showPageBreaks="1" printArea="1" view="pageBreakPreview">
      <selection activeCell="D2" sqref="D2:K2"/>
      <pageMargins left="0.70866141732283472" right="0.70866141732283472" top="0.74803149606299213" bottom="0.74803149606299213" header="0.31496062992125984" footer="0.31496062992125984"/>
      <pageSetup paperSize="9" scale="60" orientation="landscape" r:id="rId5"/>
    </customSheetView>
  </customSheetViews>
  <mergeCells count="9">
    <mergeCell ref="A6:B11"/>
    <mergeCell ref="C6:C11"/>
    <mergeCell ref="A1:K1"/>
    <mergeCell ref="A2:C2"/>
    <mergeCell ref="D2:K2"/>
    <mergeCell ref="A3:C5"/>
    <mergeCell ref="D3:D4"/>
    <mergeCell ref="E3:E4"/>
    <mergeCell ref="F3:K3"/>
  </mergeCells>
  <pageMargins left="0.70866141732283472" right="0.70866141732283472" top="0.74803149606299213" bottom="0.74803149606299213" header="0.31496062992125984" footer="0.31496062992125984"/>
  <pageSetup paperSize="9" scale="60" orientation="landscape"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266"/>
  <sheetViews>
    <sheetView tabSelected="1" view="pageBreakPreview" zoomScale="70" zoomScaleNormal="70" zoomScaleSheetLayoutView="70" zoomScalePageLayoutView="70" workbookViewId="0">
      <pane ySplit="4" topLeftCell="A16" activePane="bottomLeft" state="frozen"/>
      <selection activeCell="F9" sqref="F9"/>
      <selection pane="bottomLeft" activeCell="F9" sqref="F9"/>
    </sheetView>
  </sheetViews>
  <sheetFormatPr defaultColWidth="8.6640625" defaultRowHeight="14.4" x14ac:dyDescent="0.3"/>
  <cols>
    <col min="1" max="1" width="5.109375" style="20" customWidth="1"/>
    <col min="2" max="2" width="48.6640625" style="20" customWidth="1"/>
    <col min="3" max="3" width="12.33203125" style="20" customWidth="1"/>
    <col min="4" max="4" width="26.109375" style="20" customWidth="1"/>
    <col min="5" max="5" width="12.44140625" style="68" customWidth="1"/>
    <col min="6" max="6" width="15.44140625" style="68" customWidth="1"/>
    <col min="7" max="7" width="15.33203125" style="68" customWidth="1"/>
    <col min="8" max="8" width="13.6640625" style="68" customWidth="1"/>
    <col min="9" max="9" width="12.88671875" style="68" customWidth="1"/>
    <col min="10" max="10" width="11.44140625" style="68" customWidth="1"/>
    <col min="11" max="11" width="9.44140625" style="68" customWidth="1"/>
    <col min="12" max="12" width="22.109375" style="20" customWidth="1"/>
    <col min="13" max="13" width="26.6640625" style="20" customWidth="1"/>
    <col min="14" max="14" width="20" style="88" customWidth="1"/>
    <col min="15" max="15" width="16.6640625" customWidth="1"/>
    <col min="16" max="16" width="19.44140625" customWidth="1"/>
  </cols>
  <sheetData>
    <row r="1" spans="1:18" s="1" customFormat="1" ht="26.25" customHeight="1" x14ac:dyDescent="0.3">
      <c r="A1" s="1766" t="s">
        <v>1388</v>
      </c>
      <c r="B1" s="1766"/>
      <c r="C1" s="1766"/>
      <c r="D1" s="1766"/>
      <c r="E1" s="1766"/>
      <c r="F1" s="1766"/>
      <c r="G1" s="1766"/>
      <c r="H1" s="1766"/>
      <c r="I1" s="1766"/>
      <c r="J1" s="1766"/>
      <c r="K1" s="1766"/>
      <c r="L1" s="1766"/>
      <c r="M1" s="1766"/>
      <c r="N1" s="47"/>
    </row>
    <row r="2" spans="1:18" s="508" customFormat="1" ht="37.5" customHeight="1" x14ac:dyDescent="0.3">
      <c r="A2" s="1767" t="s">
        <v>46</v>
      </c>
      <c r="B2" s="1767" t="s">
        <v>224</v>
      </c>
      <c r="C2" s="1767" t="s">
        <v>428</v>
      </c>
      <c r="D2" s="1767" t="s">
        <v>6</v>
      </c>
      <c r="E2" s="1767" t="s">
        <v>225</v>
      </c>
      <c r="F2" s="1768" t="s">
        <v>8</v>
      </c>
      <c r="G2" s="1768" t="s">
        <v>9</v>
      </c>
      <c r="H2" s="1769"/>
      <c r="I2" s="1769"/>
      <c r="J2" s="1769"/>
      <c r="K2" s="1769"/>
      <c r="L2" s="1767" t="s">
        <v>10</v>
      </c>
      <c r="M2" s="1767" t="s">
        <v>429</v>
      </c>
      <c r="N2" s="513"/>
      <c r="O2" s="508">
        <v>1284202.743</v>
      </c>
    </row>
    <row r="3" spans="1:18" s="508" customFormat="1" ht="27" customHeight="1" x14ac:dyDescent="0.3">
      <c r="A3" s="1767"/>
      <c r="B3" s="1767"/>
      <c r="C3" s="1767"/>
      <c r="D3" s="1767"/>
      <c r="E3" s="1767"/>
      <c r="F3" s="1768"/>
      <c r="G3" s="573" t="s">
        <v>92</v>
      </c>
      <c r="H3" s="574" t="s">
        <v>93</v>
      </c>
      <c r="I3" s="574" t="s">
        <v>94</v>
      </c>
      <c r="J3" s="574" t="s">
        <v>95</v>
      </c>
      <c r="K3" s="574" t="s">
        <v>226</v>
      </c>
      <c r="L3" s="1767"/>
      <c r="M3" s="1767"/>
      <c r="N3" s="513"/>
      <c r="O3" s="507"/>
    </row>
    <row r="4" spans="1:18" s="578" customFormat="1" ht="15" customHeight="1" x14ac:dyDescent="0.3">
      <c r="A4" s="575">
        <v>1</v>
      </c>
      <c r="B4" s="575">
        <v>2</v>
      </c>
      <c r="C4" s="575">
        <v>3</v>
      </c>
      <c r="D4" s="575">
        <v>4</v>
      </c>
      <c r="E4" s="575">
        <v>5</v>
      </c>
      <c r="F4" s="576">
        <v>6</v>
      </c>
      <c r="G4" s="576">
        <v>7</v>
      </c>
      <c r="H4" s="576">
        <v>8</v>
      </c>
      <c r="I4" s="576">
        <v>9</v>
      </c>
      <c r="J4" s="576">
        <v>10</v>
      </c>
      <c r="K4" s="576">
        <v>11</v>
      </c>
      <c r="L4" s="575">
        <v>12</v>
      </c>
      <c r="M4" s="575">
        <v>13</v>
      </c>
      <c r="N4" s="577"/>
    </row>
    <row r="5" spans="1:18" s="84" customFormat="1" ht="19.5" customHeight="1" x14ac:dyDescent="0.3">
      <c r="A5" s="1774">
        <v>1</v>
      </c>
      <c r="B5" s="1718" t="s">
        <v>842</v>
      </c>
      <c r="C5" s="1775" t="s">
        <v>334</v>
      </c>
      <c r="D5" s="843" t="s">
        <v>12</v>
      </c>
      <c r="E5" s="352">
        <f>E6+E7+E8+E9</f>
        <v>345498.8</v>
      </c>
      <c r="F5" s="351">
        <f t="shared" ref="F5:K5" si="0">F6+F7+F8+F9</f>
        <v>8554681.1300000008</v>
      </c>
      <c r="G5" s="351">
        <f t="shared" si="0"/>
        <v>1652392.22</v>
      </c>
      <c r="H5" s="351">
        <f t="shared" si="0"/>
        <v>2850353.51</v>
      </c>
      <c r="I5" s="351">
        <f t="shared" si="0"/>
        <v>2242634.7000000002</v>
      </c>
      <c r="J5" s="351">
        <f t="shared" si="0"/>
        <v>1809300.7</v>
      </c>
      <c r="K5" s="351">
        <f t="shared" si="0"/>
        <v>0</v>
      </c>
      <c r="L5" s="1776"/>
      <c r="M5" s="1770"/>
      <c r="N5" s="86">
        <v>2018</v>
      </c>
      <c r="O5" s="86">
        <v>2019</v>
      </c>
      <c r="P5" s="11"/>
      <c r="Q5" s="11"/>
      <c r="R5" s="11"/>
    </row>
    <row r="6" spans="1:18" s="84" customFormat="1" ht="27" customHeight="1" x14ac:dyDescent="0.3">
      <c r="A6" s="1774"/>
      <c r="B6" s="1718"/>
      <c r="C6" s="1775"/>
      <c r="D6" s="836" t="s">
        <v>13</v>
      </c>
      <c r="E6" s="849">
        <f>E20+E11+E25</f>
        <v>117656.67</v>
      </c>
      <c r="F6" s="351">
        <f>G6+H6+I6+J6+K6</f>
        <v>7207420</v>
      </c>
      <c r="G6" s="910">
        <f>G11+G17+G20+G25</f>
        <v>1102208</v>
      </c>
      <c r="H6" s="351">
        <f t="shared" ref="H6:K6" si="1">H11+H17+H20+H25</f>
        <v>2500858</v>
      </c>
      <c r="I6" s="351">
        <f t="shared" si="1"/>
        <v>2018844</v>
      </c>
      <c r="J6" s="351">
        <f t="shared" si="1"/>
        <v>1585510</v>
      </c>
      <c r="K6" s="351">
        <f t="shared" si="1"/>
        <v>0</v>
      </c>
      <c r="L6" s="1776"/>
      <c r="M6" s="1770"/>
      <c r="N6" s="86">
        <f>N11+N20</f>
        <v>6</v>
      </c>
      <c r="O6" s="86">
        <f>O11+O20</f>
        <v>3</v>
      </c>
      <c r="P6" s="11"/>
      <c r="Q6" s="11"/>
      <c r="R6" s="11"/>
    </row>
    <row r="7" spans="1:18" s="84" customFormat="1" ht="41.25" customHeight="1" x14ac:dyDescent="0.3">
      <c r="A7" s="1774"/>
      <c r="B7" s="1718"/>
      <c r="C7" s="1775"/>
      <c r="D7" s="836" t="s">
        <v>14</v>
      </c>
      <c r="E7" s="849">
        <f>E21</f>
        <v>50000</v>
      </c>
      <c r="F7" s="351">
        <f t="shared" ref="F7:F9" si="2">G7+H7+I7+J7+K7</f>
        <v>955952.81</v>
      </c>
      <c r="G7" s="351">
        <f>G14+G18+G21</f>
        <v>158875.9</v>
      </c>
      <c r="H7" s="351">
        <f t="shared" ref="H7:K7" si="3">H14+H18+H21</f>
        <v>349495.51</v>
      </c>
      <c r="I7" s="351">
        <f t="shared" si="3"/>
        <v>223790.7</v>
      </c>
      <c r="J7" s="351">
        <f t="shared" si="3"/>
        <v>223790.7</v>
      </c>
      <c r="K7" s="351">
        <f t="shared" si="3"/>
        <v>0</v>
      </c>
      <c r="L7" s="1776"/>
      <c r="M7" s="1770"/>
      <c r="N7" s="86"/>
      <c r="O7" s="11"/>
      <c r="P7" s="11"/>
      <c r="Q7" s="11"/>
      <c r="R7" s="11"/>
    </row>
    <row r="8" spans="1:18" s="84" customFormat="1" ht="17.25" customHeight="1" x14ac:dyDescent="0.3">
      <c r="A8" s="1774"/>
      <c r="B8" s="1718"/>
      <c r="C8" s="1775"/>
      <c r="D8" s="836" t="s">
        <v>231</v>
      </c>
      <c r="E8" s="849">
        <f>E22</f>
        <v>87842.13</v>
      </c>
      <c r="F8" s="351">
        <f t="shared" si="2"/>
        <v>66308.320000000007</v>
      </c>
      <c r="G8" s="934">
        <f>G22+G15</f>
        <v>66308.320000000007</v>
      </c>
      <c r="H8" s="351">
        <f t="shared" ref="H8:K8" si="4">H22</f>
        <v>0</v>
      </c>
      <c r="I8" s="351">
        <f t="shared" si="4"/>
        <v>0</v>
      </c>
      <c r="J8" s="351">
        <f t="shared" si="4"/>
        <v>0</v>
      </c>
      <c r="K8" s="351">
        <f t="shared" si="4"/>
        <v>0</v>
      </c>
      <c r="L8" s="1776"/>
      <c r="M8" s="1770"/>
      <c r="N8" s="86"/>
      <c r="O8" s="11"/>
      <c r="P8" s="11"/>
      <c r="Q8" s="11"/>
      <c r="R8" s="11"/>
    </row>
    <row r="9" spans="1:18" s="84" customFormat="1" ht="51.75" customHeight="1" x14ac:dyDescent="0.3">
      <c r="A9" s="1774"/>
      <c r="B9" s="1718"/>
      <c r="C9" s="1775"/>
      <c r="D9" s="845" t="s">
        <v>144</v>
      </c>
      <c r="E9" s="849">
        <f>E23</f>
        <v>90000</v>
      </c>
      <c r="F9" s="351">
        <f t="shared" si="2"/>
        <v>325000</v>
      </c>
      <c r="G9" s="351">
        <f>G23</f>
        <v>325000</v>
      </c>
      <c r="H9" s="351">
        <f t="shared" ref="H9:K9" si="5">H23</f>
        <v>0</v>
      </c>
      <c r="I9" s="351">
        <f t="shared" si="5"/>
        <v>0</v>
      </c>
      <c r="J9" s="351">
        <f t="shared" si="5"/>
        <v>0</v>
      </c>
      <c r="K9" s="351">
        <f t="shared" si="5"/>
        <v>0</v>
      </c>
      <c r="L9" s="1776"/>
      <c r="M9" s="1770"/>
      <c r="N9" s="86"/>
      <c r="O9" s="11"/>
      <c r="P9" s="11"/>
      <c r="Q9" s="11"/>
      <c r="R9" s="11"/>
    </row>
    <row r="10" spans="1:18" s="4" customFormat="1" ht="21" customHeight="1" x14ac:dyDescent="0.3">
      <c r="A10" s="1771" t="s">
        <v>115</v>
      </c>
      <c r="B10" s="1773" t="s">
        <v>562</v>
      </c>
      <c r="C10" s="846" t="s">
        <v>998</v>
      </c>
      <c r="D10" s="836" t="s">
        <v>12</v>
      </c>
      <c r="E10" s="849">
        <f>E11+E14</f>
        <v>73327.850000000006</v>
      </c>
      <c r="F10" s="934">
        <f>F11+F14+F15</f>
        <v>6664157.8099999996</v>
      </c>
      <c r="G10" s="849">
        <f>G11+G14+G15</f>
        <v>792245.9</v>
      </c>
      <c r="H10" s="849">
        <f t="shared" ref="H10:K10" si="6">H11+H14</f>
        <v>2355310.5099999998</v>
      </c>
      <c r="I10" s="849">
        <f t="shared" si="6"/>
        <v>1758300.7</v>
      </c>
      <c r="J10" s="849">
        <f t="shared" si="6"/>
        <v>1758300.7</v>
      </c>
      <c r="K10" s="849">
        <f t="shared" si="6"/>
        <v>0</v>
      </c>
      <c r="L10" s="287"/>
      <c r="M10" s="287"/>
      <c r="N10" s="29">
        <v>2018</v>
      </c>
      <c r="O10" s="29">
        <v>2019</v>
      </c>
    </row>
    <row r="11" spans="1:18" s="4" customFormat="1" ht="51.75" customHeight="1" x14ac:dyDescent="0.3">
      <c r="A11" s="1771"/>
      <c r="B11" s="1773"/>
      <c r="C11" s="846" t="s">
        <v>998</v>
      </c>
      <c r="D11" s="836" t="s">
        <v>617</v>
      </c>
      <c r="E11" s="822">
        <f>E12+E13</f>
        <v>67656.67</v>
      </c>
      <c r="F11" s="934">
        <f>F12+F13</f>
        <v>5719120</v>
      </c>
      <c r="G11" s="934">
        <f>G12+G13</f>
        <v>644285</v>
      </c>
      <c r="H11" s="934">
        <f t="shared" ref="H11:K11" si="7">H12+H13</f>
        <v>2005815</v>
      </c>
      <c r="I11" s="849">
        <f t="shared" si="7"/>
        <v>1534510</v>
      </c>
      <c r="J11" s="849">
        <f t="shared" si="7"/>
        <v>1534510</v>
      </c>
      <c r="K11" s="849">
        <f t="shared" si="7"/>
        <v>0</v>
      </c>
      <c r="L11" s="287"/>
      <c r="M11" s="1009"/>
      <c r="N11" s="29">
        <f>4+1</f>
        <v>5</v>
      </c>
      <c r="O11" s="29">
        <f>2+1</f>
        <v>3</v>
      </c>
      <c r="P11" s="30"/>
    </row>
    <row r="12" spans="1:18" s="4" customFormat="1" ht="85.95" customHeight="1" x14ac:dyDescent="0.3">
      <c r="A12" s="1771"/>
      <c r="B12" s="1773"/>
      <c r="C12" s="846" t="s">
        <v>998</v>
      </c>
      <c r="D12" s="836" t="s">
        <v>13</v>
      </c>
      <c r="E12" s="822">
        <f>'А П 2'!F12+'А П 2'!F18+'А П 2'!F24+'А П 2'!F33+'А П 2'!F39+'А П 2'!F45+'А П 2'!F61+'А П 2'!F67+'А П 2'!F73+'А П 2'!F79+'А П 2'!F85+'А П 2'!F91+'А П 2'!F97+'А П 2'!F104</f>
        <v>67656.67</v>
      </c>
      <c r="F12" s="822">
        <f>G12+H12+I12+J12+K12</f>
        <v>5670957</v>
      </c>
      <c r="G12" s="910">
        <f>'А П 2'!I113</f>
        <v>634085</v>
      </c>
      <c r="H12" s="822">
        <f>'А П 2'!J113</f>
        <v>1967852</v>
      </c>
      <c r="I12" s="822">
        <f>'А П 2'!K113</f>
        <v>1534510</v>
      </c>
      <c r="J12" s="822">
        <f>'А П 2'!L113</f>
        <v>1534510</v>
      </c>
      <c r="K12" s="849">
        <v>0</v>
      </c>
      <c r="L12" s="836" t="s">
        <v>16</v>
      </c>
      <c r="M12" s="1008" t="s">
        <v>1458</v>
      </c>
      <c r="N12" s="29" t="s">
        <v>672</v>
      </c>
      <c r="P12" s="30"/>
    </row>
    <row r="13" spans="1:18" s="4" customFormat="1" ht="42" customHeight="1" x14ac:dyDescent="0.3">
      <c r="A13" s="1771"/>
      <c r="B13" s="1773"/>
      <c r="C13" s="836" t="s">
        <v>208</v>
      </c>
      <c r="D13" s="836" t="s">
        <v>13</v>
      </c>
      <c r="E13" s="822">
        <v>0</v>
      </c>
      <c r="F13" s="822">
        <f t="shared" ref="F13" si="8">G13+H13+I13+J13+K13</f>
        <v>48163</v>
      </c>
      <c r="G13" s="822">
        <f>'А П 2'!I115</f>
        <v>10200</v>
      </c>
      <c r="H13" s="822">
        <f>'А П 2'!J115</f>
        <v>37963</v>
      </c>
      <c r="I13" s="822">
        <f>'А П 2'!K115</f>
        <v>0</v>
      </c>
      <c r="J13" s="822">
        <f>'А П 2'!L115</f>
        <v>0</v>
      </c>
      <c r="K13" s="849">
        <v>0</v>
      </c>
      <c r="L13" s="836" t="s">
        <v>47</v>
      </c>
      <c r="M13" s="1008" t="s">
        <v>1459</v>
      </c>
      <c r="N13" s="312" t="e">
        <f>G12+G17+G20+G32+G37+G41+G43+#REF!</f>
        <v>#REF!</v>
      </c>
      <c r="P13" s="30"/>
    </row>
    <row r="14" spans="1:18" s="4" customFormat="1" ht="68.25" customHeight="1" x14ac:dyDescent="0.3">
      <c r="A14" s="1771"/>
      <c r="B14" s="1773"/>
      <c r="C14" s="846" t="s">
        <v>998</v>
      </c>
      <c r="D14" s="836" t="s">
        <v>14</v>
      </c>
      <c r="E14" s="849">
        <f>'А П 2'!F110</f>
        <v>5671.18</v>
      </c>
      <c r="F14" s="849">
        <f>G14+H14+I14+J14+K14</f>
        <v>940952.81</v>
      </c>
      <c r="G14" s="849">
        <f>'А П 2'!I110</f>
        <v>143875.9</v>
      </c>
      <c r="H14" s="849">
        <f>'А П 2'!J110</f>
        <v>349495.51</v>
      </c>
      <c r="I14" s="849">
        <f>'А П 2'!K110</f>
        <v>223790.7</v>
      </c>
      <c r="J14" s="849">
        <f>'А П 2'!L110</f>
        <v>223790.7</v>
      </c>
      <c r="K14" s="849">
        <f>'А П 2'!M110</f>
        <v>0</v>
      </c>
      <c r="L14" s="836" t="s">
        <v>569</v>
      </c>
      <c r="M14" s="836"/>
      <c r="N14" s="29"/>
    </row>
    <row r="15" spans="1:18" s="4" customFormat="1" ht="68.25" customHeight="1" x14ac:dyDescent="0.3">
      <c r="A15" s="1135"/>
      <c r="B15" s="1136"/>
      <c r="C15" s="1133">
        <v>2018</v>
      </c>
      <c r="D15" s="1144" t="s">
        <v>15</v>
      </c>
      <c r="E15" s="934"/>
      <c r="F15" s="934">
        <f>G15+H15+I15+J15+K15</f>
        <v>4085</v>
      </c>
      <c r="G15" s="934">
        <f>'А П 2'!I111</f>
        <v>4085</v>
      </c>
      <c r="H15" s="1148"/>
      <c r="I15" s="1148"/>
      <c r="J15" s="1148"/>
      <c r="K15" s="1148"/>
      <c r="L15" s="1133"/>
      <c r="M15" s="1133"/>
      <c r="N15" s="29"/>
    </row>
    <row r="16" spans="1:18" s="4" customFormat="1" ht="32.25" customHeight="1" x14ac:dyDescent="0.3">
      <c r="A16" s="1771" t="s">
        <v>116</v>
      </c>
      <c r="B16" s="1772" t="s">
        <v>1246</v>
      </c>
      <c r="C16" s="846" t="s">
        <v>334</v>
      </c>
      <c r="D16" s="836" t="s">
        <v>12</v>
      </c>
      <c r="E16" s="849">
        <v>0</v>
      </c>
      <c r="F16" s="849">
        <f>F17+F18</f>
        <v>1300000</v>
      </c>
      <c r="G16" s="849">
        <f>G17+G18</f>
        <v>433333</v>
      </c>
      <c r="H16" s="849">
        <f t="shared" ref="H16:K16" si="9">H17+H18</f>
        <v>433333</v>
      </c>
      <c r="I16" s="849">
        <f t="shared" si="9"/>
        <v>433334</v>
      </c>
      <c r="J16" s="849">
        <f t="shared" si="9"/>
        <v>0</v>
      </c>
      <c r="K16" s="849">
        <f t="shared" si="9"/>
        <v>0</v>
      </c>
      <c r="L16" s="1718" t="s">
        <v>862</v>
      </c>
      <c r="M16" s="1718" t="s">
        <v>1247</v>
      </c>
      <c r="N16" s="29"/>
    </row>
    <row r="17" spans="1:16" s="4" customFormat="1" ht="37.5" customHeight="1" x14ac:dyDescent="0.3">
      <c r="A17" s="1771"/>
      <c r="B17" s="1772"/>
      <c r="C17" s="846" t="s">
        <v>334</v>
      </c>
      <c r="D17" s="836" t="s">
        <v>13</v>
      </c>
      <c r="E17" s="849">
        <v>0</v>
      </c>
      <c r="F17" s="849">
        <f>G17+H17+I17+J17+K17</f>
        <v>1300000</v>
      </c>
      <c r="G17" s="913">
        <f>'А П 2'!I216</f>
        <v>433333</v>
      </c>
      <c r="H17" s="849">
        <f>'А П 2'!J216</f>
        <v>433333</v>
      </c>
      <c r="I17" s="849">
        <f>'А П 2'!K216</f>
        <v>433334</v>
      </c>
      <c r="J17" s="849">
        <f>'А П 2'!L216</f>
        <v>0</v>
      </c>
      <c r="K17" s="849">
        <f>'А П 2'!M216</f>
        <v>0</v>
      </c>
      <c r="L17" s="1718"/>
      <c r="M17" s="1718"/>
      <c r="N17" s="29"/>
      <c r="P17" s="30"/>
    </row>
    <row r="18" spans="1:16" s="4" customFormat="1" ht="15.75" customHeight="1" x14ac:dyDescent="0.3">
      <c r="A18" s="1771"/>
      <c r="B18" s="1772"/>
      <c r="C18" s="846"/>
      <c r="D18" s="836"/>
      <c r="E18" s="849"/>
      <c r="F18" s="849"/>
      <c r="G18" s="849"/>
      <c r="H18" s="849"/>
      <c r="I18" s="849"/>
      <c r="J18" s="849"/>
      <c r="K18" s="849"/>
      <c r="L18" s="1718"/>
      <c r="M18" s="1718"/>
      <c r="N18" s="29"/>
    </row>
    <row r="19" spans="1:16" s="4" customFormat="1" ht="21" customHeight="1" x14ac:dyDescent="0.3">
      <c r="A19" s="1777" t="s">
        <v>119</v>
      </c>
      <c r="B19" s="1778" t="s">
        <v>614</v>
      </c>
      <c r="C19" s="1539" t="s">
        <v>82</v>
      </c>
      <c r="D19" s="845" t="s">
        <v>12</v>
      </c>
      <c r="E19" s="352">
        <f>E20+E21+E22+E23</f>
        <v>277842.13</v>
      </c>
      <c r="F19" s="352">
        <f>F20+F21+F22+F23</f>
        <v>422223.32</v>
      </c>
      <c r="G19" s="352">
        <f t="shared" ref="G19:H19" si="10">G20+G21+G22+G23</f>
        <v>422223.32</v>
      </c>
      <c r="H19" s="352">
        <f t="shared" si="10"/>
        <v>0</v>
      </c>
      <c r="I19" s="352">
        <f>'[2]адресный перечень модернизации'!K712</f>
        <v>0</v>
      </c>
      <c r="J19" s="352">
        <f>'[2]адресный перечень модернизации'!L712</f>
        <v>0</v>
      </c>
      <c r="K19" s="352">
        <f>'[2]адресный перечень модернизации'!M712</f>
        <v>0</v>
      </c>
      <c r="L19" s="1781" t="s">
        <v>615</v>
      </c>
      <c r="M19" s="1781" t="s">
        <v>1460</v>
      </c>
      <c r="N19" s="29">
        <v>2018</v>
      </c>
    </row>
    <row r="20" spans="1:16" s="4" customFormat="1" ht="33.75" customHeight="1" x14ac:dyDescent="0.3">
      <c r="A20" s="1777"/>
      <c r="B20" s="1779"/>
      <c r="C20" s="1539"/>
      <c r="D20" s="845" t="s">
        <v>13</v>
      </c>
      <c r="E20" s="352">
        <f>'А П 2'!F346</f>
        <v>50000</v>
      </c>
      <c r="F20" s="352">
        <f>G20+H20+I20+J20+K20</f>
        <v>20000</v>
      </c>
      <c r="G20" s="914">
        <f>'А П 2'!I346</f>
        <v>20000</v>
      </c>
      <c r="H20" s="352">
        <f>'А П 2'!J346</f>
        <v>0</v>
      </c>
      <c r="I20" s="352">
        <f>'А П 2'!K346</f>
        <v>0</v>
      </c>
      <c r="J20" s="352">
        <f>'А П 2'!L346</f>
        <v>0</v>
      </c>
      <c r="K20" s="352">
        <f>'А П 2'!M346</f>
        <v>0</v>
      </c>
      <c r="L20" s="1781"/>
      <c r="M20" s="1781"/>
      <c r="N20" s="29">
        <v>1</v>
      </c>
    </row>
    <row r="21" spans="1:16" s="4" customFormat="1" ht="47.25" customHeight="1" x14ac:dyDescent="0.3">
      <c r="A21" s="1777"/>
      <c r="B21" s="1779"/>
      <c r="C21" s="1539"/>
      <c r="D21" s="845" t="s">
        <v>14</v>
      </c>
      <c r="E21" s="352">
        <f>'А П 2'!F347</f>
        <v>50000</v>
      </c>
      <c r="F21" s="352">
        <f t="shared" ref="F21:F23" si="11">G21+H21+I21+J21+K21</f>
        <v>15000</v>
      </c>
      <c r="G21" s="352">
        <f>'А П 2'!I347</f>
        <v>15000</v>
      </c>
      <c r="H21" s="352">
        <f>'А П 2'!J347</f>
        <v>0</v>
      </c>
      <c r="I21" s="352">
        <f>'А П 2'!K347</f>
        <v>0</v>
      </c>
      <c r="J21" s="352">
        <f>'А П 2'!L347</f>
        <v>0</v>
      </c>
      <c r="K21" s="352">
        <f>'А П 2'!M347</f>
        <v>0</v>
      </c>
      <c r="L21" s="1781"/>
      <c r="M21" s="1781"/>
      <c r="N21" s="29"/>
    </row>
    <row r="22" spans="1:16" s="4" customFormat="1" ht="18" customHeight="1" x14ac:dyDescent="0.3">
      <c r="A22" s="1777"/>
      <c r="B22" s="1779"/>
      <c r="C22" s="1539"/>
      <c r="D22" s="845" t="s">
        <v>15</v>
      </c>
      <c r="E22" s="352">
        <f>'А П 2'!F348</f>
        <v>87842.13</v>
      </c>
      <c r="F22" s="352">
        <f t="shared" si="11"/>
        <v>62223.32</v>
      </c>
      <c r="G22" s="352">
        <f>'А П 2'!I348</f>
        <v>62223.32</v>
      </c>
      <c r="H22" s="352">
        <f>'А П 2'!J348</f>
        <v>0</v>
      </c>
      <c r="I22" s="352">
        <f>'А П 2'!K348</f>
        <v>0</v>
      </c>
      <c r="J22" s="352">
        <f>'А П 2'!L348</f>
        <v>0</v>
      </c>
      <c r="K22" s="352">
        <f>'А П 2'!M348</f>
        <v>0</v>
      </c>
      <c r="L22" s="1781"/>
      <c r="M22" s="1781"/>
      <c r="N22" s="29"/>
    </row>
    <row r="23" spans="1:16" s="4" customFormat="1" ht="45.75" customHeight="1" x14ac:dyDescent="0.3">
      <c r="A23" s="1777"/>
      <c r="B23" s="1780"/>
      <c r="C23" s="1539"/>
      <c r="D23" s="845" t="s">
        <v>144</v>
      </c>
      <c r="E23" s="352">
        <f>'А П 2'!F349</f>
        <v>90000</v>
      </c>
      <c r="F23" s="352">
        <f t="shared" si="11"/>
        <v>325000</v>
      </c>
      <c r="G23" s="352">
        <f>'А П 2'!I349</f>
        <v>325000</v>
      </c>
      <c r="H23" s="352">
        <f>'А П 2'!J349</f>
        <v>0</v>
      </c>
      <c r="I23" s="352">
        <f>'А П 2'!K349</f>
        <v>0</v>
      </c>
      <c r="J23" s="352">
        <f>'А П 2'!L349</f>
        <v>0</v>
      </c>
      <c r="K23" s="352">
        <f>'А П 2'!M349</f>
        <v>0</v>
      </c>
      <c r="L23" s="1781"/>
      <c r="M23" s="1781"/>
      <c r="N23" s="29"/>
    </row>
    <row r="24" spans="1:16" s="11" customFormat="1" ht="25.2" customHeight="1" x14ac:dyDescent="0.3">
      <c r="A24" s="1784" t="s">
        <v>147</v>
      </c>
      <c r="B24" s="1785" t="s">
        <v>1442</v>
      </c>
      <c r="C24" s="1781" t="s">
        <v>1248</v>
      </c>
      <c r="D24" s="845" t="s">
        <v>12</v>
      </c>
      <c r="E24" s="352">
        <f t="shared" ref="E24:K24" si="12">E25</f>
        <v>0</v>
      </c>
      <c r="F24" s="352">
        <f t="shared" si="12"/>
        <v>168300</v>
      </c>
      <c r="G24" s="352">
        <f t="shared" si="12"/>
        <v>4590</v>
      </c>
      <c r="H24" s="352">
        <f t="shared" si="12"/>
        <v>61710</v>
      </c>
      <c r="I24" s="352">
        <f t="shared" si="12"/>
        <v>51000</v>
      </c>
      <c r="J24" s="352">
        <f t="shared" si="12"/>
        <v>51000</v>
      </c>
      <c r="K24" s="352">
        <f t="shared" si="12"/>
        <v>0</v>
      </c>
      <c r="L24" s="1718" t="s">
        <v>16</v>
      </c>
      <c r="M24" s="1785" t="s">
        <v>1469</v>
      </c>
      <c r="N24" s="86">
        <v>2018</v>
      </c>
      <c r="O24" s="86">
        <v>2019</v>
      </c>
      <c r="P24" s="86">
        <v>2020</v>
      </c>
    </row>
    <row r="25" spans="1:16" s="11" customFormat="1" ht="40.5" customHeight="1" x14ac:dyDescent="0.3">
      <c r="A25" s="1784"/>
      <c r="B25" s="1785"/>
      <c r="C25" s="1781"/>
      <c r="D25" s="845" t="s">
        <v>13</v>
      </c>
      <c r="E25" s="352">
        <v>0</v>
      </c>
      <c r="F25" s="352">
        <f t="shared" ref="F25" si="13">G25+H25+I25+J25+K25</f>
        <v>168300</v>
      </c>
      <c r="G25" s="352">
        <f>'А П 2'!I361</f>
        <v>4590</v>
      </c>
      <c r="H25" s="352">
        <f>'А П 2'!J361</f>
        <v>61710</v>
      </c>
      <c r="I25" s="352">
        <f>'А П 2'!K361</f>
        <v>51000</v>
      </c>
      <c r="J25" s="352">
        <f>'А П 2'!L361</f>
        <v>51000</v>
      </c>
      <c r="K25" s="352">
        <f>'А П 2'!M361</f>
        <v>0</v>
      </c>
      <c r="L25" s="1718"/>
      <c r="M25" s="1785"/>
      <c r="N25" s="86">
        <f>3+1+4+4</f>
        <v>12</v>
      </c>
      <c r="O25" s="86">
        <f>2+1+3+1</f>
        <v>7</v>
      </c>
      <c r="P25" s="86">
        <f>1</f>
        <v>1</v>
      </c>
    </row>
    <row r="26" spans="1:16" s="41" customFormat="1" ht="27" customHeight="1" x14ac:dyDescent="0.3">
      <c r="A26" s="1774">
        <v>2</v>
      </c>
      <c r="B26" s="1782" t="s">
        <v>978</v>
      </c>
      <c r="C26" s="1775" t="s">
        <v>998</v>
      </c>
      <c r="D26" s="843" t="s">
        <v>12</v>
      </c>
      <c r="E26" s="352"/>
      <c r="F26" s="352">
        <f>F27+F28+F29</f>
        <v>3502883.8</v>
      </c>
      <c r="G26" s="352">
        <f>G27+G28+G29</f>
        <v>1627481.01</v>
      </c>
      <c r="H26" s="352">
        <f t="shared" ref="H26:K26" si="14">H27+H28+H29</f>
        <v>1276731.79</v>
      </c>
      <c r="I26" s="352">
        <f t="shared" si="14"/>
        <v>299340</v>
      </c>
      <c r="J26" s="352">
        <f t="shared" si="14"/>
        <v>299331</v>
      </c>
      <c r="K26" s="352">
        <f t="shared" si="14"/>
        <v>0</v>
      </c>
      <c r="L26" s="1776"/>
      <c r="M26" s="1775"/>
      <c r="N26" s="29"/>
    </row>
    <row r="27" spans="1:16" s="41" customFormat="1" ht="37.5" customHeight="1" x14ac:dyDescent="0.3">
      <c r="A27" s="1774"/>
      <c r="B27" s="1783"/>
      <c r="C27" s="1775"/>
      <c r="D27" s="836" t="s">
        <v>13</v>
      </c>
      <c r="E27" s="352"/>
      <c r="F27" s="351">
        <f>G27+H27+I27+J27</f>
        <v>2740196</v>
      </c>
      <c r="G27" s="913">
        <f>G31+G37+G41+G43</f>
        <v>1146969</v>
      </c>
      <c r="H27" s="351">
        <f t="shared" ref="H27:K27" si="15">H31+H37+H41+H43</f>
        <v>994556</v>
      </c>
      <c r="I27" s="351">
        <f t="shared" si="15"/>
        <v>299340</v>
      </c>
      <c r="J27" s="351">
        <f t="shared" si="15"/>
        <v>299331</v>
      </c>
      <c r="K27" s="351">
        <f t="shared" si="15"/>
        <v>0</v>
      </c>
      <c r="L27" s="1776"/>
      <c r="M27" s="1775"/>
      <c r="N27" s="29"/>
    </row>
    <row r="28" spans="1:16" s="41" customFormat="1" ht="49.5" customHeight="1" x14ac:dyDescent="0.3">
      <c r="A28" s="1774"/>
      <c r="B28" s="1783"/>
      <c r="C28" s="1775"/>
      <c r="D28" s="836" t="s">
        <v>14</v>
      </c>
      <c r="E28" s="352"/>
      <c r="F28" s="351">
        <f t="shared" ref="F28:F29" si="16">G28+H28+I28+J28</f>
        <v>682011.59</v>
      </c>
      <c r="G28" s="351">
        <f>G34+G38</f>
        <v>408770.6</v>
      </c>
      <c r="H28" s="351">
        <f t="shared" ref="H28:K28" si="17">H34+H38</f>
        <v>273240.99</v>
      </c>
      <c r="I28" s="351">
        <f t="shared" si="17"/>
        <v>0</v>
      </c>
      <c r="J28" s="351">
        <f t="shared" si="17"/>
        <v>0</v>
      </c>
      <c r="K28" s="351">
        <f t="shared" si="17"/>
        <v>0</v>
      </c>
      <c r="L28" s="1776"/>
      <c r="M28" s="1775"/>
      <c r="N28" s="29" t="s">
        <v>589</v>
      </c>
      <c r="P28" s="29" t="s">
        <v>590</v>
      </c>
    </row>
    <row r="29" spans="1:16" s="41" customFormat="1" ht="58.5" customHeight="1" x14ac:dyDescent="0.3">
      <c r="A29" s="1774"/>
      <c r="B29" s="1783"/>
      <c r="C29" s="1775"/>
      <c r="D29" s="836" t="s">
        <v>231</v>
      </c>
      <c r="E29" s="352"/>
      <c r="F29" s="351">
        <f t="shared" si="16"/>
        <v>80676.210000000006</v>
      </c>
      <c r="G29" s="934">
        <f>G39+G45+G35</f>
        <v>71741.41</v>
      </c>
      <c r="H29" s="1220">
        <f>H39+H45</f>
        <v>8934.7999999999993</v>
      </c>
      <c r="I29" s="351">
        <f t="shared" ref="I29:K29" si="18">I39</f>
        <v>0</v>
      </c>
      <c r="J29" s="351">
        <f t="shared" si="18"/>
        <v>0</v>
      </c>
      <c r="K29" s="351">
        <f t="shared" si="18"/>
        <v>0</v>
      </c>
      <c r="L29" s="1776"/>
      <c r="M29" s="1775"/>
      <c r="N29" s="29" t="s">
        <v>591</v>
      </c>
      <c r="P29" s="29" t="s">
        <v>592</v>
      </c>
    </row>
    <row r="30" spans="1:16" s="41" customFormat="1" ht="20.25" customHeight="1" x14ac:dyDescent="0.3">
      <c r="A30" s="1777" t="s">
        <v>149</v>
      </c>
      <c r="B30" s="1778" t="s">
        <v>849</v>
      </c>
      <c r="C30" s="836" t="s">
        <v>334</v>
      </c>
      <c r="D30" s="836" t="s">
        <v>12</v>
      </c>
      <c r="E30" s="849"/>
      <c r="F30" s="934">
        <f>F31+F34+F35</f>
        <v>1975840.32</v>
      </c>
      <c r="G30" s="849">
        <f>G31+G34+G35</f>
        <v>1357060.46</v>
      </c>
      <c r="H30" s="849">
        <f t="shared" ref="H30:K30" si="19">H31+H34</f>
        <v>618779.86</v>
      </c>
      <c r="I30" s="849">
        <f t="shared" si="19"/>
        <v>0</v>
      </c>
      <c r="J30" s="849">
        <f t="shared" si="19"/>
        <v>0</v>
      </c>
      <c r="K30" s="849">
        <f t="shared" si="19"/>
        <v>0</v>
      </c>
      <c r="L30" s="1786"/>
      <c r="M30" s="1786"/>
      <c r="N30" s="29" t="s">
        <v>672</v>
      </c>
    </row>
    <row r="31" spans="1:16" s="41" customFormat="1" ht="48.6" customHeight="1" x14ac:dyDescent="0.3">
      <c r="A31" s="1777"/>
      <c r="B31" s="1779"/>
      <c r="C31" s="836" t="s">
        <v>334</v>
      </c>
      <c r="D31" s="836" t="s">
        <v>617</v>
      </c>
      <c r="E31" s="849"/>
      <c r="F31" s="849">
        <f>F32+F33</f>
        <v>1323817</v>
      </c>
      <c r="G31" s="934">
        <f>G32+G33</f>
        <v>924904</v>
      </c>
      <c r="H31" s="849">
        <f>H32+H33</f>
        <v>398913</v>
      </c>
      <c r="I31" s="849">
        <f t="shared" ref="I31:K31" si="20">I32+I33</f>
        <v>0</v>
      </c>
      <c r="J31" s="849">
        <f t="shared" si="20"/>
        <v>0</v>
      </c>
      <c r="K31" s="849">
        <f t="shared" si="20"/>
        <v>0</v>
      </c>
      <c r="L31" s="1786"/>
      <c r="M31" s="1786"/>
      <c r="N31" s="29" t="s">
        <v>595</v>
      </c>
    </row>
    <row r="32" spans="1:16" s="41" customFormat="1" ht="69.75" customHeight="1" x14ac:dyDescent="0.3">
      <c r="A32" s="1777"/>
      <c r="B32" s="1779"/>
      <c r="C32" s="836" t="s">
        <v>334</v>
      </c>
      <c r="D32" s="836" t="s">
        <v>13</v>
      </c>
      <c r="E32" s="849"/>
      <c r="F32" s="849">
        <f>G32+H32+I32+J32+K32</f>
        <v>1242090</v>
      </c>
      <c r="G32" s="913">
        <f>'А П 2'!I196</f>
        <v>884710</v>
      </c>
      <c r="H32" s="849">
        <f>'А П 2'!J196</f>
        <v>357380</v>
      </c>
      <c r="I32" s="849">
        <f>'А П 2'!K196</f>
        <v>0</v>
      </c>
      <c r="J32" s="849">
        <f>'А П 2'!L196</f>
        <v>0</v>
      </c>
      <c r="K32" s="849">
        <v>0</v>
      </c>
      <c r="L32" s="836" t="s">
        <v>16</v>
      </c>
      <c r="M32" s="836" t="s">
        <v>1470</v>
      </c>
      <c r="N32" s="29" t="s">
        <v>594</v>
      </c>
    </row>
    <row r="33" spans="1:15" s="41" customFormat="1" ht="72" customHeight="1" x14ac:dyDescent="0.3">
      <c r="A33" s="1777"/>
      <c r="B33" s="1779"/>
      <c r="C33" s="836" t="s">
        <v>208</v>
      </c>
      <c r="D33" s="836" t="s">
        <v>13</v>
      </c>
      <c r="E33" s="849"/>
      <c r="F33" s="849">
        <f t="shared" ref="F33:F35" si="21">G33+H33+I33+J33+K33</f>
        <v>81727</v>
      </c>
      <c r="G33" s="849">
        <f>'А П 2'!I198</f>
        <v>40194</v>
      </c>
      <c r="H33" s="849">
        <f>'А П 2'!J198</f>
        <v>41533</v>
      </c>
      <c r="I33" s="849">
        <f>'А П 2'!K198</f>
        <v>0</v>
      </c>
      <c r="J33" s="849">
        <f>'А П 2'!L140</f>
        <v>0</v>
      </c>
      <c r="K33" s="849">
        <v>0</v>
      </c>
      <c r="L33" s="836" t="s">
        <v>47</v>
      </c>
      <c r="M33" s="836" t="s">
        <v>1249</v>
      </c>
      <c r="N33" s="29"/>
    </row>
    <row r="34" spans="1:15" s="4" customFormat="1" ht="26.25" customHeight="1" x14ac:dyDescent="0.3">
      <c r="A34" s="1777"/>
      <c r="B34" s="1780"/>
      <c r="C34" s="836" t="s">
        <v>334</v>
      </c>
      <c r="D34" s="836" t="s">
        <v>14</v>
      </c>
      <c r="E34" s="849"/>
      <c r="F34" s="849">
        <f t="shared" si="21"/>
        <v>608610.93000000005</v>
      </c>
      <c r="G34" s="849">
        <f>'А П 2'!I193</f>
        <v>388744.07</v>
      </c>
      <c r="H34" s="849">
        <f>'А П 2'!J193</f>
        <v>219866.86</v>
      </c>
      <c r="I34" s="849">
        <f>'А П 2'!K193</f>
        <v>0</v>
      </c>
      <c r="J34" s="849">
        <f>'А П 2'!L193</f>
        <v>0</v>
      </c>
      <c r="K34" s="849">
        <f>'А П 2'!M193</f>
        <v>0</v>
      </c>
      <c r="L34" s="836" t="s">
        <v>569</v>
      </c>
      <c r="M34" s="836"/>
      <c r="N34" s="29"/>
    </row>
    <row r="35" spans="1:15" s="4" customFormat="1" ht="26.25" customHeight="1" x14ac:dyDescent="0.3">
      <c r="A35" s="1230"/>
      <c r="B35" s="1231"/>
      <c r="C35" s="1229">
        <v>2018</v>
      </c>
      <c r="D35" s="1229" t="s">
        <v>15</v>
      </c>
      <c r="E35" s="1238"/>
      <c r="F35" s="1238">
        <f t="shared" si="21"/>
        <v>43412.39</v>
      </c>
      <c r="G35" s="934">
        <f>'А П 2'!I194</f>
        <v>43412.39</v>
      </c>
      <c r="H35" s="1238">
        <v>0</v>
      </c>
      <c r="I35" s="1238">
        <v>0</v>
      </c>
      <c r="J35" s="1238">
        <v>0</v>
      </c>
      <c r="K35" s="1238">
        <v>0</v>
      </c>
      <c r="L35" s="1229"/>
      <c r="M35" s="1229"/>
      <c r="N35" s="29"/>
    </row>
    <row r="36" spans="1:15" s="4" customFormat="1" ht="45" customHeight="1" x14ac:dyDescent="0.3">
      <c r="A36" s="1777" t="s">
        <v>578</v>
      </c>
      <c r="B36" s="1718" t="s">
        <v>848</v>
      </c>
      <c r="C36" s="846" t="s">
        <v>208</v>
      </c>
      <c r="D36" s="836" t="s">
        <v>12</v>
      </c>
      <c r="E36" s="849"/>
      <c r="F36" s="849">
        <f>F37+F38+F39</f>
        <v>534876.48</v>
      </c>
      <c r="G36" s="849">
        <f>G37+G38+G39</f>
        <v>200252.55</v>
      </c>
      <c r="H36" s="849">
        <f t="shared" ref="H36:K36" si="22">H37+H38+H39</f>
        <v>334623.93</v>
      </c>
      <c r="I36" s="849">
        <f t="shared" si="22"/>
        <v>0</v>
      </c>
      <c r="J36" s="849">
        <f t="shared" si="22"/>
        <v>0</v>
      </c>
      <c r="K36" s="849">
        <f t="shared" si="22"/>
        <v>0</v>
      </c>
      <c r="L36" s="1718" t="s">
        <v>570</v>
      </c>
      <c r="M36" s="1718" t="s">
        <v>1250</v>
      </c>
      <c r="N36" s="29" t="s">
        <v>602</v>
      </c>
      <c r="O36" s="4" t="s">
        <v>672</v>
      </c>
    </row>
    <row r="37" spans="1:15" s="4" customFormat="1" ht="37.5" customHeight="1" x14ac:dyDescent="0.3">
      <c r="A37" s="1777"/>
      <c r="B37" s="1718"/>
      <c r="C37" s="846" t="s">
        <v>208</v>
      </c>
      <c r="D37" s="836" t="s">
        <v>13</v>
      </c>
      <c r="E37" s="849"/>
      <c r="F37" s="849">
        <f>G37+H37+I37+J37+K37</f>
        <v>431279</v>
      </c>
      <c r="G37" s="913">
        <f>'А П 2'!I276</f>
        <v>158964</v>
      </c>
      <c r="H37" s="849">
        <f>'А П 2'!J276</f>
        <v>272315</v>
      </c>
      <c r="I37" s="849">
        <f>'А П 2'!K276</f>
        <v>0</v>
      </c>
      <c r="J37" s="849">
        <f>'А П 2'!L276</f>
        <v>0</v>
      </c>
      <c r="K37" s="849">
        <f>'А П 2'!M276</f>
        <v>0</v>
      </c>
      <c r="L37" s="1718"/>
      <c r="M37" s="1718"/>
      <c r="N37" s="29" t="s">
        <v>603</v>
      </c>
    </row>
    <row r="38" spans="1:15" s="4" customFormat="1" ht="45" customHeight="1" x14ac:dyDescent="0.3">
      <c r="A38" s="1777"/>
      <c r="B38" s="1718"/>
      <c r="C38" s="846" t="s">
        <v>208</v>
      </c>
      <c r="D38" s="836" t="s">
        <v>14</v>
      </c>
      <c r="E38" s="849"/>
      <c r="F38" s="849">
        <f t="shared" ref="F38:F39" si="23">G38+H38+I38+J38+K38</f>
        <v>73400.66</v>
      </c>
      <c r="G38" s="849">
        <f>'А П 2'!I277</f>
        <v>20026.53</v>
      </c>
      <c r="H38" s="849">
        <f>'А П 2'!J277</f>
        <v>53374.13</v>
      </c>
      <c r="I38" s="849">
        <f>'А П 2'!K277</f>
        <v>0</v>
      </c>
      <c r="J38" s="849">
        <f>'А П 2'!L277</f>
        <v>0</v>
      </c>
      <c r="K38" s="849">
        <f>'А П 2'!M277</f>
        <v>0</v>
      </c>
      <c r="L38" s="1718"/>
      <c r="M38" s="1718"/>
      <c r="N38" s="29" t="s">
        <v>607</v>
      </c>
    </row>
    <row r="39" spans="1:15" s="4" customFormat="1" ht="39.75" customHeight="1" x14ac:dyDescent="0.3">
      <c r="A39" s="1777"/>
      <c r="B39" s="1718"/>
      <c r="C39" s="846" t="s">
        <v>208</v>
      </c>
      <c r="D39" s="836" t="s">
        <v>231</v>
      </c>
      <c r="E39" s="849"/>
      <c r="F39" s="849">
        <f t="shared" si="23"/>
        <v>30196.82</v>
      </c>
      <c r="G39" s="849">
        <f>'А П 2'!I278</f>
        <v>21262.02</v>
      </c>
      <c r="H39" s="849">
        <f>'А П 2'!J278</f>
        <v>8934.7999999999993</v>
      </c>
      <c r="I39" s="849">
        <f>'А П 2'!K278</f>
        <v>0</v>
      </c>
      <c r="J39" s="849">
        <f>'А П 2'!L278</f>
        <v>0</v>
      </c>
      <c r="K39" s="849">
        <f>'А П 2'!M278</f>
        <v>0</v>
      </c>
      <c r="L39" s="1718"/>
      <c r="M39" s="1718"/>
      <c r="N39" s="29"/>
    </row>
    <row r="40" spans="1:15" s="4" customFormat="1" ht="56.7" customHeight="1" x14ac:dyDescent="0.3">
      <c r="A40" s="1787" t="s">
        <v>596</v>
      </c>
      <c r="B40" s="1772" t="s">
        <v>888</v>
      </c>
      <c r="C40" s="911" t="s">
        <v>999</v>
      </c>
      <c r="D40" s="912" t="s">
        <v>12</v>
      </c>
      <c r="E40" s="915"/>
      <c r="F40" s="915">
        <f>F41</f>
        <v>921999</v>
      </c>
      <c r="G40" s="915">
        <f t="shared" ref="G40:K40" si="24">G41</f>
        <v>0</v>
      </c>
      <c r="H40" s="915">
        <f t="shared" si="24"/>
        <v>323328</v>
      </c>
      <c r="I40" s="915">
        <f t="shared" si="24"/>
        <v>299340</v>
      </c>
      <c r="J40" s="915">
        <f t="shared" si="24"/>
        <v>299331</v>
      </c>
      <c r="K40" s="915">
        <f t="shared" si="24"/>
        <v>0</v>
      </c>
      <c r="L40" s="1718" t="s">
        <v>101</v>
      </c>
      <c r="M40" s="1718" t="s">
        <v>1251</v>
      </c>
      <c r="N40" s="29"/>
    </row>
    <row r="41" spans="1:15" s="4" customFormat="1" ht="30" customHeight="1" x14ac:dyDescent="0.3">
      <c r="A41" s="1787"/>
      <c r="B41" s="1788"/>
      <c r="C41" s="911" t="s">
        <v>999</v>
      </c>
      <c r="D41" s="912" t="s">
        <v>13</v>
      </c>
      <c r="E41" s="915"/>
      <c r="F41" s="915">
        <f>G41+H41+I41+J41+K41</f>
        <v>921999</v>
      </c>
      <c r="G41" s="915">
        <f>'А П 2'!I295</f>
        <v>0</v>
      </c>
      <c r="H41" s="915">
        <f>'А П 2'!J295</f>
        <v>323328</v>
      </c>
      <c r="I41" s="915">
        <f>'А П 2'!K295</f>
        <v>299340</v>
      </c>
      <c r="J41" s="915">
        <f>'А П 2'!L295</f>
        <v>299331</v>
      </c>
      <c r="K41" s="915">
        <f>'А П 2'!M295</f>
        <v>0</v>
      </c>
      <c r="L41" s="1718"/>
      <c r="M41" s="1774"/>
      <c r="N41" s="29"/>
    </row>
    <row r="42" spans="1:15" s="4" customFormat="1" ht="22.2" customHeight="1" x14ac:dyDescent="0.3">
      <c r="A42" s="1777" t="s">
        <v>606</v>
      </c>
      <c r="B42" s="1718" t="s">
        <v>639</v>
      </c>
      <c r="C42" s="842">
        <v>2018</v>
      </c>
      <c r="D42" s="836" t="s">
        <v>12</v>
      </c>
      <c r="E42" s="352"/>
      <c r="F42" s="352">
        <f>F43</f>
        <v>63101</v>
      </c>
      <c r="G42" s="352">
        <f t="shared" ref="G42:K42" si="25">G43</f>
        <v>63101</v>
      </c>
      <c r="H42" s="352">
        <f t="shared" si="25"/>
        <v>0</v>
      </c>
      <c r="I42" s="352">
        <f t="shared" si="25"/>
        <v>0</v>
      </c>
      <c r="J42" s="352">
        <f t="shared" si="25"/>
        <v>0</v>
      </c>
      <c r="K42" s="352">
        <f t="shared" si="25"/>
        <v>0</v>
      </c>
      <c r="L42" s="1718" t="s">
        <v>620</v>
      </c>
      <c r="M42" s="1718" t="s">
        <v>1252</v>
      </c>
      <c r="N42" s="29"/>
    </row>
    <row r="43" spans="1:15" s="4" customFormat="1" ht="69.599999999999994" customHeight="1" x14ac:dyDescent="0.3">
      <c r="A43" s="1777"/>
      <c r="B43" s="1774"/>
      <c r="C43" s="842">
        <v>2018</v>
      </c>
      <c r="D43" s="836" t="s">
        <v>13</v>
      </c>
      <c r="E43" s="352"/>
      <c r="F43" s="352">
        <f>G43+H43+I43+J43+K43</f>
        <v>63101</v>
      </c>
      <c r="G43" s="352">
        <f>'А П 2'!I315</f>
        <v>63101</v>
      </c>
      <c r="H43" s="352">
        <f>'А П 2'!J315</f>
        <v>0</v>
      </c>
      <c r="I43" s="352">
        <f>'А П 2'!K315</f>
        <v>0</v>
      </c>
      <c r="J43" s="352">
        <f>'А П 2'!L315</f>
        <v>0</v>
      </c>
      <c r="K43" s="352">
        <f>'А П 2'!M315</f>
        <v>0</v>
      </c>
      <c r="L43" s="1718"/>
      <c r="M43" s="1774"/>
      <c r="N43" s="29"/>
    </row>
    <row r="44" spans="1:15" s="4" customFormat="1" ht="69.599999999999994" customHeight="1" x14ac:dyDescent="0.3">
      <c r="A44" s="1274" t="s">
        <v>649</v>
      </c>
      <c r="B44" s="1223" t="s">
        <v>1636</v>
      </c>
      <c r="C44" s="1272">
        <v>2018</v>
      </c>
      <c r="D44" s="1223" t="s">
        <v>12</v>
      </c>
      <c r="E44" s="1273"/>
      <c r="F44" s="1273">
        <f>F45</f>
        <v>7067</v>
      </c>
      <c r="G44" s="1273">
        <f>G45</f>
        <v>7067</v>
      </c>
      <c r="H44" s="1273">
        <f>'А П 2'!J316</f>
        <v>0</v>
      </c>
      <c r="I44" s="1273">
        <f>'А П 2'!K316</f>
        <v>0</v>
      </c>
      <c r="J44" s="1273">
        <f>'А П 2'!L316</f>
        <v>0</v>
      </c>
      <c r="K44" s="1273">
        <f>'А П 2'!M316</f>
        <v>0</v>
      </c>
      <c r="L44" s="1223" t="s">
        <v>1637</v>
      </c>
      <c r="M44" s="1223" t="s">
        <v>1638</v>
      </c>
      <c r="N44" s="29"/>
    </row>
    <row r="45" spans="1:15" s="4" customFormat="1" ht="69.599999999999994" customHeight="1" x14ac:dyDescent="0.3">
      <c r="A45" s="1274"/>
      <c r="B45" s="1272"/>
      <c r="C45" s="1272"/>
      <c r="D45" s="1223" t="s">
        <v>231</v>
      </c>
      <c r="E45" s="1273"/>
      <c r="F45" s="1273">
        <f>G45</f>
        <v>7067</v>
      </c>
      <c r="G45" s="1273">
        <f>'А П 2'!I246</f>
        <v>7067</v>
      </c>
      <c r="H45" s="1273">
        <f>'А П 2'!J317</f>
        <v>0</v>
      </c>
      <c r="I45" s="1273">
        <f>'А П 2'!K317</f>
        <v>0</v>
      </c>
      <c r="J45" s="1273">
        <f>'А П 2'!L317</f>
        <v>0</v>
      </c>
      <c r="K45" s="1273">
        <f>'А П 2'!M317</f>
        <v>0</v>
      </c>
      <c r="L45" s="1223"/>
      <c r="M45" s="1272"/>
      <c r="N45" s="29"/>
    </row>
    <row r="46" spans="1:15" s="4" customFormat="1" ht="46.5" customHeight="1" x14ac:dyDescent="0.3">
      <c r="A46" s="1789" t="s">
        <v>1253</v>
      </c>
      <c r="B46" s="1789"/>
      <c r="C46" s="1789"/>
      <c r="D46" s="1789"/>
      <c r="E46" s="1789"/>
      <c r="F46" s="1789"/>
      <c r="G46" s="1789"/>
      <c r="H46" s="1789"/>
      <c r="I46" s="1789"/>
      <c r="J46" s="1789"/>
      <c r="K46" s="1789"/>
      <c r="L46" s="1789"/>
      <c r="M46" s="1789"/>
      <c r="N46" s="550" t="s">
        <v>1382</v>
      </c>
    </row>
    <row r="47" spans="1:15" s="4" customFormat="1" x14ac:dyDescent="0.3">
      <c r="A47" s="284"/>
      <c r="B47" s="14"/>
      <c r="C47" s="1790" t="s">
        <v>618</v>
      </c>
      <c r="D47" s="843" t="s">
        <v>12</v>
      </c>
      <c r="E47" s="352"/>
      <c r="F47" s="303">
        <f>F48+F49+F50+F51</f>
        <v>12048630.130000001</v>
      </c>
      <c r="G47" s="303">
        <f>G48+G49+G50+G51</f>
        <v>3279873.23</v>
      </c>
      <c r="H47" s="303">
        <f t="shared" ref="H47:K47" si="26">H48+H49+H50+H51</f>
        <v>4118150.5</v>
      </c>
      <c r="I47" s="303">
        <f t="shared" si="26"/>
        <v>2541974.7000000002</v>
      </c>
      <c r="J47" s="303">
        <f t="shared" si="26"/>
        <v>2108631.7000000002</v>
      </c>
      <c r="K47" s="303">
        <f t="shared" si="26"/>
        <v>0</v>
      </c>
      <c r="L47" s="14"/>
      <c r="M47" s="14"/>
      <c r="N47" s="29"/>
    </row>
    <row r="48" spans="1:15" s="4" customFormat="1" ht="21" customHeight="1" x14ac:dyDescent="0.3">
      <c r="A48" s="1791"/>
      <c r="B48" s="1792"/>
      <c r="C48" s="1790"/>
      <c r="D48" s="836" t="s">
        <v>13</v>
      </c>
      <c r="E48" s="360"/>
      <c r="F48" s="303">
        <f>G48+H48+I48+J48+K48</f>
        <v>9947616</v>
      </c>
      <c r="G48" s="303">
        <f>G6+G27</f>
        <v>2249177</v>
      </c>
      <c r="H48" s="303">
        <f>H27+H6</f>
        <v>3495414</v>
      </c>
      <c r="I48" s="303">
        <f>I27+I6</f>
        <v>2318184</v>
      </c>
      <c r="J48" s="303">
        <f>J27+J6</f>
        <v>1884841</v>
      </c>
      <c r="K48" s="303">
        <f>K27+K6</f>
        <v>0</v>
      </c>
      <c r="L48" s="1792"/>
      <c r="M48" s="1792"/>
      <c r="N48" s="29"/>
    </row>
    <row r="49" spans="1:14" s="4" customFormat="1" ht="31.2" customHeight="1" x14ac:dyDescent="0.3">
      <c r="A49" s="1791"/>
      <c r="B49" s="1792"/>
      <c r="C49" s="1790"/>
      <c r="D49" s="836" t="s">
        <v>14</v>
      </c>
      <c r="E49" s="360"/>
      <c r="F49" s="303">
        <f t="shared" ref="F49:F51" si="27">G49+H49+I49+J49+K49</f>
        <v>1637964.4</v>
      </c>
      <c r="G49" s="303">
        <f>G7+G28</f>
        <v>567646.5</v>
      </c>
      <c r="H49" s="303">
        <f>H7+H28</f>
        <v>622736.5</v>
      </c>
      <c r="I49" s="303">
        <f>I7+I28</f>
        <v>223790.7</v>
      </c>
      <c r="J49" s="303">
        <f>J7+J28</f>
        <v>223790.7</v>
      </c>
      <c r="K49" s="303">
        <f>K7+K28</f>
        <v>0</v>
      </c>
      <c r="L49" s="1793"/>
      <c r="M49" s="1793"/>
      <c r="N49" s="29"/>
    </row>
    <row r="50" spans="1:14" s="4" customFormat="1" ht="26.7" customHeight="1" x14ac:dyDescent="0.3">
      <c r="A50" s="1791"/>
      <c r="B50" s="1792"/>
      <c r="C50" s="1790"/>
      <c r="D50" s="836" t="s">
        <v>231</v>
      </c>
      <c r="E50" s="360"/>
      <c r="F50" s="303">
        <f t="shared" si="27"/>
        <v>138049.73000000001</v>
      </c>
      <c r="G50" s="303">
        <f>G8+G29</f>
        <v>138049.73000000001</v>
      </c>
      <c r="H50" s="303"/>
      <c r="I50" s="303"/>
      <c r="J50" s="303"/>
      <c r="K50" s="303"/>
      <c r="L50" s="1793"/>
      <c r="M50" s="1793"/>
      <c r="N50" s="29"/>
    </row>
    <row r="51" spans="1:14" s="4" customFormat="1" ht="93" customHeight="1" x14ac:dyDescent="0.3">
      <c r="A51" s="1791"/>
      <c r="B51" s="1792"/>
      <c r="C51" s="1790"/>
      <c r="D51" s="845" t="s">
        <v>144</v>
      </c>
      <c r="E51" s="360"/>
      <c r="F51" s="303">
        <f t="shared" si="27"/>
        <v>325000</v>
      </c>
      <c r="G51" s="303">
        <f>G9</f>
        <v>325000</v>
      </c>
      <c r="H51" s="303">
        <f>H9</f>
        <v>0</v>
      </c>
      <c r="I51" s="303">
        <f>I9</f>
        <v>0</v>
      </c>
      <c r="J51" s="303">
        <f>J9</f>
        <v>0</v>
      </c>
      <c r="K51" s="303">
        <f>K9</f>
        <v>0</v>
      </c>
      <c r="L51" s="1793"/>
      <c r="M51" s="1793"/>
      <c r="N51" s="29"/>
    </row>
    <row r="52" spans="1:14" s="4" customFormat="1" ht="26.7" customHeight="1" x14ac:dyDescent="0.3">
      <c r="A52" s="1791"/>
      <c r="B52" s="1792"/>
      <c r="C52" s="1794"/>
      <c r="D52" s="14"/>
      <c r="E52" s="61"/>
      <c r="F52" s="60"/>
      <c r="G52" s="60"/>
      <c r="H52" s="60"/>
      <c r="I52" s="60"/>
      <c r="J52" s="60"/>
      <c r="K52" s="60"/>
      <c r="L52" s="1792"/>
      <c r="M52" s="1792"/>
      <c r="N52" s="29"/>
    </row>
    <row r="53" spans="1:14" s="4" customFormat="1" ht="82.95" customHeight="1" x14ac:dyDescent="0.3">
      <c r="A53" s="1791"/>
      <c r="B53" s="1792"/>
      <c r="C53" s="1794"/>
      <c r="D53" s="841"/>
      <c r="E53" s="61"/>
      <c r="F53" s="60" t="s">
        <v>349</v>
      </c>
      <c r="G53" s="60">
        <f>G13+G33</f>
        <v>50394</v>
      </c>
      <c r="H53" s="60">
        <f>H13+H33</f>
        <v>79496</v>
      </c>
      <c r="I53" s="60">
        <f>I13+I33</f>
        <v>0</v>
      </c>
      <c r="J53" s="60">
        <f>J13+J33</f>
        <v>0</v>
      </c>
      <c r="K53" s="60"/>
      <c r="L53" s="1793"/>
      <c r="M53" s="1793"/>
      <c r="N53" s="29"/>
    </row>
    <row r="54" spans="1:14" s="4" customFormat="1" ht="36" customHeight="1" x14ac:dyDescent="0.3">
      <c r="A54" s="1791"/>
      <c r="B54" s="1792"/>
      <c r="C54" s="1794"/>
      <c r="D54" s="841"/>
      <c r="E54" s="61"/>
      <c r="F54" s="60" t="s">
        <v>619</v>
      </c>
      <c r="G54" s="60">
        <f>G12+G17+G20+G32+G37+G40+G43</f>
        <v>2194193</v>
      </c>
      <c r="H54" s="60">
        <f>H12+H17+H20+H32+H37+H40+H43</f>
        <v>3354208</v>
      </c>
      <c r="I54" s="60">
        <f>I12+I17+I20+I32+I37+I40+I43</f>
        <v>2267184</v>
      </c>
      <c r="J54" s="60">
        <f>J12+J17+J20+J32+J37+J40+J43</f>
        <v>1833841</v>
      </c>
      <c r="K54" s="60">
        <f>K12+K17+K20+K32+K37+K40+K43</f>
        <v>0</v>
      </c>
      <c r="L54" s="1793"/>
      <c r="M54" s="1793"/>
      <c r="N54" s="29"/>
    </row>
    <row r="55" spans="1:14" s="4" customFormat="1" ht="73.2" customHeight="1" x14ac:dyDescent="0.3">
      <c r="A55" s="1791"/>
      <c r="B55" s="1792"/>
      <c r="C55" s="1794"/>
      <c r="D55" s="841"/>
      <c r="E55" s="61"/>
      <c r="F55" s="60"/>
      <c r="G55" s="60">
        <f>G53+G54</f>
        <v>2244587</v>
      </c>
      <c r="H55" s="60"/>
      <c r="I55" s="60"/>
      <c r="J55" s="60"/>
      <c r="K55" s="60"/>
      <c r="L55" s="1793"/>
      <c r="M55" s="1793"/>
      <c r="N55" s="29"/>
    </row>
    <row r="56" spans="1:14" s="4" customFormat="1" ht="41.7" customHeight="1" x14ac:dyDescent="0.3">
      <c r="A56" s="1791"/>
      <c r="B56" s="1792"/>
      <c r="C56" s="1791"/>
      <c r="D56" s="841"/>
      <c r="E56" s="61"/>
      <c r="F56" s="60"/>
      <c r="G56" s="60"/>
      <c r="H56" s="60"/>
      <c r="I56" s="60"/>
      <c r="J56" s="60"/>
      <c r="K56" s="60"/>
      <c r="L56" s="1759"/>
      <c r="M56" s="1792"/>
      <c r="N56" s="29"/>
    </row>
    <row r="57" spans="1:14" s="4" customFormat="1" ht="91.95" customHeight="1" x14ac:dyDescent="0.3">
      <c r="A57" s="1791"/>
      <c r="B57" s="1792"/>
      <c r="C57" s="1791"/>
      <c r="D57" s="841"/>
      <c r="E57" s="61"/>
      <c r="F57" s="60"/>
      <c r="G57" s="60"/>
      <c r="H57" s="60"/>
      <c r="I57" s="60"/>
      <c r="J57" s="60"/>
      <c r="K57" s="60"/>
      <c r="L57" s="1759"/>
      <c r="M57" s="1792"/>
      <c r="N57" s="29"/>
    </row>
    <row r="58" spans="1:14" s="4" customFormat="1" ht="174" customHeight="1" x14ac:dyDescent="0.3">
      <c r="A58" s="1791"/>
      <c r="B58" s="1709"/>
      <c r="C58" s="1791"/>
      <c r="D58" s="841"/>
      <c r="E58" s="58"/>
      <c r="F58" s="59"/>
      <c r="G58" s="59"/>
      <c r="H58" s="59"/>
      <c r="I58" s="59"/>
      <c r="J58" s="59"/>
      <c r="K58" s="59"/>
      <c r="L58" s="1759"/>
      <c r="M58" s="1792"/>
      <c r="N58" s="29"/>
    </row>
    <row r="59" spans="1:14" s="4" customFormat="1" ht="9" customHeight="1" x14ac:dyDescent="0.3">
      <c r="A59" s="1791"/>
      <c r="B59" s="1709"/>
      <c r="C59" s="1791"/>
      <c r="D59" s="841"/>
      <c r="E59" s="58"/>
      <c r="F59" s="59"/>
      <c r="G59" s="59"/>
      <c r="H59" s="59"/>
      <c r="I59" s="59"/>
      <c r="J59" s="59"/>
      <c r="K59" s="59"/>
      <c r="L59" s="1759"/>
      <c r="M59" s="1792"/>
      <c r="N59" s="29"/>
    </row>
    <row r="60" spans="1:14" s="4" customFormat="1" ht="180.45" customHeight="1" x14ac:dyDescent="0.3">
      <c r="A60" s="1791"/>
      <c r="B60" s="1709"/>
      <c r="C60" s="1791"/>
      <c r="D60" s="841"/>
      <c r="E60" s="58"/>
      <c r="F60" s="59"/>
      <c r="G60" s="59"/>
      <c r="H60" s="59"/>
      <c r="I60" s="59"/>
      <c r="J60" s="59"/>
      <c r="K60" s="59"/>
      <c r="L60" s="1759"/>
      <c r="M60" s="1792"/>
      <c r="N60" s="29"/>
    </row>
    <row r="61" spans="1:14" s="4" customFormat="1" ht="45.75" customHeight="1" x14ac:dyDescent="0.3">
      <c r="A61" s="1791"/>
      <c r="B61" s="1709"/>
      <c r="C61" s="1791"/>
      <c r="D61" s="841"/>
      <c r="E61" s="58"/>
      <c r="F61" s="59"/>
      <c r="G61" s="59"/>
      <c r="H61" s="59"/>
      <c r="I61" s="59"/>
      <c r="J61" s="59"/>
      <c r="K61" s="59"/>
      <c r="L61" s="1759"/>
      <c r="M61" s="1792"/>
      <c r="N61" s="29"/>
    </row>
    <row r="62" spans="1:14" s="4" customFormat="1" ht="84.45" customHeight="1" x14ac:dyDescent="0.3">
      <c r="A62" s="10"/>
      <c r="B62" s="840"/>
      <c r="C62" s="15"/>
      <c r="D62" s="1759"/>
      <c r="E62" s="1759"/>
      <c r="F62" s="1759"/>
      <c r="G62" s="1759"/>
      <c r="H62" s="1759"/>
      <c r="I62" s="1759"/>
      <c r="J62" s="1759"/>
      <c r="K62" s="1759"/>
      <c r="L62" s="15"/>
      <c r="M62" s="15"/>
      <c r="N62" s="29"/>
    </row>
    <row r="63" spans="1:14" s="4" customFormat="1" ht="51.75" customHeight="1" x14ac:dyDescent="0.3">
      <c r="A63" s="10"/>
      <c r="B63" s="840"/>
      <c r="C63" s="10"/>
      <c r="D63" s="840"/>
      <c r="E63" s="330"/>
      <c r="F63" s="286"/>
      <c r="G63" s="1795"/>
      <c r="H63" s="1795"/>
      <c r="I63" s="1795"/>
      <c r="J63" s="286"/>
      <c r="K63" s="286"/>
      <c r="L63" s="285"/>
      <c r="M63" s="285"/>
      <c r="N63" s="29"/>
    </row>
    <row r="64" spans="1:14" s="4" customFormat="1" ht="49.5" customHeight="1" x14ac:dyDescent="0.3">
      <c r="A64" s="10"/>
      <c r="B64" s="840"/>
      <c r="C64" s="10"/>
      <c r="D64" s="840"/>
      <c r="E64" s="330"/>
      <c r="F64" s="286"/>
      <c r="G64" s="286"/>
      <c r="H64" s="286"/>
      <c r="I64" s="286"/>
      <c r="J64" s="286"/>
      <c r="K64" s="286"/>
      <c r="L64" s="285"/>
      <c r="M64" s="285"/>
      <c r="N64" s="29"/>
    </row>
    <row r="65" spans="1:14" s="4" customFormat="1" ht="100.95" customHeight="1" x14ac:dyDescent="0.3">
      <c r="A65" s="10"/>
      <c r="B65" s="840"/>
      <c r="C65" s="10"/>
      <c r="D65" s="840"/>
      <c r="E65" s="330"/>
      <c r="F65" s="286"/>
      <c r="G65" s="286"/>
      <c r="H65" s="286"/>
      <c r="I65" s="286"/>
      <c r="J65" s="286"/>
      <c r="K65" s="286"/>
      <c r="L65" s="285"/>
      <c r="M65" s="285"/>
      <c r="N65" s="29"/>
    </row>
    <row r="66" spans="1:14" s="4" customFormat="1" ht="15" customHeight="1" x14ac:dyDescent="0.3">
      <c r="A66" s="1796"/>
      <c r="B66" s="1796"/>
      <c r="C66" s="1796"/>
      <c r="D66" s="1796"/>
      <c r="E66" s="1796"/>
      <c r="F66" s="1796"/>
      <c r="G66" s="1796"/>
      <c r="H66" s="1796"/>
      <c r="I66" s="1796"/>
      <c r="J66" s="1796"/>
      <c r="K66" s="1796"/>
      <c r="L66" s="1796"/>
      <c r="M66" s="1796"/>
      <c r="N66" s="29"/>
    </row>
    <row r="67" spans="1:14" s="4" customFormat="1" ht="142.94999999999999" customHeight="1" x14ac:dyDescent="0.3">
      <c r="A67" s="1797"/>
      <c r="B67" s="1798"/>
      <c r="C67" s="1798"/>
      <c r="D67" s="1798"/>
      <c r="E67" s="1798"/>
      <c r="F67" s="1798"/>
      <c r="G67" s="1798"/>
      <c r="H67" s="1798"/>
      <c r="I67" s="1798"/>
      <c r="J67" s="1798"/>
      <c r="K67" s="1798"/>
      <c r="L67" s="1798"/>
      <c r="M67" s="1798"/>
      <c r="N67" s="29"/>
    </row>
    <row r="68" spans="1:14" s="4" customFormat="1" ht="55.2" customHeight="1" x14ac:dyDescent="0.3">
      <c r="A68" s="8"/>
      <c r="B68" s="22"/>
      <c r="C68" s="22"/>
      <c r="D68" s="23"/>
      <c r="E68" s="62"/>
      <c r="F68" s="63"/>
      <c r="G68" s="63"/>
      <c r="H68" s="63"/>
      <c r="I68" s="63"/>
      <c r="J68" s="63"/>
      <c r="K68" s="63"/>
      <c r="L68" s="22"/>
      <c r="M68" s="23"/>
      <c r="N68" s="29"/>
    </row>
    <row r="69" spans="1:14" s="4" customFormat="1" ht="57" customHeight="1" x14ac:dyDescent="0.3">
      <c r="A69" s="8"/>
      <c r="B69" s="22"/>
      <c r="C69" s="25"/>
      <c r="D69" s="25"/>
      <c r="E69" s="64"/>
      <c r="F69" s="65"/>
      <c r="G69" s="65"/>
      <c r="H69" s="65"/>
      <c r="I69" s="65"/>
      <c r="J69" s="65"/>
      <c r="K69" s="65"/>
      <c r="L69" s="23"/>
      <c r="M69" s="23"/>
      <c r="N69" s="29"/>
    </row>
    <row r="70" spans="1:14" s="4" customFormat="1" x14ac:dyDescent="0.3">
      <c r="A70" s="8"/>
      <c r="B70" s="22"/>
      <c r="C70" s="27"/>
      <c r="D70" s="23"/>
      <c r="E70" s="64"/>
      <c r="F70" s="65"/>
      <c r="G70" s="65"/>
      <c r="H70" s="65"/>
      <c r="I70" s="65"/>
      <c r="J70" s="65"/>
      <c r="K70" s="65"/>
      <c r="L70" s="25"/>
      <c r="M70" s="25"/>
      <c r="N70" s="29"/>
    </row>
    <row r="71" spans="1:14" s="4" customFormat="1" ht="41.7" customHeight="1" x14ac:dyDescent="0.3">
      <c r="A71" s="8"/>
      <c r="B71" s="22"/>
      <c r="C71" s="25"/>
      <c r="D71" s="23"/>
      <c r="E71" s="64"/>
      <c r="F71" s="65"/>
      <c r="G71" s="65"/>
      <c r="H71" s="65"/>
      <c r="I71" s="65"/>
      <c r="J71" s="65"/>
      <c r="K71" s="65"/>
      <c r="L71" s="25"/>
      <c r="M71" s="25"/>
      <c r="N71" s="29"/>
    </row>
    <row r="72" spans="1:14" s="4" customFormat="1" ht="99.75" customHeight="1" x14ac:dyDescent="0.3">
      <c r="A72" s="9"/>
      <c r="B72" s="23"/>
      <c r="C72" s="25"/>
      <c r="D72" s="25"/>
      <c r="E72" s="64"/>
      <c r="F72" s="65"/>
      <c r="G72" s="65"/>
      <c r="H72" s="65"/>
      <c r="I72" s="65"/>
      <c r="J72" s="65"/>
      <c r="K72" s="65"/>
      <c r="L72" s="23"/>
      <c r="M72" s="23"/>
      <c r="N72" s="29"/>
    </row>
    <row r="73" spans="1:14" s="4" customFormat="1" ht="27" customHeight="1" x14ac:dyDescent="0.3">
      <c r="A73" s="9"/>
      <c r="B73" s="23"/>
      <c r="C73" s="27"/>
      <c r="D73" s="23"/>
      <c r="E73" s="64"/>
      <c r="F73" s="65"/>
      <c r="G73" s="65"/>
      <c r="H73" s="65"/>
      <c r="I73" s="65"/>
      <c r="J73" s="65"/>
      <c r="K73" s="65"/>
      <c r="L73" s="23"/>
      <c r="M73" s="23"/>
      <c r="N73" s="29"/>
    </row>
    <row r="74" spans="1:14" s="4" customFormat="1" ht="79.5" customHeight="1" x14ac:dyDescent="0.3">
      <c r="A74" s="9"/>
      <c r="B74" s="23"/>
      <c r="C74" s="28"/>
      <c r="D74" s="23"/>
      <c r="E74" s="64"/>
      <c r="F74" s="65"/>
      <c r="G74" s="65"/>
      <c r="H74" s="65"/>
      <c r="I74" s="65"/>
      <c r="J74" s="65"/>
      <c r="K74" s="65"/>
      <c r="L74" s="23"/>
      <c r="M74" s="23"/>
      <c r="N74" s="29"/>
    </row>
    <row r="75" spans="1:14" s="4" customFormat="1" ht="96" hidden="1" customHeight="1" x14ac:dyDescent="0.3">
      <c r="A75" s="9"/>
      <c r="B75" s="23"/>
      <c r="C75" s="28"/>
      <c r="D75" s="23"/>
      <c r="E75" s="64"/>
      <c r="F75" s="65"/>
      <c r="G75" s="65"/>
      <c r="H75" s="65"/>
      <c r="I75" s="65"/>
      <c r="J75" s="65"/>
      <c r="K75" s="65"/>
      <c r="L75" s="23"/>
      <c r="M75" s="23"/>
      <c r="N75" s="29"/>
    </row>
    <row r="76" spans="1:14" s="4" customFormat="1" ht="96" hidden="1" customHeight="1" x14ac:dyDescent="0.3">
      <c r="A76" s="8"/>
      <c r="B76" s="23"/>
      <c r="C76" s="25"/>
      <c r="D76" s="25"/>
      <c r="E76" s="64"/>
      <c r="F76" s="65"/>
      <c r="G76" s="65"/>
      <c r="H76" s="65"/>
      <c r="I76" s="65"/>
      <c r="J76" s="65"/>
      <c r="K76" s="65"/>
      <c r="L76" s="23"/>
      <c r="M76" s="23"/>
      <c r="N76" s="29"/>
    </row>
    <row r="77" spans="1:14" s="4" customFormat="1" ht="96" hidden="1" customHeight="1" x14ac:dyDescent="0.3">
      <c r="A77" s="8"/>
      <c r="B77" s="23"/>
      <c r="C77" s="25"/>
      <c r="D77" s="23"/>
      <c r="E77" s="64"/>
      <c r="F77" s="65"/>
      <c r="G77" s="65"/>
      <c r="H77" s="65"/>
      <c r="I77" s="65"/>
      <c r="J77" s="65"/>
      <c r="K77" s="65"/>
      <c r="L77" s="23"/>
      <c r="M77" s="23"/>
      <c r="N77" s="29"/>
    </row>
    <row r="78" spans="1:14" s="4" customFormat="1" ht="96" hidden="1" customHeight="1" x14ac:dyDescent="0.3">
      <c r="A78" s="8"/>
      <c r="B78" s="23"/>
      <c r="C78" s="25"/>
      <c r="D78" s="23"/>
      <c r="E78" s="64"/>
      <c r="F78" s="65"/>
      <c r="G78" s="65"/>
      <c r="H78" s="65"/>
      <c r="I78" s="65"/>
      <c r="J78" s="65"/>
      <c r="K78" s="65"/>
      <c r="L78" s="23"/>
      <c r="M78" s="23"/>
      <c r="N78" s="29"/>
    </row>
    <row r="79" spans="1:14" s="4" customFormat="1" ht="96" hidden="1" customHeight="1" x14ac:dyDescent="0.3">
      <c r="A79" s="8"/>
      <c r="B79" s="23"/>
      <c r="C79" s="28"/>
      <c r="D79" s="25"/>
      <c r="E79" s="64"/>
      <c r="F79" s="65"/>
      <c r="G79" s="65"/>
      <c r="H79" s="65"/>
      <c r="I79" s="65"/>
      <c r="J79" s="65"/>
      <c r="K79" s="65"/>
      <c r="L79" s="23"/>
      <c r="M79" s="23"/>
      <c r="N79" s="29"/>
    </row>
    <row r="80" spans="1:14" s="4" customFormat="1" ht="96" hidden="1" customHeight="1" x14ac:dyDescent="0.3">
      <c r="A80" s="8"/>
      <c r="B80" s="25"/>
      <c r="C80" s="28"/>
      <c r="D80" s="23"/>
      <c r="E80" s="64"/>
      <c r="F80" s="65"/>
      <c r="G80" s="65"/>
      <c r="H80" s="65"/>
      <c r="I80" s="65"/>
      <c r="J80" s="65"/>
      <c r="K80" s="65"/>
      <c r="L80" s="25"/>
      <c r="M80" s="25"/>
      <c r="N80" s="29"/>
    </row>
    <row r="81" spans="1:14" s="4" customFormat="1" ht="96" hidden="1" customHeight="1" x14ac:dyDescent="0.3">
      <c r="A81" s="8"/>
      <c r="B81" s="25"/>
      <c r="C81" s="25"/>
      <c r="D81" s="25"/>
      <c r="E81" s="64"/>
      <c r="F81" s="65"/>
      <c r="G81" s="65"/>
      <c r="H81" s="65"/>
      <c r="I81" s="65"/>
      <c r="J81" s="65"/>
      <c r="K81" s="65"/>
      <c r="L81" s="25"/>
      <c r="M81" s="25"/>
      <c r="N81" s="29"/>
    </row>
    <row r="82" spans="1:14" s="4" customFormat="1" ht="96" hidden="1" customHeight="1" x14ac:dyDescent="0.3">
      <c r="A82" s="8"/>
      <c r="B82" s="25"/>
      <c r="C82" s="25"/>
      <c r="D82" s="25"/>
      <c r="E82" s="64"/>
      <c r="F82" s="65"/>
      <c r="G82" s="65"/>
      <c r="H82" s="65"/>
      <c r="I82" s="65"/>
      <c r="J82" s="65"/>
      <c r="K82" s="65"/>
      <c r="L82" s="25"/>
      <c r="M82" s="25"/>
      <c r="N82" s="29"/>
    </row>
    <row r="83" spans="1:14" s="4" customFormat="1" ht="15" customHeight="1" x14ac:dyDescent="0.3">
      <c r="A83" s="8"/>
      <c r="B83" s="25"/>
      <c r="C83" s="25"/>
      <c r="D83" s="25"/>
      <c r="E83" s="64"/>
      <c r="F83" s="65"/>
      <c r="G83" s="65"/>
      <c r="H83" s="65"/>
      <c r="I83" s="65"/>
      <c r="J83" s="65"/>
      <c r="K83" s="65"/>
      <c r="L83" s="25"/>
      <c r="M83" s="25"/>
      <c r="N83" s="29"/>
    </row>
    <row r="84" spans="1:14" s="4" customFormat="1" ht="106.95" customHeight="1" x14ac:dyDescent="0.3">
      <c r="A84" s="8"/>
      <c r="B84" s="25"/>
      <c r="C84" s="25"/>
      <c r="D84" s="25"/>
      <c r="E84" s="64"/>
      <c r="F84" s="65"/>
      <c r="G84" s="65"/>
      <c r="H84" s="65"/>
      <c r="I84" s="65"/>
      <c r="J84" s="65"/>
      <c r="K84" s="65"/>
      <c r="L84" s="25"/>
      <c r="M84" s="25"/>
      <c r="N84" s="29"/>
    </row>
    <row r="85" spans="1:14" s="4" customFormat="1" ht="274.2" customHeight="1" x14ac:dyDescent="0.3">
      <c r="A85" s="8"/>
      <c r="B85" s="25"/>
      <c r="C85" s="25"/>
      <c r="D85" s="25"/>
      <c r="E85" s="64"/>
      <c r="F85" s="65"/>
      <c r="G85" s="65"/>
      <c r="H85" s="65"/>
      <c r="I85" s="65"/>
      <c r="J85" s="65"/>
      <c r="K85" s="65"/>
      <c r="L85" s="25"/>
      <c r="M85" s="25"/>
      <c r="N85" s="29"/>
    </row>
    <row r="86" spans="1:14" s="4" customFormat="1" ht="147.44999999999999" customHeight="1" x14ac:dyDescent="0.3">
      <c r="A86" s="8"/>
      <c r="B86" s="25"/>
      <c r="C86" s="25"/>
      <c r="D86" s="25"/>
      <c r="E86" s="64"/>
      <c r="F86" s="65"/>
      <c r="G86" s="65"/>
      <c r="H86" s="65"/>
      <c r="I86" s="65"/>
      <c r="J86" s="65"/>
      <c r="K86" s="65"/>
      <c r="L86" s="25"/>
      <c r="M86" s="25"/>
      <c r="N86" s="29"/>
    </row>
    <row r="87" spans="1:14" s="4" customFormat="1" ht="18" customHeight="1" x14ac:dyDescent="0.3">
      <c r="A87" s="8"/>
      <c r="B87" s="25"/>
      <c r="C87" s="25"/>
      <c r="D87" s="25"/>
      <c r="E87" s="64"/>
      <c r="F87" s="65"/>
      <c r="G87" s="65"/>
      <c r="H87" s="65"/>
      <c r="I87" s="65"/>
      <c r="J87" s="65"/>
      <c r="K87" s="65"/>
      <c r="L87" s="25"/>
      <c r="M87" s="25"/>
      <c r="N87" s="29"/>
    </row>
    <row r="88" spans="1:14" s="4" customFormat="1" ht="84" customHeight="1" x14ac:dyDescent="0.3">
      <c r="A88" s="8"/>
      <c r="B88" s="25"/>
      <c r="C88" s="25"/>
      <c r="D88" s="25"/>
      <c r="E88" s="64"/>
      <c r="F88" s="65"/>
      <c r="G88" s="65"/>
      <c r="H88" s="65"/>
      <c r="I88" s="65"/>
      <c r="J88" s="65"/>
      <c r="K88" s="65"/>
      <c r="L88" s="25"/>
      <c r="M88" s="25"/>
      <c r="N88" s="29"/>
    </row>
    <row r="89" spans="1:14" s="4" customFormat="1" ht="42" customHeight="1" x14ac:dyDescent="0.3">
      <c r="A89" s="8"/>
      <c r="B89" s="23"/>
      <c r="C89" s="25"/>
      <c r="D89" s="23"/>
      <c r="E89" s="64"/>
      <c r="F89" s="65"/>
      <c r="G89" s="65"/>
      <c r="H89" s="65"/>
      <c r="I89" s="65"/>
      <c r="J89" s="65"/>
      <c r="K89" s="65"/>
      <c r="L89" s="23"/>
      <c r="M89" s="23"/>
      <c r="N89" s="29"/>
    </row>
    <row r="90" spans="1:14" s="4" customFormat="1" x14ac:dyDescent="0.3">
      <c r="A90" s="8"/>
      <c r="B90" s="23"/>
      <c r="C90" s="25"/>
      <c r="D90" s="23"/>
      <c r="E90" s="64"/>
      <c r="F90" s="65"/>
      <c r="G90" s="65"/>
      <c r="H90" s="65"/>
      <c r="I90" s="65"/>
      <c r="J90" s="65"/>
      <c r="K90" s="65"/>
      <c r="L90" s="23"/>
      <c r="M90" s="23"/>
      <c r="N90" s="29"/>
    </row>
    <row r="91" spans="1:14" s="4" customFormat="1" ht="74.25" customHeight="1" x14ac:dyDescent="0.3">
      <c r="A91" s="8"/>
      <c r="B91" s="23"/>
      <c r="C91" s="27"/>
      <c r="D91" s="23"/>
      <c r="E91" s="62"/>
      <c r="F91" s="65"/>
      <c r="G91" s="65"/>
      <c r="H91" s="65"/>
      <c r="I91" s="65"/>
      <c r="J91" s="65"/>
      <c r="K91" s="65"/>
      <c r="L91" s="23"/>
      <c r="M91" s="23"/>
      <c r="N91" s="29"/>
    </row>
    <row r="92" spans="1:14" s="4" customFormat="1" ht="17.25" customHeight="1" x14ac:dyDescent="0.3">
      <c r="A92" s="8"/>
      <c r="B92" s="23"/>
      <c r="C92" s="25"/>
      <c r="D92" s="23"/>
      <c r="E92" s="62"/>
      <c r="F92" s="63"/>
      <c r="G92" s="63"/>
      <c r="H92" s="63"/>
      <c r="I92" s="63"/>
      <c r="J92" s="63"/>
      <c r="K92" s="63"/>
      <c r="L92" s="23"/>
      <c r="M92" s="23"/>
      <c r="N92" s="29"/>
    </row>
    <row r="93" spans="1:14" s="4" customFormat="1" ht="74.25" customHeight="1" x14ac:dyDescent="0.3">
      <c r="A93" s="8"/>
      <c r="B93" s="23"/>
      <c r="C93" s="25"/>
      <c r="D93" s="23"/>
      <c r="E93" s="62"/>
      <c r="F93" s="63"/>
      <c r="G93" s="63"/>
      <c r="H93" s="63"/>
      <c r="I93" s="63"/>
      <c r="J93" s="63"/>
      <c r="K93" s="63"/>
      <c r="L93" s="23"/>
      <c r="M93" s="23"/>
      <c r="N93" s="29"/>
    </row>
    <row r="94" spans="1:14" s="4" customFormat="1" ht="19.5" customHeight="1" x14ac:dyDescent="0.3">
      <c r="A94" s="8"/>
      <c r="B94" s="23"/>
      <c r="C94" s="25"/>
      <c r="D94" s="23"/>
      <c r="E94" s="64"/>
      <c r="F94" s="65"/>
      <c r="G94" s="65"/>
      <c r="H94" s="65"/>
      <c r="I94" s="65"/>
      <c r="J94" s="65"/>
      <c r="K94" s="65"/>
      <c r="L94" s="23"/>
      <c r="M94" s="23"/>
      <c r="N94" s="29"/>
    </row>
    <row r="95" spans="1:14" s="5" customFormat="1" ht="72.75" customHeight="1" x14ac:dyDescent="0.3">
      <c r="A95" s="8"/>
      <c r="B95" s="23"/>
      <c r="C95" s="25"/>
      <c r="D95" s="23"/>
      <c r="E95" s="64"/>
      <c r="F95" s="65"/>
      <c r="G95" s="65"/>
      <c r="H95" s="65"/>
      <c r="I95" s="65"/>
      <c r="J95" s="65"/>
      <c r="K95" s="65"/>
      <c r="L95" s="23"/>
      <c r="M95" s="23"/>
      <c r="N95" s="87"/>
    </row>
    <row r="96" spans="1:14" s="5" customFormat="1" x14ac:dyDescent="0.3">
      <c r="A96" s="8"/>
      <c r="B96" s="23"/>
      <c r="C96" s="27"/>
      <c r="D96" s="23"/>
      <c r="E96" s="64"/>
      <c r="F96" s="65"/>
      <c r="G96" s="65"/>
      <c r="H96" s="65"/>
      <c r="I96" s="65"/>
      <c r="J96" s="65"/>
      <c r="K96" s="65"/>
      <c r="L96" s="23"/>
      <c r="M96" s="23"/>
      <c r="N96" s="87"/>
    </row>
    <row r="97" spans="1:14" s="5" customFormat="1" ht="72.75" customHeight="1" x14ac:dyDescent="0.3">
      <c r="A97" s="8"/>
      <c r="B97" s="23"/>
      <c r="C97" s="27"/>
      <c r="D97" s="23"/>
      <c r="E97" s="64"/>
      <c r="F97" s="65"/>
      <c r="G97" s="65"/>
      <c r="H97" s="65"/>
      <c r="I97" s="65"/>
      <c r="J97" s="65"/>
      <c r="K97" s="65"/>
      <c r="L97" s="23"/>
      <c r="M97" s="25"/>
      <c r="N97" s="87"/>
    </row>
    <row r="98" spans="1:14" s="5" customFormat="1" ht="30.75" customHeight="1" x14ac:dyDescent="0.3">
      <c r="A98" s="8"/>
      <c r="B98" s="23"/>
      <c r="C98" s="27"/>
      <c r="D98" s="25"/>
      <c r="E98" s="64"/>
      <c r="F98" s="65"/>
      <c r="G98" s="65"/>
      <c r="H98" s="65"/>
      <c r="I98" s="65"/>
      <c r="J98" s="65"/>
      <c r="K98" s="65"/>
      <c r="L98" s="23"/>
      <c r="M98" s="23"/>
      <c r="N98" s="87"/>
    </row>
    <row r="99" spans="1:14" s="4" customFormat="1" ht="79.2" customHeight="1" x14ac:dyDescent="0.3">
      <c r="A99" s="8"/>
      <c r="B99" s="23"/>
      <c r="C99" s="27"/>
      <c r="D99" s="23"/>
      <c r="E99" s="64"/>
      <c r="F99" s="65"/>
      <c r="G99" s="65"/>
      <c r="H99" s="65"/>
      <c r="I99" s="65"/>
      <c r="J99" s="65"/>
      <c r="K99" s="65"/>
      <c r="L99" s="25"/>
      <c r="M99" s="25"/>
      <c r="N99" s="29"/>
    </row>
    <row r="100" spans="1:14" s="4" customFormat="1" ht="15" customHeight="1" x14ac:dyDescent="0.3">
      <c r="A100" s="8"/>
      <c r="B100" s="23"/>
      <c r="C100" s="27"/>
      <c r="D100" s="23"/>
      <c r="E100" s="64"/>
      <c r="F100" s="65"/>
      <c r="G100" s="65"/>
      <c r="H100" s="65"/>
      <c r="I100" s="65"/>
      <c r="J100" s="65"/>
      <c r="K100" s="65"/>
      <c r="L100" s="23"/>
      <c r="M100" s="23"/>
      <c r="N100" s="29"/>
    </row>
    <row r="101" spans="1:14" s="4" customFormat="1" ht="80.25" customHeight="1" x14ac:dyDescent="0.3">
      <c r="A101" s="8"/>
      <c r="B101" s="23"/>
      <c r="C101" s="27"/>
      <c r="D101" s="23"/>
      <c r="E101" s="64"/>
      <c r="F101" s="65"/>
      <c r="G101" s="65"/>
      <c r="H101" s="65"/>
      <c r="I101" s="65"/>
      <c r="J101" s="65"/>
      <c r="K101" s="65"/>
      <c r="L101" s="25"/>
      <c r="M101" s="25"/>
      <c r="N101" s="29"/>
    </row>
    <row r="102" spans="1:14" s="4" customFormat="1" ht="15" customHeight="1" x14ac:dyDescent="0.3">
      <c r="A102" s="43"/>
      <c r="B102" s="43"/>
      <c r="C102" s="43"/>
      <c r="D102" s="43"/>
      <c r="E102" s="66"/>
      <c r="F102" s="66"/>
      <c r="G102" s="66"/>
      <c r="H102" s="66"/>
      <c r="I102" s="66"/>
      <c r="J102" s="66"/>
      <c r="K102" s="66"/>
      <c r="L102" s="43"/>
      <c r="M102" s="43"/>
      <c r="N102" s="29"/>
    </row>
    <row r="103" spans="1:14" s="4" customFormat="1" ht="118.2" customHeight="1" x14ac:dyDescent="0.3">
      <c r="A103" s="43"/>
      <c r="B103" s="43"/>
      <c r="C103" s="43"/>
      <c r="D103" s="43"/>
      <c r="E103" s="66"/>
      <c r="F103" s="66"/>
      <c r="G103" s="66"/>
      <c r="H103" s="66"/>
      <c r="I103" s="66"/>
      <c r="J103" s="66"/>
      <c r="K103" s="66"/>
      <c r="L103" s="43"/>
      <c r="M103" s="43"/>
      <c r="N103" s="29"/>
    </row>
    <row r="104" spans="1:14" s="4" customFormat="1" ht="15" customHeight="1" x14ac:dyDescent="0.3">
      <c r="A104" s="43"/>
      <c r="B104" s="43"/>
      <c r="C104" s="43"/>
      <c r="D104" s="43"/>
      <c r="E104" s="66"/>
      <c r="F104" s="66"/>
      <c r="G104" s="66"/>
      <c r="H104" s="66"/>
      <c r="I104" s="66"/>
      <c r="J104" s="66"/>
      <c r="K104" s="66"/>
      <c r="L104" s="43"/>
      <c r="M104" s="43"/>
      <c r="N104" s="29"/>
    </row>
    <row r="105" spans="1:14" s="4" customFormat="1" ht="79.5" customHeight="1" x14ac:dyDescent="0.3">
      <c r="A105" s="44"/>
      <c r="B105" s="44"/>
      <c r="C105" s="44"/>
      <c r="D105" s="44"/>
      <c r="E105" s="67"/>
      <c r="F105" s="67"/>
      <c r="G105" s="67"/>
      <c r="H105" s="67"/>
      <c r="I105" s="67"/>
      <c r="J105" s="67"/>
      <c r="K105" s="67"/>
      <c r="L105" s="44"/>
      <c r="M105" s="44"/>
      <c r="N105" s="29"/>
    </row>
    <row r="106" spans="1:14" s="4" customFormat="1" ht="15" customHeight="1" x14ac:dyDescent="0.3">
      <c r="A106" s="44"/>
      <c r="B106" s="44"/>
      <c r="C106" s="44"/>
      <c r="D106" s="44"/>
      <c r="E106" s="67"/>
      <c r="F106" s="67"/>
      <c r="G106" s="67"/>
      <c r="H106" s="67"/>
      <c r="I106" s="67"/>
      <c r="J106" s="67"/>
      <c r="K106" s="67"/>
      <c r="L106" s="44"/>
      <c r="M106" s="44"/>
      <c r="N106" s="29"/>
    </row>
    <row r="107" spans="1:14" s="4" customFormat="1" ht="81" customHeight="1" x14ac:dyDescent="0.3">
      <c r="A107" s="44"/>
      <c r="B107" s="44"/>
      <c r="C107" s="44"/>
      <c r="D107" s="44"/>
      <c r="E107" s="67"/>
      <c r="F107" s="67"/>
      <c r="G107" s="67"/>
      <c r="H107" s="67"/>
      <c r="I107" s="67"/>
      <c r="J107" s="67"/>
      <c r="K107" s="67"/>
      <c r="L107" s="44"/>
      <c r="M107" s="44"/>
      <c r="N107" s="29"/>
    </row>
    <row r="108" spans="1:14" s="4" customFormat="1" ht="14.7" customHeight="1" x14ac:dyDescent="0.3">
      <c r="A108" s="44"/>
      <c r="B108" s="44"/>
      <c r="C108" s="44"/>
      <c r="D108" s="44"/>
      <c r="E108" s="67"/>
      <c r="F108" s="67"/>
      <c r="G108" s="67"/>
      <c r="H108" s="67"/>
      <c r="I108" s="67"/>
      <c r="J108" s="67"/>
      <c r="K108" s="67"/>
      <c r="L108" s="44"/>
      <c r="M108" s="44"/>
      <c r="N108" s="29"/>
    </row>
    <row r="109" spans="1:14" s="4" customFormat="1" ht="81" customHeight="1" x14ac:dyDescent="0.3">
      <c r="A109" s="44"/>
      <c r="B109" s="44"/>
      <c r="C109" s="44"/>
      <c r="D109" s="44"/>
      <c r="E109" s="67"/>
      <c r="F109" s="67"/>
      <c r="G109" s="67"/>
      <c r="H109" s="67"/>
      <c r="I109" s="67"/>
      <c r="J109" s="67"/>
      <c r="K109" s="67"/>
      <c r="L109" s="44"/>
      <c r="M109" s="44"/>
      <c r="N109" s="29"/>
    </row>
    <row r="110" spans="1:14" s="4" customFormat="1" ht="14.7" customHeight="1" x14ac:dyDescent="0.3">
      <c r="A110" s="44"/>
      <c r="B110" s="44"/>
      <c r="C110" s="44"/>
      <c r="D110" s="44"/>
      <c r="E110" s="67"/>
      <c r="F110" s="67"/>
      <c r="G110" s="67"/>
      <c r="H110" s="67"/>
      <c r="I110" s="67"/>
      <c r="J110" s="67"/>
      <c r="K110" s="67"/>
      <c r="L110" s="44"/>
      <c r="M110" s="44"/>
      <c r="N110" s="29"/>
    </row>
    <row r="111" spans="1:14" s="4" customFormat="1" ht="81" customHeight="1" x14ac:dyDescent="0.3">
      <c r="A111" s="44"/>
      <c r="B111" s="44"/>
      <c r="C111" s="44"/>
      <c r="D111" s="44"/>
      <c r="E111" s="67"/>
      <c r="F111" s="67"/>
      <c r="G111" s="67"/>
      <c r="H111" s="67"/>
      <c r="I111" s="67"/>
      <c r="J111" s="67"/>
      <c r="K111" s="67"/>
      <c r="L111" s="44"/>
      <c r="M111" s="44"/>
      <c r="N111" s="29"/>
    </row>
    <row r="112" spans="1:14" s="4" customFormat="1" ht="14.7" customHeight="1" x14ac:dyDescent="0.3">
      <c r="A112" s="44"/>
      <c r="B112" s="44"/>
      <c r="C112" s="44"/>
      <c r="D112" s="44"/>
      <c r="E112" s="67"/>
      <c r="F112" s="67"/>
      <c r="G112" s="67"/>
      <c r="H112" s="67"/>
      <c r="I112" s="67"/>
      <c r="J112" s="67"/>
      <c r="K112" s="67"/>
      <c r="L112" s="44"/>
      <c r="M112" s="44"/>
      <c r="N112" s="29"/>
    </row>
    <row r="113" spans="1:14" s="4" customFormat="1" ht="81" customHeight="1" x14ac:dyDescent="0.3">
      <c r="A113" s="44"/>
      <c r="B113" s="44"/>
      <c r="C113" s="44"/>
      <c r="D113" s="44"/>
      <c r="E113" s="67"/>
      <c r="F113" s="67"/>
      <c r="G113" s="67"/>
      <c r="H113" s="67"/>
      <c r="I113" s="67"/>
      <c r="J113" s="67"/>
      <c r="K113" s="67"/>
      <c r="L113" s="44"/>
      <c r="M113" s="44"/>
      <c r="N113" s="29"/>
    </row>
    <row r="114" spans="1:14" s="4" customFormat="1" ht="14.7" customHeight="1" x14ac:dyDescent="0.3">
      <c r="A114" s="44"/>
      <c r="B114" s="44"/>
      <c r="C114" s="44"/>
      <c r="D114" s="44"/>
      <c r="E114" s="67"/>
      <c r="F114" s="67"/>
      <c r="G114" s="67"/>
      <c r="H114" s="67"/>
      <c r="I114" s="67"/>
      <c r="J114" s="67"/>
      <c r="K114" s="67"/>
      <c r="L114" s="44"/>
      <c r="M114" s="44"/>
      <c r="N114" s="29"/>
    </row>
    <row r="115" spans="1:14" s="4" customFormat="1" ht="81" customHeight="1" x14ac:dyDescent="0.3">
      <c r="A115" s="44"/>
      <c r="B115" s="44"/>
      <c r="C115" s="44"/>
      <c r="D115" s="44"/>
      <c r="E115" s="67"/>
      <c r="F115" s="67"/>
      <c r="G115" s="67"/>
      <c r="H115" s="67"/>
      <c r="I115" s="67"/>
      <c r="J115" s="67"/>
      <c r="K115" s="67"/>
      <c r="L115" s="44"/>
      <c r="M115" s="44"/>
      <c r="N115" s="29"/>
    </row>
    <row r="116" spans="1:14" s="4" customFormat="1" ht="14.7" customHeight="1" x14ac:dyDescent="0.3">
      <c r="A116" s="44"/>
      <c r="B116" s="44"/>
      <c r="C116" s="44"/>
      <c r="D116" s="44"/>
      <c r="E116" s="67"/>
      <c r="F116" s="67"/>
      <c r="G116" s="67"/>
      <c r="H116" s="67"/>
      <c r="I116" s="67"/>
      <c r="J116" s="67"/>
      <c r="K116" s="67"/>
      <c r="L116" s="44"/>
      <c r="M116" s="44"/>
      <c r="N116" s="29"/>
    </row>
    <row r="117" spans="1:14" s="4" customFormat="1" ht="81" customHeight="1" x14ac:dyDescent="0.3">
      <c r="A117" s="44"/>
      <c r="B117" s="44"/>
      <c r="C117" s="44"/>
      <c r="D117" s="44"/>
      <c r="E117" s="67"/>
      <c r="F117" s="67"/>
      <c r="G117" s="67"/>
      <c r="H117" s="67"/>
      <c r="I117" s="67"/>
      <c r="J117" s="67"/>
      <c r="K117" s="67"/>
      <c r="L117" s="44"/>
      <c r="M117" s="44"/>
      <c r="N117" s="29"/>
    </row>
    <row r="118" spans="1:14" s="4" customFormat="1" ht="14.7" customHeight="1" x14ac:dyDescent="0.3">
      <c r="A118" s="44"/>
      <c r="B118" s="44"/>
      <c r="C118" s="44"/>
      <c r="D118" s="44"/>
      <c r="E118" s="67"/>
      <c r="F118" s="67"/>
      <c r="G118" s="67"/>
      <c r="H118" s="67"/>
      <c r="I118" s="67"/>
      <c r="J118" s="67"/>
      <c r="K118" s="67"/>
      <c r="L118" s="44"/>
      <c r="M118" s="44"/>
      <c r="N118" s="29"/>
    </row>
    <row r="119" spans="1:14" s="4" customFormat="1" ht="81" customHeight="1" x14ac:dyDescent="0.3">
      <c r="A119" s="44"/>
      <c r="B119" s="44"/>
      <c r="C119" s="44"/>
      <c r="D119" s="44"/>
      <c r="E119" s="67"/>
      <c r="F119" s="67"/>
      <c r="G119" s="67"/>
      <c r="H119" s="67"/>
      <c r="I119" s="67"/>
      <c r="J119" s="67"/>
      <c r="K119" s="67"/>
      <c r="L119" s="44"/>
      <c r="M119" s="44"/>
      <c r="N119" s="29"/>
    </row>
    <row r="120" spans="1:14" s="4" customFormat="1" x14ac:dyDescent="0.3">
      <c r="A120" s="44"/>
      <c r="B120" s="44"/>
      <c r="C120" s="44"/>
      <c r="D120" s="44"/>
      <c r="E120" s="67"/>
      <c r="F120" s="67"/>
      <c r="G120" s="67"/>
      <c r="H120" s="67"/>
      <c r="I120" s="67"/>
      <c r="J120" s="67"/>
      <c r="K120" s="67"/>
      <c r="L120" s="44"/>
      <c r="M120" s="44"/>
      <c r="N120" s="29"/>
    </row>
    <row r="121" spans="1:14" s="4" customFormat="1" ht="81" customHeight="1" x14ac:dyDescent="0.3">
      <c r="A121" s="44"/>
      <c r="B121" s="44"/>
      <c r="C121" s="44"/>
      <c r="D121" s="44"/>
      <c r="E121" s="67"/>
      <c r="F121" s="67"/>
      <c r="G121" s="67"/>
      <c r="H121" s="67"/>
      <c r="I121" s="67"/>
      <c r="J121" s="67"/>
      <c r="K121" s="67"/>
      <c r="L121" s="44"/>
      <c r="M121" s="44"/>
      <c r="N121" s="29"/>
    </row>
    <row r="122" spans="1:14" s="4" customFormat="1" x14ac:dyDescent="0.3">
      <c r="A122" s="44"/>
      <c r="B122" s="44"/>
      <c r="C122" s="44"/>
      <c r="D122" s="44"/>
      <c r="E122" s="67"/>
      <c r="F122" s="67"/>
      <c r="G122" s="67"/>
      <c r="H122" s="67"/>
      <c r="I122" s="67"/>
      <c r="J122" s="67"/>
      <c r="K122" s="67"/>
      <c r="L122" s="44"/>
      <c r="M122" s="44"/>
      <c r="N122" s="29"/>
    </row>
    <row r="123" spans="1:14" s="4" customFormat="1" ht="81" customHeight="1" x14ac:dyDescent="0.3">
      <c r="A123" s="44"/>
      <c r="B123" s="44"/>
      <c r="C123" s="44"/>
      <c r="D123" s="44"/>
      <c r="E123" s="67"/>
      <c r="F123" s="67"/>
      <c r="G123" s="67"/>
      <c r="H123" s="67"/>
      <c r="I123" s="67"/>
      <c r="J123" s="67"/>
      <c r="K123" s="67"/>
      <c r="L123" s="44"/>
      <c r="M123" s="44"/>
      <c r="N123" s="29"/>
    </row>
    <row r="124" spans="1:14" s="4" customFormat="1" ht="58.5" customHeight="1" x14ac:dyDescent="0.3">
      <c r="A124" s="44"/>
      <c r="B124" s="44"/>
      <c r="C124" s="44"/>
      <c r="D124" s="44"/>
      <c r="E124" s="67"/>
      <c r="F124" s="67"/>
      <c r="G124" s="67"/>
      <c r="H124" s="67"/>
      <c r="I124" s="67"/>
      <c r="J124" s="67"/>
      <c r="K124" s="67"/>
      <c r="L124" s="44"/>
      <c r="M124" s="44"/>
      <c r="N124" s="29"/>
    </row>
    <row r="125" spans="1:14" s="4" customFormat="1" x14ac:dyDescent="0.3">
      <c r="A125" s="44"/>
      <c r="B125" s="44"/>
      <c r="C125" s="44"/>
      <c r="D125" s="44"/>
      <c r="E125" s="67"/>
      <c r="F125" s="67"/>
      <c r="G125" s="67"/>
      <c r="H125" s="67"/>
      <c r="I125" s="67"/>
      <c r="J125" s="67"/>
      <c r="K125" s="67"/>
      <c r="L125" s="44"/>
      <c r="M125" s="44"/>
      <c r="N125" s="29"/>
    </row>
    <row r="126" spans="1:14" s="4" customFormat="1" ht="91.95" customHeight="1" x14ac:dyDescent="0.3">
      <c r="A126" s="44"/>
      <c r="B126" s="44"/>
      <c r="C126" s="44"/>
      <c r="D126" s="44"/>
      <c r="E126" s="67"/>
      <c r="F126" s="67"/>
      <c r="G126" s="67"/>
      <c r="H126" s="67"/>
      <c r="I126" s="67"/>
      <c r="J126" s="67"/>
      <c r="K126" s="67"/>
      <c r="L126" s="44"/>
      <c r="M126" s="44"/>
      <c r="N126" s="29"/>
    </row>
    <row r="127" spans="1:14" s="4" customFormat="1" x14ac:dyDescent="0.3">
      <c r="A127" s="44"/>
      <c r="B127" s="44"/>
      <c r="C127" s="44"/>
      <c r="D127" s="44"/>
      <c r="E127" s="67"/>
      <c r="F127" s="67"/>
      <c r="G127" s="67"/>
      <c r="H127" s="67"/>
      <c r="I127" s="67"/>
      <c r="J127" s="67"/>
      <c r="K127" s="67"/>
      <c r="L127" s="44"/>
      <c r="M127" s="44"/>
      <c r="N127" s="29"/>
    </row>
    <row r="128" spans="1:14" s="4" customFormat="1" ht="91.95" customHeight="1" x14ac:dyDescent="0.3">
      <c r="A128" s="44"/>
      <c r="B128" s="44"/>
      <c r="C128" s="44"/>
      <c r="D128" s="44"/>
      <c r="E128" s="67"/>
      <c r="F128" s="67"/>
      <c r="G128" s="67"/>
      <c r="H128" s="67"/>
      <c r="I128" s="67"/>
      <c r="J128" s="67"/>
      <c r="K128" s="67"/>
      <c r="L128" s="44"/>
      <c r="M128" s="44"/>
      <c r="N128" s="29"/>
    </row>
    <row r="129" spans="1:14" s="4" customFormat="1" x14ac:dyDescent="0.3">
      <c r="A129" s="44"/>
      <c r="B129" s="44"/>
      <c r="C129" s="44"/>
      <c r="D129" s="44"/>
      <c r="E129" s="67"/>
      <c r="F129" s="67"/>
      <c r="G129" s="67"/>
      <c r="H129" s="67"/>
      <c r="I129" s="67"/>
      <c r="J129" s="67"/>
      <c r="K129" s="67"/>
      <c r="L129" s="44"/>
      <c r="M129" s="44"/>
      <c r="N129" s="29"/>
    </row>
    <row r="130" spans="1:14" s="4" customFormat="1" ht="91.95" customHeight="1" x14ac:dyDescent="0.3">
      <c r="A130" s="44"/>
      <c r="B130" s="44"/>
      <c r="C130" s="44"/>
      <c r="D130" s="44"/>
      <c r="E130" s="67"/>
      <c r="F130" s="67"/>
      <c r="G130" s="67"/>
      <c r="H130" s="67"/>
      <c r="I130" s="67"/>
      <c r="J130" s="67"/>
      <c r="K130" s="67"/>
      <c r="L130" s="44"/>
      <c r="M130" s="44"/>
      <c r="N130" s="29"/>
    </row>
    <row r="131" spans="1:14" s="4" customFormat="1" x14ac:dyDescent="0.3">
      <c r="A131" s="44"/>
      <c r="B131" s="44"/>
      <c r="C131" s="44"/>
      <c r="D131" s="44"/>
      <c r="E131" s="67"/>
      <c r="F131" s="67"/>
      <c r="G131" s="67"/>
      <c r="H131" s="67"/>
      <c r="I131" s="67"/>
      <c r="J131" s="67"/>
      <c r="K131" s="67"/>
      <c r="L131" s="44"/>
      <c r="M131" s="44"/>
      <c r="N131" s="29"/>
    </row>
    <row r="132" spans="1:14" s="4" customFormat="1" ht="90" customHeight="1" x14ac:dyDescent="0.3">
      <c r="A132" s="44"/>
      <c r="B132" s="44"/>
      <c r="C132" s="44"/>
      <c r="D132" s="44"/>
      <c r="E132" s="67"/>
      <c r="F132" s="67"/>
      <c r="G132" s="67"/>
      <c r="H132" s="67"/>
      <c r="I132" s="67"/>
      <c r="J132" s="67"/>
      <c r="K132" s="67"/>
      <c r="L132" s="44"/>
      <c r="M132" s="44"/>
      <c r="N132" s="29"/>
    </row>
    <row r="133" spans="1:14" s="4" customFormat="1" x14ac:dyDescent="0.3">
      <c r="A133" s="44"/>
      <c r="B133" s="44"/>
      <c r="C133" s="44"/>
      <c r="D133" s="44"/>
      <c r="E133" s="67"/>
      <c r="F133" s="67"/>
      <c r="G133" s="67"/>
      <c r="H133" s="67"/>
      <c r="I133" s="67"/>
      <c r="J133" s="67"/>
      <c r="K133" s="67"/>
      <c r="L133" s="44"/>
      <c r="M133" s="44"/>
      <c r="N133" s="29"/>
    </row>
    <row r="134" spans="1:14" s="4" customFormat="1" ht="90" customHeight="1" x14ac:dyDescent="0.3">
      <c r="A134" s="44"/>
      <c r="B134" s="44"/>
      <c r="C134" s="44"/>
      <c r="D134" s="44"/>
      <c r="E134" s="67"/>
      <c r="F134" s="67"/>
      <c r="G134" s="67"/>
      <c r="H134" s="67"/>
      <c r="I134" s="67"/>
      <c r="J134" s="67"/>
      <c r="K134" s="67"/>
      <c r="L134" s="44"/>
      <c r="M134" s="44"/>
      <c r="N134" s="29"/>
    </row>
    <row r="135" spans="1:14" s="4" customFormat="1" x14ac:dyDescent="0.3">
      <c r="A135" s="44"/>
      <c r="B135" s="44"/>
      <c r="C135" s="44"/>
      <c r="D135" s="44"/>
      <c r="E135" s="67"/>
      <c r="F135" s="67"/>
      <c r="G135" s="67"/>
      <c r="H135" s="67"/>
      <c r="I135" s="67"/>
      <c r="J135" s="67"/>
      <c r="K135" s="67"/>
      <c r="L135" s="44"/>
      <c r="M135" s="44"/>
      <c r="N135" s="29"/>
    </row>
    <row r="136" spans="1:14" s="4" customFormat="1" ht="164.25" customHeight="1" x14ac:dyDescent="0.3">
      <c r="A136" s="44"/>
      <c r="B136" s="44"/>
      <c r="C136" s="44"/>
      <c r="D136" s="44"/>
      <c r="E136" s="67"/>
      <c r="F136" s="67"/>
      <c r="G136" s="67"/>
      <c r="H136" s="67"/>
      <c r="I136" s="67"/>
      <c r="J136" s="67"/>
      <c r="K136" s="67"/>
      <c r="L136" s="44"/>
      <c r="M136" s="44"/>
      <c r="N136" s="29"/>
    </row>
    <row r="137" spans="1:14" s="4" customFormat="1" ht="14.7" customHeight="1" x14ac:dyDescent="0.3">
      <c r="A137" s="44"/>
      <c r="B137" s="44"/>
      <c r="C137" s="44"/>
      <c r="D137" s="44"/>
      <c r="E137" s="67"/>
      <c r="F137" s="67"/>
      <c r="G137" s="67"/>
      <c r="H137" s="67"/>
      <c r="I137" s="67"/>
      <c r="J137" s="67"/>
      <c r="K137" s="67"/>
      <c r="L137" s="44"/>
      <c r="M137" s="44"/>
      <c r="N137" s="29"/>
    </row>
    <row r="138" spans="1:14" s="4" customFormat="1" ht="117.45" customHeight="1" x14ac:dyDescent="0.3">
      <c r="A138" s="44"/>
      <c r="B138" s="44"/>
      <c r="C138" s="44"/>
      <c r="D138" s="44"/>
      <c r="E138" s="67"/>
      <c r="F138" s="67"/>
      <c r="G138" s="67"/>
      <c r="H138" s="67"/>
      <c r="I138" s="67"/>
      <c r="J138" s="67"/>
      <c r="K138" s="67"/>
      <c r="L138" s="44"/>
      <c r="M138" s="44"/>
      <c r="N138" s="29"/>
    </row>
    <row r="139" spans="1:14" s="4" customFormat="1" ht="14.7" customHeight="1" x14ac:dyDescent="0.3">
      <c r="A139" s="44"/>
      <c r="B139" s="44"/>
      <c r="C139" s="44"/>
      <c r="D139" s="44"/>
      <c r="E139" s="67"/>
      <c r="F139" s="67"/>
      <c r="G139" s="67"/>
      <c r="H139" s="67"/>
      <c r="I139" s="67"/>
      <c r="J139" s="67"/>
      <c r="K139" s="67"/>
      <c r="L139" s="44"/>
      <c r="M139" s="44"/>
      <c r="N139" s="29"/>
    </row>
    <row r="140" spans="1:14" s="4" customFormat="1" ht="132.75" customHeight="1" x14ac:dyDescent="0.3">
      <c r="A140" s="44"/>
      <c r="B140" s="44"/>
      <c r="C140" s="44"/>
      <c r="D140" s="44"/>
      <c r="E140" s="67"/>
      <c r="F140" s="67"/>
      <c r="G140" s="67"/>
      <c r="H140" s="67"/>
      <c r="I140" s="67"/>
      <c r="J140" s="67"/>
      <c r="K140" s="67"/>
      <c r="L140" s="44"/>
      <c r="M140" s="44"/>
      <c r="N140" s="29"/>
    </row>
    <row r="141" spans="1:14" s="4" customFormat="1" ht="29.7" customHeight="1" x14ac:dyDescent="0.3">
      <c r="A141" s="44"/>
      <c r="B141" s="44"/>
      <c r="C141" s="44"/>
      <c r="D141" s="44"/>
      <c r="E141" s="67"/>
      <c r="F141" s="67"/>
      <c r="G141" s="67"/>
      <c r="H141" s="67"/>
      <c r="I141" s="67"/>
      <c r="J141" s="67"/>
      <c r="K141" s="67"/>
      <c r="L141" s="44"/>
      <c r="M141" s="44"/>
      <c r="N141" s="29"/>
    </row>
    <row r="142" spans="1:14" s="4" customFormat="1" ht="109.2" customHeight="1" x14ac:dyDescent="0.3">
      <c r="A142" s="44"/>
      <c r="B142" s="44"/>
      <c r="C142" s="44"/>
      <c r="D142" s="44"/>
      <c r="E142" s="67"/>
      <c r="F142" s="67"/>
      <c r="G142" s="67"/>
      <c r="H142" s="67"/>
      <c r="I142" s="67"/>
      <c r="J142" s="67"/>
      <c r="K142" s="67"/>
      <c r="L142" s="44"/>
      <c r="M142" s="44"/>
      <c r="N142" s="29"/>
    </row>
    <row r="143" spans="1:14" s="4" customFormat="1" x14ac:dyDescent="0.3">
      <c r="A143" s="44"/>
      <c r="B143" s="44"/>
      <c r="C143" s="44"/>
      <c r="D143" s="44"/>
      <c r="E143" s="67"/>
      <c r="F143" s="67"/>
      <c r="G143" s="67"/>
      <c r="H143" s="67"/>
      <c r="I143" s="67"/>
      <c r="J143" s="67"/>
      <c r="K143" s="67"/>
      <c r="L143" s="44"/>
      <c r="M143" s="44"/>
      <c r="N143" s="29"/>
    </row>
    <row r="144" spans="1:14" s="4" customFormat="1" ht="63" customHeight="1" x14ac:dyDescent="0.3">
      <c r="A144" s="44"/>
      <c r="B144" s="44"/>
      <c r="C144" s="44"/>
      <c r="D144" s="44"/>
      <c r="E144" s="67"/>
      <c r="F144" s="67"/>
      <c r="G144" s="67"/>
      <c r="H144" s="67"/>
      <c r="I144" s="67"/>
      <c r="J144" s="67"/>
      <c r="K144" s="67"/>
      <c r="L144" s="44"/>
      <c r="M144" s="44"/>
      <c r="N144" s="29"/>
    </row>
    <row r="145" spans="1:14" s="4" customFormat="1" x14ac:dyDescent="0.3">
      <c r="A145" s="44"/>
      <c r="B145" s="44"/>
      <c r="C145" s="44"/>
      <c r="D145" s="44"/>
      <c r="E145" s="67"/>
      <c r="F145" s="67"/>
      <c r="G145" s="67"/>
      <c r="H145" s="67"/>
      <c r="I145" s="67"/>
      <c r="J145" s="67"/>
      <c r="K145" s="67"/>
      <c r="L145" s="44"/>
      <c r="M145" s="44"/>
      <c r="N145" s="29"/>
    </row>
    <row r="146" spans="1:14" s="4" customFormat="1" ht="82.5" customHeight="1" x14ac:dyDescent="0.3">
      <c r="A146" s="44"/>
      <c r="B146" s="44"/>
      <c r="C146" s="44"/>
      <c r="D146" s="44"/>
      <c r="E146" s="67"/>
      <c r="F146" s="67"/>
      <c r="G146" s="67"/>
      <c r="H146" s="67"/>
      <c r="I146" s="67"/>
      <c r="J146" s="67"/>
      <c r="K146" s="67"/>
      <c r="L146" s="44"/>
      <c r="M146" s="44"/>
      <c r="N146" s="29"/>
    </row>
    <row r="147" spans="1:14" s="4" customFormat="1" x14ac:dyDescent="0.3">
      <c r="A147" s="44"/>
      <c r="B147" s="44"/>
      <c r="C147" s="44"/>
      <c r="D147" s="44"/>
      <c r="E147" s="67"/>
      <c r="F147" s="67"/>
      <c r="G147" s="67"/>
      <c r="H147" s="67"/>
      <c r="I147" s="67"/>
      <c r="J147" s="67"/>
      <c r="K147" s="67"/>
      <c r="L147" s="44"/>
      <c r="M147" s="44"/>
      <c r="N147" s="29"/>
    </row>
    <row r="148" spans="1:14" s="4" customFormat="1" ht="72" customHeight="1" x14ac:dyDescent="0.3">
      <c r="A148" s="44"/>
      <c r="B148" s="44"/>
      <c r="C148" s="44"/>
      <c r="D148" s="44"/>
      <c r="E148" s="67"/>
      <c r="F148" s="67"/>
      <c r="G148" s="67"/>
      <c r="H148" s="67"/>
      <c r="I148" s="67"/>
      <c r="J148" s="67"/>
      <c r="K148" s="67"/>
      <c r="L148" s="44"/>
      <c r="M148" s="44"/>
      <c r="N148" s="29"/>
    </row>
    <row r="149" spans="1:14" s="4" customFormat="1" ht="15" customHeight="1" x14ac:dyDescent="0.3">
      <c r="A149" s="44"/>
      <c r="B149" s="44"/>
      <c r="C149" s="44"/>
      <c r="D149" s="44"/>
      <c r="E149" s="67"/>
      <c r="F149" s="67"/>
      <c r="G149" s="67"/>
      <c r="H149" s="67"/>
      <c r="I149" s="67"/>
      <c r="J149" s="67"/>
      <c r="K149" s="67"/>
      <c r="L149" s="44"/>
      <c r="M149" s="44"/>
      <c r="N149" s="29"/>
    </row>
    <row r="150" spans="1:14" s="4" customFormat="1" ht="62.7" customHeight="1" x14ac:dyDescent="0.3">
      <c r="A150" s="44"/>
      <c r="B150" s="44"/>
      <c r="C150" s="44"/>
      <c r="D150" s="44"/>
      <c r="E150" s="67"/>
      <c r="F150" s="67"/>
      <c r="G150" s="67"/>
      <c r="H150" s="67"/>
      <c r="I150" s="67"/>
      <c r="J150" s="67"/>
      <c r="K150" s="67"/>
      <c r="L150" s="44"/>
      <c r="M150" s="44"/>
      <c r="N150" s="29"/>
    </row>
    <row r="151" spans="1:14" s="4" customFormat="1" x14ac:dyDescent="0.3">
      <c r="A151" s="44"/>
      <c r="B151" s="44"/>
      <c r="C151" s="44"/>
      <c r="D151" s="44"/>
      <c r="E151" s="67"/>
      <c r="F151" s="67"/>
      <c r="G151" s="67"/>
      <c r="H151" s="67"/>
      <c r="I151" s="67"/>
      <c r="J151" s="67"/>
      <c r="K151" s="67"/>
      <c r="L151" s="44"/>
      <c r="M151" s="44"/>
      <c r="N151" s="29"/>
    </row>
    <row r="152" spans="1:14" s="4" customFormat="1" ht="66" customHeight="1" x14ac:dyDescent="0.3">
      <c r="A152" s="44"/>
      <c r="B152" s="44"/>
      <c r="C152" s="44"/>
      <c r="D152" s="44"/>
      <c r="E152" s="67"/>
      <c r="F152" s="67"/>
      <c r="G152" s="67"/>
      <c r="H152" s="67"/>
      <c r="I152" s="67"/>
      <c r="J152" s="67"/>
      <c r="K152" s="67"/>
      <c r="L152" s="44"/>
      <c r="M152" s="44"/>
      <c r="N152" s="29"/>
    </row>
    <row r="153" spans="1:14" s="4" customFormat="1" ht="14.7" customHeight="1" x14ac:dyDescent="0.3">
      <c r="A153" s="44"/>
      <c r="B153" s="44"/>
      <c r="C153" s="44"/>
      <c r="D153" s="44"/>
      <c r="E153" s="67"/>
      <c r="F153" s="67"/>
      <c r="G153" s="67"/>
      <c r="H153" s="67"/>
      <c r="I153" s="67"/>
      <c r="J153" s="67"/>
      <c r="K153" s="67"/>
      <c r="L153" s="44"/>
      <c r="M153" s="44"/>
      <c r="N153" s="29"/>
    </row>
    <row r="154" spans="1:14" s="4" customFormat="1" ht="74.25" customHeight="1" x14ac:dyDescent="0.3">
      <c r="A154" s="44"/>
      <c r="B154" s="44"/>
      <c r="C154" s="44"/>
      <c r="D154" s="44"/>
      <c r="E154" s="67"/>
      <c r="F154" s="67"/>
      <c r="G154" s="67"/>
      <c r="H154" s="67"/>
      <c r="I154" s="67"/>
      <c r="J154" s="67"/>
      <c r="K154" s="67"/>
      <c r="L154" s="44"/>
      <c r="M154" s="44"/>
      <c r="N154" s="29"/>
    </row>
    <row r="155" spans="1:14" s="4" customFormat="1" ht="15" customHeight="1" x14ac:dyDescent="0.3">
      <c r="A155" s="44"/>
      <c r="B155" s="44"/>
      <c r="C155" s="44"/>
      <c r="D155" s="44"/>
      <c r="E155" s="67"/>
      <c r="F155" s="67"/>
      <c r="G155" s="67"/>
      <c r="H155" s="67"/>
      <c r="I155" s="67"/>
      <c r="J155" s="67"/>
      <c r="K155" s="67"/>
      <c r="L155" s="44"/>
      <c r="M155" s="44"/>
      <c r="N155" s="29"/>
    </row>
    <row r="156" spans="1:14" s="4" customFormat="1" ht="130.19999999999999" customHeight="1" x14ac:dyDescent="0.3">
      <c r="A156" s="44"/>
      <c r="B156" s="44"/>
      <c r="C156" s="44"/>
      <c r="D156" s="44"/>
      <c r="E156" s="67"/>
      <c r="F156" s="67"/>
      <c r="G156" s="67"/>
      <c r="H156" s="67"/>
      <c r="I156" s="67"/>
      <c r="J156" s="67"/>
      <c r="K156" s="67"/>
      <c r="L156" s="44"/>
      <c r="M156" s="44"/>
      <c r="N156" s="29"/>
    </row>
    <row r="157" spans="1:14" s="4" customFormat="1" ht="41.7" customHeight="1" x14ac:dyDescent="0.3">
      <c r="A157" s="44"/>
      <c r="B157" s="44"/>
      <c r="C157" s="44"/>
      <c r="D157" s="44"/>
      <c r="E157" s="67"/>
      <c r="F157" s="67"/>
      <c r="G157" s="67"/>
      <c r="H157" s="67"/>
      <c r="I157" s="67"/>
      <c r="J157" s="67"/>
      <c r="K157" s="67"/>
      <c r="L157" s="44"/>
      <c r="M157" s="44"/>
      <c r="N157" s="29"/>
    </row>
    <row r="158" spans="1:14" s="4" customFormat="1" ht="123.45" customHeight="1" x14ac:dyDescent="0.3">
      <c r="A158" s="44"/>
      <c r="B158" s="44"/>
      <c r="C158" s="44"/>
      <c r="D158" s="44"/>
      <c r="E158" s="67"/>
      <c r="F158" s="67"/>
      <c r="G158" s="67"/>
      <c r="H158" s="67"/>
      <c r="I158" s="67"/>
      <c r="J158" s="67"/>
      <c r="K158" s="67"/>
      <c r="L158" s="44"/>
      <c r="M158" s="44"/>
      <c r="N158" s="29"/>
    </row>
    <row r="159" spans="1:14" s="4" customFormat="1" ht="32.700000000000003" customHeight="1" x14ac:dyDescent="0.3">
      <c r="A159" s="44"/>
      <c r="B159" s="44"/>
      <c r="C159" s="44"/>
      <c r="D159" s="44"/>
      <c r="E159" s="67"/>
      <c r="F159" s="67"/>
      <c r="G159" s="67"/>
      <c r="H159" s="67"/>
      <c r="I159" s="67"/>
      <c r="J159" s="67"/>
      <c r="K159" s="67"/>
      <c r="L159" s="44"/>
      <c r="M159" s="44"/>
      <c r="N159" s="29"/>
    </row>
    <row r="160" spans="1:14" s="4" customFormat="1" ht="128.69999999999999" customHeight="1" x14ac:dyDescent="0.3">
      <c r="A160" s="44"/>
      <c r="B160" s="44"/>
      <c r="C160" s="44"/>
      <c r="D160" s="44"/>
      <c r="E160" s="67"/>
      <c r="F160" s="67"/>
      <c r="G160" s="67"/>
      <c r="H160" s="67"/>
      <c r="I160" s="67"/>
      <c r="J160" s="67"/>
      <c r="K160" s="67"/>
      <c r="L160" s="44"/>
      <c r="M160" s="44"/>
      <c r="N160" s="29"/>
    </row>
    <row r="161" spans="1:14" s="4" customFormat="1" x14ac:dyDescent="0.3">
      <c r="A161" s="44"/>
      <c r="B161" s="44"/>
      <c r="C161" s="44"/>
      <c r="D161" s="44"/>
      <c r="E161" s="67"/>
      <c r="F161" s="67"/>
      <c r="G161" s="67"/>
      <c r="H161" s="67"/>
      <c r="I161" s="67"/>
      <c r="J161" s="67"/>
      <c r="K161" s="67"/>
      <c r="L161" s="44"/>
      <c r="M161" s="44"/>
      <c r="N161" s="29"/>
    </row>
    <row r="162" spans="1:14" s="4" customFormat="1" ht="131.69999999999999" customHeight="1" x14ac:dyDescent="0.3">
      <c r="A162" s="44"/>
      <c r="B162" s="44"/>
      <c r="C162" s="44"/>
      <c r="D162" s="44"/>
      <c r="E162" s="67"/>
      <c r="F162" s="67"/>
      <c r="G162" s="67"/>
      <c r="H162" s="67"/>
      <c r="I162" s="67"/>
      <c r="J162" s="67"/>
      <c r="K162" s="67"/>
      <c r="L162" s="44"/>
      <c r="M162" s="44"/>
      <c r="N162" s="29"/>
    </row>
    <row r="163" spans="1:14" s="4" customFormat="1" x14ac:dyDescent="0.3">
      <c r="A163" s="44"/>
      <c r="B163" s="44"/>
      <c r="C163" s="44"/>
      <c r="D163" s="44"/>
      <c r="E163" s="67"/>
      <c r="F163" s="67"/>
      <c r="G163" s="67"/>
      <c r="H163" s="67"/>
      <c r="I163" s="67"/>
      <c r="J163" s="67"/>
      <c r="K163" s="67"/>
      <c r="L163" s="44"/>
      <c r="M163" s="44"/>
      <c r="N163" s="29"/>
    </row>
    <row r="164" spans="1:14" s="4" customFormat="1" ht="105" customHeight="1" x14ac:dyDescent="0.3">
      <c r="A164" s="44"/>
      <c r="B164" s="44"/>
      <c r="C164" s="44"/>
      <c r="D164" s="44"/>
      <c r="E164" s="67"/>
      <c r="F164" s="67"/>
      <c r="G164" s="67"/>
      <c r="H164" s="67"/>
      <c r="I164" s="67"/>
      <c r="J164" s="67"/>
      <c r="K164" s="67"/>
      <c r="L164" s="44"/>
      <c r="M164" s="44"/>
      <c r="N164" s="29"/>
    </row>
    <row r="165" spans="1:14" s="4" customFormat="1" x14ac:dyDescent="0.3">
      <c r="A165" s="44"/>
      <c r="B165" s="44"/>
      <c r="C165" s="44"/>
      <c r="D165" s="44"/>
      <c r="E165" s="67"/>
      <c r="F165" s="67"/>
      <c r="G165" s="67"/>
      <c r="H165" s="67"/>
      <c r="I165" s="67"/>
      <c r="J165" s="67"/>
      <c r="K165" s="67"/>
      <c r="L165" s="44"/>
      <c r="M165" s="44"/>
      <c r="N165" s="29"/>
    </row>
    <row r="166" spans="1:14" s="4" customFormat="1" ht="94.5" customHeight="1" x14ac:dyDescent="0.3">
      <c r="A166" s="44"/>
      <c r="B166" s="44"/>
      <c r="C166" s="44"/>
      <c r="D166" s="44"/>
      <c r="E166" s="67"/>
      <c r="F166" s="67"/>
      <c r="G166" s="67"/>
      <c r="H166" s="67"/>
      <c r="I166" s="67"/>
      <c r="J166" s="67"/>
      <c r="K166" s="67"/>
      <c r="L166" s="44"/>
      <c r="M166" s="44"/>
      <c r="N166" s="29"/>
    </row>
    <row r="167" spans="1:14" s="4" customFormat="1" ht="14.7" customHeight="1" x14ac:dyDescent="0.3">
      <c r="A167" s="44"/>
      <c r="B167" s="44"/>
      <c r="C167" s="44"/>
      <c r="D167" s="44"/>
      <c r="E167" s="67"/>
      <c r="F167" s="67"/>
      <c r="G167" s="67"/>
      <c r="H167" s="67"/>
      <c r="I167" s="67"/>
      <c r="J167" s="67"/>
      <c r="K167" s="67"/>
      <c r="L167" s="44"/>
      <c r="M167" s="44"/>
      <c r="N167" s="29"/>
    </row>
    <row r="168" spans="1:14" s="4" customFormat="1" ht="120" customHeight="1" x14ac:dyDescent="0.3">
      <c r="A168" s="44"/>
      <c r="B168" s="44"/>
      <c r="C168" s="44"/>
      <c r="D168" s="44"/>
      <c r="E168" s="67"/>
      <c r="F168" s="67"/>
      <c r="G168" s="67"/>
      <c r="H168" s="67"/>
      <c r="I168" s="67"/>
      <c r="J168" s="67"/>
      <c r="K168" s="67"/>
      <c r="L168" s="44"/>
      <c r="M168" s="44"/>
      <c r="N168" s="29"/>
    </row>
    <row r="169" spans="1:14" s="4" customFormat="1" ht="40.950000000000003" customHeight="1" x14ac:dyDescent="0.3">
      <c r="A169" s="44"/>
      <c r="B169" s="44"/>
      <c r="C169" s="44"/>
      <c r="D169" s="44"/>
      <c r="E169" s="67"/>
      <c r="F169" s="67"/>
      <c r="G169" s="67"/>
      <c r="H169" s="67"/>
      <c r="I169" s="67"/>
      <c r="J169" s="67"/>
      <c r="K169" s="67"/>
      <c r="L169" s="44"/>
      <c r="M169" s="44"/>
      <c r="N169" s="29"/>
    </row>
    <row r="170" spans="1:14" s="4" customFormat="1" ht="103.95" customHeight="1" x14ac:dyDescent="0.3">
      <c r="A170" s="44"/>
      <c r="B170" s="44"/>
      <c r="C170" s="44"/>
      <c r="D170" s="44"/>
      <c r="E170" s="67"/>
      <c r="F170" s="67"/>
      <c r="G170" s="67"/>
      <c r="H170" s="67"/>
      <c r="I170" s="67"/>
      <c r="J170" s="67"/>
      <c r="K170" s="67"/>
      <c r="L170" s="44"/>
      <c r="M170" s="44"/>
      <c r="N170" s="29"/>
    </row>
    <row r="171" spans="1:14" s="4" customFormat="1" ht="75" customHeight="1" x14ac:dyDescent="0.3">
      <c r="A171" s="44"/>
      <c r="B171" s="44"/>
      <c r="C171" s="44"/>
      <c r="D171" s="44"/>
      <c r="E171" s="67"/>
      <c r="F171" s="67"/>
      <c r="G171" s="67"/>
      <c r="H171" s="67"/>
      <c r="I171" s="67"/>
      <c r="J171" s="67"/>
      <c r="K171" s="67"/>
      <c r="L171" s="44"/>
      <c r="M171" s="44"/>
      <c r="N171" s="29"/>
    </row>
    <row r="172" spans="1:14" s="4" customFormat="1" x14ac:dyDescent="0.3">
      <c r="A172" s="44"/>
      <c r="B172" s="44"/>
      <c r="C172" s="44"/>
      <c r="D172" s="44"/>
      <c r="E172" s="67"/>
      <c r="F172" s="67"/>
      <c r="G172" s="67"/>
      <c r="H172" s="67"/>
      <c r="I172" s="67"/>
      <c r="J172" s="67"/>
      <c r="K172" s="67"/>
      <c r="L172" s="44"/>
      <c r="M172" s="44"/>
      <c r="N172" s="29"/>
    </row>
    <row r="173" spans="1:14" s="4" customFormat="1" ht="78.75" customHeight="1" x14ac:dyDescent="0.3">
      <c r="A173" s="44"/>
      <c r="B173" s="44"/>
      <c r="C173" s="44"/>
      <c r="D173" s="44"/>
      <c r="E173" s="67"/>
      <c r="F173" s="67"/>
      <c r="G173" s="67"/>
      <c r="H173" s="67"/>
      <c r="I173" s="67"/>
      <c r="J173" s="67"/>
      <c r="K173" s="67"/>
      <c r="L173" s="44"/>
      <c r="M173" s="44"/>
      <c r="N173" s="29"/>
    </row>
    <row r="174" spans="1:14" s="4" customFormat="1" x14ac:dyDescent="0.3">
      <c r="A174" s="44"/>
      <c r="B174" s="44"/>
      <c r="C174" s="44"/>
      <c r="D174" s="44"/>
      <c r="E174" s="67"/>
      <c r="F174" s="67"/>
      <c r="G174" s="67"/>
      <c r="H174" s="67"/>
      <c r="I174" s="67"/>
      <c r="J174" s="67"/>
      <c r="K174" s="67"/>
      <c r="L174" s="44"/>
      <c r="M174" s="44"/>
      <c r="N174" s="29"/>
    </row>
    <row r="175" spans="1:14" s="4" customFormat="1" x14ac:dyDescent="0.3">
      <c r="A175" s="44"/>
      <c r="B175" s="44"/>
      <c r="C175" s="44"/>
      <c r="D175" s="44"/>
      <c r="E175" s="67"/>
      <c r="F175" s="67"/>
      <c r="G175" s="67"/>
      <c r="H175" s="67"/>
      <c r="I175" s="67"/>
      <c r="J175" s="67"/>
      <c r="K175" s="67"/>
      <c r="L175" s="44"/>
      <c r="M175" s="44"/>
      <c r="N175" s="29"/>
    </row>
    <row r="176" spans="1:14" s="4" customFormat="1" x14ac:dyDescent="0.3">
      <c r="A176" s="44"/>
      <c r="B176" s="44"/>
      <c r="C176" s="44"/>
      <c r="D176" s="44"/>
      <c r="E176" s="67"/>
      <c r="F176" s="67"/>
      <c r="G176" s="67"/>
      <c r="H176" s="67"/>
      <c r="I176" s="67"/>
      <c r="J176" s="67"/>
      <c r="K176" s="67"/>
      <c r="L176" s="44"/>
      <c r="M176" s="44"/>
      <c r="N176" s="29"/>
    </row>
    <row r="177" spans="1:14" s="4" customFormat="1" x14ac:dyDescent="0.3">
      <c r="A177" s="44"/>
      <c r="B177" s="44"/>
      <c r="C177" s="44"/>
      <c r="D177" s="44"/>
      <c r="E177" s="67"/>
      <c r="F177" s="67"/>
      <c r="G177" s="67"/>
      <c r="H177" s="67"/>
      <c r="I177" s="67"/>
      <c r="J177" s="67"/>
      <c r="K177" s="67"/>
      <c r="L177" s="44"/>
      <c r="M177" s="44"/>
      <c r="N177" s="29"/>
    </row>
    <row r="178" spans="1:14" s="4" customFormat="1" x14ac:dyDescent="0.3">
      <c r="A178" s="44"/>
      <c r="B178" s="44"/>
      <c r="C178" s="44"/>
      <c r="D178" s="44"/>
      <c r="E178" s="67"/>
      <c r="F178" s="67"/>
      <c r="G178" s="67"/>
      <c r="H178" s="67"/>
      <c r="I178" s="67"/>
      <c r="J178" s="67"/>
      <c r="K178" s="67"/>
      <c r="L178" s="44"/>
      <c r="M178" s="44"/>
      <c r="N178" s="29"/>
    </row>
    <row r="179" spans="1:14" s="4" customFormat="1" x14ac:dyDescent="0.3">
      <c r="A179" s="44"/>
      <c r="B179" s="44"/>
      <c r="C179" s="44"/>
      <c r="D179" s="44"/>
      <c r="E179" s="67"/>
      <c r="F179" s="67"/>
      <c r="G179" s="67"/>
      <c r="H179" s="67"/>
      <c r="I179" s="67"/>
      <c r="J179" s="67"/>
      <c r="K179" s="67"/>
      <c r="L179" s="44"/>
      <c r="M179" s="44"/>
      <c r="N179" s="29"/>
    </row>
    <row r="180" spans="1:14" s="4" customFormat="1" x14ac:dyDescent="0.3">
      <c r="A180" s="44"/>
      <c r="B180" s="44"/>
      <c r="C180" s="44"/>
      <c r="D180" s="44"/>
      <c r="E180" s="67"/>
      <c r="F180" s="67"/>
      <c r="G180" s="67"/>
      <c r="H180" s="67"/>
      <c r="I180" s="67"/>
      <c r="J180" s="67"/>
      <c r="K180" s="67"/>
      <c r="L180" s="44"/>
      <c r="M180" s="44"/>
      <c r="N180" s="29"/>
    </row>
    <row r="181" spans="1:14" s="4" customFormat="1" x14ac:dyDescent="0.3">
      <c r="A181" s="44"/>
      <c r="B181" s="44"/>
      <c r="C181" s="44"/>
      <c r="D181" s="44"/>
      <c r="E181" s="67"/>
      <c r="F181" s="67"/>
      <c r="G181" s="67"/>
      <c r="H181" s="67"/>
      <c r="I181" s="67"/>
      <c r="J181" s="67"/>
      <c r="K181" s="67"/>
      <c r="L181" s="44"/>
      <c r="M181" s="44"/>
      <c r="N181" s="29"/>
    </row>
    <row r="182" spans="1:14" s="4" customFormat="1" x14ac:dyDescent="0.3">
      <c r="A182" s="44"/>
      <c r="B182" s="44"/>
      <c r="C182" s="44"/>
      <c r="D182" s="44"/>
      <c r="E182" s="67"/>
      <c r="F182" s="67"/>
      <c r="G182" s="67"/>
      <c r="H182" s="67"/>
      <c r="I182" s="67"/>
      <c r="J182" s="67"/>
      <c r="K182" s="67"/>
      <c r="L182" s="44"/>
      <c r="M182" s="44"/>
      <c r="N182" s="29"/>
    </row>
    <row r="183" spans="1:14" s="4" customFormat="1" x14ac:dyDescent="0.3">
      <c r="A183" s="44"/>
      <c r="B183" s="44"/>
      <c r="C183" s="44"/>
      <c r="D183" s="44"/>
      <c r="E183" s="67"/>
      <c r="F183" s="67"/>
      <c r="G183" s="67"/>
      <c r="H183" s="67"/>
      <c r="I183" s="67"/>
      <c r="J183" s="67"/>
      <c r="K183" s="67"/>
      <c r="L183" s="44"/>
      <c r="M183" s="44"/>
      <c r="N183" s="29"/>
    </row>
    <row r="184" spans="1:14" s="4" customFormat="1" x14ac:dyDescent="0.3">
      <c r="A184" s="44"/>
      <c r="B184" s="44"/>
      <c r="C184" s="44"/>
      <c r="D184" s="44"/>
      <c r="E184" s="67"/>
      <c r="F184" s="67"/>
      <c r="G184" s="67"/>
      <c r="H184" s="67"/>
      <c r="I184" s="67"/>
      <c r="J184" s="67"/>
      <c r="K184" s="67"/>
      <c r="L184" s="44"/>
      <c r="M184" s="44"/>
      <c r="N184" s="29"/>
    </row>
    <row r="185" spans="1:14" s="4" customFormat="1" x14ac:dyDescent="0.3">
      <c r="A185" s="44"/>
      <c r="B185" s="44"/>
      <c r="C185" s="44"/>
      <c r="D185" s="44"/>
      <c r="E185" s="67"/>
      <c r="F185" s="67"/>
      <c r="G185" s="67"/>
      <c r="H185" s="67"/>
      <c r="I185" s="67"/>
      <c r="J185" s="67"/>
      <c r="K185" s="67"/>
      <c r="L185" s="44"/>
      <c r="M185" s="44"/>
      <c r="N185" s="29"/>
    </row>
    <row r="186" spans="1:14" s="4" customFormat="1" x14ac:dyDescent="0.3">
      <c r="A186" s="44"/>
      <c r="B186" s="44"/>
      <c r="C186" s="44"/>
      <c r="D186" s="44"/>
      <c r="E186" s="67"/>
      <c r="F186" s="67"/>
      <c r="G186" s="67"/>
      <c r="H186" s="67"/>
      <c r="I186" s="67"/>
      <c r="J186" s="67"/>
      <c r="K186" s="67"/>
      <c r="L186" s="44"/>
      <c r="M186" s="44"/>
      <c r="N186" s="29"/>
    </row>
    <row r="187" spans="1:14" s="4" customFormat="1" x14ac:dyDescent="0.3">
      <c r="A187" s="44"/>
      <c r="B187" s="44"/>
      <c r="C187" s="44"/>
      <c r="D187" s="44"/>
      <c r="E187" s="67"/>
      <c r="F187" s="67"/>
      <c r="G187" s="67"/>
      <c r="H187" s="67"/>
      <c r="I187" s="67"/>
      <c r="J187" s="67"/>
      <c r="K187" s="67"/>
      <c r="L187" s="44"/>
      <c r="M187" s="44"/>
      <c r="N187" s="29"/>
    </row>
    <row r="188" spans="1:14" s="4" customFormat="1" x14ac:dyDescent="0.3">
      <c r="A188" s="44"/>
      <c r="B188" s="44"/>
      <c r="C188" s="44"/>
      <c r="D188" s="44"/>
      <c r="E188" s="67"/>
      <c r="F188" s="67"/>
      <c r="G188" s="67"/>
      <c r="H188" s="67"/>
      <c r="I188" s="67"/>
      <c r="J188" s="67"/>
      <c r="K188" s="67"/>
      <c r="L188" s="44"/>
      <c r="M188" s="44"/>
      <c r="N188" s="29"/>
    </row>
    <row r="189" spans="1:14" s="4" customFormat="1" x14ac:dyDescent="0.3">
      <c r="A189" s="44"/>
      <c r="B189" s="44"/>
      <c r="C189" s="44"/>
      <c r="D189" s="44"/>
      <c r="E189" s="67"/>
      <c r="F189" s="67"/>
      <c r="G189" s="67"/>
      <c r="H189" s="67"/>
      <c r="I189" s="67"/>
      <c r="J189" s="67"/>
      <c r="K189" s="67"/>
      <c r="L189" s="44"/>
      <c r="M189" s="44"/>
      <c r="N189" s="29"/>
    </row>
    <row r="190" spans="1:14" s="4" customFormat="1" x14ac:dyDescent="0.3">
      <c r="A190" s="44"/>
      <c r="B190" s="44"/>
      <c r="C190" s="44"/>
      <c r="D190" s="44"/>
      <c r="E190" s="67"/>
      <c r="F190" s="67"/>
      <c r="G190" s="67"/>
      <c r="H190" s="67"/>
      <c r="I190" s="67"/>
      <c r="J190" s="67"/>
      <c r="K190" s="67"/>
      <c r="L190" s="44"/>
      <c r="M190" s="44"/>
      <c r="N190" s="29"/>
    </row>
    <row r="191" spans="1:14" s="4" customFormat="1" x14ac:dyDescent="0.3">
      <c r="A191" s="44"/>
      <c r="B191" s="44"/>
      <c r="C191" s="44"/>
      <c r="D191" s="44"/>
      <c r="E191" s="67"/>
      <c r="F191" s="67"/>
      <c r="G191" s="67"/>
      <c r="H191" s="67"/>
      <c r="I191" s="67"/>
      <c r="J191" s="67"/>
      <c r="K191" s="67"/>
      <c r="L191" s="44"/>
      <c r="M191" s="44"/>
      <c r="N191" s="29"/>
    </row>
    <row r="192" spans="1:14" s="4" customFormat="1" x14ac:dyDescent="0.3">
      <c r="A192" s="44"/>
      <c r="B192" s="44"/>
      <c r="C192" s="44"/>
      <c r="D192" s="44"/>
      <c r="E192" s="67"/>
      <c r="F192" s="67"/>
      <c r="G192" s="67"/>
      <c r="H192" s="67"/>
      <c r="I192" s="67"/>
      <c r="J192" s="67"/>
      <c r="K192" s="67"/>
      <c r="L192" s="44"/>
      <c r="M192" s="44"/>
      <c r="N192" s="29"/>
    </row>
    <row r="193" spans="1:14" s="4" customFormat="1" x14ac:dyDescent="0.3">
      <c r="A193" s="44"/>
      <c r="B193" s="44"/>
      <c r="C193" s="44"/>
      <c r="D193" s="44"/>
      <c r="E193" s="67"/>
      <c r="F193" s="67"/>
      <c r="G193" s="67"/>
      <c r="H193" s="67"/>
      <c r="I193" s="67"/>
      <c r="J193" s="67"/>
      <c r="K193" s="67"/>
      <c r="L193" s="44"/>
      <c r="M193" s="44"/>
      <c r="N193" s="29"/>
    </row>
    <row r="194" spans="1:14" s="4" customFormat="1" x14ac:dyDescent="0.3">
      <c r="A194" s="44"/>
      <c r="B194" s="44"/>
      <c r="C194" s="44"/>
      <c r="D194" s="44"/>
      <c r="E194" s="67"/>
      <c r="F194" s="67"/>
      <c r="G194" s="67"/>
      <c r="H194" s="67"/>
      <c r="I194" s="67"/>
      <c r="J194" s="67"/>
      <c r="K194" s="67"/>
      <c r="L194" s="44"/>
      <c r="M194" s="44"/>
      <c r="N194" s="29"/>
    </row>
    <row r="195" spans="1:14" s="4" customFormat="1" x14ac:dyDescent="0.3">
      <c r="A195" s="44"/>
      <c r="B195" s="44"/>
      <c r="C195" s="44"/>
      <c r="D195" s="44"/>
      <c r="E195" s="67"/>
      <c r="F195" s="67"/>
      <c r="G195" s="67"/>
      <c r="H195" s="67"/>
      <c r="I195" s="67"/>
      <c r="J195" s="67"/>
      <c r="K195" s="67"/>
      <c r="L195" s="44"/>
      <c r="M195" s="44"/>
      <c r="N195" s="29"/>
    </row>
    <row r="196" spans="1:14" s="4" customFormat="1" x14ac:dyDescent="0.3">
      <c r="A196" s="44"/>
      <c r="B196" s="44"/>
      <c r="C196" s="44"/>
      <c r="D196" s="44"/>
      <c r="E196" s="67"/>
      <c r="F196" s="67"/>
      <c r="G196" s="67"/>
      <c r="H196" s="67"/>
      <c r="I196" s="67"/>
      <c r="J196" s="67"/>
      <c r="K196" s="67"/>
      <c r="L196" s="44"/>
      <c r="M196" s="44"/>
      <c r="N196" s="29"/>
    </row>
    <row r="197" spans="1:14" s="4" customFormat="1" x14ac:dyDescent="0.3">
      <c r="A197" s="44"/>
      <c r="B197" s="44"/>
      <c r="C197" s="44"/>
      <c r="D197" s="44"/>
      <c r="E197" s="67"/>
      <c r="F197" s="67"/>
      <c r="G197" s="67"/>
      <c r="H197" s="67"/>
      <c r="I197" s="67"/>
      <c r="J197" s="67"/>
      <c r="K197" s="67"/>
      <c r="L197" s="44"/>
      <c r="M197" s="44"/>
      <c r="N197" s="29"/>
    </row>
    <row r="198" spans="1:14" s="4" customFormat="1" x14ac:dyDescent="0.3">
      <c r="A198" s="44"/>
      <c r="B198" s="44"/>
      <c r="C198" s="44"/>
      <c r="D198" s="44"/>
      <c r="E198" s="67"/>
      <c r="F198" s="67"/>
      <c r="G198" s="67"/>
      <c r="H198" s="67"/>
      <c r="I198" s="67"/>
      <c r="J198" s="67"/>
      <c r="K198" s="67"/>
      <c r="L198" s="44"/>
      <c r="M198" s="44"/>
      <c r="N198" s="29"/>
    </row>
    <row r="199" spans="1:14" s="4" customFormat="1" x14ac:dyDescent="0.3">
      <c r="A199" s="44"/>
      <c r="B199" s="44"/>
      <c r="C199" s="44"/>
      <c r="D199" s="44"/>
      <c r="E199" s="67"/>
      <c r="F199" s="67"/>
      <c r="G199" s="67"/>
      <c r="H199" s="67"/>
      <c r="I199" s="67"/>
      <c r="J199" s="67"/>
      <c r="K199" s="67"/>
      <c r="L199" s="44"/>
      <c r="M199" s="44"/>
      <c r="N199" s="29"/>
    </row>
    <row r="200" spans="1:14" s="4" customFormat="1" x14ac:dyDescent="0.3">
      <c r="A200" s="44"/>
      <c r="B200" s="44"/>
      <c r="C200" s="44"/>
      <c r="D200" s="44"/>
      <c r="E200" s="67"/>
      <c r="F200" s="67"/>
      <c r="G200" s="67"/>
      <c r="H200" s="67"/>
      <c r="I200" s="67"/>
      <c r="J200" s="67"/>
      <c r="K200" s="67"/>
      <c r="L200" s="44"/>
      <c r="M200" s="44"/>
      <c r="N200" s="29"/>
    </row>
    <row r="201" spans="1:14" s="4" customFormat="1" x14ac:dyDescent="0.3">
      <c r="A201" s="44"/>
      <c r="B201" s="44"/>
      <c r="C201" s="44"/>
      <c r="D201" s="44"/>
      <c r="E201" s="67"/>
      <c r="F201" s="67"/>
      <c r="G201" s="67"/>
      <c r="H201" s="67"/>
      <c r="I201" s="67"/>
      <c r="J201" s="67"/>
      <c r="K201" s="67"/>
      <c r="L201" s="44"/>
      <c r="M201" s="44"/>
      <c r="N201" s="29"/>
    </row>
    <row r="202" spans="1:14" s="4" customFormat="1" x14ac:dyDescent="0.3">
      <c r="A202" s="44"/>
      <c r="B202" s="44"/>
      <c r="C202" s="44"/>
      <c r="D202" s="44"/>
      <c r="E202" s="67"/>
      <c r="F202" s="67"/>
      <c r="G202" s="67"/>
      <c r="H202" s="67"/>
      <c r="I202" s="67"/>
      <c r="J202" s="67"/>
      <c r="K202" s="67"/>
      <c r="L202" s="44"/>
      <c r="M202" s="44"/>
      <c r="N202" s="29"/>
    </row>
    <row r="203" spans="1:14" s="4" customFormat="1" x14ac:dyDescent="0.3">
      <c r="A203" s="44"/>
      <c r="B203" s="44"/>
      <c r="C203" s="44"/>
      <c r="D203" s="44"/>
      <c r="E203" s="67"/>
      <c r="F203" s="67"/>
      <c r="G203" s="67"/>
      <c r="H203" s="67"/>
      <c r="I203" s="67"/>
      <c r="J203" s="67"/>
      <c r="K203" s="67"/>
      <c r="L203" s="44"/>
      <c r="M203" s="44"/>
      <c r="N203" s="29"/>
    </row>
    <row r="204" spans="1:14" s="4" customFormat="1" x14ac:dyDescent="0.3">
      <c r="A204" s="44"/>
      <c r="B204" s="44"/>
      <c r="C204" s="44"/>
      <c r="D204" s="44"/>
      <c r="E204" s="67"/>
      <c r="F204" s="67"/>
      <c r="G204" s="67"/>
      <c r="H204" s="67"/>
      <c r="I204" s="67"/>
      <c r="J204" s="67"/>
      <c r="K204" s="67"/>
      <c r="L204" s="44"/>
      <c r="M204" s="44"/>
      <c r="N204" s="29"/>
    </row>
    <row r="205" spans="1:14" s="4" customFormat="1" x14ac:dyDescent="0.3">
      <c r="A205" s="44"/>
      <c r="B205" s="44"/>
      <c r="C205" s="44"/>
      <c r="D205" s="44"/>
      <c r="E205" s="67"/>
      <c r="F205" s="67"/>
      <c r="G205" s="67"/>
      <c r="H205" s="67"/>
      <c r="I205" s="67"/>
      <c r="J205" s="67"/>
      <c r="K205" s="67"/>
      <c r="L205" s="44"/>
      <c r="M205" s="44"/>
      <c r="N205" s="29"/>
    </row>
    <row r="206" spans="1:14" s="4" customFormat="1" x14ac:dyDescent="0.3">
      <c r="A206" s="44"/>
      <c r="B206" s="44"/>
      <c r="C206" s="44"/>
      <c r="D206" s="44"/>
      <c r="E206" s="67"/>
      <c r="F206" s="67"/>
      <c r="G206" s="67"/>
      <c r="H206" s="67"/>
      <c r="I206" s="67"/>
      <c r="J206" s="67"/>
      <c r="K206" s="67"/>
      <c r="L206" s="44"/>
      <c r="M206" s="44"/>
      <c r="N206" s="29"/>
    </row>
    <row r="207" spans="1:14" s="4" customFormat="1" x14ac:dyDescent="0.3">
      <c r="A207" s="44"/>
      <c r="B207" s="44"/>
      <c r="C207" s="44"/>
      <c r="D207" s="44"/>
      <c r="E207" s="67"/>
      <c r="F207" s="67"/>
      <c r="G207" s="67"/>
      <c r="H207" s="67"/>
      <c r="I207" s="67"/>
      <c r="J207" s="67"/>
      <c r="K207" s="67"/>
      <c r="L207" s="44"/>
      <c r="M207" s="44"/>
      <c r="N207" s="29"/>
    </row>
    <row r="208" spans="1:14" s="4" customFormat="1" x14ac:dyDescent="0.3">
      <c r="A208" s="44"/>
      <c r="B208" s="44"/>
      <c r="C208" s="44"/>
      <c r="D208" s="44"/>
      <c r="E208" s="67"/>
      <c r="F208" s="67"/>
      <c r="G208" s="67"/>
      <c r="H208" s="67"/>
      <c r="I208" s="67"/>
      <c r="J208" s="67"/>
      <c r="K208" s="67"/>
      <c r="L208" s="44"/>
      <c r="M208" s="44"/>
      <c r="N208" s="29"/>
    </row>
    <row r="209" spans="1:14" s="4" customFormat="1" x14ac:dyDescent="0.3">
      <c r="A209" s="44"/>
      <c r="B209" s="44"/>
      <c r="C209" s="44"/>
      <c r="D209" s="44"/>
      <c r="E209" s="67"/>
      <c r="F209" s="67"/>
      <c r="G209" s="67"/>
      <c r="H209" s="67"/>
      <c r="I209" s="67"/>
      <c r="J209" s="67"/>
      <c r="K209" s="67"/>
      <c r="L209" s="44"/>
      <c r="M209" s="44"/>
      <c r="N209" s="29"/>
    </row>
    <row r="210" spans="1:14" s="4" customFormat="1" x14ac:dyDescent="0.3">
      <c r="A210" s="44"/>
      <c r="B210" s="44"/>
      <c r="C210" s="44"/>
      <c r="D210" s="44"/>
      <c r="E210" s="67"/>
      <c r="F210" s="67"/>
      <c r="G210" s="67"/>
      <c r="H210" s="67"/>
      <c r="I210" s="67"/>
      <c r="J210" s="67"/>
      <c r="K210" s="67"/>
      <c r="L210" s="44"/>
      <c r="M210" s="44"/>
      <c r="N210" s="29"/>
    </row>
    <row r="211" spans="1:14" s="4" customFormat="1" x14ac:dyDescent="0.3">
      <c r="A211" s="44"/>
      <c r="B211" s="44"/>
      <c r="C211" s="44"/>
      <c r="D211" s="44"/>
      <c r="E211" s="67"/>
      <c r="F211" s="67"/>
      <c r="G211" s="67"/>
      <c r="H211" s="67"/>
      <c r="I211" s="67"/>
      <c r="J211" s="67"/>
      <c r="K211" s="67"/>
      <c r="L211" s="44"/>
      <c r="M211" s="44"/>
      <c r="N211" s="29"/>
    </row>
    <row r="212" spans="1:14" s="4" customFormat="1" x14ac:dyDescent="0.3">
      <c r="A212" s="44"/>
      <c r="B212" s="44"/>
      <c r="C212" s="44"/>
      <c r="D212" s="44"/>
      <c r="E212" s="67"/>
      <c r="F212" s="67"/>
      <c r="G212" s="67"/>
      <c r="H212" s="67"/>
      <c r="I212" s="67"/>
      <c r="J212" s="67"/>
      <c r="K212" s="67"/>
      <c r="L212" s="44"/>
      <c r="M212" s="44"/>
      <c r="N212" s="29"/>
    </row>
    <row r="213" spans="1:14" s="4" customFormat="1" x14ac:dyDescent="0.3">
      <c r="A213" s="44"/>
      <c r="B213" s="44"/>
      <c r="C213" s="44"/>
      <c r="D213" s="44"/>
      <c r="E213" s="67"/>
      <c r="F213" s="67"/>
      <c r="G213" s="67"/>
      <c r="H213" s="67"/>
      <c r="I213" s="67"/>
      <c r="J213" s="67"/>
      <c r="K213" s="67"/>
      <c r="L213" s="44"/>
      <c r="M213" s="44"/>
      <c r="N213" s="29"/>
    </row>
    <row r="214" spans="1:14" s="4" customFormat="1" x14ac:dyDescent="0.3">
      <c r="A214" s="44"/>
      <c r="B214" s="44"/>
      <c r="C214" s="44"/>
      <c r="D214" s="44"/>
      <c r="E214" s="67"/>
      <c r="F214" s="67"/>
      <c r="G214" s="67"/>
      <c r="H214" s="67"/>
      <c r="I214" s="67"/>
      <c r="J214" s="67"/>
      <c r="K214" s="67"/>
      <c r="L214" s="44"/>
      <c r="M214" s="44"/>
      <c r="N214" s="29"/>
    </row>
    <row r="215" spans="1:14" s="4" customFormat="1" x14ac:dyDescent="0.3">
      <c r="A215" s="44"/>
      <c r="B215" s="44"/>
      <c r="C215" s="44"/>
      <c r="D215" s="44"/>
      <c r="E215" s="67"/>
      <c r="F215" s="67"/>
      <c r="G215" s="67"/>
      <c r="H215" s="67"/>
      <c r="I215" s="67"/>
      <c r="J215" s="67"/>
      <c r="K215" s="67"/>
      <c r="L215" s="44"/>
      <c r="M215" s="44"/>
      <c r="N215" s="29"/>
    </row>
    <row r="216" spans="1:14" s="4" customFormat="1" x14ac:dyDescent="0.3">
      <c r="A216" s="44"/>
      <c r="B216" s="44"/>
      <c r="C216" s="44"/>
      <c r="D216" s="44"/>
      <c r="E216" s="67"/>
      <c r="F216" s="67"/>
      <c r="G216" s="67"/>
      <c r="H216" s="67"/>
      <c r="I216" s="67"/>
      <c r="J216" s="67"/>
      <c r="K216" s="67"/>
      <c r="L216" s="44"/>
      <c r="M216" s="44"/>
      <c r="N216" s="29"/>
    </row>
    <row r="217" spans="1:14" s="4" customFormat="1" x14ac:dyDescent="0.3">
      <c r="A217" s="44"/>
      <c r="B217" s="44"/>
      <c r="C217" s="44"/>
      <c r="D217" s="44"/>
      <c r="E217" s="67"/>
      <c r="F217" s="67"/>
      <c r="G217" s="67"/>
      <c r="H217" s="67"/>
      <c r="I217" s="67"/>
      <c r="J217" s="67"/>
      <c r="K217" s="67"/>
      <c r="L217" s="44"/>
      <c r="M217" s="44"/>
      <c r="N217" s="29"/>
    </row>
    <row r="218" spans="1:14" s="4" customFormat="1" x14ac:dyDescent="0.3">
      <c r="A218" s="44"/>
      <c r="B218" s="44"/>
      <c r="C218" s="44"/>
      <c r="D218" s="44"/>
      <c r="E218" s="67"/>
      <c r="F218" s="67"/>
      <c r="G218" s="67"/>
      <c r="H218" s="67"/>
      <c r="I218" s="67"/>
      <c r="J218" s="67"/>
      <c r="K218" s="67"/>
      <c r="L218" s="44"/>
      <c r="M218" s="44"/>
      <c r="N218" s="29"/>
    </row>
    <row r="219" spans="1:14" s="4" customFormat="1" x14ac:dyDescent="0.3">
      <c r="A219" s="44"/>
      <c r="B219" s="44"/>
      <c r="C219" s="44"/>
      <c r="D219" s="44"/>
      <c r="E219" s="67"/>
      <c r="F219" s="67"/>
      <c r="G219" s="67"/>
      <c r="H219" s="67"/>
      <c r="I219" s="67"/>
      <c r="J219" s="67"/>
      <c r="K219" s="67"/>
      <c r="L219" s="44"/>
      <c r="M219" s="44"/>
      <c r="N219" s="29"/>
    </row>
    <row r="220" spans="1:14" s="4" customFormat="1" x14ac:dyDescent="0.3">
      <c r="A220" s="44"/>
      <c r="B220" s="44"/>
      <c r="C220" s="44"/>
      <c r="D220" s="44"/>
      <c r="E220" s="67"/>
      <c r="F220" s="67"/>
      <c r="G220" s="67"/>
      <c r="H220" s="67"/>
      <c r="I220" s="67"/>
      <c r="J220" s="67"/>
      <c r="K220" s="67"/>
      <c r="L220" s="44"/>
      <c r="M220" s="44"/>
      <c r="N220" s="29"/>
    </row>
    <row r="221" spans="1:14" s="4" customFormat="1" x14ac:dyDescent="0.3">
      <c r="A221" s="44"/>
      <c r="B221" s="44"/>
      <c r="C221" s="44"/>
      <c r="D221" s="44"/>
      <c r="E221" s="67"/>
      <c r="F221" s="67"/>
      <c r="G221" s="67"/>
      <c r="H221" s="67"/>
      <c r="I221" s="67"/>
      <c r="J221" s="67"/>
      <c r="K221" s="67"/>
      <c r="L221" s="44"/>
      <c r="M221" s="44"/>
      <c r="N221" s="29"/>
    </row>
    <row r="222" spans="1:14" s="4" customFormat="1" x14ac:dyDescent="0.3">
      <c r="A222" s="44"/>
      <c r="B222" s="44"/>
      <c r="C222" s="44"/>
      <c r="D222" s="44"/>
      <c r="E222" s="67"/>
      <c r="F222" s="67"/>
      <c r="G222" s="67"/>
      <c r="H222" s="67"/>
      <c r="I222" s="67"/>
      <c r="J222" s="67"/>
      <c r="K222" s="67"/>
      <c r="L222" s="44"/>
      <c r="M222" s="44"/>
      <c r="N222" s="29"/>
    </row>
    <row r="223" spans="1:14" s="4" customFormat="1" x14ac:dyDescent="0.3">
      <c r="A223" s="44"/>
      <c r="B223" s="44"/>
      <c r="C223" s="44"/>
      <c r="D223" s="44"/>
      <c r="E223" s="67"/>
      <c r="F223" s="67"/>
      <c r="G223" s="67"/>
      <c r="H223" s="67"/>
      <c r="I223" s="67"/>
      <c r="J223" s="67"/>
      <c r="K223" s="67"/>
      <c r="L223" s="44"/>
      <c r="M223" s="44"/>
      <c r="N223" s="29"/>
    </row>
    <row r="224" spans="1:14" s="4" customFormat="1" x14ac:dyDescent="0.3">
      <c r="A224" s="44"/>
      <c r="B224" s="44"/>
      <c r="C224" s="44"/>
      <c r="D224" s="44"/>
      <c r="E224" s="67"/>
      <c r="F224" s="67"/>
      <c r="G224" s="67"/>
      <c r="H224" s="67"/>
      <c r="I224" s="67"/>
      <c r="J224" s="67"/>
      <c r="K224" s="67"/>
      <c r="L224" s="44"/>
      <c r="M224" s="44"/>
      <c r="N224" s="29"/>
    </row>
    <row r="225" spans="1:14" s="4" customFormat="1" x14ac:dyDescent="0.3">
      <c r="A225" s="44"/>
      <c r="B225" s="44"/>
      <c r="C225" s="44"/>
      <c r="D225" s="44"/>
      <c r="E225" s="67"/>
      <c r="F225" s="67"/>
      <c r="G225" s="67"/>
      <c r="H225" s="67"/>
      <c r="I225" s="67"/>
      <c r="J225" s="67"/>
      <c r="K225" s="67"/>
      <c r="L225" s="44"/>
      <c r="M225" s="44"/>
      <c r="N225" s="29"/>
    </row>
    <row r="226" spans="1:14" s="4" customFormat="1" x14ac:dyDescent="0.3">
      <c r="A226" s="44"/>
      <c r="B226" s="44"/>
      <c r="C226" s="44"/>
      <c r="D226" s="44"/>
      <c r="E226" s="67"/>
      <c r="F226" s="67"/>
      <c r="G226" s="67"/>
      <c r="H226" s="67"/>
      <c r="I226" s="67"/>
      <c r="J226" s="67"/>
      <c r="K226" s="67"/>
      <c r="L226" s="44"/>
      <c r="M226" s="44"/>
      <c r="N226" s="29"/>
    </row>
    <row r="227" spans="1:14" s="4" customFormat="1" x14ac:dyDescent="0.3">
      <c r="A227" s="44"/>
      <c r="B227" s="44"/>
      <c r="C227" s="44"/>
      <c r="D227" s="44"/>
      <c r="E227" s="67"/>
      <c r="F227" s="67"/>
      <c r="G227" s="67"/>
      <c r="H227" s="67"/>
      <c r="I227" s="67"/>
      <c r="J227" s="67"/>
      <c r="K227" s="67"/>
      <c r="L227" s="44"/>
      <c r="M227" s="44"/>
      <c r="N227" s="29"/>
    </row>
    <row r="228" spans="1:14" s="4" customFormat="1" x14ac:dyDescent="0.3">
      <c r="A228" s="44"/>
      <c r="B228" s="44"/>
      <c r="C228" s="44"/>
      <c r="D228" s="44"/>
      <c r="E228" s="67"/>
      <c r="F228" s="67"/>
      <c r="G228" s="67"/>
      <c r="H228" s="67"/>
      <c r="I228" s="67"/>
      <c r="J228" s="67"/>
      <c r="K228" s="67"/>
      <c r="L228" s="44"/>
      <c r="M228" s="44"/>
      <c r="N228" s="29"/>
    </row>
    <row r="229" spans="1:14" s="4" customFormat="1" x14ac:dyDescent="0.3">
      <c r="A229" s="44"/>
      <c r="B229" s="44"/>
      <c r="C229" s="44"/>
      <c r="D229" s="44"/>
      <c r="E229" s="67"/>
      <c r="F229" s="67"/>
      <c r="G229" s="67"/>
      <c r="H229" s="67"/>
      <c r="I229" s="67"/>
      <c r="J229" s="67"/>
      <c r="K229" s="67"/>
      <c r="L229" s="44"/>
      <c r="M229" s="44"/>
      <c r="N229" s="29"/>
    </row>
    <row r="230" spans="1:14" s="4" customFormat="1" x14ac:dyDescent="0.3">
      <c r="A230" s="44"/>
      <c r="B230" s="44"/>
      <c r="C230" s="44"/>
      <c r="D230" s="44"/>
      <c r="E230" s="67"/>
      <c r="F230" s="67"/>
      <c r="G230" s="67"/>
      <c r="H230" s="67"/>
      <c r="I230" s="67"/>
      <c r="J230" s="67"/>
      <c r="K230" s="67"/>
      <c r="L230" s="44"/>
      <c r="M230" s="44"/>
      <c r="N230" s="29"/>
    </row>
    <row r="231" spans="1:14" s="4" customFormat="1" x14ac:dyDescent="0.3">
      <c r="A231" s="44"/>
      <c r="B231" s="44"/>
      <c r="C231" s="44"/>
      <c r="D231" s="44"/>
      <c r="E231" s="67"/>
      <c r="F231" s="67"/>
      <c r="G231" s="67"/>
      <c r="H231" s="67"/>
      <c r="I231" s="67"/>
      <c r="J231" s="67"/>
      <c r="K231" s="67"/>
      <c r="L231" s="44"/>
      <c r="M231" s="44"/>
      <c r="N231" s="29"/>
    </row>
    <row r="232" spans="1:14" s="4" customFormat="1" x14ac:dyDescent="0.3">
      <c r="A232" s="44"/>
      <c r="B232" s="44"/>
      <c r="C232" s="44"/>
      <c r="D232" s="44"/>
      <c r="E232" s="67"/>
      <c r="F232" s="67"/>
      <c r="G232" s="67"/>
      <c r="H232" s="67"/>
      <c r="I232" s="67"/>
      <c r="J232" s="67"/>
      <c r="K232" s="67"/>
      <c r="L232" s="44"/>
      <c r="M232" s="44"/>
      <c r="N232" s="29"/>
    </row>
    <row r="233" spans="1:14" s="4" customFormat="1" x14ac:dyDescent="0.3">
      <c r="A233" s="44"/>
      <c r="B233" s="44"/>
      <c r="C233" s="44"/>
      <c r="D233" s="44"/>
      <c r="E233" s="67"/>
      <c r="F233" s="67"/>
      <c r="G233" s="67"/>
      <c r="H233" s="67"/>
      <c r="I233" s="67"/>
      <c r="J233" s="67"/>
      <c r="K233" s="67"/>
      <c r="L233" s="44"/>
      <c r="M233" s="44"/>
      <c r="N233" s="29"/>
    </row>
    <row r="234" spans="1:14" s="4" customFormat="1" x14ac:dyDescent="0.3">
      <c r="A234" s="44"/>
      <c r="B234" s="44"/>
      <c r="C234" s="44"/>
      <c r="D234" s="44"/>
      <c r="E234" s="67"/>
      <c r="F234" s="67"/>
      <c r="G234" s="67"/>
      <c r="H234" s="67"/>
      <c r="I234" s="67"/>
      <c r="J234" s="67"/>
      <c r="K234" s="67"/>
      <c r="L234" s="44"/>
      <c r="M234" s="44"/>
      <c r="N234" s="29"/>
    </row>
    <row r="235" spans="1:14" s="4" customFormat="1" x14ac:dyDescent="0.3">
      <c r="A235" s="44"/>
      <c r="B235" s="44"/>
      <c r="C235" s="44"/>
      <c r="D235" s="44"/>
      <c r="E235" s="67"/>
      <c r="F235" s="67"/>
      <c r="G235" s="67"/>
      <c r="H235" s="67"/>
      <c r="I235" s="67"/>
      <c r="J235" s="67"/>
      <c r="K235" s="67"/>
      <c r="L235" s="44"/>
      <c r="M235" s="44"/>
      <c r="N235" s="29"/>
    </row>
    <row r="236" spans="1:14" s="4" customFormat="1" x14ac:dyDescent="0.3">
      <c r="A236" s="44"/>
      <c r="B236" s="44"/>
      <c r="C236" s="44"/>
      <c r="D236" s="44"/>
      <c r="E236" s="67"/>
      <c r="F236" s="67"/>
      <c r="G236" s="67"/>
      <c r="H236" s="67"/>
      <c r="I236" s="67"/>
      <c r="J236" s="67"/>
      <c r="K236" s="67"/>
      <c r="L236" s="44"/>
      <c r="M236" s="44"/>
      <c r="N236" s="29"/>
    </row>
    <row r="237" spans="1:14" s="4" customFormat="1" x14ac:dyDescent="0.3">
      <c r="A237" s="44"/>
      <c r="B237" s="44"/>
      <c r="C237" s="44"/>
      <c r="D237" s="44"/>
      <c r="E237" s="67"/>
      <c r="F237" s="67"/>
      <c r="G237" s="67"/>
      <c r="H237" s="67"/>
      <c r="I237" s="67"/>
      <c r="J237" s="67"/>
      <c r="K237" s="67"/>
      <c r="L237" s="44"/>
      <c r="M237" s="44"/>
      <c r="N237" s="29"/>
    </row>
    <row r="238" spans="1:14" s="4" customFormat="1" x14ac:dyDescent="0.3">
      <c r="A238" s="44"/>
      <c r="B238" s="44"/>
      <c r="C238" s="44"/>
      <c r="D238" s="44"/>
      <c r="E238" s="67"/>
      <c r="F238" s="67"/>
      <c r="G238" s="67"/>
      <c r="H238" s="67"/>
      <c r="I238" s="67"/>
      <c r="J238" s="67"/>
      <c r="K238" s="67"/>
      <c r="L238" s="44"/>
      <c r="M238" s="44"/>
      <c r="N238" s="29"/>
    </row>
    <row r="239" spans="1:14" s="4" customFormat="1" x14ac:dyDescent="0.3">
      <c r="A239" s="44"/>
      <c r="B239" s="44"/>
      <c r="C239" s="44"/>
      <c r="D239" s="44"/>
      <c r="E239" s="67"/>
      <c r="F239" s="67"/>
      <c r="G239" s="67"/>
      <c r="H239" s="67"/>
      <c r="I239" s="67"/>
      <c r="J239" s="67"/>
      <c r="K239" s="67"/>
      <c r="L239" s="44"/>
      <c r="M239" s="44"/>
      <c r="N239" s="29"/>
    </row>
    <row r="240" spans="1:14" s="4" customFormat="1" x14ac:dyDescent="0.3">
      <c r="A240" s="44"/>
      <c r="B240" s="44"/>
      <c r="C240" s="44"/>
      <c r="D240" s="44"/>
      <c r="E240" s="67"/>
      <c r="F240" s="67"/>
      <c r="G240" s="67"/>
      <c r="H240" s="67"/>
      <c r="I240" s="67"/>
      <c r="J240" s="67"/>
      <c r="K240" s="67"/>
      <c r="L240" s="44"/>
      <c r="M240" s="44"/>
      <c r="N240" s="29"/>
    </row>
    <row r="241" spans="1:14" s="4" customFormat="1" x14ac:dyDescent="0.3">
      <c r="A241" s="44"/>
      <c r="B241" s="44"/>
      <c r="C241" s="44"/>
      <c r="D241" s="44"/>
      <c r="E241" s="67"/>
      <c r="F241" s="67"/>
      <c r="G241" s="67"/>
      <c r="H241" s="67"/>
      <c r="I241" s="67"/>
      <c r="J241" s="67"/>
      <c r="K241" s="67"/>
      <c r="L241" s="44"/>
      <c r="M241" s="44"/>
      <c r="N241" s="29"/>
    </row>
    <row r="242" spans="1:14" s="4" customFormat="1" x14ac:dyDescent="0.3">
      <c r="A242" s="44"/>
      <c r="B242" s="44"/>
      <c r="C242" s="44"/>
      <c r="D242" s="44"/>
      <c r="E242" s="67"/>
      <c r="F242" s="67"/>
      <c r="G242" s="67"/>
      <c r="H242" s="67"/>
      <c r="I242" s="67"/>
      <c r="J242" s="67"/>
      <c r="K242" s="67"/>
      <c r="L242" s="44"/>
      <c r="M242" s="44"/>
      <c r="N242" s="29"/>
    </row>
    <row r="243" spans="1:14" s="4" customFormat="1" x14ac:dyDescent="0.3">
      <c r="A243" s="44"/>
      <c r="B243" s="44"/>
      <c r="C243" s="44"/>
      <c r="D243" s="44"/>
      <c r="E243" s="67"/>
      <c r="F243" s="67"/>
      <c r="G243" s="67"/>
      <c r="H243" s="67"/>
      <c r="I243" s="67"/>
      <c r="J243" s="67"/>
      <c r="K243" s="67"/>
      <c r="L243" s="44"/>
      <c r="M243" s="44"/>
      <c r="N243" s="29"/>
    </row>
    <row r="244" spans="1:14" s="4" customFormat="1" x14ac:dyDescent="0.3">
      <c r="A244" s="44"/>
      <c r="B244" s="44"/>
      <c r="C244" s="44"/>
      <c r="D244" s="44"/>
      <c r="E244" s="67"/>
      <c r="F244" s="67"/>
      <c r="G244" s="67"/>
      <c r="H244" s="67"/>
      <c r="I244" s="67"/>
      <c r="J244" s="67"/>
      <c r="K244" s="67"/>
      <c r="L244" s="44"/>
      <c r="M244" s="44"/>
      <c r="N244" s="29"/>
    </row>
    <row r="245" spans="1:14" s="4" customFormat="1" x14ac:dyDescent="0.3">
      <c r="A245" s="44"/>
      <c r="B245" s="44"/>
      <c r="C245" s="44"/>
      <c r="D245" s="44"/>
      <c r="E245" s="67"/>
      <c r="F245" s="67"/>
      <c r="G245" s="67"/>
      <c r="H245" s="67"/>
      <c r="I245" s="67"/>
      <c r="J245" s="67"/>
      <c r="K245" s="67"/>
      <c r="L245" s="44"/>
      <c r="M245" s="44"/>
      <c r="N245" s="29"/>
    </row>
    <row r="246" spans="1:14" s="4" customFormat="1" x14ac:dyDescent="0.3">
      <c r="A246" s="44"/>
      <c r="B246" s="44"/>
      <c r="C246" s="44"/>
      <c r="D246" s="44"/>
      <c r="E246" s="67"/>
      <c r="F246" s="67"/>
      <c r="G246" s="67"/>
      <c r="H246" s="67"/>
      <c r="I246" s="67"/>
      <c r="J246" s="67"/>
      <c r="K246" s="67"/>
      <c r="L246" s="44"/>
      <c r="M246" s="44"/>
      <c r="N246" s="29"/>
    </row>
    <row r="247" spans="1:14" s="4" customFormat="1" x14ac:dyDescent="0.3">
      <c r="A247" s="44"/>
      <c r="B247" s="44"/>
      <c r="C247" s="44"/>
      <c r="D247" s="44"/>
      <c r="E247" s="67"/>
      <c r="F247" s="67"/>
      <c r="G247" s="67"/>
      <c r="H247" s="67"/>
      <c r="I247" s="67"/>
      <c r="J247" s="67"/>
      <c r="K247" s="67"/>
      <c r="L247" s="44"/>
      <c r="M247" s="44"/>
      <c r="N247" s="29"/>
    </row>
    <row r="248" spans="1:14" s="4" customFormat="1" x14ac:dyDescent="0.3">
      <c r="A248" s="44"/>
      <c r="B248" s="44"/>
      <c r="C248" s="44"/>
      <c r="D248" s="44"/>
      <c r="E248" s="67"/>
      <c r="F248" s="67"/>
      <c r="G248" s="67"/>
      <c r="H248" s="67"/>
      <c r="I248" s="67"/>
      <c r="J248" s="67"/>
      <c r="K248" s="67"/>
      <c r="L248" s="44"/>
      <c r="M248" s="44"/>
      <c r="N248" s="29"/>
    </row>
    <row r="249" spans="1:14" s="4" customFormat="1" x14ac:dyDescent="0.3">
      <c r="A249" s="44"/>
      <c r="B249" s="44"/>
      <c r="C249" s="44"/>
      <c r="D249" s="44"/>
      <c r="E249" s="67"/>
      <c r="F249" s="67"/>
      <c r="G249" s="67"/>
      <c r="H249" s="67"/>
      <c r="I249" s="67"/>
      <c r="J249" s="67"/>
      <c r="K249" s="67"/>
      <c r="L249" s="44"/>
      <c r="M249" s="44"/>
      <c r="N249" s="29"/>
    </row>
    <row r="250" spans="1:14" s="4" customFormat="1" x14ac:dyDescent="0.3">
      <c r="A250" s="44"/>
      <c r="B250" s="44"/>
      <c r="C250" s="44"/>
      <c r="D250" s="44"/>
      <c r="E250" s="67"/>
      <c r="F250" s="67"/>
      <c r="G250" s="67"/>
      <c r="H250" s="67"/>
      <c r="I250" s="67"/>
      <c r="J250" s="67"/>
      <c r="K250" s="67"/>
      <c r="L250" s="44"/>
      <c r="M250" s="44"/>
      <c r="N250" s="29"/>
    </row>
    <row r="251" spans="1:14" s="4" customFormat="1" x14ac:dyDescent="0.3">
      <c r="A251" s="44"/>
      <c r="B251" s="44"/>
      <c r="C251" s="44"/>
      <c r="D251" s="44"/>
      <c r="E251" s="67"/>
      <c r="F251" s="67"/>
      <c r="G251" s="67"/>
      <c r="H251" s="67"/>
      <c r="I251" s="67"/>
      <c r="J251" s="67"/>
      <c r="K251" s="67"/>
      <c r="L251" s="44"/>
      <c r="M251" s="44"/>
      <c r="N251" s="29"/>
    </row>
    <row r="252" spans="1:14" s="4" customFormat="1" x14ac:dyDescent="0.3">
      <c r="A252" s="44"/>
      <c r="B252" s="44"/>
      <c r="C252" s="44"/>
      <c r="D252" s="44"/>
      <c r="E252" s="67"/>
      <c r="F252" s="67"/>
      <c r="G252" s="67"/>
      <c r="H252" s="67"/>
      <c r="I252" s="67"/>
      <c r="J252" s="67"/>
      <c r="K252" s="67"/>
      <c r="L252" s="44"/>
      <c r="M252" s="44"/>
      <c r="N252" s="29"/>
    </row>
    <row r="253" spans="1:14" s="4" customFormat="1" x14ac:dyDescent="0.3">
      <c r="A253" s="44"/>
      <c r="B253" s="44"/>
      <c r="C253" s="44"/>
      <c r="D253" s="44"/>
      <c r="E253" s="67"/>
      <c r="F253" s="67"/>
      <c r="G253" s="67"/>
      <c r="H253" s="67"/>
      <c r="I253" s="67"/>
      <c r="J253" s="67"/>
      <c r="K253" s="67"/>
      <c r="L253" s="44"/>
      <c r="M253" s="44"/>
      <c r="N253" s="29"/>
    </row>
    <row r="254" spans="1:14" s="4" customFormat="1" x14ac:dyDescent="0.3">
      <c r="A254" s="44"/>
      <c r="B254" s="44"/>
      <c r="C254" s="44"/>
      <c r="D254" s="44"/>
      <c r="E254" s="67"/>
      <c r="F254" s="67"/>
      <c r="G254" s="67"/>
      <c r="H254" s="67"/>
      <c r="I254" s="67"/>
      <c r="J254" s="67"/>
      <c r="K254" s="67"/>
      <c r="L254" s="44"/>
      <c r="M254" s="44"/>
      <c r="N254" s="29"/>
    </row>
    <row r="255" spans="1:14" s="4" customFormat="1" x14ac:dyDescent="0.3">
      <c r="A255" s="44"/>
      <c r="B255" s="44"/>
      <c r="C255" s="44"/>
      <c r="D255" s="44"/>
      <c r="E255" s="67"/>
      <c r="F255" s="67"/>
      <c r="G255" s="67"/>
      <c r="H255" s="67"/>
      <c r="I255" s="67"/>
      <c r="J255" s="67"/>
      <c r="K255" s="67"/>
      <c r="L255" s="44"/>
      <c r="M255" s="44"/>
      <c r="N255" s="29"/>
    </row>
    <row r="256" spans="1:14" s="4" customFormat="1" x14ac:dyDescent="0.3">
      <c r="A256" s="44"/>
      <c r="B256" s="44"/>
      <c r="C256" s="44"/>
      <c r="D256" s="44"/>
      <c r="E256" s="67"/>
      <c r="F256" s="67"/>
      <c r="G256" s="67"/>
      <c r="H256" s="67"/>
      <c r="I256" s="67"/>
      <c r="J256" s="67"/>
      <c r="K256" s="67"/>
      <c r="L256" s="44"/>
      <c r="M256" s="44"/>
      <c r="N256" s="29"/>
    </row>
    <row r="257" spans="1:14" s="4" customFormat="1" x14ac:dyDescent="0.3">
      <c r="A257" s="44"/>
      <c r="B257" s="44"/>
      <c r="C257" s="44"/>
      <c r="D257" s="44"/>
      <c r="E257" s="67"/>
      <c r="F257" s="67"/>
      <c r="G257" s="67"/>
      <c r="H257" s="67"/>
      <c r="I257" s="67"/>
      <c r="J257" s="67"/>
      <c r="K257" s="67"/>
      <c r="L257" s="44"/>
      <c r="M257" s="44"/>
      <c r="N257" s="29"/>
    </row>
    <row r="258" spans="1:14" s="4" customFormat="1" x14ac:dyDescent="0.3">
      <c r="A258" s="44"/>
      <c r="B258" s="44"/>
      <c r="C258" s="44"/>
      <c r="D258" s="44"/>
      <c r="E258" s="67"/>
      <c r="F258" s="67"/>
      <c r="G258" s="67"/>
      <c r="H258" s="67"/>
      <c r="I258" s="67"/>
      <c r="J258" s="67"/>
      <c r="K258" s="67"/>
      <c r="L258" s="44"/>
      <c r="M258" s="44"/>
      <c r="N258" s="29"/>
    </row>
    <row r="259" spans="1:14" s="4" customFormat="1" x14ac:dyDescent="0.3">
      <c r="A259" s="44"/>
      <c r="B259" s="44"/>
      <c r="C259" s="44"/>
      <c r="D259" s="44"/>
      <c r="E259" s="67"/>
      <c r="F259" s="67"/>
      <c r="G259" s="67"/>
      <c r="H259" s="67"/>
      <c r="I259" s="67"/>
      <c r="J259" s="67"/>
      <c r="K259" s="67"/>
      <c r="L259" s="44"/>
      <c r="M259" s="44"/>
      <c r="N259" s="29"/>
    </row>
    <row r="260" spans="1:14" s="4" customFormat="1" x14ac:dyDescent="0.3">
      <c r="A260" s="44"/>
      <c r="B260" s="44"/>
      <c r="C260" s="44"/>
      <c r="D260" s="44"/>
      <c r="E260" s="67"/>
      <c r="F260" s="67"/>
      <c r="G260" s="67"/>
      <c r="H260" s="67"/>
      <c r="I260" s="67"/>
      <c r="J260" s="67"/>
      <c r="K260" s="67"/>
      <c r="L260" s="44"/>
      <c r="M260" s="44"/>
      <c r="N260" s="29"/>
    </row>
    <row r="261" spans="1:14" x14ac:dyDescent="0.3">
      <c r="A261" s="44"/>
      <c r="B261" s="44"/>
      <c r="C261" s="44"/>
      <c r="D261" s="44"/>
      <c r="E261" s="67"/>
      <c r="F261" s="67"/>
      <c r="G261" s="67"/>
      <c r="H261" s="67"/>
      <c r="I261" s="67"/>
      <c r="J261" s="67"/>
      <c r="K261" s="67"/>
      <c r="L261" s="44"/>
      <c r="M261" s="44"/>
    </row>
    <row r="262" spans="1:14" x14ac:dyDescent="0.3">
      <c r="A262" s="44"/>
      <c r="B262" s="44"/>
      <c r="C262" s="44"/>
      <c r="D262" s="44"/>
      <c r="E262" s="67"/>
      <c r="F262" s="67"/>
      <c r="G262" s="67"/>
      <c r="H262" s="67"/>
      <c r="I262" s="67"/>
      <c r="J262" s="67"/>
      <c r="K262" s="67"/>
      <c r="L262" s="44"/>
      <c r="M262" s="44"/>
    </row>
    <row r="263" spans="1:14" x14ac:dyDescent="0.3">
      <c r="A263" s="44"/>
      <c r="B263" s="44"/>
      <c r="C263" s="44"/>
      <c r="D263" s="44"/>
      <c r="E263" s="67"/>
      <c r="F263" s="67"/>
      <c r="G263" s="67"/>
      <c r="H263" s="67"/>
      <c r="I263" s="67"/>
      <c r="J263" s="67"/>
      <c r="K263" s="67"/>
      <c r="L263" s="44"/>
      <c r="M263" s="44"/>
    </row>
    <row r="264" spans="1:14" x14ac:dyDescent="0.3">
      <c r="A264" s="44"/>
      <c r="B264" s="44"/>
      <c r="C264" s="44"/>
      <c r="D264" s="44"/>
      <c r="E264" s="67"/>
      <c r="F264" s="67"/>
      <c r="G264" s="67"/>
      <c r="H264" s="67"/>
      <c r="I264" s="67"/>
      <c r="J264" s="67"/>
      <c r="K264" s="67"/>
      <c r="L264" s="44"/>
      <c r="M264" s="44"/>
    </row>
    <row r="265" spans="1:14" x14ac:dyDescent="0.3">
      <c r="A265" s="44"/>
      <c r="B265" s="44"/>
      <c r="C265" s="44"/>
      <c r="D265" s="44"/>
      <c r="E265" s="67"/>
      <c r="F265" s="67"/>
      <c r="G265" s="67"/>
      <c r="H265" s="67"/>
      <c r="I265" s="67"/>
      <c r="J265" s="67"/>
      <c r="K265" s="67"/>
      <c r="L265" s="44"/>
      <c r="M265" s="44"/>
    </row>
    <row r="266" spans="1:14" x14ac:dyDescent="0.3">
      <c r="A266" s="44"/>
      <c r="B266" s="44"/>
      <c r="C266" s="44"/>
      <c r="D266" s="44"/>
      <c r="E266" s="67"/>
      <c r="F266" s="67"/>
      <c r="G266" s="67"/>
      <c r="H266" s="67"/>
      <c r="I266" s="67"/>
      <c r="J266" s="67"/>
      <c r="K266" s="67"/>
      <c r="L266" s="44"/>
      <c r="M266" s="44"/>
    </row>
  </sheetData>
  <customSheetViews>
    <customSheetView guid="{7DDEA387-EEC9-4633-99BE-C0D9299FB093}" scale="70" showPageBreaks="1" printArea="1" hiddenRows="1" view="pageBreakPreview">
      <pane ySplit="4" topLeftCell="A16" activePane="bottomLeft" state="frozen"/>
      <selection pane="bottomLeft" activeCell="F9" sqref="F9"/>
      <rowBreaks count="2" manualBreakCount="2">
        <brk id="24" max="12" man="1"/>
        <brk id="51" max="12" man="1"/>
      </rowBreaks>
      <pageMargins left="0.19685039370078741" right="0.19685039370078741" top="0.23622047244094491" bottom="0.19685039370078741" header="0" footer="0"/>
      <pageSetup paperSize="9" scale="62" orientation="landscape" r:id="rId1"/>
    </customSheetView>
    <customSheetView guid="{6592EBC0-D945-4F6F-93D1-49FCB588A4A0}" scale="70" showPageBreaks="1" printArea="1" hiddenRows="1" view="pageBreakPreview">
      <pane ySplit="4" topLeftCell="A33" activePane="bottomLeft" state="frozen"/>
      <selection pane="bottomLeft" activeCell="L42" sqref="L42:L43"/>
      <rowBreaks count="2" manualBreakCount="2">
        <brk id="24" max="12" man="1"/>
        <brk id="51" max="12" man="1"/>
      </rowBreaks>
      <pageMargins left="0.19685039370078741" right="0.19685039370078741" top="0.23622047244094491" bottom="0.19685039370078741" header="0" footer="0"/>
      <pageSetup paperSize="9" scale="62" orientation="landscape" r:id="rId2"/>
    </customSheetView>
    <customSheetView guid="{001F394D-7E32-49E0-9108-A9790B233A9D}" scale="70" showPageBreaks="1" printArea="1" hiddenRows="1" view="pageBreakPreview" topLeftCell="B1">
      <pane ySplit="4" topLeftCell="A11" activePane="bottomLeft" state="frozen"/>
      <selection pane="bottomLeft" activeCell="S11" sqref="S11"/>
      <rowBreaks count="2" manualBreakCount="2">
        <brk id="25" max="12" man="1"/>
        <brk id="52" max="12" man="1"/>
      </rowBreaks>
      <pageMargins left="0.19685039370078741" right="0.19685039370078741" top="0.23622047244094491" bottom="0.19685039370078741" header="0" footer="0"/>
      <pageSetup paperSize="9" scale="62" orientation="landscape" r:id="rId3"/>
    </customSheetView>
    <customSheetView guid="{F08E63B0-D6C4-4E18-B2B6-E1E751FE7DF2}" scale="70" showPageBreaks="1" printArea="1" hiddenRows="1" view="pageBreakPreview" topLeftCell="B1">
      <pane ySplit="4" topLeftCell="A11" activePane="bottomLeft" state="frozen"/>
      <selection pane="bottomLeft" activeCell="S11" sqref="S11"/>
      <rowBreaks count="2" manualBreakCount="2">
        <brk id="25" max="12" man="1"/>
        <brk id="52" max="12" man="1"/>
      </rowBreaks>
      <pageMargins left="0.19685039370078741" right="0.19685039370078741" top="0.23622047244094491" bottom="0.19685039370078741" header="0" footer="0"/>
      <pageSetup paperSize="9" scale="62" orientation="landscape" r:id="rId4"/>
    </customSheetView>
    <customSheetView guid="{D32E4BC6-6FD7-4441-855E-C6B8F80A132E}" scale="70" showPageBreaks="1" printArea="1" hiddenRows="1" view="pageBreakPreview">
      <pane ySplit="4" topLeftCell="A35" activePane="bottomLeft" state="frozen"/>
      <selection pane="bottomLeft" activeCell="P43" sqref="P43"/>
      <rowBreaks count="2" manualBreakCount="2">
        <brk id="24" max="12" man="1"/>
        <brk id="53" max="12" man="1"/>
      </rowBreaks>
      <pageMargins left="0.19685039370078741" right="0.19685039370078741" top="0.23622047244094491" bottom="0.19685039370078741" header="0" footer="0"/>
      <pageSetup paperSize="9" scale="62" orientation="landscape" r:id="rId5"/>
    </customSheetView>
  </customSheetViews>
  <mergeCells count="82">
    <mergeCell ref="D62:K62"/>
    <mergeCell ref="G63:I63"/>
    <mergeCell ref="A66:M66"/>
    <mergeCell ref="A67:M67"/>
    <mergeCell ref="A58:A59"/>
    <mergeCell ref="B58:B59"/>
    <mergeCell ref="C58:C59"/>
    <mergeCell ref="L58:L59"/>
    <mergeCell ref="M58:M59"/>
    <mergeCell ref="A60:A61"/>
    <mergeCell ref="B60:B61"/>
    <mergeCell ref="C60:C61"/>
    <mergeCell ref="L60:L61"/>
    <mergeCell ref="M60:M61"/>
    <mergeCell ref="A52:A55"/>
    <mergeCell ref="B52:B55"/>
    <mergeCell ref="C52:C55"/>
    <mergeCell ref="L52:L55"/>
    <mergeCell ref="M52:M55"/>
    <mergeCell ref="A56:A57"/>
    <mergeCell ref="B56:B57"/>
    <mergeCell ref="C56:C57"/>
    <mergeCell ref="L56:L57"/>
    <mergeCell ref="M56:M57"/>
    <mergeCell ref="A46:M46"/>
    <mergeCell ref="C47:C51"/>
    <mergeCell ref="A48:A51"/>
    <mergeCell ref="B48:B51"/>
    <mergeCell ref="L48:L51"/>
    <mergeCell ref="M48:M51"/>
    <mergeCell ref="A40:A41"/>
    <mergeCell ref="B40:B41"/>
    <mergeCell ref="L40:L41"/>
    <mergeCell ref="M40:M41"/>
    <mergeCell ref="A42:A43"/>
    <mergeCell ref="B42:B43"/>
    <mergeCell ref="L42:L43"/>
    <mergeCell ref="M42:M43"/>
    <mergeCell ref="A30:A34"/>
    <mergeCell ref="B30:B34"/>
    <mergeCell ref="L30:L31"/>
    <mergeCell ref="M30:M31"/>
    <mergeCell ref="A36:A39"/>
    <mergeCell ref="B36:B39"/>
    <mergeCell ref="L36:L39"/>
    <mergeCell ref="M36:M39"/>
    <mergeCell ref="A24:A25"/>
    <mergeCell ref="B24:B25"/>
    <mergeCell ref="C24:C25"/>
    <mergeCell ref="L24:L25"/>
    <mergeCell ref="M24:M25"/>
    <mergeCell ref="A26:A29"/>
    <mergeCell ref="B26:B29"/>
    <mergeCell ref="C26:C29"/>
    <mergeCell ref="L26:L29"/>
    <mergeCell ref="M26:M29"/>
    <mergeCell ref="A19:A23"/>
    <mergeCell ref="B19:B23"/>
    <mergeCell ref="C19:C23"/>
    <mergeCell ref="L19:L23"/>
    <mergeCell ref="M19:M23"/>
    <mergeCell ref="M5:M9"/>
    <mergeCell ref="A16:A18"/>
    <mergeCell ref="B16:B18"/>
    <mergeCell ref="L16:L18"/>
    <mergeCell ref="M16:M18"/>
    <mergeCell ref="A10:A14"/>
    <mergeCell ref="B10:B14"/>
    <mergeCell ref="A5:A9"/>
    <mergeCell ref="B5:B9"/>
    <mergeCell ref="C5:C9"/>
    <mergeCell ref="L5:L9"/>
    <mergeCell ref="A1:M1"/>
    <mergeCell ref="A2:A3"/>
    <mergeCell ref="B2:B3"/>
    <mergeCell ref="C2:C3"/>
    <mergeCell ref="D2:D3"/>
    <mergeCell ref="E2:E3"/>
    <mergeCell ref="F2:F3"/>
    <mergeCell ref="G2:K2"/>
    <mergeCell ref="L2:L3"/>
    <mergeCell ref="M2:M3"/>
  </mergeCells>
  <pageMargins left="0.19685039370078741" right="0.19685039370078741" top="0.23622047244094491" bottom="0.19685039370078741" header="0" footer="0"/>
  <pageSetup paperSize="9" scale="62" orientation="landscape" r:id="rId6"/>
  <rowBreaks count="2" manualBreakCount="2">
    <brk id="24" max="12" man="1"/>
    <brk id="51" max="12" man="1"/>
  </rowBreak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AC366"/>
  <sheetViews>
    <sheetView tabSelected="1" view="pageBreakPreview" topLeftCell="A230" zoomScale="80" zoomScaleNormal="80" zoomScaleSheetLayoutView="80" zoomScalePageLayoutView="80" workbookViewId="0">
      <pane xSplit="15" topLeftCell="P1" activePane="topRight" state="frozen"/>
      <selection activeCell="F9" sqref="F9"/>
      <selection pane="topRight" activeCell="F9" sqref="F9"/>
    </sheetView>
  </sheetViews>
  <sheetFormatPr defaultColWidth="8.6640625" defaultRowHeight="14.4" x14ac:dyDescent="0.3"/>
  <cols>
    <col min="1" max="1" width="8.33203125" style="83" customWidth="1"/>
    <col min="2" max="2" width="28.6640625" style="42" customWidth="1"/>
    <col min="3" max="3" width="7.6640625" style="42" customWidth="1"/>
    <col min="4" max="4" width="9.44140625" style="42" customWidth="1"/>
    <col min="5" max="5" width="12.44140625" style="21" customWidth="1"/>
    <col min="6" max="6" width="11.6640625" style="21" customWidth="1"/>
    <col min="7" max="7" width="22" style="21" customWidth="1"/>
    <col min="8" max="8" width="11" style="21" customWidth="1"/>
    <col min="9" max="9" width="18.109375" style="21" customWidth="1"/>
    <col min="10" max="11" width="11.109375" style="21" customWidth="1"/>
    <col min="12" max="12" width="11.6640625" style="21" customWidth="1"/>
    <col min="13" max="13" width="10.5546875" style="21" customWidth="1"/>
    <col min="14" max="15" width="15.6640625" style="21" customWidth="1"/>
    <col min="16" max="16" width="50.109375" style="72" customWidth="1"/>
    <col min="17" max="17" width="24.5546875" style="4" customWidth="1"/>
    <col min="18" max="18" width="14.44140625" style="105" customWidth="1"/>
    <col min="19" max="19" width="12.6640625" style="105" customWidth="1"/>
    <col min="20" max="20" width="10" style="105" customWidth="1"/>
    <col min="21" max="21" width="11.6640625" style="1" customWidth="1"/>
    <col min="22" max="29" width="8.6640625" style="1"/>
  </cols>
  <sheetData>
    <row r="1" spans="1:27" s="1" customFormat="1" ht="40.200000000000003" customHeight="1" x14ac:dyDescent="0.3">
      <c r="A1" s="1838" t="s">
        <v>236</v>
      </c>
      <c r="B1" s="1838"/>
      <c r="C1" s="1838"/>
      <c r="D1" s="1838"/>
      <c r="E1" s="1838"/>
      <c r="F1" s="1838"/>
      <c r="G1" s="1838"/>
      <c r="H1" s="1838"/>
      <c r="I1" s="1838"/>
      <c r="J1" s="1838"/>
      <c r="K1" s="1838"/>
      <c r="L1" s="1838"/>
      <c r="M1" s="1838"/>
      <c r="N1" s="1838"/>
      <c r="O1" s="1839"/>
      <c r="P1" s="72"/>
      <c r="Q1" s="4"/>
      <c r="R1" s="105"/>
      <c r="S1" s="105"/>
      <c r="T1" s="105"/>
    </row>
    <row r="2" spans="1:27" s="1" customFormat="1" ht="104.25" customHeight="1" x14ac:dyDescent="0.35">
      <c r="A2" s="1854" t="s">
        <v>1367</v>
      </c>
      <c r="B2" s="1854"/>
      <c r="C2" s="1854"/>
      <c r="D2" s="1854"/>
      <c r="E2" s="1854"/>
      <c r="F2" s="1854"/>
      <c r="G2" s="1854"/>
      <c r="H2" s="1854"/>
      <c r="I2" s="1854"/>
      <c r="J2" s="1854"/>
      <c r="K2" s="1854"/>
      <c r="L2" s="1854"/>
      <c r="M2" s="1854"/>
      <c r="N2" s="1854"/>
      <c r="O2" s="1855"/>
      <c r="P2" s="1123" t="s">
        <v>1491</v>
      </c>
      <c r="Q2" s="313"/>
      <c r="R2" s="105"/>
      <c r="S2" s="105"/>
      <c r="T2" s="105"/>
    </row>
    <row r="3" spans="1:27" s="214" customFormat="1" ht="18" customHeight="1" x14ac:dyDescent="0.3">
      <c r="A3" s="1856" t="s">
        <v>56</v>
      </c>
      <c r="B3" s="1856"/>
      <c r="C3" s="1856"/>
      <c r="D3" s="1856"/>
      <c r="E3" s="1856"/>
      <c r="F3" s="1856"/>
      <c r="G3" s="1856"/>
      <c r="H3" s="1856"/>
      <c r="I3" s="1856"/>
      <c r="J3" s="1856"/>
      <c r="K3" s="1856"/>
      <c r="L3" s="1856"/>
      <c r="M3" s="1856"/>
      <c r="N3" s="1856"/>
      <c r="O3" s="302"/>
      <c r="P3" s="213"/>
      <c r="Q3" s="265"/>
      <c r="R3" s="308"/>
      <c r="S3" s="308"/>
      <c r="T3" s="308"/>
    </row>
    <row r="4" spans="1:27" s="214" customFormat="1" ht="15.75" customHeight="1" x14ac:dyDescent="0.3">
      <c r="A4" s="1856" t="s">
        <v>145</v>
      </c>
      <c r="B4" s="1856"/>
      <c r="C4" s="1856"/>
      <c r="D4" s="1856"/>
      <c r="E4" s="1856"/>
      <c r="F4" s="1856"/>
      <c r="G4" s="1856"/>
      <c r="H4" s="1856"/>
      <c r="I4" s="1856"/>
      <c r="J4" s="1856"/>
      <c r="K4" s="1856"/>
      <c r="L4" s="1856"/>
      <c r="M4" s="1856"/>
      <c r="N4" s="1856"/>
      <c r="O4" s="1278"/>
      <c r="P4" s="213"/>
      <c r="Q4" s="265"/>
      <c r="R4" s="308"/>
      <c r="S4" s="308"/>
      <c r="T4" s="308"/>
    </row>
    <row r="5" spans="1:27" s="53" customFormat="1" ht="75.75" customHeight="1" x14ac:dyDescent="0.3">
      <c r="A5" s="1805" t="s">
        <v>46</v>
      </c>
      <c r="B5" s="1805" t="s">
        <v>822</v>
      </c>
      <c r="C5" s="1805" t="s">
        <v>823</v>
      </c>
      <c r="D5" s="1805" t="s">
        <v>854</v>
      </c>
      <c r="E5" s="1805" t="s">
        <v>52</v>
      </c>
      <c r="F5" s="1805" t="s">
        <v>545</v>
      </c>
      <c r="G5" s="1840" t="s">
        <v>59</v>
      </c>
      <c r="H5" s="1841" t="s">
        <v>106</v>
      </c>
      <c r="I5" s="1841"/>
      <c r="J5" s="1841"/>
      <c r="K5" s="1841"/>
      <c r="L5" s="1841"/>
      <c r="M5" s="1841"/>
      <c r="N5" s="1842" t="s">
        <v>50</v>
      </c>
      <c r="O5" s="1843" t="s">
        <v>820</v>
      </c>
      <c r="P5" s="328"/>
      <c r="Q5" s="371"/>
      <c r="R5" s="479"/>
      <c r="S5" s="479"/>
      <c r="T5" s="479"/>
    </row>
    <row r="6" spans="1:27" s="53" customFormat="1" ht="46.5" customHeight="1" x14ac:dyDescent="0.3">
      <c r="A6" s="1806"/>
      <c r="B6" s="1806"/>
      <c r="C6" s="1806"/>
      <c r="D6" s="1806"/>
      <c r="E6" s="1806"/>
      <c r="F6" s="1806"/>
      <c r="G6" s="1840"/>
      <c r="H6" s="805" t="s">
        <v>33</v>
      </c>
      <c r="I6" s="805" t="s">
        <v>4</v>
      </c>
      <c r="J6" s="805" t="s">
        <v>91</v>
      </c>
      <c r="K6" s="805" t="s">
        <v>90</v>
      </c>
      <c r="L6" s="805" t="s">
        <v>89</v>
      </c>
      <c r="M6" s="805" t="s">
        <v>221</v>
      </c>
      <c r="N6" s="1842"/>
      <c r="O6" s="1844"/>
      <c r="P6" s="328"/>
      <c r="Q6" s="371"/>
      <c r="R6" s="479"/>
      <c r="S6" s="479"/>
      <c r="T6" s="479"/>
      <c r="W6" s="53">
        <v>2018</v>
      </c>
      <c r="X6" s="53">
        <v>2019</v>
      </c>
      <c r="Y6" s="53">
        <v>2020</v>
      </c>
      <c r="Z6" s="53">
        <v>2021</v>
      </c>
      <c r="AA6" s="53">
        <v>2022</v>
      </c>
    </row>
    <row r="7" spans="1:27" s="53" customFormat="1" ht="15" customHeight="1" x14ac:dyDescent="0.3">
      <c r="A7" s="323">
        <v>1</v>
      </c>
      <c r="B7" s="324">
        <v>2</v>
      </c>
      <c r="C7" s="324">
        <v>3</v>
      </c>
      <c r="D7" s="324">
        <v>4</v>
      </c>
      <c r="E7" s="324">
        <v>5</v>
      </c>
      <c r="F7" s="324">
        <v>6</v>
      </c>
      <c r="G7" s="324">
        <v>7</v>
      </c>
      <c r="H7" s="324">
        <v>8</v>
      </c>
      <c r="I7" s="324">
        <v>9</v>
      </c>
      <c r="J7" s="324">
        <v>10</v>
      </c>
      <c r="K7" s="324">
        <v>11</v>
      </c>
      <c r="L7" s="324">
        <v>12</v>
      </c>
      <c r="M7" s="324">
        <v>13</v>
      </c>
      <c r="N7" s="325">
        <v>14</v>
      </c>
      <c r="O7" s="325">
        <v>15</v>
      </c>
      <c r="P7" s="328"/>
      <c r="Q7" s="371"/>
      <c r="R7" s="479"/>
      <c r="S7" s="479"/>
      <c r="T7" s="479"/>
    </row>
    <row r="8" spans="1:27" s="53" customFormat="1" ht="24.75" customHeight="1" x14ac:dyDescent="0.3">
      <c r="A8" s="1845" t="s">
        <v>113</v>
      </c>
      <c r="B8" s="1816" t="s">
        <v>103</v>
      </c>
      <c r="C8" s="1848"/>
      <c r="D8" s="1848"/>
      <c r="E8" s="1848"/>
      <c r="F8" s="1849"/>
      <c r="G8" s="808" t="s">
        <v>12</v>
      </c>
      <c r="H8" s="809">
        <f>H9+H10</f>
        <v>159192.91</v>
      </c>
      <c r="I8" s="809">
        <f t="shared" ref="I8:M8" si="0">I9+I10</f>
        <v>159192.91</v>
      </c>
      <c r="J8" s="809">
        <f t="shared" si="0"/>
        <v>0</v>
      </c>
      <c r="K8" s="809">
        <f t="shared" si="0"/>
        <v>0</v>
      </c>
      <c r="L8" s="809">
        <f t="shared" si="0"/>
        <v>0</v>
      </c>
      <c r="M8" s="809">
        <f t="shared" si="0"/>
        <v>0</v>
      </c>
      <c r="N8" s="1816"/>
      <c r="O8" s="1827"/>
      <c r="P8" s="1799" t="s">
        <v>1482</v>
      </c>
      <c r="Q8" s="368"/>
      <c r="R8" s="479"/>
      <c r="S8" s="479"/>
      <c r="T8" s="479"/>
    </row>
    <row r="9" spans="1:27" s="53" customFormat="1" ht="30" customHeight="1" x14ac:dyDescent="0.3">
      <c r="A9" s="1846"/>
      <c r="B9" s="1817"/>
      <c r="C9" s="1850"/>
      <c r="D9" s="1850"/>
      <c r="E9" s="1850"/>
      <c r="F9" s="1851"/>
      <c r="G9" s="808" t="s">
        <v>13</v>
      </c>
      <c r="H9" s="809">
        <f>I9+J9+K9+L9+M9</f>
        <v>152325.16</v>
      </c>
      <c r="I9" s="809">
        <f>I12</f>
        <v>152325.16</v>
      </c>
      <c r="J9" s="809">
        <f t="shared" ref="J9:M10" si="1">J12</f>
        <v>0</v>
      </c>
      <c r="K9" s="809">
        <f t="shared" si="1"/>
        <v>0</v>
      </c>
      <c r="L9" s="809">
        <f t="shared" si="1"/>
        <v>0</v>
      </c>
      <c r="M9" s="809">
        <f t="shared" si="1"/>
        <v>0</v>
      </c>
      <c r="N9" s="1817"/>
      <c r="O9" s="1828"/>
      <c r="P9" s="1799"/>
      <c r="Q9" s="368"/>
      <c r="R9" s="479"/>
      <c r="S9" s="479"/>
      <c r="T9" s="479"/>
    </row>
    <row r="10" spans="1:27" s="53" customFormat="1" ht="39.75" customHeight="1" x14ac:dyDescent="0.3">
      <c r="A10" s="1847"/>
      <c r="B10" s="1818"/>
      <c r="C10" s="1852"/>
      <c r="D10" s="1852"/>
      <c r="E10" s="1852"/>
      <c r="F10" s="1853"/>
      <c r="G10" s="807" t="s">
        <v>14</v>
      </c>
      <c r="H10" s="809">
        <f>I10+J10+K10+L10+M10</f>
        <v>6867.75</v>
      </c>
      <c r="I10" s="809">
        <f>I13</f>
        <v>6867.75</v>
      </c>
      <c r="J10" s="809">
        <f t="shared" si="1"/>
        <v>0</v>
      </c>
      <c r="K10" s="809">
        <f t="shared" si="1"/>
        <v>0</v>
      </c>
      <c r="L10" s="809">
        <f t="shared" si="1"/>
        <v>0</v>
      </c>
      <c r="M10" s="809">
        <f t="shared" si="1"/>
        <v>0</v>
      </c>
      <c r="N10" s="1818"/>
      <c r="O10" s="1829"/>
      <c r="P10" s="1799"/>
      <c r="Q10" s="368"/>
      <c r="R10" s="479"/>
      <c r="S10" s="479"/>
      <c r="T10" s="479"/>
    </row>
    <row r="11" spans="1:27" s="53" customFormat="1" ht="15" customHeight="1" x14ac:dyDescent="0.3">
      <c r="A11" s="1800" t="s">
        <v>104</v>
      </c>
      <c r="B11" s="1819" t="s">
        <v>237</v>
      </c>
      <c r="C11" s="1819" t="s">
        <v>238</v>
      </c>
      <c r="D11" s="1819" t="s">
        <v>239</v>
      </c>
      <c r="E11" s="1821">
        <v>193985.66</v>
      </c>
      <c r="F11" s="809">
        <f>F12+F13</f>
        <v>34792.74</v>
      </c>
      <c r="G11" s="808" t="s">
        <v>12</v>
      </c>
      <c r="H11" s="809">
        <f t="shared" ref="H11:M11" si="2">H12+H13</f>
        <v>159192.91</v>
      </c>
      <c r="I11" s="809">
        <f t="shared" si="2"/>
        <v>159192.91</v>
      </c>
      <c r="J11" s="809">
        <f t="shared" si="2"/>
        <v>0</v>
      </c>
      <c r="K11" s="809">
        <f t="shared" si="2"/>
        <v>0</v>
      </c>
      <c r="L11" s="809">
        <f t="shared" si="2"/>
        <v>0</v>
      </c>
      <c r="M11" s="809">
        <f t="shared" si="2"/>
        <v>0</v>
      </c>
      <c r="N11" s="1823"/>
      <c r="O11" s="1820" t="s">
        <v>16</v>
      </c>
      <c r="P11" s="1859"/>
      <c r="Q11" s="480"/>
      <c r="R11" s="479"/>
      <c r="S11" s="479"/>
      <c r="T11" s="479"/>
    </row>
    <row r="12" spans="1:27" s="53" customFormat="1" ht="27.75" customHeight="1" x14ac:dyDescent="0.3">
      <c r="A12" s="1800"/>
      <c r="B12" s="1819"/>
      <c r="C12" s="1819"/>
      <c r="D12" s="1819"/>
      <c r="E12" s="1821"/>
      <c r="F12" s="809">
        <f>4779.86+27975.63</f>
        <v>32755.49</v>
      </c>
      <c r="G12" s="808" t="s">
        <v>13</v>
      </c>
      <c r="H12" s="809">
        <f>I12+J12+K12+L12+M12</f>
        <v>152325.16</v>
      </c>
      <c r="I12" s="809">
        <f>116423.27+35901.89</f>
        <v>152325.16</v>
      </c>
      <c r="J12" s="809">
        <v>0</v>
      </c>
      <c r="K12" s="809">
        <v>0</v>
      </c>
      <c r="L12" s="809">
        <v>0</v>
      </c>
      <c r="M12" s="809">
        <v>0</v>
      </c>
      <c r="N12" s="1824"/>
      <c r="O12" s="1857"/>
      <c r="P12" s="1859"/>
      <c r="Q12" s="480"/>
      <c r="R12" s="479"/>
      <c r="S12" s="479"/>
      <c r="T12" s="479"/>
      <c r="W12" s="53">
        <v>1</v>
      </c>
    </row>
    <row r="13" spans="1:27" s="53" customFormat="1" ht="39.75" customHeight="1" x14ac:dyDescent="0.3">
      <c r="A13" s="1800"/>
      <c r="B13" s="1820"/>
      <c r="C13" s="1820"/>
      <c r="D13" s="1820"/>
      <c r="E13" s="1822"/>
      <c r="F13" s="810">
        <f>251.57+1785.68</f>
        <v>2037.25</v>
      </c>
      <c r="G13" s="807" t="s">
        <v>14</v>
      </c>
      <c r="H13" s="809">
        <f>I13+J13+K13+L13+M13</f>
        <v>6867.75</v>
      </c>
      <c r="I13" s="809">
        <f>4576.14+2291.61</f>
        <v>6867.75</v>
      </c>
      <c r="J13" s="809">
        <v>0</v>
      </c>
      <c r="K13" s="809">
        <v>0</v>
      </c>
      <c r="L13" s="809">
        <v>0</v>
      </c>
      <c r="M13" s="809">
        <v>0</v>
      </c>
      <c r="N13" s="1825"/>
      <c r="O13" s="1858"/>
      <c r="P13" s="1859"/>
      <c r="Q13" s="480"/>
      <c r="R13" s="479"/>
      <c r="S13" s="479"/>
      <c r="T13" s="479"/>
    </row>
    <row r="14" spans="1:27" s="482" customFormat="1" ht="19.5" customHeight="1" x14ac:dyDescent="0.3">
      <c r="A14" s="1845" t="s">
        <v>114</v>
      </c>
      <c r="B14" s="1807" t="s">
        <v>132</v>
      </c>
      <c r="C14" s="1808"/>
      <c r="D14" s="1808"/>
      <c r="E14" s="1808"/>
      <c r="F14" s="1809"/>
      <c r="G14" s="808" t="s">
        <v>12</v>
      </c>
      <c r="H14" s="809">
        <f>H15+H16</f>
        <v>142569.45000000001</v>
      </c>
      <c r="I14" s="809">
        <f t="shared" ref="I14:M14" si="3">I15+I16</f>
        <v>127092.85</v>
      </c>
      <c r="J14" s="809">
        <f t="shared" si="3"/>
        <v>15476.6</v>
      </c>
      <c r="K14" s="809">
        <f t="shared" si="3"/>
        <v>0</v>
      </c>
      <c r="L14" s="809">
        <f t="shared" si="3"/>
        <v>0</v>
      </c>
      <c r="M14" s="809">
        <f t="shared" si="3"/>
        <v>0</v>
      </c>
      <c r="N14" s="1816"/>
      <c r="O14" s="1827"/>
      <c r="P14" s="1799" t="s">
        <v>1483</v>
      </c>
      <c r="Q14" s="368"/>
      <c r="R14" s="481"/>
      <c r="S14" s="481"/>
      <c r="T14" s="481"/>
    </row>
    <row r="15" spans="1:27" s="482" customFormat="1" ht="24" customHeight="1" x14ac:dyDescent="0.3">
      <c r="A15" s="1846"/>
      <c r="B15" s="1810"/>
      <c r="C15" s="1811"/>
      <c r="D15" s="1811"/>
      <c r="E15" s="1811"/>
      <c r="F15" s="1812"/>
      <c r="G15" s="808" t="s">
        <v>13</v>
      </c>
      <c r="H15" s="315">
        <f>I15+J15+K15+L15+M15</f>
        <v>128092.92</v>
      </c>
      <c r="I15" s="809">
        <f>I18</f>
        <v>114163.98</v>
      </c>
      <c r="J15" s="809">
        <f t="shared" ref="J15:M16" si="4">J18</f>
        <v>13928.94</v>
      </c>
      <c r="K15" s="809">
        <f t="shared" si="4"/>
        <v>0</v>
      </c>
      <c r="L15" s="809">
        <f t="shared" si="4"/>
        <v>0</v>
      </c>
      <c r="M15" s="809">
        <f t="shared" si="4"/>
        <v>0</v>
      </c>
      <c r="N15" s="1817"/>
      <c r="O15" s="1828"/>
      <c r="P15" s="1799"/>
      <c r="Q15" s="368"/>
      <c r="R15" s="481"/>
      <c r="S15" s="481"/>
      <c r="T15" s="481"/>
    </row>
    <row r="16" spans="1:27" s="482" customFormat="1" ht="49.5" customHeight="1" x14ac:dyDescent="0.3">
      <c r="A16" s="1847"/>
      <c r="B16" s="1813"/>
      <c r="C16" s="1814"/>
      <c r="D16" s="1814"/>
      <c r="E16" s="1814"/>
      <c r="F16" s="1815"/>
      <c r="G16" s="807" t="s">
        <v>14</v>
      </c>
      <c r="H16" s="315">
        <f>I16+J16+K16+L16+M16</f>
        <v>14476.53</v>
      </c>
      <c r="I16" s="809">
        <f>I19</f>
        <v>12928.87</v>
      </c>
      <c r="J16" s="809">
        <f t="shared" si="4"/>
        <v>1547.66</v>
      </c>
      <c r="K16" s="809">
        <f t="shared" si="4"/>
        <v>0</v>
      </c>
      <c r="L16" s="809">
        <f t="shared" si="4"/>
        <v>0</v>
      </c>
      <c r="M16" s="809">
        <f t="shared" si="4"/>
        <v>0</v>
      </c>
      <c r="N16" s="1818"/>
      <c r="O16" s="1829"/>
      <c r="P16" s="1799"/>
      <c r="Q16" s="368"/>
      <c r="R16" s="481"/>
      <c r="S16" s="481"/>
      <c r="T16" s="481"/>
    </row>
    <row r="17" spans="1:24" s="53" customFormat="1" ht="18" customHeight="1" x14ac:dyDescent="0.3">
      <c r="A17" s="1800" t="s">
        <v>107</v>
      </c>
      <c r="B17" s="1800" t="s">
        <v>1368</v>
      </c>
      <c r="C17" s="1819" t="s">
        <v>148</v>
      </c>
      <c r="D17" s="1819" t="s">
        <v>133</v>
      </c>
      <c r="E17" s="1821">
        <v>181104.56</v>
      </c>
      <c r="F17" s="809">
        <f>F18+F19</f>
        <v>38535.11</v>
      </c>
      <c r="G17" s="808" t="s">
        <v>12</v>
      </c>
      <c r="H17" s="809">
        <f>H18+H19</f>
        <v>142569.45000000001</v>
      </c>
      <c r="I17" s="809">
        <f t="shared" ref="I17:M17" si="5">I18+I19</f>
        <v>127092.85</v>
      </c>
      <c r="J17" s="809">
        <f t="shared" si="5"/>
        <v>15476.6</v>
      </c>
      <c r="K17" s="809">
        <f t="shared" si="5"/>
        <v>0</v>
      </c>
      <c r="L17" s="809">
        <f t="shared" si="5"/>
        <v>0</v>
      </c>
      <c r="M17" s="809">
        <f t="shared" si="5"/>
        <v>0</v>
      </c>
      <c r="N17" s="1823"/>
      <c r="O17" s="1820" t="s">
        <v>16</v>
      </c>
      <c r="P17" s="1862"/>
      <c r="Q17" s="483"/>
      <c r="R17" s="479"/>
      <c r="S17" s="479"/>
      <c r="T17" s="479"/>
    </row>
    <row r="18" spans="1:24" s="53" customFormat="1" ht="23.25" customHeight="1" x14ac:dyDescent="0.3">
      <c r="A18" s="1800"/>
      <c r="B18" s="1800"/>
      <c r="C18" s="1819"/>
      <c r="D18" s="1819"/>
      <c r="E18" s="1821"/>
      <c r="F18" s="809">
        <v>34901.18</v>
      </c>
      <c r="G18" s="808" t="s">
        <v>13</v>
      </c>
      <c r="H18" s="809">
        <f>I18+J18+K18+L18+M18</f>
        <v>128092.92</v>
      </c>
      <c r="I18" s="809">
        <f>95882.4+18281.58</f>
        <v>114163.98</v>
      </c>
      <c r="J18" s="809">
        <v>13928.94</v>
      </c>
      <c r="K18" s="809">
        <v>0</v>
      </c>
      <c r="L18" s="809">
        <v>0</v>
      </c>
      <c r="M18" s="809">
        <v>0</v>
      </c>
      <c r="N18" s="1824"/>
      <c r="O18" s="1857"/>
      <c r="P18" s="1862"/>
      <c r="Q18" s="483"/>
      <c r="R18" s="479"/>
      <c r="S18" s="479"/>
      <c r="T18" s="479"/>
      <c r="X18" s="53">
        <v>1</v>
      </c>
    </row>
    <row r="19" spans="1:24" s="53" customFormat="1" ht="48.75" customHeight="1" x14ac:dyDescent="0.3">
      <c r="A19" s="1800"/>
      <c r="B19" s="1800"/>
      <c r="C19" s="1819"/>
      <c r="D19" s="1819"/>
      <c r="E19" s="1821"/>
      <c r="F19" s="315">
        <v>3633.93</v>
      </c>
      <c r="G19" s="807" t="s">
        <v>14</v>
      </c>
      <c r="H19" s="809">
        <f>I19+J19+K19+L19+M19</f>
        <v>14476.53</v>
      </c>
      <c r="I19" s="809">
        <f>10653.6+2275.27</f>
        <v>12928.87</v>
      </c>
      <c r="J19" s="809">
        <v>1547.66</v>
      </c>
      <c r="K19" s="809">
        <v>0</v>
      </c>
      <c r="L19" s="809">
        <v>0</v>
      </c>
      <c r="M19" s="809">
        <v>0</v>
      </c>
      <c r="N19" s="1825"/>
      <c r="O19" s="1858"/>
      <c r="P19" s="1862"/>
      <c r="Q19" s="483"/>
      <c r="R19" s="479"/>
      <c r="S19" s="479"/>
      <c r="T19" s="479"/>
    </row>
    <row r="20" spans="1:24" s="53" customFormat="1" ht="15" customHeight="1" x14ac:dyDescent="0.3">
      <c r="A20" s="1800" t="s">
        <v>66</v>
      </c>
      <c r="B20" s="1807" t="s">
        <v>151</v>
      </c>
      <c r="C20" s="1808"/>
      <c r="D20" s="1808"/>
      <c r="E20" s="1808"/>
      <c r="F20" s="1809"/>
      <c r="G20" s="808" t="s">
        <v>12</v>
      </c>
      <c r="H20" s="809">
        <f>H21+H22</f>
        <v>55704.43</v>
      </c>
      <c r="I20" s="809">
        <f t="shared" ref="I20:M20" si="6">I21+I22</f>
        <v>55704.43</v>
      </c>
      <c r="J20" s="809">
        <f t="shared" si="6"/>
        <v>0</v>
      </c>
      <c r="K20" s="809">
        <f t="shared" si="6"/>
        <v>0</v>
      </c>
      <c r="L20" s="809">
        <f t="shared" si="6"/>
        <v>0</v>
      </c>
      <c r="M20" s="809">
        <f t="shared" si="6"/>
        <v>0</v>
      </c>
      <c r="N20" s="1816"/>
      <c r="O20" s="1827"/>
      <c r="P20" s="1799" t="s">
        <v>1484</v>
      </c>
      <c r="Q20" s="368"/>
      <c r="R20" s="479"/>
      <c r="S20" s="479"/>
      <c r="T20" s="479"/>
    </row>
    <row r="21" spans="1:24" s="53" customFormat="1" ht="24" customHeight="1" x14ac:dyDescent="0.3">
      <c r="A21" s="1800"/>
      <c r="B21" s="1810"/>
      <c r="C21" s="1811"/>
      <c r="D21" s="1811"/>
      <c r="E21" s="1811"/>
      <c r="F21" s="1812"/>
      <c r="G21" s="808" t="s">
        <v>13</v>
      </c>
      <c r="H21" s="809">
        <f>I21+J21+K21+L21+M21</f>
        <v>50133.98</v>
      </c>
      <c r="I21" s="809">
        <f>I24</f>
        <v>50133.98</v>
      </c>
      <c r="J21" s="809">
        <f t="shared" ref="J21:M22" si="7">J24</f>
        <v>0</v>
      </c>
      <c r="K21" s="809">
        <f t="shared" si="7"/>
        <v>0</v>
      </c>
      <c r="L21" s="809">
        <f t="shared" si="7"/>
        <v>0</v>
      </c>
      <c r="M21" s="809">
        <f t="shared" si="7"/>
        <v>0</v>
      </c>
      <c r="N21" s="1817"/>
      <c r="O21" s="1828"/>
      <c r="P21" s="1799"/>
      <c r="Q21" s="368"/>
      <c r="R21" s="479"/>
      <c r="S21" s="479"/>
      <c r="T21" s="479"/>
    </row>
    <row r="22" spans="1:24" s="53" customFormat="1" ht="41.25" customHeight="1" x14ac:dyDescent="0.3">
      <c r="A22" s="1800"/>
      <c r="B22" s="1813"/>
      <c r="C22" s="1814"/>
      <c r="D22" s="1814"/>
      <c r="E22" s="1814"/>
      <c r="F22" s="1815"/>
      <c r="G22" s="807" t="s">
        <v>14</v>
      </c>
      <c r="H22" s="809">
        <f>I22+J22+K22+L22+M22</f>
        <v>5570.45</v>
      </c>
      <c r="I22" s="809">
        <f>I25</f>
        <v>5570.45</v>
      </c>
      <c r="J22" s="809">
        <f t="shared" si="7"/>
        <v>0</v>
      </c>
      <c r="K22" s="809">
        <f t="shared" si="7"/>
        <v>0</v>
      </c>
      <c r="L22" s="809">
        <f t="shared" si="7"/>
        <v>0</v>
      </c>
      <c r="M22" s="809">
        <f t="shared" si="7"/>
        <v>0</v>
      </c>
      <c r="N22" s="1818"/>
      <c r="O22" s="1829"/>
      <c r="P22" s="1799"/>
      <c r="Q22" s="368"/>
      <c r="R22" s="479"/>
      <c r="S22" s="479"/>
      <c r="T22" s="479"/>
    </row>
    <row r="23" spans="1:24" s="53" customFormat="1" ht="17.25" customHeight="1" x14ac:dyDescent="0.3">
      <c r="A23" s="1800" t="s">
        <v>98</v>
      </c>
      <c r="B23" s="1861" t="s">
        <v>1709</v>
      </c>
      <c r="C23" s="1826">
        <v>2018</v>
      </c>
      <c r="D23" s="1819" t="s">
        <v>158</v>
      </c>
      <c r="E23" s="1821">
        <v>55704.43</v>
      </c>
      <c r="F23" s="809">
        <f>F24+F25</f>
        <v>0</v>
      </c>
      <c r="G23" s="808" t="s">
        <v>12</v>
      </c>
      <c r="H23" s="809">
        <f>H24+H25</f>
        <v>55704.43</v>
      </c>
      <c r="I23" s="809">
        <f t="shared" ref="I23:M23" si="8">I24+I25</f>
        <v>55704.43</v>
      </c>
      <c r="J23" s="809">
        <f t="shared" si="8"/>
        <v>0</v>
      </c>
      <c r="K23" s="809">
        <f t="shared" si="8"/>
        <v>0</v>
      </c>
      <c r="L23" s="809">
        <f t="shared" si="8"/>
        <v>0</v>
      </c>
      <c r="M23" s="809">
        <f t="shared" si="8"/>
        <v>0</v>
      </c>
      <c r="N23" s="1832"/>
      <c r="O23" s="1820" t="s">
        <v>16</v>
      </c>
      <c r="P23" s="1860"/>
      <c r="Q23" s="484"/>
      <c r="R23" s="479"/>
      <c r="S23" s="479"/>
      <c r="T23" s="479"/>
    </row>
    <row r="24" spans="1:24" s="53" customFormat="1" ht="24.75" customHeight="1" x14ac:dyDescent="0.3">
      <c r="A24" s="1800"/>
      <c r="B24" s="1861"/>
      <c r="C24" s="1826"/>
      <c r="D24" s="1819"/>
      <c r="E24" s="1821"/>
      <c r="F24" s="809">
        <v>0</v>
      </c>
      <c r="G24" s="808" t="s">
        <v>13</v>
      </c>
      <c r="H24" s="809">
        <f>I24+J24+K24+L24+M24</f>
        <v>50133.98</v>
      </c>
      <c r="I24" s="809">
        <f>45576+4557.98</f>
        <v>50133.98</v>
      </c>
      <c r="J24" s="809">
        <v>0</v>
      </c>
      <c r="K24" s="809">
        <v>0</v>
      </c>
      <c r="L24" s="809">
        <v>0</v>
      </c>
      <c r="M24" s="809">
        <v>0</v>
      </c>
      <c r="N24" s="1833"/>
      <c r="O24" s="1857"/>
      <c r="P24" s="1860"/>
      <c r="Q24" s="484"/>
      <c r="R24" s="479"/>
      <c r="S24" s="479"/>
      <c r="T24" s="479"/>
      <c r="W24" s="53">
        <v>1</v>
      </c>
    </row>
    <row r="25" spans="1:24" s="53" customFormat="1" ht="34.5" customHeight="1" x14ac:dyDescent="0.3">
      <c r="A25" s="1800"/>
      <c r="B25" s="1861"/>
      <c r="C25" s="1826"/>
      <c r="D25" s="1819"/>
      <c r="E25" s="1821"/>
      <c r="F25" s="809">
        <v>0</v>
      </c>
      <c r="G25" s="807" t="s">
        <v>14</v>
      </c>
      <c r="H25" s="809">
        <f>I25+J25+K25+L25+M25</f>
        <v>5570.45</v>
      </c>
      <c r="I25" s="809">
        <f>5064+506.45</f>
        <v>5570.45</v>
      </c>
      <c r="J25" s="809">
        <v>0</v>
      </c>
      <c r="K25" s="809">
        <v>0</v>
      </c>
      <c r="L25" s="809">
        <v>0</v>
      </c>
      <c r="M25" s="809">
        <v>0</v>
      </c>
      <c r="N25" s="1834"/>
      <c r="O25" s="1857"/>
      <c r="P25" s="1860"/>
      <c r="Q25" s="484"/>
      <c r="R25" s="479"/>
      <c r="S25" s="479"/>
      <c r="T25" s="479"/>
    </row>
    <row r="26" spans="1:24" s="53" customFormat="1" ht="16.5" customHeight="1" x14ac:dyDescent="0.3">
      <c r="A26" s="1800"/>
      <c r="B26" s="1800" t="s">
        <v>240</v>
      </c>
      <c r="C26" s="1826">
        <v>2018</v>
      </c>
      <c r="D26" s="1827"/>
      <c r="E26" s="1822">
        <v>5064.43</v>
      </c>
      <c r="F26" s="809">
        <f>F27+F28</f>
        <v>0</v>
      </c>
      <c r="G26" s="808" t="s">
        <v>12</v>
      </c>
      <c r="H26" s="809">
        <f>H27+H28</f>
        <v>5064.43</v>
      </c>
      <c r="I26" s="809">
        <f t="shared" ref="I26:M26" si="9">I27+I28</f>
        <v>5064.43</v>
      </c>
      <c r="J26" s="809">
        <f t="shared" si="9"/>
        <v>0</v>
      </c>
      <c r="K26" s="809">
        <f t="shared" si="9"/>
        <v>0</v>
      </c>
      <c r="L26" s="809">
        <f t="shared" si="9"/>
        <v>0</v>
      </c>
      <c r="M26" s="809">
        <f t="shared" si="9"/>
        <v>0</v>
      </c>
      <c r="N26" s="1832"/>
      <c r="O26" s="1857"/>
      <c r="P26" s="1860"/>
      <c r="Q26" s="484"/>
      <c r="R26" s="479"/>
      <c r="S26" s="479"/>
      <c r="T26" s="479"/>
    </row>
    <row r="27" spans="1:24" s="53" customFormat="1" ht="25.5" customHeight="1" x14ac:dyDescent="0.3">
      <c r="A27" s="1800"/>
      <c r="B27" s="1800"/>
      <c r="C27" s="1826"/>
      <c r="D27" s="1828"/>
      <c r="E27" s="1830"/>
      <c r="F27" s="809">
        <v>0</v>
      </c>
      <c r="G27" s="808" t="s">
        <v>13</v>
      </c>
      <c r="H27" s="809">
        <f>I27+J27+K27+L27+M27</f>
        <v>4557.9799999999996</v>
      </c>
      <c r="I27" s="809">
        <v>4557.9799999999996</v>
      </c>
      <c r="J27" s="809">
        <v>0</v>
      </c>
      <c r="K27" s="809">
        <v>0</v>
      </c>
      <c r="L27" s="809">
        <v>0</v>
      </c>
      <c r="M27" s="809">
        <v>0</v>
      </c>
      <c r="N27" s="1833"/>
      <c r="O27" s="1857"/>
      <c r="P27" s="1860"/>
      <c r="Q27" s="484"/>
      <c r="R27" s="479"/>
      <c r="S27" s="479"/>
      <c r="T27" s="479"/>
    </row>
    <row r="28" spans="1:24" s="53" customFormat="1" ht="36.75" customHeight="1" x14ac:dyDescent="0.3">
      <c r="A28" s="1800"/>
      <c r="B28" s="1800"/>
      <c r="C28" s="1826"/>
      <c r="D28" s="1829"/>
      <c r="E28" s="1831"/>
      <c r="F28" s="809">
        <v>0</v>
      </c>
      <c r="G28" s="807" t="s">
        <v>14</v>
      </c>
      <c r="H28" s="809">
        <f>I28+J28+K28+L28+M28</f>
        <v>506.45</v>
      </c>
      <c r="I28" s="809">
        <v>506.45</v>
      </c>
      <c r="J28" s="809">
        <v>0</v>
      </c>
      <c r="K28" s="809">
        <v>0</v>
      </c>
      <c r="L28" s="809">
        <v>0</v>
      </c>
      <c r="M28" s="809">
        <v>0</v>
      </c>
      <c r="N28" s="1834"/>
      <c r="O28" s="1858"/>
      <c r="P28" s="1860"/>
      <c r="Q28" s="484"/>
      <c r="R28" s="479"/>
      <c r="S28" s="479"/>
      <c r="T28" s="479"/>
    </row>
    <row r="29" spans="1:24" s="53" customFormat="1" ht="13.5" customHeight="1" x14ac:dyDescent="0.3">
      <c r="A29" s="1864" t="s">
        <v>99</v>
      </c>
      <c r="B29" s="1807" t="s">
        <v>1539</v>
      </c>
      <c r="C29" s="1808"/>
      <c r="D29" s="1808"/>
      <c r="E29" s="1808"/>
      <c r="F29" s="1809"/>
      <c r="G29" s="808" t="s">
        <v>12</v>
      </c>
      <c r="H29" s="809">
        <f>H30+H31</f>
        <v>88834</v>
      </c>
      <c r="I29" s="809">
        <f>I30+I31</f>
        <v>44417</v>
      </c>
      <c r="J29" s="809">
        <f t="shared" ref="J29:M29" si="10">J30+J31</f>
        <v>44417</v>
      </c>
      <c r="K29" s="809">
        <f t="shared" si="10"/>
        <v>0</v>
      </c>
      <c r="L29" s="809">
        <f t="shared" si="10"/>
        <v>0</v>
      </c>
      <c r="M29" s="809">
        <f t="shared" si="10"/>
        <v>0</v>
      </c>
      <c r="N29" s="1816"/>
      <c r="O29" s="1827"/>
      <c r="P29" s="1799" t="s">
        <v>1485</v>
      </c>
      <c r="Q29" s="368"/>
      <c r="R29" s="479"/>
      <c r="S29" s="479"/>
      <c r="T29" s="479"/>
    </row>
    <row r="30" spans="1:24" s="53" customFormat="1" ht="23.25" customHeight="1" x14ac:dyDescent="0.3">
      <c r="A30" s="1864"/>
      <c r="B30" s="1810"/>
      <c r="C30" s="1811"/>
      <c r="D30" s="1811"/>
      <c r="E30" s="1811"/>
      <c r="F30" s="1812"/>
      <c r="G30" s="808" t="s">
        <v>13</v>
      </c>
      <c r="H30" s="809">
        <f>I30+J30+K30+L30+L30+M30</f>
        <v>79950.600000000006</v>
      </c>
      <c r="I30" s="809">
        <f>I33</f>
        <v>39975.300000000003</v>
      </c>
      <c r="J30" s="809">
        <f t="shared" ref="J30:M31" si="11">J33</f>
        <v>39975.300000000003</v>
      </c>
      <c r="K30" s="809">
        <f t="shared" si="11"/>
        <v>0</v>
      </c>
      <c r="L30" s="809">
        <f t="shared" si="11"/>
        <v>0</v>
      </c>
      <c r="M30" s="809">
        <f t="shared" si="11"/>
        <v>0</v>
      </c>
      <c r="N30" s="1817"/>
      <c r="O30" s="1828"/>
      <c r="P30" s="1799"/>
      <c r="Q30" s="368"/>
      <c r="R30" s="479"/>
      <c r="S30" s="479"/>
      <c r="T30" s="479"/>
    </row>
    <row r="31" spans="1:24" s="53" customFormat="1" ht="49.5" customHeight="1" x14ac:dyDescent="0.3">
      <c r="A31" s="1864"/>
      <c r="B31" s="1813"/>
      <c r="C31" s="1814"/>
      <c r="D31" s="1814"/>
      <c r="E31" s="1814"/>
      <c r="F31" s="1815"/>
      <c r="G31" s="807" t="s">
        <v>14</v>
      </c>
      <c r="H31" s="809">
        <f>I31+J31+K31+L31+L31+M31</f>
        <v>8883.4</v>
      </c>
      <c r="I31" s="809">
        <f>I34</f>
        <v>4441.7</v>
      </c>
      <c r="J31" s="809">
        <f t="shared" si="11"/>
        <v>4441.7</v>
      </c>
      <c r="K31" s="809">
        <f t="shared" si="11"/>
        <v>0</v>
      </c>
      <c r="L31" s="809">
        <f t="shared" si="11"/>
        <v>0</v>
      </c>
      <c r="M31" s="809">
        <f t="shared" si="11"/>
        <v>0</v>
      </c>
      <c r="N31" s="1818"/>
      <c r="O31" s="1829"/>
      <c r="P31" s="1799"/>
      <c r="Q31" s="368"/>
      <c r="R31" s="479"/>
      <c r="S31" s="479"/>
      <c r="T31" s="479"/>
    </row>
    <row r="32" spans="1:24" s="53" customFormat="1" ht="15.75" customHeight="1" x14ac:dyDescent="0.3">
      <c r="A32" s="1865" t="s">
        <v>143</v>
      </c>
      <c r="B32" s="1868" t="s">
        <v>1712</v>
      </c>
      <c r="C32" s="1820" t="s">
        <v>208</v>
      </c>
      <c r="D32" s="1820" t="s">
        <v>163</v>
      </c>
      <c r="E32" s="1871">
        <v>88834</v>
      </c>
      <c r="F32" s="315">
        <f>F33+F34</f>
        <v>0</v>
      </c>
      <c r="G32" s="808" t="s">
        <v>12</v>
      </c>
      <c r="H32" s="809">
        <f>H33+H34</f>
        <v>88834</v>
      </c>
      <c r="I32" s="809">
        <f t="shared" ref="I32:M32" si="12">I33+I34</f>
        <v>44417</v>
      </c>
      <c r="J32" s="809">
        <f t="shared" si="12"/>
        <v>44417</v>
      </c>
      <c r="K32" s="809">
        <f t="shared" si="12"/>
        <v>0</v>
      </c>
      <c r="L32" s="809">
        <f t="shared" si="12"/>
        <v>0</v>
      </c>
      <c r="M32" s="809">
        <f t="shared" si="12"/>
        <v>0</v>
      </c>
      <c r="N32" s="1872"/>
      <c r="O32" s="1820" t="s">
        <v>16</v>
      </c>
      <c r="P32" s="1863"/>
      <c r="Q32" s="485"/>
      <c r="R32" s="479"/>
      <c r="S32" s="479"/>
      <c r="T32" s="479"/>
    </row>
    <row r="33" spans="1:24" s="53" customFormat="1" ht="29.25" customHeight="1" x14ac:dyDescent="0.3">
      <c r="A33" s="1866"/>
      <c r="B33" s="1869"/>
      <c r="C33" s="1857"/>
      <c r="D33" s="1857"/>
      <c r="E33" s="1828"/>
      <c r="F33" s="315">
        <v>0</v>
      </c>
      <c r="G33" s="808" t="s">
        <v>13</v>
      </c>
      <c r="H33" s="809">
        <f>I33+J33+K33+L33+M33</f>
        <v>79950.600000000006</v>
      </c>
      <c r="I33" s="809">
        <v>39975.300000000003</v>
      </c>
      <c r="J33" s="809">
        <v>39975.300000000003</v>
      </c>
      <c r="K33" s="809">
        <v>0</v>
      </c>
      <c r="L33" s="809">
        <v>0</v>
      </c>
      <c r="M33" s="809">
        <v>0</v>
      </c>
      <c r="N33" s="1872"/>
      <c r="O33" s="1857"/>
      <c r="P33" s="1863"/>
      <c r="Q33" s="485"/>
      <c r="R33" s="479"/>
      <c r="S33" s="479"/>
      <c r="T33" s="479"/>
      <c r="X33" s="53">
        <v>1</v>
      </c>
    </row>
    <row r="34" spans="1:24" s="53" customFormat="1" ht="36" customHeight="1" x14ac:dyDescent="0.3">
      <c r="A34" s="1867"/>
      <c r="B34" s="1870"/>
      <c r="C34" s="1858"/>
      <c r="D34" s="1858"/>
      <c r="E34" s="1829"/>
      <c r="F34" s="315">
        <v>0</v>
      </c>
      <c r="G34" s="807" t="s">
        <v>14</v>
      </c>
      <c r="H34" s="809">
        <f>I34+J34+K34+L34+M34</f>
        <v>8883.4</v>
      </c>
      <c r="I34" s="809">
        <v>4441.7</v>
      </c>
      <c r="J34" s="809">
        <v>4441.7</v>
      </c>
      <c r="K34" s="809">
        <v>0</v>
      </c>
      <c r="L34" s="809">
        <v>0</v>
      </c>
      <c r="M34" s="809">
        <v>0</v>
      </c>
      <c r="N34" s="1873"/>
      <c r="O34" s="1858"/>
      <c r="P34" s="1863"/>
      <c r="Q34" s="485"/>
      <c r="R34" s="479"/>
      <c r="S34" s="479"/>
      <c r="T34" s="479"/>
    </row>
    <row r="35" spans="1:24" s="53" customFormat="1" ht="18.75" customHeight="1" x14ac:dyDescent="0.3">
      <c r="A35" s="1864" t="s">
        <v>126</v>
      </c>
      <c r="B35" s="1807" t="s">
        <v>86</v>
      </c>
      <c r="C35" s="1808"/>
      <c r="D35" s="1808"/>
      <c r="E35" s="1808"/>
      <c r="F35" s="1809"/>
      <c r="G35" s="808" t="s">
        <v>12</v>
      </c>
      <c r="H35" s="809">
        <f>H36+H37</f>
        <v>132393.45000000001</v>
      </c>
      <c r="I35" s="809">
        <f t="shared" ref="I35:M35" si="13">I36+I37</f>
        <v>132393.45000000001</v>
      </c>
      <c r="J35" s="809">
        <f t="shared" si="13"/>
        <v>0</v>
      </c>
      <c r="K35" s="809">
        <f t="shared" si="13"/>
        <v>0</v>
      </c>
      <c r="L35" s="809">
        <f t="shared" si="13"/>
        <v>0</v>
      </c>
      <c r="M35" s="809">
        <f t="shared" si="13"/>
        <v>0</v>
      </c>
      <c r="N35" s="1816"/>
      <c r="O35" s="1827"/>
      <c r="P35" s="1799" t="s">
        <v>1486</v>
      </c>
      <c r="Q35" s="368"/>
      <c r="R35" s="479"/>
      <c r="S35" s="479"/>
      <c r="T35" s="479"/>
    </row>
    <row r="36" spans="1:24" s="53" customFormat="1" ht="27.75" customHeight="1" x14ac:dyDescent="0.3">
      <c r="A36" s="1864"/>
      <c r="B36" s="1810"/>
      <c r="C36" s="1811"/>
      <c r="D36" s="1811"/>
      <c r="E36" s="1811"/>
      <c r="F36" s="1812"/>
      <c r="G36" s="808" t="s">
        <v>13</v>
      </c>
      <c r="H36" s="809">
        <f>I36+J36+K36+L36+L36+M36</f>
        <v>94379.49</v>
      </c>
      <c r="I36" s="809">
        <f t="shared" ref="I36:M37" si="14">I39</f>
        <v>94379.49</v>
      </c>
      <c r="J36" s="809">
        <f t="shared" si="14"/>
        <v>0</v>
      </c>
      <c r="K36" s="809">
        <f t="shared" si="14"/>
        <v>0</v>
      </c>
      <c r="L36" s="809">
        <f t="shared" si="14"/>
        <v>0</v>
      </c>
      <c r="M36" s="809">
        <f t="shared" si="14"/>
        <v>0</v>
      </c>
      <c r="N36" s="1817"/>
      <c r="O36" s="1828"/>
      <c r="P36" s="1799"/>
      <c r="Q36" s="368"/>
      <c r="R36" s="479"/>
      <c r="S36" s="479"/>
      <c r="T36" s="479"/>
    </row>
    <row r="37" spans="1:24" s="53" customFormat="1" ht="44.25" customHeight="1" x14ac:dyDescent="0.3">
      <c r="A37" s="1864"/>
      <c r="B37" s="1813"/>
      <c r="C37" s="1814"/>
      <c r="D37" s="1814"/>
      <c r="E37" s="1814"/>
      <c r="F37" s="1815"/>
      <c r="G37" s="807" t="s">
        <v>14</v>
      </c>
      <c r="H37" s="809">
        <f>I37+J37+K37+L37+L37+M37</f>
        <v>38013.96</v>
      </c>
      <c r="I37" s="809">
        <f t="shared" si="14"/>
        <v>38013.96</v>
      </c>
      <c r="J37" s="809">
        <f t="shared" si="14"/>
        <v>0</v>
      </c>
      <c r="K37" s="809">
        <f t="shared" si="14"/>
        <v>0</v>
      </c>
      <c r="L37" s="809">
        <f t="shared" si="14"/>
        <v>0</v>
      </c>
      <c r="M37" s="809">
        <f t="shared" si="14"/>
        <v>0</v>
      </c>
      <c r="N37" s="1818"/>
      <c r="O37" s="1829"/>
      <c r="P37" s="1799"/>
      <c r="Q37" s="368"/>
      <c r="R37" s="479"/>
      <c r="S37" s="479"/>
      <c r="T37" s="479"/>
    </row>
    <row r="38" spans="1:24" s="53" customFormat="1" ht="15.75" customHeight="1" x14ac:dyDescent="0.3">
      <c r="A38" s="1865" t="s">
        <v>1254</v>
      </c>
      <c r="B38" s="1845" t="s">
        <v>241</v>
      </c>
      <c r="C38" s="1820">
        <v>2018</v>
      </c>
      <c r="D38" s="1820" t="s">
        <v>740</v>
      </c>
      <c r="E38" s="1871">
        <v>132393.45000000001</v>
      </c>
      <c r="F38" s="315">
        <f>F39+F40</f>
        <v>0</v>
      </c>
      <c r="G38" s="808" t="s">
        <v>12</v>
      </c>
      <c r="H38" s="809">
        <f>H39+H40</f>
        <v>132393.45000000001</v>
      </c>
      <c r="I38" s="809">
        <f t="shared" ref="I38:M38" si="15">I39+I40</f>
        <v>132393.45000000001</v>
      </c>
      <c r="J38" s="809">
        <f t="shared" si="15"/>
        <v>0</v>
      </c>
      <c r="K38" s="809">
        <f t="shared" si="15"/>
        <v>0</v>
      </c>
      <c r="L38" s="809">
        <f t="shared" si="15"/>
        <v>0</v>
      </c>
      <c r="M38" s="809">
        <f t="shared" si="15"/>
        <v>0</v>
      </c>
      <c r="N38" s="1874"/>
      <c r="O38" s="1820" t="s">
        <v>16</v>
      </c>
      <c r="P38" s="1860"/>
      <c r="Q38" s="484"/>
      <c r="R38" s="479"/>
      <c r="S38" s="479"/>
      <c r="T38" s="479"/>
    </row>
    <row r="39" spans="1:24" s="53" customFormat="1" ht="24.75" customHeight="1" x14ac:dyDescent="0.3">
      <c r="A39" s="1866"/>
      <c r="B39" s="1846"/>
      <c r="C39" s="1857"/>
      <c r="D39" s="1857"/>
      <c r="E39" s="1828"/>
      <c r="F39" s="315">
        <v>0</v>
      </c>
      <c r="G39" s="808" t="s">
        <v>13</v>
      </c>
      <c r="H39" s="809">
        <f>I39+J39+K39+L39+M39</f>
        <v>94379.49</v>
      </c>
      <c r="I39" s="809">
        <v>94379.49</v>
      </c>
      <c r="J39" s="809">
        <v>0</v>
      </c>
      <c r="K39" s="809">
        <v>0</v>
      </c>
      <c r="L39" s="809">
        <v>0</v>
      </c>
      <c r="M39" s="809">
        <v>0</v>
      </c>
      <c r="N39" s="1874"/>
      <c r="O39" s="1857"/>
      <c r="P39" s="1860"/>
      <c r="Q39" s="484"/>
      <c r="R39" s="479"/>
      <c r="S39" s="479"/>
      <c r="T39" s="479"/>
      <c r="W39" s="53">
        <v>1</v>
      </c>
    </row>
    <row r="40" spans="1:24" s="53" customFormat="1" ht="45" customHeight="1" x14ac:dyDescent="0.3">
      <c r="A40" s="1867"/>
      <c r="B40" s="1847"/>
      <c r="C40" s="1858"/>
      <c r="D40" s="1858"/>
      <c r="E40" s="1829"/>
      <c r="F40" s="315">
        <v>0</v>
      </c>
      <c r="G40" s="807" t="s">
        <v>14</v>
      </c>
      <c r="H40" s="809">
        <f>I40+J40+K40+L40+M40</f>
        <v>38013.96</v>
      </c>
      <c r="I40" s="809">
        <v>38013.96</v>
      </c>
      <c r="J40" s="809">
        <v>0</v>
      </c>
      <c r="K40" s="809">
        <v>0</v>
      </c>
      <c r="L40" s="809">
        <v>0</v>
      </c>
      <c r="M40" s="809">
        <v>0</v>
      </c>
      <c r="N40" s="1874"/>
      <c r="O40" s="1858"/>
      <c r="P40" s="1860"/>
      <c r="Q40" s="484"/>
      <c r="R40" s="479"/>
      <c r="S40" s="479"/>
      <c r="T40" s="479"/>
    </row>
    <row r="41" spans="1:24" s="53" customFormat="1" ht="11.25" customHeight="1" x14ac:dyDescent="0.3">
      <c r="A41" s="1864" t="s">
        <v>127</v>
      </c>
      <c r="B41" s="1807" t="s">
        <v>174</v>
      </c>
      <c r="C41" s="1808"/>
      <c r="D41" s="1808"/>
      <c r="E41" s="1808"/>
      <c r="F41" s="1809"/>
      <c r="G41" s="808" t="s">
        <v>12</v>
      </c>
      <c r="H41" s="1346">
        <f>H42+H43</f>
        <v>50000</v>
      </c>
      <c r="I41" s="1346">
        <f t="shared" ref="I41:M41" si="16">I42+I43</f>
        <v>50000</v>
      </c>
      <c r="J41" s="809">
        <f t="shared" si="16"/>
        <v>0</v>
      </c>
      <c r="K41" s="809">
        <f t="shared" si="16"/>
        <v>0</v>
      </c>
      <c r="L41" s="809">
        <f t="shared" si="16"/>
        <v>0</v>
      </c>
      <c r="M41" s="809">
        <f t="shared" si="16"/>
        <v>0</v>
      </c>
      <c r="N41" s="1816"/>
      <c r="O41" s="1827"/>
      <c r="P41" s="1799" t="s">
        <v>1482</v>
      </c>
      <c r="Q41" s="368"/>
      <c r="R41" s="479"/>
      <c r="S41" s="479"/>
      <c r="T41" s="479"/>
    </row>
    <row r="42" spans="1:24" s="53" customFormat="1" ht="25.5" customHeight="1" x14ac:dyDescent="0.3">
      <c r="A42" s="1864"/>
      <c r="B42" s="1810"/>
      <c r="C42" s="1811"/>
      <c r="D42" s="1811"/>
      <c r="E42" s="1811"/>
      <c r="F42" s="1812"/>
      <c r="G42" s="808" t="s">
        <v>13</v>
      </c>
      <c r="H42" s="1346">
        <f>I42+J42+K42+L42+L42+M42</f>
        <v>45000</v>
      </c>
      <c r="I42" s="1346">
        <f>I45</f>
        <v>45000</v>
      </c>
      <c r="J42" s="809">
        <f t="shared" ref="J42:M43" si="17">J45</f>
        <v>0</v>
      </c>
      <c r="K42" s="809">
        <f t="shared" si="17"/>
        <v>0</v>
      </c>
      <c r="L42" s="809">
        <f t="shared" si="17"/>
        <v>0</v>
      </c>
      <c r="M42" s="809">
        <f t="shared" si="17"/>
        <v>0</v>
      </c>
      <c r="N42" s="1817"/>
      <c r="O42" s="1828"/>
      <c r="P42" s="1799"/>
      <c r="Q42" s="368"/>
      <c r="R42" s="479"/>
      <c r="S42" s="479"/>
      <c r="T42" s="479"/>
    </row>
    <row r="43" spans="1:24" s="53" customFormat="1" ht="48" customHeight="1" x14ac:dyDescent="0.3">
      <c r="A43" s="1864"/>
      <c r="B43" s="1813"/>
      <c r="C43" s="1814"/>
      <c r="D43" s="1814"/>
      <c r="E43" s="1814"/>
      <c r="F43" s="1815"/>
      <c r="G43" s="807" t="s">
        <v>14</v>
      </c>
      <c r="H43" s="1346">
        <f>I43+J43+K43+L43+L43+M43</f>
        <v>5000</v>
      </c>
      <c r="I43" s="1346">
        <f>I46</f>
        <v>5000</v>
      </c>
      <c r="J43" s="809">
        <f t="shared" si="17"/>
        <v>0</v>
      </c>
      <c r="K43" s="809">
        <f t="shared" si="17"/>
        <v>0</v>
      </c>
      <c r="L43" s="809">
        <f t="shared" si="17"/>
        <v>0</v>
      </c>
      <c r="M43" s="809">
        <f t="shared" si="17"/>
        <v>0</v>
      </c>
      <c r="N43" s="1818"/>
      <c r="O43" s="1829"/>
      <c r="P43" s="1799"/>
      <c r="Q43" s="368"/>
      <c r="R43" s="479"/>
      <c r="S43" s="479"/>
      <c r="T43" s="479"/>
    </row>
    <row r="44" spans="1:24" s="53" customFormat="1" ht="18.75" customHeight="1" x14ac:dyDescent="0.3">
      <c r="A44" s="1845" t="s">
        <v>192</v>
      </c>
      <c r="B44" s="1845" t="s">
        <v>987</v>
      </c>
      <c r="C44" s="1820" t="s">
        <v>82</v>
      </c>
      <c r="D44" s="1820" t="s">
        <v>188</v>
      </c>
      <c r="E44" s="1871">
        <f>I44</f>
        <v>50000</v>
      </c>
      <c r="F44" s="315">
        <f>F45+F46</f>
        <v>0</v>
      </c>
      <c r="G44" s="807" t="s">
        <v>12</v>
      </c>
      <c r="H44" s="876">
        <f>H45+H46</f>
        <v>50000</v>
      </c>
      <c r="I44" s="876">
        <f t="shared" ref="I44:M44" si="18">I45+I46</f>
        <v>50000</v>
      </c>
      <c r="J44" s="809">
        <f t="shared" si="18"/>
        <v>0</v>
      </c>
      <c r="K44" s="809">
        <f t="shared" si="18"/>
        <v>0</v>
      </c>
      <c r="L44" s="809">
        <f t="shared" si="18"/>
        <v>0</v>
      </c>
      <c r="M44" s="809">
        <f t="shared" si="18"/>
        <v>0</v>
      </c>
      <c r="N44" s="1832"/>
      <c r="O44" s="1820" t="s">
        <v>16</v>
      </c>
      <c r="P44" s="1860"/>
      <c r="Q44" s="368">
        <v>0.79900000000000004</v>
      </c>
      <c r="R44" s="479">
        <f>I45/$Q44</f>
        <v>56320.4</v>
      </c>
      <c r="S44" s="479">
        <f t="shared" ref="S44:T44" si="19">J45/$Q44</f>
        <v>0</v>
      </c>
      <c r="T44" s="479">
        <f t="shared" si="19"/>
        <v>0</v>
      </c>
    </row>
    <row r="45" spans="1:24" s="53" customFormat="1" ht="21.75" customHeight="1" x14ac:dyDescent="0.3">
      <c r="A45" s="1846"/>
      <c r="B45" s="1846"/>
      <c r="C45" s="1857"/>
      <c r="D45" s="1857"/>
      <c r="E45" s="1828"/>
      <c r="F45" s="315">
        <v>0</v>
      </c>
      <c r="G45" s="807" t="s">
        <v>13</v>
      </c>
      <c r="H45" s="876">
        <f>I45+J45+K45+L45+M45</f>
        <v>45000</v>
      </c>
      <c r="I45" s="876">
        <f>40500+4500</f>
        <v>45000</v>
      </c>
      <c r="J45" s="809">
        <v>0</v>
      </c>
      <c r="K45" s="809">
        <v>0</v>
      </c>
      <c r="L45" s="809">
        <f t="shared" ref="L45:M46" si="20">L48</f>
        <v>0</v>
      </c>
      <c r="M45" s="809">
        <f t="shared" si="20"/>
        <v>0</v>
      </c>
      <c r="N45" s="1833"/>
      <c r="O45" s="1857"/>
      <c r="P45" s="1860"/>
      <c r="Q45" s="368"/>
      <c r="R45" s="486"/>
      <c r="S45" s="486"/>
      <c r="T45" s="486"/>
      <c r="W45" s="53">
        <v>1</v>
      </c>
    </row>
    <row r="46" spans="1:24" s="53" customFormat="1" ht="51" customHeight="1" x14ac:dyDescent="0.3">
      <c r="A46" s="1847"/>
      <c r="B46" s="1847"/>
      <c r="C46" s="1858"/>
      <c r="D46" s="1858"/>
      <c r="E46" s="1829"/>
      <c r="F46" s="315">
        <v>0</v>
      </c>
      <c r="G46" s="807" t="s">
        <v>14</v>
      </c>
      <c r="H46" s="876">
        <f>I46+J46+K46+L46+M46</f>
        <v>5000</v>
      </c>
      <c r="I46" s="876">
        <v>5000</v>
      </c>
      <c r="J46" s="809">
        <v>0</v>
      </c>
      <c r="K46" s="809">
        <v>0</v>
      </c>
      <c r="L46" s="809">
        <f t="shared" si="20"/>
        <v>0</v>
      </c>
      <c r="M46" s="809">
        <f t="shared" si="20"/>
        <v>0</v>
      </c>
      <c r="N46" s="1834"/>
      <c r="O46" s="1858"/>
      <c r="P46" s="1860"/>
      <c r="Q46" s="368">
        <f>1-Q44</f>
        <v>0.20100000000000001</v>
      </c>
      <c r="R46" s="486">
        <f>R44*$Q46</f>
        <v>11320.4</v>
      </c>
      <c r="S46" s="486">
        <f t="shared" ref="S46:T46" si="21">S44*$Q46</f>
        <v>0</v>
      </c>
      <c r="T46" s="486">
        <f t="shared" si="21"/>
        <v>0</v>
      </c>
    </row>
    <row r="47" spans="1:24" s="53" customFormat="1" ht="16.5" customHeight="1" x14ac:dyDescent="0.3">
      <c r="A47" s="1864" t="s">
        <v>128</v>
      </c>
      <c r="B47" s="1816" t="s">
        <v>124</v>
      </c>
      <c r="C47" s="1848"/>
      <c r="D47" s="1848"/>
      <c r="E47" s="1848"/>
      <c r="F47" s="1849"/>
      <c r="G47" s="808" t="s">
        <v>12</v>
      </c>
      <c r="H47" s="809">
        <f>H48+H49</f>
        <v>158983.49</v>
      </c>
      <c r="I47" s="809">
        <f t="shared" ref="I47:M47" si="22">I48+I49</f>
        <v>61112</v>
      </c>
      <c r="J47" s="809">
        <f t="shared" si="22"/>
        <v>97871.49</v>
      </c>
      <c r="K47" s="809">
        <f t="shared" si="22"/>
        <v>0</v>
      </c>
      <c r="L47" s="809">
        <f t="shared" si="22"/>
        <v>0</v>
      </c>
      <c r="M47" s="809">
        <f t="shared" si="22"/>
        <v>0</v>
      </c>
      <c r="N47" s="1816"/>
      <c r="O47" s="1827"/>
      <c r="P47" s="1799" t="s">
        <v>1487</v>
      </c>
      <c r="Q47" s="368"/>
      <c r="R47" s="479"/>
      <c r="S47" s="479"/>
      <c r="T47" s="479"/>
    </row>
    <row r="48" spans="1:24" s="53" customFormat="1" ht="30" customHeight="1" x14ac:dyDescent="0.3">
      <c r="A48" s="1864"/>
      <c r="B48" s="1817"/>
      <c r="C48" s="1850"/>
      <c r="D48" s="1850"/>
      <c r="E48" s="1850"/>
      <c r="F48" s="1851"/>
      <c r="G48" s="808" t="s">
        <v>13</v>
      </c>
      <c r="H48" s="809">
        <f>I48+J48+K48+L48+M48</f>
        <v>48162.09</v>
      </c>
      <c r="I48" s="809">
        <f>I51</f>
        <v>10200</v>
      </c>
      <c r="J48" s="809">
        <f>J51</f>
        <v>37962.089999999997</v>
      </c>
      <c r="K48" s="809">
        <f>K51</f>
        <v>0</v>
      </c>
      <c r="L48" s="809">
        <f>L51</f>
        <v>0</v>
      </c>
      <c r="M48" s="809">
        <f>M51</f>
        <v>0</v>
      </c>
      <c r="N48" s="1817"/>
      <c r="O48" s="1828"/>
      <c r="P48" s="1799"/>
      <c r="Q48" s="368"/>
      <c r="R48" s="479"/>
      <c r="S48" s="479"/>
      <c r="T48" s="479"/>
    </row>
    <row r="49" spans="1:26" s="53" customFormat="1" ht="45" customHeight="1" x14ac:dyDescent="0.3">
      <c r="A49" s="1864"/>
      <c r="B49" s="1818"/>
      <c r="C49" s="1852"/>
      <c r="D49" s="1852"/>
      <c r="E49" s="1852"/>
      <c r="F49" s="1853"/>
      <c r="G49" s="807" t="s">
        <v>14</v>
      </c>
      <c r="H49" s="809">
        <f>I49+J49+K49+L49+M49</f>
        <v>110821.4</v>
      </c>
      <c r="I49" s="809">
        <f>I54+I52</f>
        <v>50912</v>
      </c>
      <c r="J49" s="809">
        <f>J54+J52</f>
        <v>59909.4</v>
      </c>
      <c r="K49" s="809">
        <f>K54+K52</f>
        <v>0</v>
      </c>
      <c r="L49" s="809">
        <f>L54+L52</f>
        <v>0</v>
      </c>
      <c r="M49" s="809">
        <f>M54+M52</f>
        <v>0</v>
      </c>
      <c r="N49" s="1818"/>
      <c r="O49" s="1829"/>
      <c r="P49" s="1799"/>
      <c r="Q49" s="368"/>
      <c r="R49" s="479"/>
      <c r="S49" s="479"/>
      <c r="T49" s="479"/>
    </row>
    <row r="50" spans="1:26" s="53" customFormat="1" ht="24" customHeight="1" x14ac:dyDescent="0.3">
      <c r="A50" s="1865" t="s">
        <v>129</v>
      </c>
      <c r="B50" s="1800" t="s">
        <v>1335</v>
      </c>
      <c r="C50" s="1875" t="s">
        <v>205</v>
      </c>
      <c r="D50" s="1816"/>
      <c r="E50" s="1871">
        <v>72728.490000000005</v>
      </c>
      <c r="F50" s="809">
        <f>F51+F52</f>
        <v>12857</v>
      </c>
      <c r="G50" s="808" t="s">
        <v>12</v>
      </c>
      <c r="H50" s="809">
        <f>H51+H52</f>
        <v>59871.49</v>
      </c>
      <c r="I50" s="809">
        <f>I51+I52</f>
        <v>12000</v>
      </c>
      <c r="J50" s="809">
        <f t="shared" ref="J50:M50" si="23">J51+J52</f>
        <v>47871.49</v>
      </c>
      <c r="K50" s="809">
        <f t="shared" si="23"/>
        <v>0</v>
      </c>
      <c r="L50" s="809">
        <f t="shared" si="23"/>
        <v>0</v>
      </c>
      <c r="M50" s="809">
        <f t="shared" si="23"/>
        <v>0</v>
      </c>
      <c r="N50" s="487"/>
      <c r="O50" s="1820" t="s">
        <v>47</v>
      </c>
      <c r="P50" s="366"/>
      <c r="Q50" s="488" t="s">
        <v>1255</v>
      </c>
      <c r="R50" s="479"/>
      <c r="S50" s="479"/>
      <c r="T50" s="479"/>
    </row>
    <row r="51" spans="1:26" s="53" customFormat="1" ht="29.25" customHeight="1" x14ac:dyDescent="0.3">
      <c r="A51" s="1866"/>
      <c r="B51" s="1800"/>
      <c r="C51" s="1876"/>
      <c r="D51" s="1817"/>
      <c r="E51" s="1877"/>
      <c r="F51" s="809">
        <v>12849.5</v>
      </c>
      <c r="G51" s="808" t="s">
        <v>13</v>
      </c>
      <c r="H51" s="809">
        <f>I51+J51+K51+L51+M51</f>
        <v>48162.09</v>
      </c>
      <c r="I51" s="809">
        <v>10200</v>
      </c>
      <c r="J51" s="809">
        <v>37962.089999999997</v>
      </c>
      <c r="K51" s="809">
        <f t="shared" ref="K51:M52" si="24">K53</f>
        <v>0</v>
      </c>
      <c r="L51" s="809">
        <f t="shared" si="24"/>
        <v>0</v>
      </c>
      <c r="M51" s="809">
        <f t="shared" si="24"/>
        <v>0</v>
      </c>
      <c r="N51" s="487"/>
      <c r="O51" s="1857"/>
      <c r="P51" s="366"/>
      <c r="Q51" s="488"/>
      <c r="R51" s="479"/>
      <c r="S51" s="479"/>
      <c r="T51" s="479"/>
      <c r="X51" s="1125">
        <v>1</v>
      </c>
    </row>
    <row r="52" spans="1:26" s="53" customFormat="1" ht="36" customHeight="1" x14ac:dyDescent="0.3">
      <c r="A52" s="1866"/>
      <c r="B52" s="1800"/>
      <c r="C52" s="1876"/>
      <c r="D52" s="1817"/>
      <c r="E52" s="1878"/>
      <c r="F52" s="809">
        <v>7.5</v>
      </c>
      <c r="G52" s="807" t="s">
        <v>14</v>
      </c>
      <c r="H52" s="809">
        <f>I52+J52</f>
        <v>11709.4</v>
      </c>
      <c r="I52" s="809">
        <v>1800</v>
      </c>
      <c r="J52" s="809">
        <v>9909.4</v>
      </c>
      <c r="K52" s="809">
        <f t="shared" si="24"/>
        <v>0</v>
      </c>
      <c r="L52" s="809">
        <f t="shared" si="24"/>
        <v>0</v>
      </c>
      <c r="M52" s="809">
        <f t="shared" si="24"/>
        <v>0</v>
      </c>
      <c r="N52" s="487"/>
      <c r="O52" s="1857"/>
      <c r="P52" s="366"/>
      <c r="Q52" s="488"/>
      <c r="R52" s="479"/>
      <c r="S52" s="479"/>
      <c r="T52" s="479"/>
    </row>
    <row r="53" spans="1:26" s="53" customFormat="1" ht="20.25" customHeight="1" x14ac:dyDescent="0.3">
      <c r="A53" s="1865" t="s">
        <v>577</v>
      </c>
      <c r="B53" s="1800" t="s">
        <v>1256</v>
      </c>
      <c r="C53" s="1816" t="s">
        <v>205</v>
      </c>
      <c r="D53" s="1816"/>
      <c r="E53" s="1871">
        <v>100000</v>
      </c>
      <c r="F53" s="364">
        <f>F54</f>
        <v>888</v>
      </c>
      <c r="G53" s="808" t="s">
        <v>12</v>
      </c>
      <c r="H53" s="809">
        <f>H54</f>
        <v>99112</v>
      </c>
      <c r="I53" s="809">
        <f t="shared" ref="I53:M53" si="25">I54</f>
        <v>49112</v>
      </c>
      <c r="J53" s="809">
        <f t="shared" si="25"/>
        <v>50000</v>
      </c>
      <c r="K53" s="809">
        <f t="shared" si="25"/>
        <v>0</v>
      </c>
      <c r="L53" s="809">
        <f t="shared" si="25"/>
        <v>0</v>
      </c>
      <c r="M53" s="809">
        <f t="shared" si="25"/>
        <v>0</v>
      </c>
      <c r="N53" s="1832"/>
      <c r="O53" s="1857" t="s">
        <v>858</v>
      </c>
      <c r="P53" s="1061" t="s">
        <v>1257</v>
      </c>
      <c r="Q53" s="485"/>
      <c r="R53" s="479"/>
      <c r="S53" s="479"/>
      <c r="T53" s="479"/>
      <c r="X53" s="53">
        <v>1</v>
      </c>
    </row>
    <row r="54" spans="1:26" s="53" customFormat="1" ht="47.25" customHeight="1" x14ac:dyDescent="0.3">
      <c r="A54" s="1800"/>
      <c r="B54" s="1800"/>
      <c r="C54" s="1817"/>
      <c r="D54" s="1817"/>
      <c r="E54" s="1877"/>
      <c r="F54" s="364">
        <v>888</v>
      </c>
      <c r="G54" s="807" t="s">
        <v>14</v>
      </c>
      <c r="H54" s="809">
        <f>I54+J54+K54+L54+M54</f>
        <v>99112</v>
      </c>
      <c r="I54" s="809">
        <v>49112</v>
      </c>
      <c r="J54" s="809">
        <v>50000</v>
      </c>
      <c r="K54" s="809"/>
      <c r="L54" s="809"/>
      <c r="M54" s="809"/>
      <c r="N54" s="1834"/>
      <c r="O54" s="1858"/>
      <c r="P54" s="1061"/>
      <c r="Q54" s="485"/>
      <c r="R54" s="479"/>
      <c r="S54" s="479"/>
      <c r="T54" s="479"/>
    </row>
    <row r="55" spans="1:26" s="489" customFormat="1" ht="7.95" hidden="1" customHeight="1" x14ac:dyDescent="0.3">
      <c r="A55" s="1865"/>
      <c r="B55" s="1845"/>
      <c r="C55" s="1820"/>
      <c r="D55" s="1820"/>
      <c r="E55" s="1871"/>
      <c r="F55" s="364"/>
      <c r="G55" s="808"/>
      <c r="H55" s="809"/>
      <c r="I55" s="809"/>
      <c r="J55" s="809"/>
      <c r="K55" s="809"/>
      <c r="L55" s="809"/>
      <c r="M55" s="809"/>
      <c r="N55" s="1881"/>
      <c r="O55" s="1820"/>
      <c r="P55" s="1879"/>
      <c r="Q55" s="485"/>
      <c r="R55" s="479"/>
      <c r="S55" s="479"/>
      <c r="T55" s="479"/>
      <c r="U55" s="53"/>
      <c r="V55" s="53"/>
      <c r="W55" s="53"/>
      <c r="X55" s="53"/>
      <c r="Y55" s="53"/>
    </row>
    <row r="56" spans="1:26" s="489" customFormat="1" ht="7.95" hidden="1" customHeight="1" x14ac:dyDescent="0.3">
      <c r="A56" s="1867"/>
      <c r="B56" s="1847"/>
      <c r="C56" s="1858"/>
      <c r="D56" s="1858"/>
      <c r="E56" s="1878"/>
      <c r="F56" s="364"/>
      <c r="G56" s="807"/>
      <c r="H56" s="809"/>
      <c r="I56" s="809"/>
      <c r="J56" s="809"/>
      <c r="K56" s="809"/>
      <c r="L56" s="809"/>
      <c r="M56" s="809"/>
      <c r="N56" s="1882"/>
      <c r="O56" s="1858"/>
      <c r="P56" s="1880"/>
      <c r="Q56" s="485"/>
      <c r="R56" s="479"/>
      <c r="S56" s="479"/>
      <c r="T56" s="479"/>
      <c r="U56" s="53"/>
      <c r="V56" s="53"/>
      <c r="W56" s="53"/>
      <c r="X56" s="53"/>
      <c r="Y56" s="53"/>
    </row>
    <row r="57" spans="1:26" s="489" customFormat="1" ht="43.5" customHeight="1" x14ac:dyDescent="0.3">
      <c r="A57" s="1864" t="s">
        <v>130</v>
      </c>
      <c r="B57" s="1807" t="s">
        <v>1258</v>
      </c>
      <c r="C57" s="1808"/>
      <c r="D57" s="1808"/>
      <c r="E57" s="1808"/>
      <c r="F57" s="1809"/>
      <c r="G57" s="808" t="s">
        <v>12</v>
      </c>
      <c r="H57" s="809">
        <f>H58+H59</f>
        <v>2322000</v>
      </c>
      <c r="I57" s="809">
        <f t="shared" ref="I57:M57" si="26">I58+I59</f>
        <v>48600</v>
      </c>
      <c r="J57" s="809">
        <f t="shared" si="26"/>
        <v>653400</v>
      </c>
      <c r="K57" s="809">
        <f t="shared" si="26"/>
        <v>540000</v>
      </c>
      <c r="L57" s="809">
        <f t="shared" si="26"/>
        <v>540000</v>
      </c>
      <c r="M57" s="809">
        <f t="shared" si="26"/>
        <v>0</v>
      </c>
      <c r="N57" s="1816"/>
      <c r="O57" s="1827"/>
      <c r="P57" s="1060" t="s">
        <v>1488</v>
      </c>
      <c r="Q57" s="368"/>
      <c r="R57" s="479"/>
      <c r="S57" s="479"/>
      <c r="T57" s="479"/>
      <c r="U57" s="53"/>
      <c r="V57" s="53"/>
      <c r="W57" s="53"/>
      <c r="X57" s="53"/>
      <c r="Y57" s="53"/>
    </row>
    <row r="58" spans="1:26" s="489" customFormat="1" ht="38.25" customHeight="1" x14ac:dyDescent="0.3">
      <c r="A58" s="1864"/>
      <c r="B58" s="1810"/>
      <c r="C58" s="1811"/>
      <c r="D58" s="1811"/>
      <c r="E58" s="1811"/>
      <c r="F58" s="1812"/>
      <c r="G58" s="808" t="s">
        <v>13</v>
      </c>
      <c r="H58" s="809">
        <f>I58+J58+K58+L58+L58+M58</f>
        <v>2205900</v>
      </c>
      <c r="I58" s="809">
        <f>I61</f>
        <v>46170</v>
      </c>
      <c r="J58" s="809">
        <f t="shared" ref="J58:M59" si="27">J61</f>
        <v>620730</v>
      </c>
      <c r="K58" s="809">
        <f t="shared" si="27"/>
        <v>513000</v>
      </c>
      <c r="L58" s="809">
        <f t="shared" si="27"/>
        <v>513000</v>
      </c>
      <c r="M58" s="809">
        <f t="shared" si="27"/>
        <v>0</v>
      </c>
      <c r="N58" s="1817"/>
      <c r="O58" s="1828"/>
      <c r="P58" s="1060"/>
      <c r="Q58" s="368"/>
      <c r="R58" s="486"/>
      <c r="S58" s="486"/>
      <c r="T58" s="486"/>
    </row>
    <row r="59" spans="1:26" s="489" customFormat="1" ht="44.25" customHeight="1" x14ac:dyDescent="0.3">
      <c r="A59" s="1864"/>
      <c r="B59" s="1813"/>
      <c r="C59" s="1814"/>
      <c r="D59" s="1814"/>
      <c r="E59" s="1814"/>
      <c r="F59" s="1815"/>
      <c r="G59" s="807" t="s">
        <v>14</v>
      </c>
      <c r="H59" s="809">
        <f>I59+J59+K59+L59+L59+M59</f>
        <v>116100</v>
      </c>
      <c r="I59" s="809">
        <f>I62</f>
        <v>2430</v>
      </c>
      <c r="J59" s="809">
        <f t="shared" si="27"/>
        <v>32670</v>
      </c>
      <c r="K59" s="809">
        <f t="shared" si="27"/>
        <v>27000</v>
      </c>
      <c r="L59" s="809">
        <f t="shared" si="27"/>
        <v>27000</v>
      </c>
      <c r="M59" s="809">
        <f t="shared" si="27"/>
        <v>0</v>
      </c>
      <c r="N59" s="1818"/>
      <c r="O59" s="1829"/>
      <c r="P59" s="1060"/>
      <c r="Q59" s="368"/>
      <c r="R59" s="486"/>
      <c r="S59" s="486"/>
      <c r="T59" s="486"/>
    </row>
    <row r="60" spans="1:26" s="489" customFormat="1" ht="44.25" customHeight="1" x14ac:dyDescent="0.3">
      <c r="A60" s="1845" t="s">
        <v>1113</v>
      </c>
      <c r="B60" s="1886" t="s">
        <v>1260</v>
      </c>
      <c r="C60" s="1820" t="s">
        <v>998</v>
      </c>
      <c r="D60" s="1820" t="s">
        <v>1261</v>
      </c>
      <c r="E60" s="1871">
        <f>H60</f>
        <v>1782000</v>
      </c>
      <c r="F60" s="315">
        <f>F61+F62</f>
        <v>0</v>
      </c>
      <c r="G60" s="807" t="s">
        <v>12</v>
      </c>
      <c r="H60" s="809">
        <f>H61+H62</f>
        <v>1782000</v>
      </c>
      <c r="I60" s="809">
        <f t="shared" ref="I60:M60" si="28">I61+I62</f>
        <v>48600</v>
      </c>
      <c r="J60" s="809">
        <f t="shared" si="28"/>
        <v>653400</v>
      </c>
      <c r="K60" s="809">
        <f t="shared" si="28"/>
        <v>540000</v>
      </c>
      <c r="L60" s="809">
        <f t="shared" si="28"/>
        <v>540000</v>
      </c>
      <c r="M60" s="809">
        <f t="shared" si="28"/>
        <v>0</v>
      </c>
      <c r="N60" s="1832"/>
      <c r="O60" s="1820" t="s">
        <v>16</v>
      </c>
      <c r="P60" s="1883"/>
      <c r="Q60" s="368" t="s">
        <v>1262</v>
      </c>
      <c r="R60" s="479">
        <f>I61/0.95</f>
        <v>48600</v>
      </c>
      <c r="S60" s="479">
        <f>J61/0.95</f>
        <v>653400</v>
      </c>
      <c r="T60" s="479">
        <f>K61/0.95</f>
        <v>540000</v>
      </c>
      <c r="U60" s="479">
        <f>L61/0.95</f>
        <v>540000</v>
      </c>
    </row>
    <row r="61" spans="1:26" s="53" customFormat="1" ht="43.95" customHeight="1" x14ac:dyDescent="0.3">
      <c r="A61" s="1846"/>
      <c r="B61" s="1887"/>
      <c r="C61" s="1857"/>
      <c r="D61" s="1857"/>
      <c r="E61" s="1828"/>
      <c r="F61" s="315">
        <v>0</v>
      </c>
      <c r="G61" s="807" t="s">
        <v>13</v>
      </c>
      <c r="H61" s="809">
        <f>I61+J61+K61+L61+M61</f>
        <v>1692900</v>
      </c>
      <c r="I61" s="809">
        <f>46170</f>
        <v>46170</v>
      </c>
      <c r="J61" s="809">
        <v>620730</v>
      </c>
      <c r="K61" s="809">
        <v>513000</v>
      </c>
      <c r="L61" s="809">
        <v>513000</v>
      </c>
      <c r="M61" s="809">
        <v>0</v>
      </c>
      <c r="N61" s="1833"/>
      <c r="O61" s="1857"/>
      <c r="P61" s="1884"/>
      <c r="Q61" s="368"/>
      <c r="R61" s="486"/>
      <c r="S61" s="486"/>
      <c r="T61" s="486"/>
      <c r="U61" s="489"/>
      <c r="V61" s="489"/>
      <c r="W61" s="489"/>
      <c r="X61" s="489"/>
      <c r="Y61" s="489"/>
      <c r="Z61" s="53">
        <v>1</v>
      </c>
    </row>
    <row r="62" spans="1:26" s="489" customFormat="1" ht="33.6" customHeight="1" x14ac:dyDescent="0.3">
      <c r="A62" s="1847"/>
      <c r="B62" s="1888"/>
      <c r="C62" s="1858"/>
      <c r="D62" s="1858"/>
      <c r="E62" s="1829"/>
      <c r="F62" s="315">
        <v>0</v>
      </c>
      <c r="G62" s="807" t="s">
        <v>14</v>
      </c>
      <c r="H62" s="809">
        <f>I62+J62+K62+L62+M62</f>
        <v>89100</v>
      </c>
      <c r="I62" s="809">
        <v>2430</v>
      </c>
      <c r="J62" s="809">
        <v>32670</v>
      </c>
      <c r="K62" s="809">
        <v>27000</v>
      </c>
      <c r="L62" s="809">
        <v>27000</v>
      </c>
      <c r="M62" s="809">
        <v>0</v>
      </c>
      <c r="N62" s="1834"/>
      <c r="O62" s="1858"/>
      <c r="P62" s="1885"/>
      <c r="Q62" s="368"/>
      <c r="R62" s="486">
        <f>R60*0.05</f>
        <v>2430</v>
      </c>
      <c r="S62" s="486">
        <f t="shared" ref="S62:U62" si="29">S60*0.05</f>
        <v>32670</v>
      </c>
      <c r="T62" s="486">
        <f t="shared" si="29"/>
        <v>27000</v>
      </c>
      <c r="U62" s="486">
        <f t="shared" si="29"/>
        <v>27000</v>
      </c>
    </row>
    <row r="63" spans="1:26" s="489" customFormat="1" ht="38.25" customHeight="1" x14ac:dyDescent="0.3">
      <c r="A63" s="1864" t="s">
        <v>1114</v>
      </c>
      <c r="B63" s="1807" t="s">
        <v>319</v>
      </c>
      <c r="C63" s="1808"/>
      <c r="D63" s="1808"/>
      <c r="E63" s="1808"/>
      <c r="F63" s="1809"/>
      <c r="G63" s="808" t="s">
        <v>12</v>
      </c>
      <c r="H63" s="809">
        <f>H64+H65</f>
        <v>1935000</v>
      </c>
      <c r="I63" s="809">
        <f t="shared" ref="I63:M63" si="30">I64+I65</f>
        <v>40500</v>
      </c>
      <c r="J63" s="809">
        <f t="shared" si="30"/>
        <v>544500</v>
      </c>
      <c r="K63" s="809">
        <f t="shared" si="30"/>
        <v>450000</v>
      </c>
      <c r="L63" s="809">
        <f t="shared" si="30"/>
        <v>450000</v>
      </c>
      <c r="M63" s="809">
        <f t="shared" si="30"/>
        <v>0</v>
      </c>
      <c r="N63" s="1816"/>
      <c r="O63" s="1827"/>
      <c r="P63" s="1060" t="s">
        <v>1488</v>
      </c>
      <c r="Q63" s="368"/>
      <c r="R63" s="486"/>
      <c r="S63" s="486"/>
      <c r="T63" s="486"/>
    </row>
    <row r="64" spans="1:26" s="53" customFormat="1" ht="31.95" customHeight="1" x14ac:dyDescent="0.3">
      <c r="A64" s="1864"/>
      <c r="B64" s="1810"/>
      <c r="C64" s="1811"/>
      <c r="D64" s="1811"/>
      <c r="E64" s="1811"/>
      <c r="F64" s="1812"/>
      <c r="G64" s="808" t="s">
        <v>13</v>
      </c>
      <c r="H64" s="809">
        <f>I64+J64+K64+L64+L64+M64</f>
        <v>1542195</v>
      </c>
      <c r="I64" s="809">
        <f>I67</f>
        <v>32278.5</v>
      </c>
      <c r="J64" s="809">
        <f t="shared" ref="J64:M65" si="31">J67</f>
        <v>433966.5</v>
      </c>
      <c r="K64" s="809">
        <f t="shared" si="31"/>
        <v>358650</v>
      </c>
      <c r="L64" s="809">
        <f t="shared" si="31"/>
        <v>358650</v>
      </c>
      <c r="M64" s="809">
        <f t="shared" si="31"/>
        <v>0</v>
      </c>
      <c r="N64" s="1817"/>
      <c r="O64" s="1828"/>
      <c r="P64" s="1060"/>
      <c r="Q64" s="368"/>
      <c r="R64" s="486"/>
      <c r="S64" s="486"/>
      <c r="T64" s="486"/>
      <c r="U64" s="489"/>
      <c r="V64" s="489"/>
      <c r="W64" s="489"/>
      <c r="X64" s="489"/>
      <c r="Y64" s="489"/>
    </row>
    <row r="65" spans="1:26" s="53" customFormat="1" ht="46.5" customHeight="1" x14ac:dyDescent="0.3">
      <c r="A65" s="1864"/>
      <c r="B65" s="1813"/>
      <c r="C65" s="1814"/>
      <c r="D65" s="1814"/>
      <c r="E65" s="1814"/>
      <c r="F65" s="1815"/>
      <c r="G65" s="807" t="s">
        <v>14</v>
      </c>
      <c r="H65" s="809">
        <f>I65+J65+K65+L65+L65+M65</f>
        <v>392805</v>
      </c>
      <c r="I65" s="809">
        <f>I68</f>
        <v>8221.5</v>
      </c>
      <c r="J65" s="809">
        <f t="shared" si="31"/>
        <v>110533.5</v>
      </c>
      <c r="K65" s="809">
        <f t="shared" si="31"/>
        <v>91350</v>
      </c>
      <c r="L65" s="809">
        <f t="shared" si="31"/>
        <v>91350</v>
      </c>
      <c r="M65" s="809">
        <f t="shared" si="31"/>
        <v>0</v>
      </c>
      <c r="N65" s="1818"/>
      <c r="O65" s="1829"/>
      <c r="P65" s="1060"/>
      <c r="Q65" s="368"/>
      <c r="R65" s="486"/>
      <c r="S65" s="486"/>
      <c r="T65" s="486"/>
      <c r="U65" s="489"/>
      <c r="V65" s="489"/>
      <c r="W65" s="489"/>
      <c r="X65" s="489"/>
      <c r="Y65" s="489"/>
    </row>
    <row r="66" spans="1:26" s="53" customFormat="1" ht="15" customHeight="1" x14ac:dyDescent="0.3">
      <c r="A66" s="1845" t="s">
        <v>1263</v>
      </c>
      <c r="B66" s="1886" t="s">
        <v>1264</v>
      </c>
      <c r="C66" s="1820" t="s">
        <v>998</v>
      </c>
      <c r="D66" s="1820" t="s">
        <v>1265</v>
      </c>
      <c r="E66" s="1871">
        <f>H66</f>
        <v>1485000</v>
      </c>
      <c r="F66" s="315">
        <f>F67+F68</f>
        <v>0</v>
      </c>
      <c r="G66" s="807" t="s">
        <v>12</v>
      </c>
      <c r="H66" s="809">
        <f>H67+H68</f>
        <v>1485000</v>
      </c>
      <c r="I66" s="809">
        <f t="shared" ref="I66:L66" si="32">I67+I68</f>
        <v>40500</v>
      </c>
      <c r="J66" s="809">
        <f t="shared" si="32"/>
        <v>544500</v>
      </c>
      <c r="K66" s="809">
        <f t="shared" si="32"/>
        <v>450000</v>
      </c>
      <c r="L66" s="809">
        <f t="shared" si="32"/>
        <v>450000</v>
      </c>
      <c r="M66" s="809"/>
      <c r="N66" s="1832"/>
      <c r="O66" s="1820" t="s">
        <v>16</v>
      </c>
      <c r="P66" s="1883"/>
      <c r="Q66" s="368" t="s">
        <v>1266</v>
      </c>
      <c r="R66" s="479">
        <f>I67/0.797</f>
        <v>40500</v>
      </c>
      <c r="S66" s="479">
        <f>J67/0.797</f>
        <v>544500</v>
      </c>
      <c r="T66" s="479">
        <f>K67/0.797</f>
        <v>450000</v>
      </c>
      <c r="U66" s="479">
        <f>L67/0.797</f>
        <v>450000</v>
      </c>
      <c r="V66" s="489"/>
      <c r="W66" s="489"/>
      <c r="X66" s="489"/>
      <c r="Y66" s="489"/>
    </row>
    <row r="67" spans="1:26" s="53" customFormat="1" ht="24.75" customHeight="1" x14ac:dyDescent="0.3">
      <c r="A67" s="1846"/>
      <c r="B67" s="1887"/>
      <c r="C67" s="1857"/>
      <c r="D67" s="1857"/>
      <c r="E67" s="1828"/>
      <c r="F67" s="315">
        <v>0</v>
      </c>
      <c r="G67" s="807" t="s">
        <v>13</v>
      </c>
      <c r="H67" s="809">
        <f>I67+J67+K67+L67+M67</f>
        <v>1183545</v>
      </c>
      <c r="I67" s="809">
        <v>32278.5</v>
      </c>
      <c r="J67" s="809">
        <v>433966.5</v>
      </c>
      <c r="K67" s="809">
        <v>358650</v>
      </c>
      <c r="L67" s="809">
        <v>358650</v>
      </c>
      <c r="M67" s="809"/>
      <c r="N67" s="1833"/>
      <c r="O67" s="1857"/>
      <c r="P67" s="1884"/>
      <c r="Q67" s="368"/>
      <c r="R67" s="486"/>
      <c r="S67" s="486"/>
      <c r="T67" s="486"/>
      <c r="Z67" s="53">
        <v>1</v>
      </c>
    </row>
    <row r="68" spans="1:26" s="53" customFormat="1" ht="31.5" customHeight="1" x14ac:dyDescent="0.3">
      <c r="A68" s="1847"/>
      <c r="B68" s="1888"/>
      <c r="C68" s="1858"/>
      <c r="D68" s="1858"/>
      <c r="E68" s="1829"/>
      <c r="F68" s="315">
        <v>0</v>
      </c>
      <c r="G68" s="807" t="s">
        <v>14</v>
      </c>
      <c r="H68" s="809">
        <f>I68+J68+K68+L68+M68</f>
        <v>301455</v>
      </c>
      <c r="I68" s="809">
        <v>8221.5</v>
      </c>
      <c r="J68" s="809">
        <v>110533.5</v>
      </c>
      <c r="K68" s="809">
        <v>91350</v>
      </c>
      <c r="L68" s="809">
        <v>91350</v>
      </c>
      <c r="M68" s="809"/>
      <c r="N68" s="1834"/>
      <c r="O68" s="1858"/>
      <c r="P68" s="1885"/>
      <c r="Q68" s="368"/>
      <c r="R68" s="486">
        <f>R66*0.203</f>
        <v>8221.5</v>
      </c>
      <c r="S68" s="486">
        <f t="shared" ref="S68:U68" si="33">S66*0.203</f>
        <v>110533.5</v>
      </c>
      <c r="T68" s="486">
        <f t="shared" si="33"/>
        <v>91350</v>
      </c>
      <c r="U68" s="486">
        <f t="shared" si="33"/>
        <v>91350</v>
      </c>
      <c r="V68" s="489"/>
      <c r="W68" s="489"/>
      <c r="X68" s="489"/>
      <c r="Y68" s="489"/>
    </row>
    <row r="69" spans="1:26" s="53" customFormat="1" ht="42.75" customHeight="1" x14ac:dyDescent="0.3">
      <c r="A69" s="1864" t="s">
        <v>1115</v>
      </c>
      <c r="B69" s="1807" t="s">
        <v>1267</v>
      </c>
      <c r="C69" s="1808"/>
      <c r="D69" s="1808"/>
      <c r="E69" s="1808"/>
      <c r="F69" s="1809"/>
      <c r="G69" s="808" t="s">
        <v>12</v>
      </c>
      <c r="H69" s="809">
        <f>H70+H71</f>
        <v>1336500</v>
      </c>
      <c r="I69" s="809">
        <f t="shared" ref="I69:M69" si="34">I70+I71</f>
        <v>36450</v>
      </c>
      <c r="J69" s="809">
        <f t="shared" si="34"/>
        <v>490050</v>
      </c>
      <c r="K69" s="809">
        <f t="shared" si="34"/>
        <v>405000</v>
      </c>
      <c r="L69" s="809">
        <f t="shared" si="34"/>
        <v>405000</v>
      </c>
      <c r="M69" s="809">
        <f t="shared" si="34"/>
        <v>0</v>
      </c>
      <c r="N69" s="1816"/>
      <c r="O69" s="1827"/>
      <c r="P69" s="1062" t="s">
        <v>1489</v>
      </c>
      <c r="Q69" s="368"/>
      <c r="R69" s="486"/>
      <c r="S69" s="486"/>
      <c r="T69" s="486"/>
      <c r="U69" s="489"/>
      <c r="V69" s="489"/>
      <c r="W69" s="489"/>
      <c r="X69" s="489"/>
      <c r="Y69" s="489"/>
    </row>
    <row r="70" spans="1:26" s="53" customFormat="1" ht="38.25" customHeight="1" x14ac:dyDescent="0.3">
      <c r="A70" s="1864"/>
      <c r="B70" s="1810"/>
      <c r="C70" s="1811"/>
      <c r="D70" s="1811"/>
      <c r="E70" s="1811"/>
      <c r="F70" s="1812"/>
      <c r="G70" s="808" t="s">
        <v>13</v>
      </c>
      <c r="H70" s="809">
        <f>I70+J70+K70+L70+M70</f>
        <v>1269675</v>
      </c>
      <c r="I70" s="809">
        <f>I73</f>
        <v>34627.5</v>
      </c>
      <c r="J70" s="809">
        <f t="shared" ref="J70:M71" si="35">J73</f>
        <v>465547.5</v>
      </c>
      <c r="K70" s="809">
        <f t="shared" si="35"/>
        <v>384750</v>
      </c>
      <c r="L70" s="809">
        <f t="shared" si="35"/>
        <v>384750</v>
      </c>
      <c r="M70" s="809">
        <f t="shared" si="35"/>
        <v>0</v>
      </c>
      <c r="N70" s="1817"/>
      <c r="O70" s="1828"/>
      <c r="P70" s="1063"/>
      <c r="Q70" s="368"/>
      <c r="R70" s="479"/>
      <c r="S70" s="479"/>
      <c r="T70" s="479"/>
    </row>
    <row r="71" spans="1:26" s="53" customFormat="1" ht="36.6" customHeight="1" x14ac:dyDescent="0.3">
      <c r="A71" s="1864"/>
      <c r="B71" s="1813"/>
      <c r="C71" s="1814"/>
      <c r="D71" s="1814"/>
      <c r="E71" s="1814"/>
      <c r="F71" s="1815"/>
      <c r="G71" s="807" t="s">
        <v>14</v>
      </c>
      <c r="H71" s="809">
        <f>I71+J71+K71+L71+M71</f>
        <v>66825</v>
      </c>
      <c r="I71" s="809">
        <f>I74</f>
        <v>1822.5</v>
      </c>
      <c r="J71" s="809">
        <f t="shared" si="35"/>
        <v>24502.5</v>
      </c>
      <c r="K71" s="809">
        <f t="shared" si="35"/>
        <v>20250</v>
      </c>
      <c r="L71" s="809">
        <f t="shared" si="35"/>
        <v>20250</v>
      </c>
      <c r="M71" s="809">
        <f t="shared" si="35"/>
        <v>0</v>
      </c>
      <c r="N71" s="1818"/>
      <c r="O71" s="1829"/>
      <c r="P71" s="1204" t="s">
        <v>1623</v>
      </c>
      <c r="Q71" s="368"/>
      <c r="R71" s="479"/>
      <c r="S71" s="479"/>
      <c r="T71" s="479"/>
    </row>
    <row r="72" spans="1:26" s="53" customFormat="1" ht="31.5" customHeight="1" x14ac:dyDescent="0.3">
      <c r="A72" s="1845" t="s">
        <v>1116</v>
      </c>
      <c r="B72" s="1886" t="s">
        <v>1268</v>
      </c>
      <c r="C72" s="1820" t="s">
        <v>998</v>
      </c>
      <c r="D72" s="1820" t="s">
        <v>1269</v>
      </c>
      <c r="E72" s="1871">
        <f>H72</f>
        <v>1336500</v>
      </c>
      <c r="F72" s="315">
        <f>F73+F74</f>
        <v>0</v>
      </c>
      <c r="G72" s="807" t="s">
        <v>12</v>
      </c>
      <c r="H72" s="809">
        <f>H73+H74</f>
        <v>1336500</v>
      </c>
      <c r="I72" s="809">
        <f t="shared" ref="I72:M72" si="36">I73+I74</f>
        <v>36450</v>
      </c>
      <c r="J72" s="809">
        <f t="shared" si="36"/>
        <v>490050</v>
      </c>
      <c r="K72" s="809">
        <f t="shared" si="36"/>
        <v>405000</v>
      </c>
      <c r="L72" s="809">
        <f t="shared" si="36"/>
        <v>405000</v>
      </c>
      <c r="M72" s="809">
        <f t="shared" si="36"/>
        <v>0</v>
      </c>
      <c r="N72" s="1832"/>
      <c r="O72" s="1820" t="s">
        <v>16</v>
      </c>
      <c r="P72" s="1883"/>
      <c r="Q72" s="368">
        <v>0.95</v>
      </c>
      <c r="R72" s="479">
        <f>I73/$Q72</f>
        <v>36450</v>
      </c>
      <c r="S72" s="479">
        <f>J73/$Q72</f>
        <v>490050</v>
      </c>
      <c r="T72" s="479">
        <f>K73/$Q72</f>
        <v>405000</v>
      </c>
    </row>
    <row r="73" spans="1:26" s="53" customFormat="1" ht="53.25" customHeight="1" x14ac:dyDescent="0.3">
      <c r="A73" s="1846"/>
      <c r="B73" s="1887"/>
      <c r="C73" s="1857"/>
      <c r="D73" s="1857"/>
      <c r="E73" s="1828"/>
      <c r="F73" s="315">
        <v>0</v>
      </c>
      <c r="G73" s="807" t="s">
        <v>13</v>
      </c>
      <c r="H73" s="809">
        <f>I73+J73+K73+L73+M73</f>
        <v>1269675</v>
      </c>
      <c r="I73" s="809">
        <v>34627.5</v>
      </c>
      <c r="J73" s="809">
        <v>465547.5</v>
      </c>
      <c r="K73" s="809">
        <v>384750</v>
      </c>
      <c r="L73" s="809">
        <v>384750</v>
      </c>
      <c r="M73" s="809">
        <f>M122</f>
        <v>0</v>
      </c>
      <c r="N73" s="1833"/>
      <c r="O73" s="1857"/>
      <c r="P73" s="1884"/>
      <c r="Q73" s="368"/>
      <c r="R73" s="486"/>
      <c r="S73" s="486"/>
      <c r="T73" s="486"/>
      <c r="Z73" s="53">
        <v>1</v>
      </c>
    </row>
    <row r="74" spans="1:26" s="53" customFormat="1" ht="34.200000000000003" customHeight="1" x14ac:dyDescent="0.3">
      <c r="A74" s="1847"/>
      <c r="B74" s="1888"/>
      <c r="C74" s="1858"/>
      <c r="D74" s="1858"/>
      <c r="E74" s="1829"/>
      <c r="F74" s="315">
        <v>0</v>
      </c>
      <c r="G74" s="807" t="s">
        <v>14</v>
      </c>
      <c r="H74" s="809">
        <f>I74+J74+K74+L74+M74</f>
        <v>66825</v>
      </c>
      <c r="I74" s="809">
        <v>1822.5</v>
      </c>
      <c r="J74" s="809">
        <v>24502.5</v>
      </c>
      <c r="K74" s="809">
        <v>20250</v>
      </c>
      <c r="L74" s="809">
        <v>20250</v>
      </c>
      <c r="M74" s="809">
        <v>0</v>
      </c>
      <c r="N74" s="1834"/>
      <c r="O74" s="1858"/>
      <c r="P74" s="1885"/>
      <c r="Q74" s="368">
        <f>1-Q72</f>
        <v>0.05</v>
      </c>
      <c r="R74" s="486">
        <f>R72*$Q74</f>
        <v>1822.5</v>
      </c>
      <c r="S74" s="486">
        <f t="shared" ref="S74:T74" si="37">S72*$Q74</f>
        <v>24502.5</v>
      </c>
      <c r="T74" s="486">
        <f t="shared" si="37"/>
        <v>20250</v>
      </c>
    </row>
    <row r="75" spans="1:26" s="53" customFormat="1" ht="24.75" customHeight="1" x14ac:dyDescent="0.3">
      <c r="A75" s="1864" t="s">
        <v>1270</v>
      </c>
      <c r="B75" s="1889" t="s">
        <v>1160</v>
      </c>
      <c r="C75" s="1890"/>
      <c r="D75" s="1890"/>
      <c r="E75" s="1890"/>
      <c r="F75" s="1891"/>
      <c r="G75" s="808" t="s">
        <v>12</v>
      </c>
      <c r="H75" s="809">
        <f>H76+H77</f>
        <v>287955</v>
      </c>
      <c r="I75" s="809">
        <f t="shared" ref="I75:M75" si="38">I76+I77</f>
        <v>7290</v>
      </c>
      <c r="J75" s="809">
        <f t="shared" si="38"/>
        <v>98010</v>
      </c>
      <c r="K75" s="809">
        <f t="shared" si="38"/>
        <v>81000</v>
      </c>
      <c r="L75" s="809">
        <f t="shared" si="38"/>
        <v>81000</v>
      </c>
      <c r="M75" s="809">
        <f t="shared" si="38"/>
        <v>0</v>
      </c>
      <c r="N75" s="1816"/>
      <c r="O75" s="1871">
        <f>H76-H79</f>
        <v>0</v>
      </c>
      <c r="P75" s="1060" t="s">
        <v>1488</v>
      </c>
      <c r="Q75" s="368"/>
      <c r="R75" s="479"/>
      <c r="S75" s="479"/>
      <c r="T75" s="479"/>
    </row>
    <row r="76" spans="1:26" s="53" customFormat="1" ht="54.75" customHeight="1" x14ac:dyDescent="0.3">
      <c r="A76" s="1864"/>
      <c r="B76" s="1892"/>
      <c r="C76" s="1893"/>
      <c r="D76" s="1893"/>
      <c r="E76" s="1893"/>
      <c r="F76" s="1894"/>
      <c r="G76" s="808" t="s">
        <v>13</v>
      </c>
      <c r="H76" s="1460">
        <f>I76+J76+K76+L76+M76</f>
        <v>199138.5</v>
      </c>
      <c r="I76" s="809">
        <f>I79</f>
        <v>5431.05</v>
      </c>
      <c r="J76" s="809">
        <f t="shared" ref="J76:M77" si="39">J79</f>
        <v>73017.45</v>
      </c>
      <c r="K76" s="809">
        <f t="shared" si="39"/>
        <v>60345</v>
      </c>
      <c r="L76" s="809">
        <f t="shared" si="39"/>
        <v>60345</v>
      </c>
      <c r="M76" s="809">
        <f t="shared" si="39"/>
        <v>0</v>
      </c>
      <c r="N76" s="1817"/>
      <c r="O76" s="1828"/>
      <c r="P76" s="1060"/>
      <c r="Q76" s="368"/>
      <c r="R76" s="479"/>
      <c r="S76" s="479"/>
      <c r="T76" s="479"/>
    </row>
    <row r="77" spans="1:26" s="53" customFormat="1" ht="40.5" customHeight="1" x14ac:dyDescent="0.3">
      <c r="A77" s="1864"/>
      <c r="B77" s="1895"/>
      <c r="C77" s="1896"/>
      <c r="D77" s="1896"/>
      <c r="E77" s="1896"/>
      <c r="F77" s="1897"/>
      <c r="G77" s="807" t="s">
        <v>14</v>
      </c>
      <c r="H77" s="809">
        <f>I77+J77+K77+L77+L77+M77</f>
        <v>88816.5</v>
      </c>
      <c r="I77" s="809">
        <f>I80</f>
        <v>1858.95</v>
      </c>
      <c r="J77" s="809">
        <f t="shared" si="39"/>
        <v>24992.55</v>
      </c>
      <c r="K77" s="809">
        <f t="shared" si="39"/>
        <v>20655</v>
      </c>
      <c r="L77" s="809">
        <f t="shared" si="39"/>
        <v>20655</v>
      </c>
      <c r="M77" s="809">
        <f t="shared" si="39"/>
        <v>0</v>
      </c>
      <c r="N77" s="1818"/>
      <c r="O77" s="1829"/>
      <c r="P77" s="1060"/>
      <c r="Q77" s="368"/>
      <c r="R77" s="479"/>
      <c r="S77" s="479"/>
      <c r="T77" s="479"/>
    </row>
    <row r="78" spans="1:26" s="53" customFormat="1" ht="20.25" customHeight="1" x14ac:dyDescent="0.3">
      <c r="A78" s="1845" t="s">
        <v>1271</v>
      </c>
      <c r="B78" s="1886" t="s">
        <v>1272</v>
      </c>
      <c r="C78" s="1820" t="s">
        <v>998</v>
      </c>
      <c r="D78" s="1820" t="s">
        <v>1273</v>
      </c>
      <c r="E78" s="1871">
        <f>H78</f>
        <v>267300</v>
      </c>
      <c r="F78" s="315">
        <f>F79+F80</f>
        <v>0</v>
      </c>
      <c r="G78" s="807" t="s">
        <v>12</v>
      </c>
      <c r="H78" s="809">
        <f>H79+H80</f>
        <v>267300</v>
      </c>
      <c r="I78" s="809">
        <f t="shared" ref="I78:M78" si="40">I79+I80</f>
        <v>7290</v>
      </c>
      <c r="J78" s="809">
        <f t="shared" si="40"/>
        <v>98010</v>
      </c>
      <c r="K78" s="809">
        <f t="shared" si="40"/>
        <v>81000</v>
      </c>
      <c r="L78" s="809">
        <f t="shared" si="40"/>
        <v>81000</v>
      </c>
      <c r="M78" s="809">
        <f t="shared" si="40"/>
        <v>0</v>
      </c>
      <c r="N78" s="1832"/>
      <c r="O78" s="1820" t="s">
        <v>16</v>
      </c>
      <c r="P78" s="1883"/>
      <c r="Q78" s="368">
        <v>0.745</v>
      </c>
      <c r="R78" s="479">
        <f>I79/$Q78</f>
        <v>7290</v>
      </c>
      <c r="S78" s="479">
        <f>J79/$Q78</f>
        <v>98010</v>
      </c>
      <c r="T78" s="479">
        <f>K79/$Q78</f>
        <v>81000</v>
      </c>
      <c r="U78" s="479">
        <f>L79/$Q78</f>
        <v>81000</v>
      </c>
    </row>
    <row r="79" spans="1:26" s="53" customFormat="1" ht="31.5" customHeight="1" x14ac:dyDescent="0.3">
      <c r="A79" s="1846"/>
      <c r="B79" s="1887"/>
      <c r="C79" s="1857"/>
      <c r="D79" s="1857"/>
      <c r="E79" s="1828"/>
      <c r="F79" s="315">
        <v>0</v>
      </c>
      <c r="G79" s="807" t="s">
        <v>13</v>
      </c>
      <c r="H79" s="809">
        <f>I79+J79+K79+L79+M79</f>
        <v>199138.5</v>
      </c>
      <c r="I79" s="809">
        <v>5431.05</v>
      </c>
      <c r="J79" s="809">
        <v>73017.45</v>
      </c>
      <c r="K79" s="809">
        <v>60345</v>
      </c>
      <c r="L79" s="809">
        <v>60345</v>
      </c>
      <c r="M79" s="809">
        <f>M128</f>
        <v>0</v>
      </c>
      <c r="N79" s="1833"/>
      <c r="O79" s="1857"/>
      <c r="P79" s="1884"/>
      <c r="Q79" s="368"/>
      <c r="R79" s="486"/>
      <c r="S79" s="486"/>
      <c r="T79" s="486"/>
      <c r="Z79" s="53">
        <v>1</v>
      </c>
    </row>
    <row r="80" spans="1:26" s="53" customFormat="1" ht="60" customHeight="1" x14ac:dyDescent="0.3">
      <c r="A80" s="1847"/>
      <c r="B80" s="1888"/>
      <c r="C80" s="1858"/>
      <c r="D80" s="1858"/>
      <c r="E80" s="1829"/>
      <c r="F80" s="315">
        <v>0</v>
      </c>
      <c r="G80" s="807" t="s">
        <v>14</v>
      </c>
      <c r="H80" s="809">
        <f>I80+J80+K80+L80+M80</f>
        <v>68161.5</v>
      </c>
      <c r="I80" s="809">
        <v>1858.95</v>
      </c>
      <c r="J80" s="809">
        <v>24992.55</v>
      </c>
      <c r="K80" s="809">
        <v>20655</v>
      </c>
      <c r="L80" s="809">
        <v>20655</v>
      </c>
      <c r="M80" s="809"/>
      <c r="N80" s="1834"/>
      <c r="O80" s="1858"/>
      <c r="P80" s="1885"/>
      <c r="Q80" s="368">
        <f>1-Q78</f>
        <v>0.255</v>
      </c>
      <c r="R80" s="486">
        <f>R78*$Q80</f>
        <v>1858.95</v>
      </c>
      <c r="S80" s="486">
        <f t="shared" ref="S80:U80" si="41">S78*$Q80</f>
        <v>24992.55</v>
      </c>
      <c r="T80" s="486">
        <f t="shared" si="41"/>
        <v>20655</v>
      </c>
      <c r="U80" s="486">
        <f t="shared" si="41"/>
        <v>20655</v>
      </c>
    </row>
    <row r="81" spans="1:26" s="53" customFormat="1" ht="26.25" customHeight="1" x14ac:dyDescent="0.3">
      <c r="A81" s="1864" t="s">
        <v>1274</v>
      </c>
      <c r="B81" s="1807" t="s">
        <v>320</v>
      </c>
      <c r="C81" s="1808"/>
      <c r="D81" s="1808"/>
      <c r="E81" s="1808"/>
      <c r="F81" s="1809"/>
      <c r="G81" s="808" t="s">
        <v>12</v>
      </c>
      <c r="H81" s="809">
        <f>H82+H83</f>
        <v>214140</v>
      </c>
      <c r="I81" s="809">
        <f t="shared" ref="I81:M81" si="42">I82+I83</f>
        <v>4482</v>
      </c>
      <c r="J81" s="809">
        <f t="shared" si="42"/>
        <v>60258</v>
      </c>
      <c r="K81" s="809">
        <f t="shared" si="42"/>
        <v>49800</v>
      </c>
      <c r="L81" s="809">
        <f t="shared" si="42"/>
        <v>49800</v>
      </c>
      <c r="M81" s="809">
        <f t="shared" si="42"/>
        <v>0</v>
      </c>
      <c r="N81" s="1816"/>
      <c r="O81" s="1827"/>
      <c r="P81" s="1060" t="s">
        <v>1488</v>
      </c>
      <c r="Q81" s="368"/>
      <c r="R81" s="479"/>
      <c r="S81" s="479"/>
      <c r="T81" s="479"/>
    </row>
    <row r="82" spans="1:26" s="53" customFormat="1" ht="31.5" customHeight="1" x14ac:dyDescent="0.3">
      <c r="A82" s="1864"/>
      <c r="B82" s="1810"/>
      <c r="C82" s="1811"/>
      <c r="D82" s="1811"/>
      <c r="E82" s="1811"/>
      <c r="F82" s="1812"/>
      <c r="G82" s="808" t="s">
        <v>13</v>
      </c>
      <c r="H82" s="809">
        <f>I82+J82+K82+L82+L82+M82</f>
        <v>185445.24</v>
      </c>
      <c r="I82" s="809">
        <f>I85</f>
        <v>3881.41</v>
      </c>
      <c r="J82" s="809">
        <f t="shared" ref="J82:M83" si="43">J85</f>
        <v>52183.43</v>
      </c>
      <c r="K82" s="809">
        <f t="shared" si="43"/>
        <v>43126.8</v>
      </c>
      <c r="L82" s="809">
        <f t="shared" si="43"/>
        <v>43126.8</v>
      </c>
      <c r="M82" s="809">
        <f t="shared" si="43"/>
        <v>0</v>
      </c>
      <c r="N82" s="1817"/>
      <c r="O82" s="1828"/>
      <c r="P82" s="1060"/>
      <c r="Q82" s="368"/>
      <c r="R82" s="479"/>
      <c r="S82" s="479"/>
      <c r="T82" s="479"/>
    </row>
    <row r="83" spans="1:26" s="53" customFormat="1" ht="36" customHeight="1" x14ac:dyDescent="0.3">
      <c r="A83" s="1864"/>
      <c r="B83" s="1813"/>
      <c r="C83" s="1814"/>
      <c r="D83" s="1814"/>
      <c r="E83" s="1814"/>
      <c r="F83" s="1815"/>
      <c r="G83" s="807" t="s">
        <v>14</v>
      </c>
      <c r="H83" s="809">
        <f>I83+J83+K83+L83+L83+M83</f>
        <v>28694.76</v>
      </c>
      <c r="I83" s="809">
        <f>I86</f>
        <v>600.59</v>
      </c>
      <c r="J83" s="809">
        <f t="shared" si="43"/>
        <v>8074.57</v>
      </c>
      <c r="K83" s="809">
        <f t="shared" si="43"/>
        <v>6673.2</v>
      </c>
      <c r="L83" s="809">
        <f t="shared" si="43"/>
        <v>6673.2</v>
      </c>
      <c r="M83" s="809">
        <f t="shared" si="43"/>
        <v>0</v>
      </c>
      <c r="N83" s="1818"/>
      <c r="O83" s="1829"/>
      <c r="P83" s="1060"/>
      <c r="Q83" s="368"/>
      <c r="R83" s="479"/>
      <c r="S83" s="479"/>
      <c r="T83" s="479"/>
    </row>
    <row r="84" spans="1:26" s="53" customFormat="1" ht="54" customHeight="1" x14ac:dyDescent="0.3">
      <c r="A84" s="1845" t="s">
        <v>1275</v>
      </c>
      <c r="B84" s="1886" t="s">
        <v>1276</v>
      </c>
      <c r="C84" s="1820" t="s">
        <v>998</v>
      </c>
      <c r="D84" s="1820" t="s">
        <v>1277</v>
      </c>
      <c r="E84" s="1871">
        <f>H84</f>
        <v>164340</v>
      </c>
      <c r="F84" s="315">
        <f>F85+F86</f>
        <v>0</v>
      </c>
      <c r="G84" s="807" t="s">
        <v>12</v>
      </c>
      <c r="H84" s="809">
        <f>H85+H86</f>
        <v>164340</v>
      </c>
      <c r="I84" s="809">
        <f t="shared" ref="I84:M84" si="44">I85+I86</f>
        <v>4482</v>
      </c>
      <c r="J84" s="809">
        <f t="shared" si="44"/>
        <v>60258</v>
      </c>
      <c r="K84" s="809">
        <f t="shared" si="44"/>
        <v>49800</v>
      </c>
      <c r="L84" s="809">
        <f t="shared" si="44"/>
        <v>49800</v>
      </c>
      <c r="M84" s="809">
        <f t="shared" si="44"/>
        <v>0</v>
      </c>
      <c r="N84" s="1832"/>
      <c r="O84" s="1820" t="s">
        <v>16</v>
      </c>
      <c r="P84" s="1883"/>
      <c r="Q84" s="368">
        <v>0.86599999999999999</v>
      </c>
      <c r="R84" s="479">
        <f>I85/$Q84</f>
        <v>4482</v>
      </c>
      <c r="S84" s="479">
        <f>J85/$Q84</f>
        <v>60258</v>
      </c>
      <c r="T84" s="479">
        <f>K85/$Q84</f>
        <v>49800</v>
      </c>
    </row>
    <row r="85" spans="1:26" s="53" customFormat="1" ht="22.5" customHeight="1" x14ac:dyDescent="0.3">
      <c r="A85" s="1846"/>
      <c r="B85" s="1887"/>
      <c r="C85" s="1857"/>
      <c r="D85" s="1857"/>
      <c r="E85" s="1828"/>
      <c r="F85" s="315">
        <v>0</v>
      </c>
      <c r="G85" s="807" t="s">
        <v>13</v>
      </c>
      <c r="H85" s="809">
        <f>I85+J85+K85+L85+M85</f>
        <v>142318.44</v>
      </c>
      <c r="I85" s="809">
        <v>3881.41</v>
      </c>
      <c r="J85" s="809">
        <v>52183.43</v>
      </c>
      <c r="K85" s="809">
        <v>43126.8</v>
      </c>
      <c r="L85" s="809">
        <v>43126.8</v>
      </c>
      <c r="M85" s="809">
        <f>M134</f>
        <v>0</v>
      </c>
      <c r="N85" s="1833"/>
      <c r="O85" s="1857"/>
      <c r="P85" s="1884"/>
      <c r="Q85" s="368"/>
      <c r="R85" s="486"/>
      <c r="S85" s="486"/>
      <c r="T85" s="486"/>
      <c r="Z85" s="53">
        <v>1</v>
      </c>
    </row>
    <row r="86" spans="1:26" s="53" customFormat="1" ht="24.75" customHeight="1" x14ac:dyDescent="0.3">
      <c r="A86" s="1847"/>
      <c r="B86" s="1888"/>
      <c r="C86" s="1858"/>
      <c r="D86" s="1858"/>
      <c r="E86" s="1829"/>
      <c r="F86" s="315">
        <v>0</v>
      </c>
      <c r="G86" s="807" t="s">
        <v>14</v>
      </c>
      <c r="H86" s="809">
        <f>I86+J86+K86+L86+M86</f>
        <v>22021.56</v>
      </c>
      <c r="I86" s="809">
        <v>600.59</v>
      </c>
      <c r="J86" s="809">
        <v>8074.57</v>
      </c>
      <c r="K86" s="809">
        <v>6673.2</v>
      </c>
      <c r="L86" s="809">
        <v>6673.2</v>
      </c>
      <c r="M86" s="809"/>
      <c r="N86" s="1834"/>
      <c r="O86" s="1858"/>
      <c r="P86" s="1885"/>
      <c r="Q86" s="368">
        <f>1-Q84</f>
        <v>0.13400000000000001</v>
      </c>
      <c r="R86" s="486">
        <f>R84*$Q86</f>
        <v>600.59</v>
      </c>
      <c r="S86" s="486">
        <f t="shared" ref="S86:T86" si="45">S84*$Q86</f>
        <v>8074.57</v>
      </c>
      <c r="T86" s="486">
        <f t="shared" si="45"/>
        <v>6673.2</v>
      </c>
    </row>
    <row r="87" spans="1:26" s="53" customFormat="1" ht="35.25" customHeight="1" x14ac:dyDescent="0.3">
      <c r="A87" s="1864" t="s">
        <v>1278</v>
      </c>
      <c r="B87" s="1807" t="s">
        <v>1279</v>
      </c>
      <c r="C87" s="1808"/>
      <c r="D87" s="1808"/>
      <c r="E87" s="1808"/>
      <c r="F87" s="1809"/>
      <c r="G87" s="808" t="s">
        <v>12</v>
      </c>
      <c r="H87" s="809">
        <f>H88+H89</f>
        <v>483750.02</v>
      </c>
      <c r="I87" s="809">
        <f t="shared" ref="I87:M87" si="46">I88+I89</f>
        <v>10125.01</v>
      </c>
      <c r="J87" s="809">
        <f t="shared" si="46"/>
        <v>136125.01</v>
      </c>
      <c r="K87" s="809">
        <f t="shared" si="46"/>
        <v>112500</v>
      </c>
      <c r="L87" s="809">
        <f t="shared" si="46"/>
        <v>112500</v>
      </c>
      <c r="M87" s="809">
        <f t="shared" si="46"/>
        <v>0</v>
      </c>
      <c r="N87" s="1816"/>
      <c r="O87" s="1827"/>
      <c r="P87" s="1062" t="s">
        <v>1259</v>
      </c>
      <c r="Q87" s="368"/>
      <c r="R87" s="479"/>
      <c r="S87" s="479"/>
      <c r="T87" s="479"/>
    </row>
    <row r="88" spans="1:26" s="53" customFormat="1" ht="40.5" customHeight="1" x14ac:dyDescent="0.3">
      <c r="A88" s="1864"/>
      <c r="B88" s="1810"/>
      <c r="C88" s="1811"/>
      <c r="D88" s="1811"/>
      <c r="E88" s="1811"/>
      <c r="F88" s="1812"/>
      <c r="G88" s="808" t="s">
        <v>13</v>
      </c>
      <c r="H88" s="809">
        <f>I88+J88+K88+L88+L88+M88</f>
        <v>369101.26</v>
      </c>
      <c r="I88" s="809">
        <f t="shared" ref="I88:M89" si="47">I91</f>
        <v>7725.38</v>
      </c>
      <c r="J88" s="809">
        <f t="shared" si="47"/>
        <v>103863.38</v>
      </c>
      <c r="K88" s="809">
        <f t="shared" si="47"/>
        <v>85837.5</v>
      </c>
      <c r="L88" s="809">
        <f t="shared" si="47"/>
        <v>85837.5</v>
      </c>
      <c r="M88" s="809">
        <f t="shared" si="47"/>
        <v>0</v>
      </c>
      <c r="N88" s="1817"/>
      <c r="O88" s="1828"/>
      <c r="P88" s="1063"/>
      <c r="Q88" s="368"/>
      <c r="R88" s="479"/>
      <c r="S88" s="479"/>
      <c r="T88" s="479"/>
    </row>
    <row r="89" spans="1:26" s="53" customFormat="1" ht="38.25" customHeight="1" x14ac:dyDescent="0.3">
      <c r="A89" s="1864"/>
      <c r="B89" s="1813"/>
      <c r="C89" s="1814"/>
      <c r="D89" s="1814"/>
      <c r="E89" s="1814"/>
      <c r="F89" s="1815"/>
      <c r="G89" s="807" t="s">
        <v>14</v>
      </c>
      <c r="H89" s="809">
        <f>I89+J89+K89+L89+L89+M89</f>
        <v>114648.76</v>
      </c>
      <c r="I89" s="809">
        <f t="shared" si="47"/>
        <v>2399.63</v>
      </c>
      <c r="J89" s="809">
        <f t="shared" si="47"/>
        <v>32261.63</v>
      </c>
      <c r="K89" s="809">
        <f t="shared" si="47"/>
        <v>26662.5</v>
      </c>
      <c r="L89" s="809">
        <f t="shared" si="47"/>
        <v>26662.5</v>
      </c>
      <c r="M89" s="809">
        <f t="shared" si="47"/>
        <v>0</v>
      </c>
      <c r="N89" s="1818"/>
      <c r="O89" s="1829"/>
      <c r="P89" s="1064"/>
      <c r="Q89" s="368"/>
      <c r="R89" s="479"/>
      <c r="S89" s="479"/>
      <c r="T89" s="479"/>
    </row>
    <row r="90" spans="1:26" s="53" customFormat="1" ht="35.25" customHeight="1" x14ac:dyDescent="0.3">
      <c r="A90" s="1845" t="s">
        <v>1280</v>
      </c>
      <c r="B90" s="1886" t="s">
        <v>1281</v>
      </c>
      <c r="C90" s="1898" t="s">
        <v>998</v>
      </c>
      <c r="D90" s="1820"/>
      <c r="E90" s="1871">
        <f>H90</f>
        <v>371250.02</v>
      </c>
      <c r="F90" s="315">
        <f>F91+F92</f>
        <v>0</v>
      </c>
      <c r="G90" s="807" t="s">
        <v>12</v>
      </c>
      <c r="H90" s="809">
        <f>H91+H92</f>
        <v>371250.02</v>
      </c>
      <c r="I90" s="809">
        <f t="shared" ref="I90:M90" si="48">I91+I92</f>
        <v>10125.01</v>
      </c>
      <c r="J90" s="809">
        <f t="shared" si="48"/>
        <v>136125.01</v>
      </c>
      <c r="K90" s="809">
        <f t="shared" si="48"/>
        <v>112500</v>
      </c>
      <c r="L90" s="809">
        <f t="shared" si="48"/>
        <v>112500</v>
      </c>
      <c r="M90" s="809">
        <f t="shared" si="48"/>
        <v>0</v>
      </c>
      <c r="N90" s="1832"/>
      <c r="O90" s="1820" t="s">
        <v>16</v>
      </c>
      <c r="P90" s="1883"/>
      <c r="Q90" s="368">
        <v>0.76300000000000001</v>
      </c>
      <c r="R90" s="479">
        <f>I91/$Q90</f>
        <v>10125.01</v>
      </c>
      <c r="S90" s="479">
        <f>J91/$Q90</f>
        <v>136125.01</v>
      </c>
      <c r="T90" s="479">
        <f>K91/$Q90</f>
        <v>112500</v>
      </c>
    </row>
    <row r="91" spans="1:26" s="53" customFormat="1" ht="31.2" customHeight="1" x14ac:dyDescent="0.3">
      <c r="A91" s="1846"/>
      <c r="B91" s="1887"/>
      <c r="C91" s="1899"/>
      <c r="D91" s="1857"/>
      <c r="E91" s="1828"/>
      <c r="F91" s="315">
        <v>0</v>
      </c>
      <c r="G91" s="807" t="s">
        <v>13</v>
      </c>
      <c r="H91" s="809">
        <f>I91+J91+K91+L91+M91</f>
        <v>283263.76</v>
      </c>
      <c r="I91" s="809">
        <v>7725.38</v>
      </c>
      <c r="J91" s="809">
        <v>103863.38</v>
      </c>
      <c r="K91" s="809">
        <v>85837.5</v>
      </c>
      <c r="L91" s="809">
        <v>85837.5</v>
      </c>
      <c r="M91" s="809">
        <f>M140</f>
        <v>0</v>
      </c>
      <c r="N91" s="1833"/>
      <c r="O91" s="1857"/>
      <c r="P91" s="1884"/>
      <c r="Q91" s="368"/>
      <c r="R91" s="486"/>
      <c r="S91" s="486"/>
      <c r="T91" s="486"/>
      <c r="Z91" s="53">
        <v>1</v>
      </c>
    </row>
    <row r="92" spans="1:26" s="53" customFormat="1" ht="27" customHeight="1" x14ac:dyDescent="0.3">
      <c r="A92" s="1847"/>
      <c r="B92" s="1888"/>
      <c r="C92" s="1900"/>
      <c r="D92" s="1858"/>
      <c r="E92" s="1829"/>
      <c r="F92" s="315">
        <v>0</v>
      </c>
      <c r="G92" s="807" t="s">
        <v>14</v>
      </c>
      <c r="H92" s="809">
        <f>I92+J92+K92+L92+M92</f>
        <v>87986.26</v>
      </c>
      <c r="I92" s="809">
        <v>2399.63</v>
      </c>
      <c r="J92" s="809">
        <v>32261.63</v>
      </c>
      <c r="K92" s="809">
        <v>26662.5</v>
      </c>
      <c r="L92" s="809">
        <v>26662.5</v>
      </c>
      <c r="M92" s="809"/>
      <c r="N92" s="1834"/>
      <c r="O92" s="1858"/>
      <c r="P92" s="1885"/>
      <c r="Q92" s="368">
        <f>1-Q90</f>
        <v>0.23699999999999999</v>
      </c>
      <c r="R92" s="486">
        <f>R90*$Q92</f>
        <v>2399.63</v>
      </c>
      <c r="S92" s="486">
        <f t="shared" ref="S92:T92" si="49">S90*$Q92</f>
        <v>32261.63</v>
      </c>
      <c r="T92" s="486">
        <f t="shared" si="49"/>
        <v>26662.5</v>
      </c>
    </row>
    <row r="93" spans="1:26" s="53" customFormat="1" ht="21" customHeight="1" x14ac:dyDescent="0.3">
      <c r="A93" s="1864" t="s">
        <v>1282</v>
      </c>
      <c r="B93" s="1807" t="s">
        <v>141</v>
      </c>
      <c r="C93" s="1808"/>
      <c r="D93" s="1808"/>
      <c r="E93" s="1808"/>
      <c r="F93" s="1809"/>
      <c r="G93" s="808" t="s">
        <v>12</v>
      </c>
      <c r="H93" s="809">
        <f>H94+H95</f>
        <v>516000</v>
      </c>
      <c r="I93" s="809">
        <f t="shared" ref="I93:M93" si="50">I94+I95</f>
        <v>10800</v>
      </c>
      <c r="J93" s="809">
        <f t="shared" si="50"/>
        <v>145200</v>
      </c>
      <c r="K93" s="809">
        <f t="shared" si="50"/>
        <v>120000</v>
      </c>
      <c r="L93" s="809">
        <f t="shared" si="50"/>
        <v>120000</v>
      </c>
      <c r="M93" s="809">
        <f t="shared" si="50"/>
        <v>0</v>
      </c>
      <c r="N93" s="1816"/>
      <c r="O93" s="1827"/>
      <c r="P93" s="1062" t="s">
        <v>1259</v>
      </c>
      <c r="Q93" s="368"/>
      <c r="R93" s="479"/>
      <c r="S93" s="479"/>
      <c r="T93" s="479"/>
    </row>
    <row r="94" spans="1:26" s="53" customFormat="1" ht="27" customHeight="1" x14ac:dyDescent="0.3">
      <c r="A94" s="1864"/>
      <c r="B94" s="1810"/>
      <c r="C94" s="1811"/>
      <c r="D94" s="1811"/>
      <c r="E94" s="1811"/>
      <c r="F94" s="1812"/>
      <c r="G94" s="808" t="s">
        <v>13</v>
      </c>
      <c r="H94" s="809">
        <f>I94+J94+K94+L94+L94+M94</f>
        <v>381840</v>
      </c>
      <c r="I94" s="809">
        <f>I97</f>
        <v>7992</v>
      </c>
      <c r="J94" s="809">
        <f t="shared" ref="J94:M95" si="51">J97</f>
        <v>107448</v>
      </c>
      <c r="K94" s="809">
        <f t="shared" si="51"/>
        <v>88800</v>
      </c>
      <c r="L94" s="809">
        <f t="shared" si="51"/>
        <v>88800</v>
      </c>
      <c r="M94" s="809">
        <f t="shared" si="51"/>
        <v>0</v>
      </c>
      <c r="N94" s="1817"/>
      <c r="O94" s="1828"/>
      <c r="P94" s="1063"/>
      <c r="Q94" s="368"/>
      <c r="R94" s="479"/>
      <c r="S94" s="479"/>
      <c r="T94" s="479"/>
    </row>
    <row r="95" spans="1:26" s="53" customFormat="1" ht="28.2" customHeight="1" x14ac:dyDescent="0.3">
      <c r="A95" s="1864"/>
      <c r="B95" s="1813"/>
      <c r="C95" s="1814"/>
      <c r="D95" s="1814"/>
      <c r="E95" s="1814"/>
      <c r="F95" s="1815"/>
      <c r="G95" s="807" t="s">
        <v>14</v>
      </c>
      <c r="H95" s="809">
        <f>I95+J95+K95+L95+L95+M95</f>
        <v>134160</v>
      </c>
      <c r="I95" s="809">
        <f>I98</f>
        <v>2808</v>
      </c>
      <c r="J95" s="809">
        <f t="shared" si="51"/>
        <v>37752</v>
      </c>
      <c r="K95" s="809">
        <f t="shared" si="51"/>
        <v>31200</v>
      </c>
      <c r="L95" s="809">
        <f t="shared" si="51"/>
        <v>31200</v>
      </c>
      <c r="M95" s="809">
        <f t="shared" si="51"/>
        <v>0</v>
      </c>
      <c r="N95" s="1818"/>
      <c r="O95" s="1829"/>
      <c r="P95" s="1064"/>
      <c r="Q95" s="368"/>
      <c r="R95" s="479"/>
      <c r="S95" s="479"/>
      <c r="T95" s="479"/>
    </row>
    <row r="96" spans="1:26" s="53" customFormat="1" ht="36" customHeight="1" x14ac:dyDescent="0.3">
      <c r="A96" s="1845" t="s">
        <v>1283</v>
      </c>
      <c r="B96" s="1886" t="s">
        <v>1284</v>
      </c>
      <c r="C96" s="1820" t="s">
        <v>998</v>
      </c>
      <c r="D96" s="1820" t="s">
        <v>1285</v>
      </c>
      <c r="E96" s="1871">
        <f>H96</f>
        <v>396000</v>
      </c>
      <c r="F96" s="315">
        <f>F97+F98</f>
        <v>0</v>
      </c>
      <c r="G96" s="807" t="s">
        <v>12</v>
      </c>
      <c r="H96" s="809">
        <f>H97+H98</f>
        <v>396000</v>
      </c>
      <c r="I96" s="809">
        <f t="shared" ref="I96:M96" si="52">I97+I98</f>
        <v>10800</v>
      </c>
      <c r="J96" s="809">
        <f t="shared" si="52"/>
        <v>145200</v>
      </c>
      <c r="K96" s="809">
        <f t="shared" si="52"/>
        <v>120000</v>
      </c>
      <c r="L96" s="809">
        <f t="shared" si="52"/>
        <v>120000</v>
      </c>
      <c r="M96" s="809">
        <f t="shared" si="52"/>
        <v>0</v>
      </c>
      <c r="N96" s="1832"/>
      <c r="O96" s="1820" t="s">
        <v>16</v>
      </c>
      <c r="P96" s="1883"/>
      <c r="Q96" s="368">
        <v>0.74</v>
      </c>
      <c r="R96" s="479">
        <f>I97/$Q96</f>
        <v>10800</v>
      </c>
      <c r="S96" s="479">
        <f>J97/$Q96</f>
        <v>145200</v>
      </c>
      <c r="T96" s="479">
        <f>K97/$Q96</f>
        <v>120000</v>
      </c>
    </row>
    <row r="97" spans="1:26" s="53" customFormat="1" ht="28.2" customHeight="1" x14ac:dyDescent="0.3">
      <c r="A97" s="1846"/>
      <c r="B97" s="1887"/>
      <c r="C97" s="1857"/>
      <c r="D97" s="1857"/>
      <c r="E97" s="1828"/>
      <c r="F97" s="315">
        <v>0</v>
      </c>
      <c r="G97" s="807" t="s">
        <v>13</v>
      </c>
      <c r="H97" s="809">
        <f>I97+J97+K97+L97+M97</f>
        <v>293040</v>
      </c>
      <c r="I97" s="809">
        <v>7992</v>
      </c>
      <c r="J97" s="809">
        <v>107448</v>
      </c>
      <c r="K97" s="809">
        <v>88800</v>
      </c>
      <c r="L97" s="809">
        <v>88800</v>
      </c>
      <c r="M97" s="809">
        <f>M149</f>
        <v>0</v>
      </c>
      <c r="N97" s="1833"/>
      <c r="O97" s="1857"/>
      <c r="P97" s="1884"/>
      <c r="Q97" s="368"/>
      <c r="R97" s="486"/>
      <c r="S97" s="486"/>
      <c r="T97" s="486"/>
      <c r="Z97" s="53">
        <v>1</v>
      </c>
    </row>
    <row r="98" spans="1:26" s="53" customFormat="1" ht="31.2" customHeight="1" x14ac:dyDescent="0.3">
      <c r="A98" s="1847"/>
      <c r="B98" s="1888"/>
      <c r="C98" s="1858"/>
      <c r="D98" s="1858"/>
      <c r="E98" s="1829"/>
      <c r="F98" s="315">
        <v>0</v>
      </c>
      <c r="G98" s="807" t="s">
        <v>14</v>
      </c>
      <c r="H98" s="809">
        <f>I98+J98+K98+L98+M98</f>
        <v>102960</v>
      </c>
      <c r="I98" s="809">
        <v>2808</v>
      </c>
      <c r="J98" s="809">
        <v>37752</v>
      </c>
      <c r="K98" s="809">
        <v>31200</v>
      </c>
      <c r="L98" s="809">
        <v>31200</v>
      </c>
      <c r="M98" s="809"/>
      <c r="N98" s="1834"/>
      <c r="O98" s="1858"/>
      <c r="P98" s="1885"/>
      <c r="Q98" s="368">
        <f>1-Q96</f>
        <v>0.26</v>
      </c>
      <c r="R98" s="486">
        <f>R96*$Q98</f>
        <v>2808</v>
      </c>
      <c r="S98" s="486">
        <f t="shared" ref="S98:T98" si="53">S96*$Q98</f>
        <v>37752</v>
      </c>
      <c r="T98" s="486">
        <f t="shared" si="53"/>
        <v>31200</v>
      </c>
    </row>
    <row r="99" spans="1:26" s="53" customFormat="1" ht="28.95" customHeight="1" x14ac:dyDescent="0.3">
      <c r="A99" s="1864" t="s">
        <v>1286</v>
      </c>
      <c r="B99" s="1904" t="s">
        <v>1465</v>
      </c>
      <c r="C99" s="1905"/>
      <c r="D99" s="1905"/>
      <c r="E99" s="1905"/>
      <c r="F99" s="1906"/>
      <c r="G99" s="808" t="s">
        <v>12</v>
      </c>
      <c r="H99" s="809">
        <f>H100+H101+H102</f>
        <v>74085</v>
      </c>
      <c r="I99" s="1033">
        <f>I100+I101+I102</f>
        <v>4085</v>
      </c>
      <c r="J99" s="809">
        <f t="shared" ref="J99:M99" si="54">J100+J101</f>
        <v>70000</v>
      </c>
      <c r="K99" s="809">
        <f t="shared" si="54"/>
        <v>0</v>
      </c>
      <c r="L99" s="809">
        <f t="shared" si="54"/>
        <v>0</v>
      </c>
      <c r="M99" s="809">
        <f t="shared" si="54"/>
        <v>0</v>
      </c>
      <c r="N99" s="1816"/>
      <c r="O99" s="1827"/>
      <c r="P99" s="1062" t="s">
        <v>1490</v>
      </c>
      <c r="Q99" s="368"/>
      <c r="R99" s="479"/>
      <c r="S99" s="479"/>
      <c r="T99" s="479"/>
    </row>
    <row r="100" spans="1:26" s="53" customFormat="1" ht="21" customHeight="1" x14ac:dyDescent="0.3">
      <c r="A100" s="1864"/>
      <c r="B100" s="1907"/>
      <c r="C100" s="1908"/>
      <c r="D100" s="1908"/>
      <c r="E100" s="1908"/>
      <c r="F100" s="1909"/>
      <c r="G100" s="808" t="s">
        <v>13</v>
      </c>
      <c r="H100" s="809">
        <f>I100+J100+K100+L100+L100+M100</f>
        <v>57190</v>
      </c>
      <c r="I100" s="1033">
        <f>I104</f>
        <v>0</v>
      </c>
      <c r="J100" s="809">
        <f t="shared" ref="J100:M101" si="55">J104</f>
        <v>57190</v>
      </c>
      <c r="K100" s="809">
        <f t="shared" si="55"/>
        <v>0</v>
      </c>
      <c r="L100" s="809">
        <f t="shared" si="55"/>
        <v>0</v>
      </c>
      <c r="M100" s="809">
        <f t="shared" si="55"/>
        <v>0</v>
      </c>
      <c r="N100" s="1817"/>
      <c r="O100" s="1828"/>
      <c r="P100" s="1063"/>
      <c r="Q100" s="368"/>
      <c r="R100" s="479"/>
      <c r="S100" s="479"/>
      <c r="T100" s="479"/>
    </row>
    <row r="101" spans="1:26" s="53" customFormat="1" ht="30" customHeight="1" x14ac:dyDescent="0.3">
      <c r="A101" s="1864"/>
      <c r="B101" s="1910"/>
      <c r="C101" s="1911"/>
      <c r="D101" s="1911"/>
      <c r="E101" s="1911"/>
      <c r="F101" s="1912"/>
      <c r="G101" s="807" t="s">
        <v>14</v>
      </c>
      <c r="H101" s="809">
        <f>I101+J101+K101+L101+L101+M101</f>
        <v>12810</v>
      </c>
      <c r="I101" s="876">
        <f>I105</f>
        <v>0</v>
      </c>
      <c r="J101" s="809">
        <f t="shared" si="55"/>
        <v>12810</v>
      </c>
      <c r="K101" s="809">
        <f t="shared" si="55"/>
        <v>0</v>
      </c>
      <c r="L101" s="809">
        <f t="shared" si="55"/>
        <v>0</v>
      </c>
      <c r="M101" s="809">
        <f t="shared" si="55"/>
        <v>0</v>
      </c>
      <c r="N101" s="1818"/>
      <c r="O101" s="1829"/>
      <c r="P101" s="1064"/>
      <c r="Q101" s="368"/>
      <c r="R101" s="479"/>
      <c r="S101" s="479"/>
      <c r="T101" s="479"/>
    </row>
    <row r="102" spans="1:26" s="1" customFormat="1" ht="30" customHeight="1" x14ac:dyDescent="0.3">
      <c r="A102" s="1052"/>
      <c r="B102" s="1108"/>
      <c r="C102" s="1109"/>
      <c r="D102" s="1109"/>
      <c r="E102" s="1109"/>
      <c r="F102" s="1110"/>
      <c r="G102" s="1107" t="s">
        <v>15</v>
      </c>
      <c r="H102" s="876">
        <f>I102</f>
        <v>4085</v>
      </c>
      <c r="I102" s="876">
        <f>I106</f>
        <v>4085</v>
      </c>
      <c r="J102" s="1033"/>
      <c r="K102" s="1033"/>
      <c r="L102" s="1033"/>
      <c r="M102" s="1033"/>
      <c r="N102" s="1031"/>
      <c r="O102" s="1032"/>
      <c r="P102" s="1034"/>
      <c r="Q102" s="1021"/>
      <c r="R102" s="105"/>
      <c r="S102" s="105"/>
      <c r="T102" s="105"/>
    </row>
    <row r="103" spans="1:26" s="53" customFormat="1" ht="33.75" customHeight="1" x14ac:dyDescent="0.3">
      <c r="A103" s="1845" t="s">
        <v>1287</v>
      </c>
      <c r="B103" s="1886" t="s">
        <v>1288</v>
      </c>
      <c r="C103" s="1820" t="s">
        <v>208</v>
      </c>
      <c r="D103" s="1820"/>
      <c r="E103" s="1871">
        <v>74085</v>
      </c>
      <c r="F103" s="315">
        <f>F104+F105</f>
        <v>0</v>
      </c>
      <c r="G103" s="807" t="s">
        <v>12</v>
      </c>
      <c r="H103" s="809">
        <f>H104+H105+H106</f>
        <v>74085</v>
      </c>
      <c r="I103" s="809">
        <f>I106</f>
        <v>4085</v>
      </c>
      <c r="J103" s="809">
        <f t="shared" ref="J103:M103" si="56">J104+J105</f>
        <v>70000</v>
      </c>
      <c r="K103" s="809">
        <f t="shared" si="56"/>
        <v>0</v>
      </c>
      <c r="L103" s="809">
        <f t="shared" si="56"/>
        <v>0</v>
      </c>
      <c r="M103" s="809">
        <f t="shared" si="56"/>
        <v>0</v>
      </c>
      <c r="N103" s="1832"/>
      <c r="O103" s="1820" t="s">
        <v>16</v>
      </c>
      <c r="P103" s="1901" t="s">
        <v>1289</v>
      </c>
      <c r="Q103" s="368">
        <v>0.81699999999999995</v>
      </c>
      <c r="R103" s="479">
        <f>I104/$Q103</f>
        <v>0</v>
      </c>
      <c r="S103" s="479">
        <f>J104/$Q103</f>
        <v>70000</v>
      </c>
      <c r="T103" s="479">
        <f>K104/$Q103</f>
        <v>0</v>
      </c>
    </row>
    <row r="104" spans="1:26" s="53" customFormat="1" ht="21" customHeight="1" x14ac:dyDescent="0.3">
      <c r="A104" s="1846"/>
      <c r="B104" s="1887"/>
      <c r="C104" s="1857"/>
      <c r="D104" s="1857"/>
      <c r="E104" s="1828"/>
      <c r="F104" s="315">
        <v>0</v>
      </c>
      <c r="G104" s="807" t="s">
        <v>13</v>
      </c>
      <c r="H104" s="809">
        <f>I104+J104+K104+L104+M104</f>
        <v>57190</v>
      </c>
      <c r="I104" s="809">
        <v>0</v>
      </c>
      <c r="J104" s="809">
        <v>57190</v>
      </c>
      <c r="K104" s="809">
        <v>0</v>
      </c>
      <c r="L104" s="809">
        <f>L155</f>
        <v>0</v>
      </c>
      <c r="M104" s="809">
        <f>M155</f>
        <v>0</v>
      </c>
      <c r="N104" s="1833"/>
      <c r="O104" s="1857"/>
      <c r="P104" s="1902"/>
      <c r="Q104" s="368"/>
      <c r="R104" s="486"/>
      <c r="S104" s="486"/>
      <c r="T104" s="486"/>
      <c r="X104" s="53">
        <v>1</v>
      </c>
    </row>
    <row r="105" spans="1:26" s="53" customFormat="1" ht="30" customHeight="1" x14ac:dyDescent="0.3">
      <c r="A105" s="1847"/>
      <c r="B105" s="1888"/>
      <c r="C105" s="1858"/>
      <c r="D105" s="1858"/>
      <c r="E105" s="1829"/>
      <c r="F105" s="315">
        <v>0</v>
      </c>
      <c r="G105" s="807" t="s">
        <v>14</v>
      </c>
      <c r="H105" s="876">
        <f>I105+J105+K105+L105+M105</f>
        <v>12810</v>
      </c>
      <c r="I105" s="956">
        <f>4085*0</f>
        <v>0</v>
      </c>
      <c r="J105" s="809">
        <v>12810</v>
      </c>
      <c r="K105" s="809">
        <v>0</v>
      </c>
      <c r="L105" s="1338">
        <f>L156</f>
        <v>0</v>
      </c>
      <c r="M105" s="1338">
        <f>M156</f>
        <v>0</v>
      </c>
      <c r="N105" s="1834"/>
      <c r="O105" s="1858"/>
      <c r="P105" s="1903"/>
      <c r="Q105" s="368">
        <f>1-Q103</f>
        <v>0.183</v>
      </c>
      <c r="R105" s="486">
        <f>R103*$Q105</f>
        <v>0</v>
      </c>
      <c r="S105" s="486">
        <f t="shared" ref="S105:T105" si="57">S103*$Q105</f>
        <v>12810</v>
      </c>
      <c r="T105" s="486">
        <f t="shared" si="57"/>
        <v>0</v>
      </c>
    </row>
    <row r="106" spans="1:26" s="53" customFormat="1" ht="30" customHeight="1" x14ac:dyDescent="0.3">
      <c r="A106" s="1027"/>
      <c r="B106" s="1029"/>
      <c r="C106" s="1028"/>
      <c r="D106" s="1028"/>
      <c r="E106" s="1025"/>
      <c r="F106" s="315"/>
      <c r="G106" s="1107" t="s">
        <v>15</v>
      </c>
      <c r="H106" s="876">
        <f>I106</f>
        <v>4085</v>
      </c>
      <c r="I106" s="876">
        <f>4085</f>
        <v>4085</v>
      </c>
      <c r="J106" s="1338">
        <v>0</v>
      </c>
      <c r="K106" s="1338">
        <f>K157</f>
        <v>0</v>
      </c>
      <c r="L106" s="1338">
        <f>L157</f>
        <v>0</v>
      </c>
      <c r="M106" s="1024">
        <v>0</v>
      </c>
      <c r="N106" s="1026"/>
      <c r="O106" s="1023"/>
      <c r="P106" s="1030"/>
      <c r="Q106" s="368"/>
      <c r="R106" s="486"/>
      <c r="S106" s="486"/>
      <c r="T106" s="486"/>
    </row>
    <row r="107" spans="1:26" s="1020" customFormat="1" ht="33" customHeight="1" x14ac:dyDescent="0.3">
      <c r="A107" s="1010" t="s">
        <v>1290</v>
      </c>
      <c r="B107" s="1923" t="s">
        <v>757</v>
      </c>
      <c r="C107" s="1923"/>
      <c r="D107" s="1923"/>
      <c r="E107" s="1923"/>
      <c r="F107" s="1011"/>
      <c r="G107" s="1010" t="s">
        <v>13</v>
      </c>
      <c r="H107" s="1012">
        <f>I107+J107+K107+L107+M107</f>
        <v>5.0599999999999996</v>
      </c>
      <c r="I107" s="1013">
        <v>1.25</v>
      </c>
      <c r="J107" s="1013">
        <f>(2.41*0)+1.41+1</f>
        <v>2.41</v>
      </c>
      <c r="K107" s="1014">
        <v>0.7</v>
      </c>
      <c r="L107" s="1014">
        <v>0.7</v>
      </c>
      <c r="M107" s="1014">
        <v>0</v>
      </c>
      <c r="N107" s="1015"/>
      <c r="O107" s="1015"/>
      <c r="P107" s="1016"/>
      <c r="Q107" s="1017"/>
      <c r="R107" s="1018"/>
      <c r="S107" s="1018"/>
      <c r="T107" s="1018"/>
      <c r="U107" s="1019"/>
      <c r="V107" s="1019"/>
      <c r="W107" s="1019"/>
      <c r="X107" s="1019"/>
      <c r="Y107" s="1019"/>
    </row>
    <row r="108" spans="1:26" s="489" customFormat="1" ht="52.2" customHeight="1" x14ac:dyDescent="0.3">
      <c r="A108" s="1924" t="s">
        <v>1369</v>
      </c>
      <c r="B108" s="1925"/>
      <c r="C108" s="1925"/>
      <c r="D108" s="1925"/>
      <c r="E108" s="1926"/>
      <c r="F108" s="819">
        <f>F109+F110</f>
        <v>73327.850000000006</v>
      </c>
      <c r="G108" s="814" t="s">
        <v>42</v>
      </c>
      <c r="H108" s="818">
        <f>H109+H110+H111</f>
        <v>6664157.8099999996</v>
      </c>
      <c r="I108" s="818">
        <f>I109+I110+I111</f>
        <v>792245.9</v>
      </c>
      <c r="J108" s="818">
        <f t="shared" ref="J108:M108" si="58">J109+J110</f>
        <v>2355310.5099999998</v>
      </c>
      <c r="K108" s="818">
        <f t="shared" si="58"/>
        <v>1758300.7</v>
      </c>
      <c r="L108" s="818">
        <f t="shared" si="58"/>
        <v>1758300.7</v>
      </c>
      <c r="M108" s="818">
        <f t="shared" si="58"/>
        <v>0</v>
      </c>
      <c r="N108" s="1933"/>
      <c r="O108" s="1871"/>
      <c r="P108" s="1065" t="s">
        <v>1492</v>
      </c>
      <c r="Q108" s="490"/>
      <c r="R108" s="479"/>
      <c r="S108" s="479"/>
      <c r="T108" s="479"/>
      <c r="U108" s="53"/>
      <c r="V108" s="53"/>
      <c r="W108" s="53"/>
      <c r="X108" s="53"/>
      <c r="Y108" s="53"/>
    </row>
    <row r="109" spans="1:26" s="489" customFormat="1" ht="25.95" customHeight="1" x14ac:dyDescent="0.3">
      <c r="A109" s="1927"/>
      <c r="B109" s="1928"/>
      <c r="C109" s="1928"/>
      <c r="D109" s="1928"/>
      <c r="E109" s="1929"/>
      <c r="F109" s="819">
        <f>F12+F18+F24+F33+F39+F45+F104+F97+F91+F85+F79+F73+F67+F61</f>
        <v>67656.67</v>
      </c>
      <c r="G109" s="814" t="s">
        <v>13</v>
      </c>
      <c r="H109" s="818">
        <f>I109+J109+K109+L109+M109</f>
        <v>5719120</v>
      </c>
      <c r="I109" s="876">
        <f>I9+I15+I21+I30+I36+I42+I48+I107+I58+I64+I70+I76+I82+I88+I94+I100</f>
        <v>644285</v>
      </c>
      <c r="J109" s="876">
        <f>J9+J15+J21+J30+J36+J42+J48+J107+J58+J64+J70+J76+J82+J88+J94+J100</f>
        <v>2005815</v>
      </c>
      <c r="K109" s="818">
        <f>K9+K15+K21+K30+K36+K42+K48+K107+K58+K64+K70+K76+K82+K88+K94+K100</f>
        <v>1534510</v>
      </c>
      <c r="L109" s="876">
        <f>L9+L15+L21+L30+L36+L42+L48+L107+L58+L64+L70+L76+L82+L88+L94+L100</f>
        <v>1534510</v>
      </c>
      <c r="M109" s="818">
        <f>M9+M15+M21+M30+M36+M42+M48+M107+M58+M64+M70+M76+M82+M88+M94+M100</f>
        <v>0</v>
      </c>
      <c r="N109" s="1933"/>
      <c r="O109" s="1877"/>
      <c r="P109" s="1066"/>
      <c r="Q109" s="490"/>
      <c r="R109" s="479"/>
      <c r="S109" s="479"/>
      <c r="T109" s="479"/>
      <c r="U109" s="53"/>
      <c r="V109" s="53"/>
      <c r="W109" s="1124">
        <f>SUM(W8:W108)+W331+W341</f>
        <v>6</v>
      </c>
      <c r="X109" s="1124">
        <f t="shared" ref="X109" si="59">SUM(X8:X108)</f>
        <v>5</v>
      </c>
      <c r="Y109" s="1124">
        <f>SUM(Y8:Y108)+Y213</f>
        <v>1</v>
      </c>
      <c r="Z109" s="1124">
        <f>SUM(Z8:Z108)+Z361</f>
        <v>8</v>
      </c>
    </row>
    <row r="110" spans="1:26" s="489" customFormat="1" ht="54.75" customHeight="1" x14ac:dyDescent="0.3">
      <c r="A110" s="1930"/>
      <c r="B110" s="1931"/>
      <c r="C110" s="1931"/>
      <c r="D110" s="1931"/>
      <c r="E110" s="1932"/>
      <c r="F110" s="819">
        <f>F13+F19+F25+F34+F40+F46+F105+F98+F92+F86+F80+F74+F68+F62+F56</f>
        <v>5671.18</v>
      </c>
      <c r="G110" s="813" t="s">
        <v>34</v>
      </c>
      <c r="H110" s="818">
        <f>I110+J110+K110+L110+M110</f>
        <v>940952.81</v>
      </c>
      <c r="I110" s="818">
        <f>I10+I16+I22+I31+I37+I43+I49+I59+I65+I71+I77+I83+I89+I95+I101</f>
        <v>143875.9</v>
      </c>
      <c r="J110" s="1216">
        <f>J10+J16+J22+J31+J37+J43+J49+J59+J65+J71+J77+J83+J89+J95+J101</f>
        <v>349495.51</v>
      </c>
      <c r="K110" s="1216">
        <f>K10+K16+K22+K31+K37+K43+K49+K59+K65+K71+K77+K83+K89+K95+K101</f>
        <v>223790.7</v>
      </c>
      <c r="L110" s="1216">
        <f>L10+L16+L22+L31+L37+L43+L49+L59+L65+L71+L77+L83+L89+L95+L101</f>
        <v>223790.7</v>
      </c>
      <c r="M110" s="1216">
        <f>M10+M16+M22+M31+M37+M43+M49+M59+M65+M71+M77+M83+M89+M95+M101</f>
        <v>0</v>
      </c>
      <c r="N110" s="1933"/>
      <c r="O110" s="1878"/>
      <c r="P110" s="1067"/>
      <c r="Q110" s="490"/>
      <c r="R110" s="479"/>
      <c r="S110" s="479"/>
      <c r="T110" s="479"/>
      <c r="U110" s="53"/>
      <c r="V110" s="53"/>
      <c r="W110" s="53"/>
      <c r="X110" s="53"/>
      <c r="Y110" s="53"/>
    </row>
    <row r="111" spans="1:26" s="489" customFormat="1" ht="54.75" customHeight="1" x14ac:dyDescent="0.3">
      <c r="A111" s="1139"/>
      <c r="B111" s="1140"/>
      <c r="C111" s="1140"/>
      <c r="D111" s="1140"/>
      <c r="E111" s="1141"/>
      <c r="F111" s="1146"/>
      <c r="G111" s="1145" t="s">
        <v>15</v>
      </c>
      <c r="H111" s="876">
        <f>I111+J111+K111+L111</f>
        <v>4085</v>
      </c>
      <c r="I111" s="876">
        <f>I102</f>
        <v>4085</v>
      </c>
      <c r="J111" s="1137"/>
      <c r="K111" s="1137"/>
      <c r="L111" s="1137"/>
      <c r="M111" s="1143"/>
      <c r="N111" s="1142"/>
      <c r="O111" s="1138"/>
      <c r="P111" s="1351"/>
      <c r="Q111" s="490"/>
      <c r="R111" s="479"/>
      <c r="S111" s="479"/>
      <c r="T111" s="479"/>
      <c r="U111" s="53"/>
      <c r="V111" s="53"/>
      <c r="W111" s="53"/>
      <c r="X111" s="53"/>
      <c r="Y111" s="53"/>
    </row>
    <row r="112" spans="1:26" s="489" customFormat="1" ht="25.5" customHeight="1" x14ac:dyDescent="0.3">
      <c r="A112" s="1969"/>
      <c r="B112" s="1970"/>
      <c r="C112" s="1970"/>
      <c r="D112" s="1970"/>
      <c r="E112" s="1971"/>
      <c r="F112" s="896"/>
      <c r="G112" s="981" t="s">
        <v>33</v>
      </c>
      <c r="H112" s="896"/>
      <c r="I112" s="896"/>
      <c r="J112" s="896"/>
      <c r="K112" s="896"/>
      <c r="L112" s="896"/>
      <c r="M112" s="896">
        <f>M113+M115</f>
        <v>4.0599999999999996</v>
      </c>
      <c r="N112" s="491"/>
      <c r="O112" s="491"/>
      <c r="P112" s="492">
        <v>1967851</v>
      </c>
      <c r="Q112" s="493"/>
      <c r="R112" s="479"/>
      <c r="S112" s="479"/>
      <c r="T112" s="479"/>
      <c r="U112" s="53"/>
      <c r="V112" s="53"/>
      <c r="W112" s="53"/>
      <c r="X112" s="53"/>
      <c r="Y112" s="53"/>
    </row>
    <row r="113" spans="1:27" s="489" customFormat="1" ht="43.5" customHeight="1" x14ac:dyDescent="0.3">
      <c r="A113" s="1960" t="s">
        <v>1370</v>
      </c>
      <c r="B113" s="1961"/>
      <c r="C113" s="1961"/>
      <c r="D113" s="1961"/>
      <c r="E113" s="1962"/>
      <c r="F113" s="896" t="s">
        <v>567</v>
      </c>
      <c r="G113" s="1837" t="s">
        <v>348</v>
      </c>
      <c r="H113" s="896" t="s">
        <v>563</v>
      </c>
      <c r="I113" s="982">
        <f>I9+I15+I21+I30+I36+I42+I58+I64+I70+I76+I82+I88+I94+I100+I104+I107</f>
        <v>634085</v>
      </c>
      <c r="J113" s="1287">
        <f>J9+J15+J21+J30+J36+J42+J58+J64+J70+J76+J82+J88+J94+J100+0.5+1</f>
        <v>1967852</v>
      </c>
      <c r="K113" s="983">
        <f>K9+K15+K21+K30+K36+K42+K58+K64+K70+K76+K82+K88+K94+K100+K107</f>
        <v>1534510</v>
      </c>
      <c r="L113" s="983">
        <f>L9+L15+L21+L30+L36+L42+L58+L64+L70+L76+L82+L88+L94+L100+L107</f>
        <v>1534510</v>
      </c>
      <c r="M113" s="983">
        <f>1.25+0.5+0.7+0.7</f>
        <v>3.15</v>
      </c>
      <c r="N113" s="491"/>
      <c r="O113" s="1288">
        <f>J113+J115</f>
        <v>2005815</v>
      </c>
      <c r="P113" s="494">
        <f>P112-J113</f>
        <v>-1</v>
      </c>
      <c r="Q113" s="495">
        <f>J115+J113</f>
        <v>2005815</v>
      </c>
      <c r="R113" s="486"/>
      <c r="S113" s="486"/>
      <c r="T113" s="486"/>
    </row>
    <row r="114" spans="1:27" s="53" customFormat="1" ht="25.5" customHeight="1" x14ac:dyDescent="0.3">
      <c r="A114" s="1963"/>
      <c r="B114" s="1964"/>
      <c r="C114" s="1964"/>
      <c r="D114" s="1964"/>
      <c r="E114" s="1965"/>
      <c r="F114" s="896" t="s">
        <v>568</v>
      </c>
      <c r="G114" s="1837"/>
      <c r="H114" s="896" t="s">
        <v>564</v>
      </c>
      <c r="I114" s="896">
        <f t="shared" ref="I114:L114" si="60">I10+I16+I22+I31+I37+I43+M114+I59+I65+I71+I77+I83+I89+I95+I101</f>
        <v>92963.9</v>
      </c>
      <c r="J114" s="896">
        <f>J10+J16+J22+J31+J37+J43+N114+J59+J65+J71+J77+J83+J89+J95+J101</f>
        <v>289586.11</v>
      </c>
      <c r="K114" s="896">
        <f t="shared" si="60"/>
        <v>223790.7</v>
      </c>
      <c r="L114" s="896">
        <f t="shared" si="60"/>
        <v>223790.7</v>
      </c>
      <c r="M114" s="896"/>
      <c r="N114" s="491"/>
      <c r="O114" s="491">
        <f>O113-J109</f>
        <v>0</v>
      </c>
      <c r="P114" s="492"/>
      <c r="Q114" s="493"/>
      <c r="R114" s="486"/>
      <c r="S114" s="486"/>
      <c r="T114" s="486"/>
      <c r="U114" s="489"/>
      <c r="V114" s="489"/>
      <c r="W114" s="489"/>
      <c r="X114" s="489"/>
      <c r="Y114" s="489"/>
    </row>
    <row r="115" spans="1:27" s="53" customFormat="1" ht="25.5" customHeight="1" x14ac:dyDescent="0.3">
      <c r="A115" s="1963"/>
      <c r="B115" s="1964"/>
      <c r="C115" s="1964"/>
      <c r="D115" s="1964"/>
      <c r="E115" s="1965"/>
      <c r="F115" s="896" t="s">
        <v>565</v>
      </c>
      <c r="G115" s="1837" t="s">
        <v>349</v>
      </c>
      <c r="H115" s="896" t="s">
        <v>563</v>
      </c>
      <c r="I115" s="896">
        <f>I51</f>
        <v>10200</v>
      </c>
      <c r="J115" s="1286">
        <f>J51+0.91</f>
        <v>37963</v>
      </c>
      <c r="K115" s="896">
        <f t="shared" ref="K115:L115" si="61">K51</f>
        <v>0</v>
      </c>
      <c r="L115" s="896">
        <f t="shared" si="61"/>
        <v>0</v>
      </c>
      <c r="M115" s="896">
        <v>0.91</v>
      </c>
      <c r="N115" s="491"/>
      <c r="O115" s="491"/>
      <c r="P115" s="492"/>
      <c r="Q115" s="493"/>
      <c r="R115" s="486"/>
      <c r="S115" s="486"/>
      <c r="T115" s="486"/>
      <c r="U115" s="489"/>
      <c r="V115" s="489"/>
      <c r="W115" s="489"/>
      <c r="X115" s="489"/>
      <c r="Y115" s="489"/>
    </row>
    <row r="116" spans="1:27" s="53" customFormat="1" ht="25.5" customHeight="1" x14ac:dyDescent="0.3">
      <c r="A116" s="1966"/>
      <c r="B116" s="1967"/>
      <c r="C116" s="1967"/>
      <c r="D116" s="1967"/>
      <c r="E116" s="1968"/>
      <c r="F116" s="896" t="s">
        <v>566</v>
      </c>
      <c r="G116" s="1837"/>
      <c r="H116" s="896" t="s">
        <v>564</v>
      </c>
      <c r="I116" s="896">
        <v>0</v>
      </c>
      <c r="J116" s="896">
        <f>J52</f>
        <v>9909.4</v>
      </c>
      <c r="K116" s="896">
        <f>K52</f>
        <v>0</v>
      </c>
      <c r="L116" s="896">
        <f>L52</f>
        <v>0</v>
      </c>
      <c r="M116" s="896"/>
      <c r="N116" s="491"/>
      <c r="O116" s="491"/>
      <c r="P116" s="492">
        <v>49112</v>
      </c>
      <c r="Q116" s="493"/>
      <c r="R116" s="486"/>
      <c r="S116" s="486"/>
      <c r="T116" s="486"/>
      <c r="U116" s="489"/>
      <c r="V116" s="489"/>
      <c r="W116" s="489"/>
      <c r="X116" s="489"/>
      <c r="Y116" s="489"/>
    </row>
    <row r="117" spans="1:27" s="36" customFormat="1" ht="39.6" customHeight="1" x14ac:dyDescent="0.35">
      <c r="A117" s="1972" t="s">
        <v>169</v>
      </c>
      <c r="B117" s="1972"/>
      <c r="C117" s="1972"/>
      <c r="D117" s="1972"/>
      <c r="E117" s="1972"/>
      <c r="F117" s="1972"/>
      <c r="G117" s="1972"/>
      <c r="H117" s="1972"/>
      <c r="I117" s="1972"/>
      <c r="J117" s="1972"/>
      <c r="K117" s="1972"/>
      <c r="L117" s="1972"/>
      <c r="M117" s="1972"/>
      <c r="N117" s="1972"/>
      <c r="O117" s="1973"/>
      <c r="P117" s="497" t="s">
        <v>1371</v>
      </c>
      <c r="Q117" s="317"/>
      <c r="R117" s="316"/>
      <c r="S117" s="316"/>
      <c r="T117" s="316"/>
      <c r="U117" s="40"/>
      <c r="V117" s="40"/>
      <c r="W117" s="40"/>
      <c r="X117" s="40"/>
      <c r="Y117" s="40"/>
    </row>
    <row r="118" spans="1:27" s="36" customFormat="1" ht="39.6" customHeight="1" x14ac:dyDescent="0.3">
      <c r="A118" s="331"/>
      <c r="B118" s="331"/>
      <c r="C118" s="331"/>
      <c r="D118" s="331"/>
      <c r="E118" s="331"/>
      <c r="F118" s="331"/>
      <c r="G118" s="331"/>
      <c r="H118" s="331"/>
      <c r="I118" s="331"/>
      <c r="J118" s="331"/>
      <c r="K118" s="331"/>
      <c r="L118" s="331"/>
      <c r="M118" s="331"/>
      <c r="N118" s="331"/>
      <c r="O118" s="367"/>
      <c r="P118" s="74"/>
      <c r="Q118" s="317"/>
      <c r="R118" s="316"/>
      <c r="S118" s="316"/>
      <c r="T118" s="316"/>
      <c r="U118" s="40"/>
      <c r="V118" s="40"/>
      <c r="W118" s="40"/>
      <c r="X118" s="40"/>
      <c r="Y118" s="40"/>
    </row>
    <row r="119" spans="1:27" s="36" customFormat="1" ht="186.6" customHeight="1" x14ac:dyDescent="0.35">
      <c r="A119" s="1918" t="s">
        <v>1372</v>
      </c>
      <c r="B119" s="1918"/>
      <c r="C119" s="1918"/>
      <c r="D119" s="1918"/>
      <c r="E119" s="1918"/>
      <c r="F119" s="1918"/>
      <c r="G119" s="1918"/>
      <c r="H119" s="1918"/>
      <c r="I119" s="1918"/>
      <c r="J119" s="1918"/>
      <c r="K119" s="1918"/>
      <c r="L119" s="1918"/>
      <c r="M119" s="1918"/>
      <c r="N119" s="1918"/>
      <c r="O119" s="1919"/>
      <c r="P119" s="1127" t="s">
        <v>1493</v>
      </c>
      <c r="Q119" s="4"/>
      <c r="R119" s="316"/>
      <c r="S119" s="316"/>
      <c r="T119" s="316"/>
      <c r="U119" s="40"/>
      <c r="V119" s="40"/>
      <c r="W119" s="40"/>
      <c r="X119" s="40"/>
      <c r="Y119" s="40"/>
    </row>
    <row r="120" spans="1:27" s="36" customFormat="1" ht="18" customHeight="1" x14ac:dyDescent="0.3">
      <c r="A120" s="1922" t="s">
        <v>56</v>
      </c>
      <c r="B120" s="1922"/>
      <c r="C120" s="1922"/>
      <c r="D120" s="1922"/>
      <c r="E120" s="1922"/>
      <c r="F120" s="1922"/>
      <c r="G120" s="1922"/>
      <c r="H120" s="1922"/>
      <c r="I120" s="1922"/>
      <c r="J120" s="1922"/>
      <c r="K120" s="1922"/>
      <c r="L120" s="1922"/>
      <c r="M120" s="1922"/>
      <c r="N120" s="1922"/>
      <c r="O120" s="498"/>
      <c r="P120" s="1126"/>
      <c r="Q120" s="29"/>
      <c r="R120" s="316"/>
      <c r="S120" s="316"/>
      <c r="T120" s="316"/>
      <c r="U120" s="40"/>
      <c r="V120" s="40"/>
      <c r="W120" s="40"/>
      <c r="X120" s="40"/>
      <c r="Y120" s="40"/>
    </row>
    <row r="121" spans="1:27" s="36" customFormat="1" ht="15" customHeight="1" x14ac:dyDescent="0.3">
      <c r="A121" s="1835" t="s">
        <v>145</v>
      </c>
      <c r="B121" s="1835"/>
      <c r="C121" s="1835"/>
      <c r="D121" s="1835"/>
      <c r="E121" s="1835"/>
      <c r="F121" s="1835"/>
      <c r="G121" s="1835"/>
      <c r="H121" s="1835"/>
      <c r="I121" s="1835"/>
      <c r="J121" s="1835"/>
      <c r="K121" s="1835"/>
      <c r="L121" s="1835"/>
      <c r="M121" s="1835"/>
      <c r="N121" s="1835"/>
      <c r="O121" s="1836"/>
      <c r="P121" s="213"/>
      <c r="Q121" s="29"/>
      <c r="R121" s="319"/>
      <c r="S121" s="319"/>
      <c r="T121" s="319"/>
    </row>
    <row r="122" spans="1:27" s="36" customFormat="1" ht="27" customHeight="1" x14ac:dyDescent="0.3">
      <c r="A122" s="1920" t="s">
        <v>46</v>
      </c>
      <c r="B122" s="1920" t="s">
        <v>822</v>
      </c>
      <c r="C122" s="1920" t="s">
        <v>823</v>
      </c>
      <c r="D122" s="1920" t="s">
        <v>854</v>
      </c>
      <c r="E122" s="1920" t="s">
        <v>52</v>
      </c>
      <c r="F122" s="1920" t="s">
        <v>545</v>
      </c>
      <c r="G122" s="1913" t="s">
        <v>59</v>
      </c>
      <c r="H122" s="1914" t="s">
        <v>106</v>
      </c>
      <c r="I122" s="1914"/>
      <c r="J122" s="1914"/>
      <c r="K122" s="1914"/>
      <c r="L122" s="1914"/>
      <c r="M122" s="1914"/>
      <c r="N122" s="1915" t="s">
        <v>50</v>
      </c>
      <c r="O122" s="1916" t="s">
        <v>820</v>
      </c>
      <c r="P122" s="73"/>
      <c r="Q122" s="4"/>
      <c r="R122" s="319"/>
      <c r="S122" s="319"/>
      <c r="T122" s="319"/>
    </row>
    <row r="123" spans="1:27" s="36" customFormat="1" ht="48" customHeight="1" x14ac:dyDescent="0.3">
      <c r="A123" s="1921"/>
      <c r="B123" s="1921"/>
      <c r="C123" s="1921"/>
      <c r="D123" s="1921"/>
      <c r="E123" s="1921"/>
      <c r="F123" s="1921"/>
      <c r="G123" s="1913"/>
      <c r="H123" s="811" t="s">
        <v>33</v>
      </c>
      <c r="I123" s="811" t="s">
        <v>4</v>
      </c>
      <c r="J123" s="811" t="s">
        <v>91</v>
      </c>
      <c r="K123" s="811" t="s">
        <v>90</v>
      </c>
      <c r="L123" s="811" t="s">
        <v>89</v>
      </c>
      <c r="M123" s="811" t="s">
        <v>221</v>
      </c>
      <c r="N123" s="1915"/>
      <c r="O123" s="1917"/>
      <c r="P123" s="73"/>
      <c r="Q123" s="4"/>
      <c r="R123" s="319"/>
      <c r="S123" s="319"/>
      <c r="T123" s="319"/>
      <c r="W123" s="36">
        <v>2018</v>
      </c>
      <c r="X123" s="36">
        <v>2019</v>
      </c>
      <c r="Y123" s="36">
        <v>2020</v>
      </c>
      <c r="Z123" s="36">
        <v>2021</v>
      </c>
      <c r="AA123" s="36">
        <v>2022</v>
      </c>
    </row>
    <row r="124" spans="1:27" s="36" customFormat="1" x14ac:dyDescent="0.3">
      <c r="A124" s="154">
        <v>1</v>
      </c>
      <c r="B124" s="154">
        <v>2</v>
      </c>
      <c r="C124" s="154">
        <v>3</v>
      </c>
      <c r="D124" s="154">
        <v>4</v>
      </c>
      <c r="E124" s="154">
        <v>5</v>
      </c>
      <c r="F124" s="154">
        <v>6</v>
      </c>
      <c r="G124" s="154">
        <v>7</v>
      </c>
      <c r="H124" s="154">
        <v>8</v>
      </c>
      <c r="I124" s="154">
        <v>9</v>
      </c>
      <c r="J124" s="154">
        <v>10</v>
      </c>
      <c r="K124" s="154">
        <v>11</v>
      </c>
      <c r="L124" s="154">
        <v>12</v>
      </c>
      <c r="M124" s="154">
        <v>13</v>
      </c>
      <c r="N124" s="155">
        <v>14</v>
      </c>
      <c r="O124" s="155">
        <v>15</v>
      </c>
      <c r="P124" s="73"/>
      <c r="Q124" s="4"/>
      <c r="R124" s="319"/>
      <c r="S124" s="319"/>
      <c r="T124" s="319"/>
    </row>
    <row r="125" spans="1:27" s="1" customFormat="1" ht="42" customHeight="1" x14ac:dyDescent="0.3">
      <c r="A125" s="1953" t="s">
        <v>551</v>
      </c>
      <c r="B125" s="1904" t="s">
        <v>134</v>
      </c>
      <c r="C125" s="1905"/>
      <c r="D125" s="1905"/>
      <c r="E125" s="1905"/>
      <c r="F125" s="1906"/>
      <c r="G125" s="162" t="s">
        <v>42</v>
      </c>
      <c r="H125" s="818">
        <f>H126+H127+H128</f>
        <v>199908.5</v>
      </c>
      <c r="I125" s="818">
        <f>I126+I127+I128</f>
        <v>199908.5</v>
      </c>
      <c r="J125" s="818">
        <f t="shared" ref="J125:M125" si="62">J126+J127+J128</f>
        <v>0</v>
      </c>
      <c r="K125" s="818">
        <f t="shared" si="62"/>
        <v>0</v>
      </c>
      <c r="L125" s="818">
        <f t="shared" si="62"/>
        <v>0</v>
      </c>
      <c r="M125" s="818">
        <f t="shared" si="62"/>
        <v>0</v>
      </c>
      <c r="N125" s="1956"/>
      <c r="O125" s="1943"/>
      <c r="P125" s="1069" t="s">
        <v>1494</v>
      </c>
      <c r="Q125" s="320"/>
      <c r="R125" s="105"/>
      <c r="S125" s="105"/>
      <c r="T125" s="105"/>
    </row>
    <row r="126" spans="1:27" s="1" customFormat="1" ht="48" customHeight="1" x14ac:dyDescent="0.3">
      <c r="A126" s="1954"/>
      <c r="B126" s="1907"/>
      <c r="C126" s="1908"/>
      <c r="D126" s="1908"/>
      <c r="E126" s="1908"/>
      <c r="F126" s="1909"/>
      <c r="G126" s="162" t="s">
        <v>13</v>
      </c>
      <c r="H126" s="818">
        <f>I126+J126+K126+L126+M126</f>
        <v>173109.73</v>
      </c>
      <c r="I126" s="818">
        <f>I130</f>
        <v>173109.73</v>
      </c>
      <c r="J126" s="818">
        <f t="shared" ref="J126:M128" si="63">J130</f>
        <v>0</v>
      </c>
      <c r="K126" s="818">
        <f t="shared" si="63"/>
        <v>0</v>
      </c>
      <c r="L126" s="818">
        <f t="shared" si="63"/>
        <v>0</v>
      </c>
      <c r="M126" s="818">
        <f t="shared" si="63"/>
        <v>0</v>
      </c>
      <c r="N126" s="1957"/>
      <c r="O126" s="1944"/>
      <c r="P126" s="1069"/>
      <c r="Q126" s="320"/>
      <c r="R126" s="105"/>
      <c r="S126" s="105"/>
      <c r="T126" s="105"/>
    </row>
    <row r="127" spans="1:27" s="1" customFormat="1" ht="24.75" customHeight="1" x14ac:dyDescent="0.3">
      <c r="A127" s="1954"/>
      <c r="B127" s="1907"/>
      <c r="C127" s="1908"/>
      <c r="D127" s="1908"/>
      <c r="E127" s="1908"/>
      <c r="F127" s="1909"/>
      <c r="G127" s="163" t="s">
        <v>34</v>
      </c>
      <c r="H127" s="818">
        <f t="shared" ref="H127:H128" si="64">I127+J127+K127+L127+M127</f>
        <v>11524.38</v>
      </c>
      <c r="I127" s="818">
        <f>I131</f>
        <v>11524.38</v>
      </c>
      <c r="J127" s="818">
        <f t="shared" si="63"/>
        <v>0</v>
      </c>
      <c r="K127" s="818">
        <f t="shared" si="63"/>
        <v>0</v>
      </c>
      <c r="L127" s="818">
        <f t="shared" si="63"/>
        <v>0</v>
      </c>
      <c r="M127" s="818">
        <f t="shared" si="63"/>
        <v>0</v>
      </c>
      <c r="N127" s="1957"/>
      <c r="O127" s="1944"/>
      <c r="P127" s="1069"/>
      <c r="Q127" s="320"/>
      <c r="R127" s="105"/>
      <c r="S127" s="105"/>
      <c r="T127" s="105"/>
    </row>
    <row r="128" spans="1:27" s="1" customFormat="1" ht="32.25" customHeight="1" x14ac:dyDescent="0.3">
      <c r="A128" s="1955"/>
      <c r="B128" s="1910"/>
      <c r="C128" s="1911"/>
      <c r="D128" s="1911"/>
      <c r="E128" s="1911"/>
      <c r="F128" s="1912"/>
      <c r="G128" s="163" t="s">
        <v>15</v>
      </c>
      <c r="H128" s="818">
        <f t="shared" si="64"/>
        <v>15274.39</v>
      </c>
      <c r="I128" s="818">
        <f>I132</f>
        <v>15274.39</v>
      </c>
      <c r="J128" s="818">
        <f t="shared" si="63"/>
        <v>0</v>
      </c>
      <c r="K128" s="818">
        <f t="shared" si="63"/>
        <v>0</v>
      </c>
      <c r="L128" s="818">
        <f t="shared" si="63"/>
        <v>0</v>
      </c>
      <c r="M128" s="818">
        <f t="shared" si="63"/>
        <v>0</v>
      </c>
      <c r="N128" s="1958"/>
      <c r="O128" s="1959"/>
      <c r="P128" s="1069"/>
      <c r="Q128" s="320"/>
      <c r="R128" s="105"/>
      <c r="S128" s="105"/>
      <c r="T128" s="105"/>
    </row>
    <row r="129" spans="1:25" s="1" customFormat="1" ht="13.95" customHeight="1" x14ac:dyDescent="0.3">
      <c r="A129" s="1861" t="s">
        <v>579</v>
      </c>
      <c r="B129" s="1945" t="s">
        <v>1375</v>
      </c>
      <c r="C129" s="1826" t="s">
        <v>82</v>
      </c>
      <c r="D129" s="1948"/>
      <c r="E129" s="1949">
        <v>203383.1</v>
      </c>
      <c r="F129" s="818">
        <f>F130+F131+F132</f>
        <v>3474.6</v>
      </c>
      <c r="G129" s="162" t="s">
        <v>42</v>
      </c>
      <c r="H129" s="818">
        <f>H130+H131+H132</f>
        <v>199908.5</v>
      </c>
      <c r="I129" s="818">
        <f>I130+I131+I132</f>
        <v>199908.5</v>
      </c>
      <c r="J129" s="818">
        <f t="shared" ref="J129:M129" si="65">J130+J131</f>
        <v>0</v>
      </c>
      <c r="K129" s="818">
        <f t="shared" si="65"/>
        <v>0</v>
      </c>
      <c r="L129" s="818">
        <f t="shared" si="65"/>
        <v>0</v>
      </c>
      <c r="M129" s="818">
        <f t="shared" si="65"/>
        <v>0</v>
      </c>
      <c r="N129" s="1940"/>
      <c r="O129" s="1950" t="s">
        <v>16</v>
      </c>
      <c r="P129" s="1068"/>
      <c r="Q129" s="314"/>
      <c r="R129" s="105"/>
      <c r="S129" s="105"/>
      <c r="T129" s="105"/>
    </row>
    <row r="130" spans="1:25" s="1" customFormat="1" ht="31.5" customHeight="1" x14ac:dyDescent="0.3">
      <c r="A130" s="1861"/>
      <c r="B130" s="1946"/>
      <c r="C130" s="1826"/>
      <c r="D130" s="1948"/>
      <c r="E130" s="1949"/>
      <c r="F130" s="818">
        <v>0</v>
      </c>
      <c r="G130" s="162" t="s">
        <v>13</v>
      </c>
      <c r="H130" s="818">
        <f>I130+J130+K130+L130+M130</f>
        <v>173109.73</v>
      </c>
      <c r="I130" s="818">
        <f>130609.73+42500</f>
        <v>173109.73</v>
      </c>
      <c r="J130" s="818">
        <v>0</v>
      </c>
      <c r="K130" s="818">
        <v>0</v>
      </c>
      <c r="L130" s="818">
        <v>0</v>
      </c>
      <c r="M130" s="818">
        <v>0</v>
      </c>
      <c r="N130" s="1941"/>
      <c r="O130" s="1951"/>
      <c r="P130" s="1068"/>
      <c r="Q130" s="314"/>
      <c r="R130" s="105"/>
      <c r="S130" s="105"/>
      <c r="T130" s="105"/>
      <c r="W130" s="1">
        <v>1</v>
      </c>
    </row>
    <row r="131" spans="1:25" s="1" customFormat="1" ht="37.950000000000003" customHeight="1" x14ac:dyDescent="0.3">
      <c r="A131" s="1861"/>
      <c r="B131" s="1946"/>
      <c r="C131" s="1826"/>
      <c r="D131" s="1948"/>
      <c r="E131" s="1949"/>
      <c r="F131" s="160">
        <v>3474.6</v>
      </c>
      <c r="G131" s="163" t="s">
        <v>34</v>
      </c>
      <c r="H131" s="876">
        <f>I131+J131+K131+L131+M131</f>
        <v>11524.38</v>
      </c>
      <c r="I131" s="876">
        <f>((23048.77+3750)*0)+11524.38</f>
        <v>11524.38</v>
      </c>
      <c r="J131" s="818">
        <v>0</v>
      </c>
      <c r="K131" s="818">
        <v>0</v>
      </c>
      <c r="L131" s="818">
        <v>0</v>
      </c>
      <c r="M131" s="818">
        <v>0</v>
      </c>
      <c r="N131" s="1941"/>
      <c r="O131" s="1951"/>
      <c r="P131" s="1068"/>
      <c r="Q131" s="314"/>
      <c r="R131" s="105"/>
      <c r="S131" s="105"/>
      <c r="T131" s="105"/>
    </row>
    <row r="132" spans="1:25" s="47" customFormat="1" ht="25.5" customHeight="1" x14ac:dyDescent="0.3">
      <c r="A132" s="1861"/>
      <c r="B132" s="1947"/>
      <c r="C132" s="1826"/>
      <c r="D132" s="1948"/>
      <c r="E132" s="1949"/>
      <c r="F132" s="160"/>
      <c r="G132" s="163" t="s">
        <v>15</v>
      </c>
      <c r="H132" s="876">
        <f>I132+J132+K132+L132+M132</f>
        <v>15274.39</v>
      </c>
      <c r="I132" s="876">
        <v>15274.39</v>
      </c>
      <c r="J132" s="818">
        <v>0</v>
      </c>
      <c r="K132" s="818">
        <v>0</v>
      </c>
      <c r="L132" s="818">
        <v>0</v>
      </c>
      <c r="M132" s="818">
        <v>0</v>
      </c>
      <c r="N132" s="1942"/>
      <c r="O132" s="1952"/>
      <c r="P132" s="1068"/>
      <c r="Q132" s="314"/>
      <c r="R132" s="105"/>
      <c r="S132" s="105"/>
      <c r="T132" s="105"/>
      <c r="U132" s="1"/>
      <c r="V132" s="1"/>
      <c r="W132" s="1"/>
      <c r="X132" s="1"/>
      <c r="Y132" s="1"/>
    </row>
    <row r="133" spans="1:25" s="47" customFormat="1" ht="24.75" customHeight="1" x14ac:dyDescent="0.3">
      <c r="A133" s="1861"/>
      <c r="B133" s="1953" t="s">
        <v>121</v>
      </c>
      <c r="C133" s="1934">
        <v>2017</v>
      </c>
      <c r="D133" s="1934"/>
      <c r="E133" s="1937">
        <v>3474.6</v>
      </c>
      <c r="F133" s="160">
        <f>F134+F135</f>
        <v>3474.6</v>
      </c>
      <c r="G133" s="162" t="s">
        <v>42</v>
      </c>
      <c r="H133" s="818">
        <f>H134+H135</f>
        <v>3474.6</v>
      </c>
      <c r="I133" s="818">
        <f t="shared" ref="I133:M133" si="66">I134+I135</f>
        <v>3474.6</v>
      </c>
      <c r="J133" s="818">
        <f t="shared" si="66"/>
        <v>0</v>
      </c>
      <c r="K133" s="818">
        <f t="shared" si="66"/>
        <v>0</v>
      </c>
      <c r="L133" s="818">
        <f t="shared" si="66"/>
        <v>0</v>
      </c>
      <c r="M133" s="818">
        <f t="shared" si="66"/>
        <v>0</v>
      </c>
      <c r="N133" s="1940"/>
      <c r="O133" s="1943"/>
      <c r="P133" s="1068"/>
      <c r="Q133" s="314"/>
      <c r="R133" s="105"/>
      <c r="S133" s="105"/>
      <c r="T133" s="105"/>
      <c r="U133" s="1"/>
      <c r="V133" s="1"/>
      <c r="W133" s="1"/>
      <c r="X133" s="1"/>
      <c r="Y133" s="1"/>
    </row>
    <row r="134" spans="1:25" s="1" customFormat="1" ht="45.75" customHeight="1" x14ac:dyDescent="0.3">
      <c r="A134" s="1861"/>
      <c r="B134" s="1954"/>
      <c r="C134" s="1935"/>
      <c r="D134" s="1935"/>
      <c r="E134" s="1938"/>
      <c r="F134" s="160">
        <v>3474.6</v>
      </c>
      <c r="G134" s="163" t="s">
        <v>34</v>
      </c>
      <c r="H134" s="818">
        <f>I134+J134+K134+L134+M134</f>
        <v>3474.6</v>
      </c>
      <c r="I134" s="818">
        <v>3474.6</v>
      </c>
      <c r="J134" s="818">
        <v>0</v>
      </c>
      <c r="K134" s="818">
        <v>0</v>
      </c>
      <c r="L134" s="818">
        <v>0</v>
      </c>
      <c r="M134" s="818">
        <v>0</v>
      </c>
      <c r="N134" s="1941"/>
      <c r="O134" s="1944"/>
      <c r="P134" s="1068"/>
      <c r="Q134" s="314"/>
      <c r="R134" s="105"/>
      <c r="S134" s="105"/>
      <c r="T134" s="105"/>
    </row>
    <row r="135" spans="1:25" s="1" customFormat="1" ht="32.25" customHeight="1" x14ac:dyDescent="0.3">
      <c r="A135" s="1861"/>
      <c r="B135" s="1955"/>
      <c r="C135" s="1936"/>
      <c r="D135" s="1936"/>
      <c r="E135" s="1939"/>
      <c r="F135" s="160"/>
      <c r="G135" s="163" t="s">
        <v>15</v>
      </c>
      <c r="H135" s="818">
        <f>I135+J135+K135+L135+M135</f>
        <v>0</v>
      </c>
      <c r="I135" s="818">
        <v>0</v>
      </c>
      <c r="J135" s="818">
        <v>0</v>
      </c>
      <c r="K135" s="818">
        <v>0</v>
      </c>
      <c r="L135" s="818">
        <v>0</v>
      </c>
      <c r="M135" s="818">
        <v>0</v>
      </c>
      <c r="N135" s="1942"/>
      <c r="O135" s="1944"/>
      <c r="P135" s="1068"/>
      <c r="Q135" s="314"/>
      <c r="R135" s="105"/>
      <c r="S135" s="105"/>
      <c r="T135" s="105"/>
    </row>
    <row r="136" spans="1:25" s="1" customFormat="1" ht="27" customHeight="1" x14ac:dyDescent="0.3">
      <c r="A136" s="1983" t="s">
        <v>552</v>
      </c>
      <c r="B136" s="1904" t="s">
        <v>135</v>
      </c>
      <c r="C136" s="1905"/>
      <c r="D136" s="1905"/>
      <c r="E136" s="1905"/>
      <c r="F136" s="1906"/>
      <c r="G136" s="162" t="s">
        <v>42</v>
      </c>
      <c r="H136" s="818">
        <f>H137+H138+H139</f>
        <v>63138</v>
      </c>
      <c r="I136" s="818">
        <f>I137+I138+I139</f>
        <v>63138</v>
      </c>
      <c r="J136" s="818">
        <f t="shared" ref="J136:M136" si="67">J137+J138</f>
        <v>0</v>
      </c>
      <c r="K136" s="818">
        <f t="shared" si="67"/>
        <v>0</v>
      </c>
      <c r="L136" s="818">
        <f t="shared" si="67"/>
        <v>0</v>
      </c>
      <c r="M136" s="818">
        <f t="shared" si="67"/>
        <v>0</v>
      </c>
      <c r="N136" s="1986"/>
      <c r="O136" s="1943"/>
      <c r="P136" s="1057" t="s">
        <v>1494</v>
      </c>
      <c r="Q136" s="12"/>
      <c r="R136" s="105"/>
      <c r="S136" s="105"/>
      <c r="T136" s="105"/>
    </row>
    <row r="137" spans="1:25" s="1" customFormat="1" ht="24" customHeight="1" x14ac:dyDescent="0.3">
      <c r="A137" s="1984"/>
      <c r="B137" s="1907"/>
      <c r="C137" s="1908"/>
      <c r="D137" s="1908"/>
      <c r="E137" s="1908"/>
      <c r="F137" s="1909"/>
      <c r="G137" s="162" t="s">
        <v>13</v>
      </c>
      <c r="H137" s="818">
        <f>I137+J137+K137+L137+M137</f>
        <v>31500</v>
      </c>
      <c r="I137" s="818">
        <f>I141</f>
        <v>31500</v>
      </c>
      <c r="J137" s="818">
        <f t="shared" ref="J137:M138" si="68">J141</f>
        <v>0</v>
      </c>
      <c r="K137" s="818">
        <f t="shared" si="68"/>
        <v>0</v>
      </c>
      <c r="L137" s="818">
        <f t="shared" si="68"/>
        <v>0</v>
      </c>
      <c r="M137" s="818">
        <f t="shared" si="68"/>
        <v>0</v>
      </c>
      <c r="N137" s="1987"/>
      <c r="O137" s="1944"/>
      <c r="P137" s="1057"/>
      <c r="Q137" s="12"/>
      <c r="R137" s="105"/>
      <c r="S137" s="105"/>
      <c r="T137" s="105"/>
    </row>
    <row r="138" spans="1:25" s="1" customFormat="1" ht="30.6" x14ac:dyDescent="0.3">
      <c r="A138" s="1984"/>
      <c r="B138" s="1907"/>
      <c r="C138" s="1908"/>
      <c r="D138" s="1908"/>
      <c r="E138" s="1908"/>
      <c r="F138" s="1909"/>
      <c r="G138" s="163" t="s">
        <v>34</v>
      </c>
      <c r="H138" s="818">
        <f>I138+J138+K138+L138+M138</f>
        <v>3500</v>
      </c>
      <c r="I138" s="818">
        <f>I142</f>
        <v>3500</v>
      </c>
      <c r="J138" s="818">
        <f t="shared" si="68"/>
        <v>0</v>
      </c>
      <c r="K138" s="818">
        <f t="shared" si="68"/>
        <v>0</v>
      </c>
      <c r="L138" s="818">
        <f t="shared" si="68"/>
        <v>0</v>
      </c>
      <c r="M138" s="818">
        <f t="shared" si="68"/>
        <v>0</v>
      </c>
      <c r="N138" s="1988"/>
      <c r="O138" s="1944"/>
      <c r="P138" s="1057"/>
      <c r="Q138" s="12"/>
      <c r="R138" s="309"/>
      <c r="S138" s="309"/>
      <c r="T138" s="309"/>
      <c r="U138" s="47"/>
      <c r="V138" s="47"/>
      <c r="W138" s="47"/>
      <c r="X138" s="47"/>
      <c r="Y138" s="47"/>
    </row>
    <row r="139" spans="1:25" s="1" customFormat="1" ht="35.25" customHeight="1" x14ac:dyDescent="0.3">
      <c r="A139" s="1985"/>
      <c r="B139" s="1910"/>
      <c r="C139" s="1911"/>
      <c r="D139" s="1911"/>
      <c r="E139" s="1911"/>
      <c r="F139" s="1912"/>
      <c r="G139" s="163" t="s">
        <v>15</v>
      </c>
      <c r="H139" s="818">
        <f>I139+J139+K139+L139+M139</f>
        <v>28138</v>
      </c>
      <c r="I139" s="818">
        <f>I143</f>
        <v>28138</v>
      </c>
      <c r="J139" s="818">
        <v>0</v>
      </c>
      <c r="K139" s="818">
        <v>0</v>
      </c>
      <c r="L139" s="818">
        <v>0</v>
      </c>
      <c r="M139" s="818">
        <v>0</v>
      </c>
      <c r="N139" s="815"/>
      <c r="O139" s="812"/>
      <c r="P139" s="1057"/>
      <c r="Q139" s="12"/>
      <c r="R139" s="309"/>
      <c r="S139" s="309"/>
      <c r="T139" s="309"/>
      <c r="U139" s="47"/>
      <c r="V139" s="47"/>
      <c r="W139" s="47"/>
      <c r="X139" s="47"/>
      <c r="Y139" s="47"/>
    </row>
    <row r="140" spans="1:25" s="1" customFormat="1" ht="15" customHeight="1" x14ac:dyDescent="0.3">
      <c r="A140" s="1953" t="s">
        <v>580</v>
      </c>
      <c r="B140" s="1945" t="s">
        <v>1374</v>
      </c>
      <c r="C140" s="1989">
        <v>2018</v>
      </c>
      <c r="D140" s="1992" t="s">
        <v>138</v>
      </c>
      <c r="E140" s="1937">
        <v>63138</v>
      </c>
      <c r="F140" s="361">
        <f>F141+F142+F143</f>
        <v>0</v>
      </c>
      <c r="G140" s="814" t="s">
        <v>42</v>
      </c>
      <c r="H140" s="818">
        <f>H141+H142+H143</f>
        <v>63138</v>
      </c>
      <c r="I140" s="818">
        <f>I141+I142+I143</f>
        <v>63138</v>
      </c>
      <c r="J140" s="818">
        <f t="shared" ref="J140:M140" si="69">J141+J142+J143</f>
        <v>0</v>
      </c>
      <c r="K140" s="818">
        <f t="shared" si="69"/>
        <v>0</v>
      </c>
      <c r="L140" s="818">
        <f t="shared" si="69"/>
        <v>0</v>
      </c>
      <c r="M140" s="818">
        <f t="shared" si="69"/>
        <v>0</v>
      </c>
      <c r="N140" s="1974"/>
      <c r="O140" s="1950" t="s">
        <v>16</v>
      </c>
      <c r="P140" s="1058"/>
      <c r="Q140" s="59"/>
      <c r="R140" s="105"/>
      <c r="S140" s="105"/>
      <c r="T140" s="105"/>
    </row>
    <row r="141" spans="1:25" s="1" customFormat="1" ht="28.95" customHeight="1" x14ac:dyDescent="0.3">
      <c r="A141" s="1954"/>
      <c r="B141" s="1946"/>
      <c r="C141" s="1990"/>
      <c r="D141" s="1993"/>
      <c r="E141" s="1938"/>
      <c r="F141" s="361">
        <v>0</v>
      </c>
      <c r="G141" s="814" t="s">
        <v>13</v>
      </c>
      <c r="H141" s="818">
        <f>I141+J141+K141+L141+M141</f>
        <v>31500</v>
      </c>
      <c r="I141" s="818">
        <f>16200+15300</f>
        <v>31500</v>
      </c>
      <c r="J141" s="818">
        <v>0</v>
      </c>
      <c r="K141" s="818">
        <v>0</v>
      </c>
      <c r="L141" s="818">
        <v>0</v>
      </c>
      <c r="M141" s="818">
        <v>0</v>
      </c>
      <c r="N141" s="1975"/>
      <c r="O141" s="1951"/>
      <c r="P141" s="1058"/>
      <c r="Q141" s="59"/>
      <c r="R141" s="105"/>
      <c r="S141" s="105"/>
      <c r="T141" s="105"/>
      <c r="W141" s="1">
        <v>1</v>
      </c>
    </row>
    <row r="142" spans="1:25" s="1" customFormat="1" ht="41.25" customHeight="1" x14ac:dyDescent="0.3">
      <c r="A142" s="1954"/>
      <c r="B142" s="1946"/>
      <c r="C142" s="1990"/>
      <c r="D142" s="1993"/>
      <c r="E142" s="1938"/>
      <c r="F142" s="361">
        <v>0</v>
      </c>
      <c r="G142" s="813" t="s">
        <v>34</v>
      </c>
      <c r="H142" s="818">
        <f t="shared" ref="H142:H143" si="70">I142+J142+K142+L142+M142</f>
        <v>3500</v>
      </c>
      <c r="I142" s="818">
        <f>1800+1700</f>
        <v>3500</v>
      </c>
      <c r="J142" s="818">
        <v>0</v>
      </c>
      <c r="K142" s="818">
        <v>0</v>
      </c>
      <c r="L142" s="818">
        <v>0</v>
      </c>
      <c r="M142" s="818">
        <v>0</v>
      </c>
      <c r="N142" s="1975"/>
      <c r="O142" s="1951"/>
      <c r="P142" s="1058"/>
      <c r="Q142" s="59"/>
      <c r="R142" s="105"/>
      <c r="S142" s="105"/>
      <c r="T142" s="105"/>
    </row>
    <row r="143" spans="1:25" s="1" customFormat="1" ht="28.95" customHeight="1" x14ac:dyDescent="0.3">
      <c r="A143" s="1955"/>
      <c r="B143" s="1947"/>
      <c r="C143" s="1991"/>
      <c r="D143" s="1994"/>
      <c r="E143" s="1939"/>
      <c r="F143" s="361">
        <v>0</v>
      </c>
      <c r="G143" s="163" t="s">
        <v>15</v>
      </c>
      <c r="H143" s="818">
        <f t="shared" si="70"/>
        <v>28138</v>
      </c>
      <c r="I143" s="818">
        <v>28138</v>
      </c>
      <c r="J143" s="818">
        <v>0</v>
      </c>
      <c r="K143" s="818">
        <v>0</v>
      </c>
      <c r="L143" s="818">
        <v>0</v>
      </c>
      <c r="M143" s="818">
        <v>0</v>
      </c>
      <c r="N143" s="1976"/>
      <c r="O143" s="1952"/>
      <c r="P143" s="1058"/>
      <c r="Q143" s="59"/>
      <c r="R143" s="105"/>
      <c r="S143" s="105"/>
      <c r="T143" s="105"/>
    </row>
    <row r="144" spans="1:25" s="1" customFormat="1" ht="41.4" customHeight="1" x14ac:dyDescent="0.3">
      <c r="A144" s="1953" t="s">
        <v>581</v>
      </c>
      <c r="B144" s="1904" t="s">
        <v>233</v>
      </c>
      <c r="C144" s="1905"/>
      <c r="D144" s="1905"/>
      <c r="E144" s="1905"/>
      <c r="F144" s="1906"/>
      <c r="G144" s="814" t="s">
        <v>12</v>
      </c>
      <c r="H144" s="818">
        <f>H145+H146</f>
        <v>200000</v>
      </c>
      <c r="I144" s="818">
        <f t="shared" ref="I144:M144" si="71">I145+I146</f>
        <v>200000</v>
      </c>
      <c r="J144" s="818">
        <f t="shared" si="71"/>
        <v>0</v>
      </c>
      <c r="K144" s="818">
        <f t="shared" si="71"/>
        <v>0</v>
      </c>
      <c r="L144" s="818">
        <f t="shared" si="71"/>
        <v>0</v>
      </c>
      <c r="M144" s="818">
        <f t="shared" si="71"/>
        <v>0</v>
      </c>
      <c r="N144" s="1977"/>
      <c r="O144" s="1980"/>
      <c r="P144" s="1070" t="s">
        <v>1495</v>
      </c>
      <c r="Q144" s="321"/>
      <c r="R144" s="105"/>
      <c r="S144" s="105"/>
      <c r="T144" s="105"/>
    </row>
    <row r="145" spans="1:24" s="1" customFormat="1" ht="13.95" customHeight="1" x14ac:dyDescent="0.3">
      <c r="A145" s="1954"/>
      <c r="B145" s="1907"/>
      <c r="C145" s="1908"/>
      <c r="D145" s="1908"/>
      <c r="E145" s="1908"/>
      <c r="F145" s="1909"/>
      <c r="G145" s="814" t="s">
        <v>13</v>
      </c>
      <c r="H145" s="818">
        <f>I145+J145+K145+L145+M145</f>
        <v>190000</v>
      </c>
      <c r="I145" s="818">
        <f>I148</f>
        <v>190000</v>
      </c>
      <c r="J145" s="818">
        <f t="shared" ref="J145:M146" si="72">J148</f>
        <v>0</v>
      </c>
      <c r="K145" s="818">
        <f t="shared" si="72"/>
        <v>0</v>
      </c>
      <c r="L145" s="818">
        <f t="shared" si="72"/>
        <v>0</v>
      </c>
      <c r="M145" s="818">
        <f t="shared" si="72"/>
        <v>0</v>
      </c>
      <c r="N145" s="1978"/>
      <c r="O145" s="1981"/>
      <c r="P145" s="1070"/>
      <c r="Q145" s="321"/>
      <c r="R145" s="105"/>
      <c r="S145" s="105"/>
      <c r="T145" s="105"/>
    </row>
    <row r="146" spans="1:24" s="1" customFormat="1" ht="40.799999999999997" x14ac:dyDescent="0.3">
      <c r="A146" s="1955"/>
      <c r="B146" s="1907"/>
      <c r="C146" s="1908"/>
      <c r="D146" s="1908"/>
      <c r="E146" s="1908"/>
      <c r="F146" s="1909"/>
      <c r="G146" s="814" t="s">
        <v>3</v>
      </c>
      <c r="H146" s="818">
        <f>I146+J146+K146+L146+M146</f>
        <v>10000</v>
      </c>
      <c r="I146" s="818">
        <f>I149</f>
        <v>10000</v>
      </c>
      <c r="J146" s="818">
        <f t="shared" si="72"/>
        <v>0</v>
      </c>
      <c r="K146" s="818">
        <f t="shared" si="72"/>
        <v>0</v>
      </c>
      <c r="L146" s="818">
        <f t="shared" si="72"/>
        <v>0</v>
      </c>
      <c r="M146" s="818">
        <f t="shared" si="72"/>
        <v>0</v>
      </c>
      <c r="N146" s="1979"/>
      <c r="O146" s="1982"/>
      <c r="P146" s="1070"/>
      <c r="Q146" s="321"/>
      <c r="R146" s="105"/>
      <c r="S146" s="105"/>
      <c r="T146" s="105"/>
    </row>
    <row r="147" spans="1:24" s="1" customFormat="1" ht="15" customHeight="1" x14ac:dyDescent="0.3">
      <c r="A147" s="1861" t="s">
        <v>582</v>
      </c>
      <c r="B147" s="1998" t="s">
        <v>827</v>
      </c>
      <c r="C147" s="1999">
        <v>2018</v>
      </c>
      <c r="D147" s="1949" t="s">
        <v>243</v>
      </c>
      <c r="E147" s="1949">
        <v>200000</v>
      </c>
      <c r="F147" s="818">
        <f>F148+F149</f>
        <v>0</v>
      </c>
      <c r="G147" s="814" t="s">
        <v>12</v>
      </c>
      <c r="H147" s="818">
        <f>H148+H149</f>
        <v>200000</v>
      </c>
      <c r="I147" s="818">
        <f t="shared" ref="I147:M147" si="73">I148+I149</f>
        <v>200000</v>
      </c>
      <c r="J147" s="818">
        <f t="shared" si="73"/>
        <v>0</v>
      </c>
      <c r="K147" s="818">
        <f t="shared" si="73"/>
        <v>0</v>
      </c>
      <c r="L147" s="818">
        <f t="shared" si="73"/>
        <v>0</v>
      </c>
      <c r="M147" s="818">
        <f t="shared" si="73"/>
        <v>0</v>
      </c>
      <c r="N147" s="2000"/>
      <c r="O147" s="1995" t="s">
        <v>16</v>
      </c>
      <c r="P147" s="1070"/>
      <c r="Q147" s="321"/>
      <c r="R147" s="105"/>
      <c r="S147" s="105"/>
      <c r="T147" s="105"/>
    </row>
    <row r="148" spans="1:24" s="1" customFormat="1" ht="20.399999999999999" x14ac:dyDescent="0.3">
      <c r="A148" s="1861"/>
      <c r="B148" s="1998"/>
      <c r="C148" s="1999"/>
      <c r="D148" s="1949"/>
      <c r="E148" s="1949"/>
      <c r="F148" s="818">
        <v>0</v>
      </c>
      <c r="G148" s="814" t="s">
        <v>13</v>
      </c>
      <c r="H148" s="818">
        <f>I148+J148+K148+L148+M148</f>
        <v>190000</v>
      </c>
      <c r="I148" s="818">
        <v>190000</v>
      </c>
      <c r="J148" s="818">
        <v>0</v>
      </c>
      <c r="K148" s="818">
        <v>0</v>
      </c>
      <c r="L148" s="818">
        <v>0</v>
      </c>
      <c r="M148" s="818">
        <v>0</v>
      </c>
      <c r="N148" s="2000"/>
      <c r="O148" s="1996"/>
      <c r="P148" s="1070"/>
      <c r="Q148" s="321"/>
      <c r="R148" s="105"/>
      <c r="S148" s="105"/>
      <c r="T148" s="105"/>
      <c r="W148" s="1">
        <v>1</v>
      </c>
    </row>
    <row r="149" spans="1:24" s="1" customFormat="1" ht="49.5" customHeight="1" x14ac:dyDescent="0.3">
      <c r="A149" s="1861"/>
      <c r="B149" s="1998"/>
      <c r="C149" s="1999"/>
      <c r="D149" s="1949"/>
      <c r="E149" s="1949"/>
      <c r="F149" s="818">
        <v>0</v>
      </c>
      <c r="G149" s="814" t="s">
        <v>3</v>
      </c>
      <c r="H149" s="818">
        <f>I149+J149+K149+L149+M149</f>
        <v>10000</v>
      </c>
      <c r="I149" s="818">
        <v>10000</v>
      </c>
      <c r="J149" s="818">
        <v>0</v>
      </c>
      <c r="K149" s="818">
        <v>0</v>
      </c>
      <c r="L149" s="818">
        <v>0</v>
      </c>
      <c r="M149" s="818">
        <v>0</v>
      </c>
      <c r="N149" s="2000"/>
      <c r="O149" s="1997"/>
      <c r="P149" s="1070"/>
      <c r="Q149" s="321"/>
      <c r="R149" s="105"/>
      <c r="S149" s="105"/>
      <c r="T149" s="105"/>
    </row>
    <row r="150" spans="1:24" s="1" customFormat="1" ht="27.6" x14ac:dyDescent="0.3">
      <c r="A150" s="1861" t="s">
        <v>583</v>
      </c>
      <c r="B150" s="1904" t="s">
        <v>244</v>
      </c>
      <c r="C150" s="1905"/>
      <c r="D150" s="1905"/>
      <c r="E150" s="1905"/>
      <c r="F150" s="1906"/>
      <c r="G150" s="814" t="s">
        <v>12</v>
      </c>
      <c r="H150" s="818">
        <f>H151+H152</f>
        <v>1300000</v>
      </c>
      <c r="I150" s="818">
        <f>I151+I152</f>
        <v>800000</v>
      </c>
      <c r="J150" s="818">
        <f t="shared" ref="J150:M150" si="74">J151+J152</f>
        <v>500000</v>
      </c>
      <c r="K150" s="818">
        <f t="shared" si="74"/>
        <v>0</v>
      </c>
      <c r="L150" s="818">
        <f t="shared" si="74"/>
        <v>0</v>
      </c>
      <c r="M150" s="818">
        <f t="shared" si="74"/>
        <v>0</v>
      </c>
      <c r="N150" s="1977"/>
      <c r="O150" s="1980"/>
      <c r="P150" s="1070" t="s">
        <v>1496</v>
      </c>
      <c r="Q150" s="321"/>
      <c r="R150" s="105"/>
      <c r="S150" s="105"/>
      <c r="T150" s="105"/>
    </row>
    <row r="151" spans="1:24" s="1" customFormat="1" ht="20.399999999999999" x14ac:dyDescent="0.3">
      <c r="A151" s="1861"/>
      <c r="B151" s="1907"/>
      <c r="C151" s="1908"/>
      <c r="D151" s="1908"/>
      <c r="E151" s="1908"/>
      <c r="F151" s="1909"/>
      <c r="G151" s="814" t="s">
        <v>13</v>
      </c>
      <c r="H151" s="818">
        <f>I151+J151+K151+L151+M151</f>
        <v>793000</v>
      </c>
      <c r="I151" s="818">
        <f>I154</f>
        <v>488000</v>
      </c>
      <c r="J151" s="818">
        <f t="shared" ref="J151:M152" si="75">J154</f>
        <v>305000</v>
      </c>
      <c r="K151" s="818">
        <f t="shared" si="75"/>
        <v>0</v>
      </c>
      <c r="L151" s="818">
        <f t="shared" si="75"/>
        <v>0</v>
      </c>
      <c r="M151" s="818">
        <f t="shared" si="75"/>
        <v>0</v>
      </c>
      <c r="N151" s="1978"/>
      <c r="O151" s="1981"/>
      <c r="P151" s="1070"/>
      <c r="Q151" s="321"/>
      <c r="R151" s="105"/>
      <c r="S151" s="105"/>
      <c r="T151" s="105"/>
    </row>
    <row r="152" spans="1:24" s="1" customFormat="1" ht="40.799999999999997" x14ac:dyDescent="0.3">
      <c r="A152" s="1861"/>
      <c r="B152" s="1907"/>
      <c r="C152" s="1908"/>
      <c r="D152" s="1908"/>
      <c r="E152" s="1908"/>
      <c r="F152" s="1909"/>
      <c r="G152" s="814" t="s">
        <v>3</v>
      </c>
      <c r="H152" s="818">
        <f>I152+J152+K152+L152+M152</f>
        <v>507000</v>
      </c>
      <c r="I152" s="818">
        <f>I155</f>
        <v>312000</v>
      </c>
      <c r="J152" s="818">
        <f t="shared" si="75"/>
        <v>195000</v>
      </c>
      <c r="K152" s="818">
        <f t="shared" si="75"/>
        <v>0</v>
      </c>
      <c r="L152" s="818">
        <f t="shared" si="75"/>
        <v>0</v>
      </c>
      <c r="M152" s="818">
        <f t="shared" si="75"/>
        <v>0</v>
      </c>
      <c r="N152" s="1979"/>
      <c r="O152" s="1982"/>
      <c r="P152" s="1070"/>
      <c r="Q152" s="321"/>
      <c r="R152" s="105"/>
      <c r="S152" s="105"/>
      <c r="T152" s="105"/>
    </row>
    <row r="153" spans="1:24" s="1" customFormat="1" ht="15" customHeight="1" x14ac:dyDescent="0.3">
      <c r="A153" s="1861" t="s">
        <v>584</v>
      </c>
      <c r="B153" s="2008" t="s">
        <v>245</v>
      </c>
      <c r="C153" s="1999" t="s">
        <v>208</v>
      </c>
      <c r="D153" s="1999"/>
      <c r="E153" s="1949">
        <v>1300000</v>
      </c>
      <c r="F153" s="160">
        <f>F154+F155</f>
        <v>0</v>
      </c>
      <c r="G153" s="814" t="s">
        <v>12</v>
      </c>
      <c r="H153" s="818">
        <f>H154+H155</f>
        <v>1300000</v>
      </c>
      <c r="I153" s="818">
        <f>I154+I155</f>
        <v>800000</v>
      </c>
      <c r="J153" s="818">
        <f t="shared" ref="J153:M153" si="76">J154+J155</f>
        <v>500000</v>
      </c>
      <c r="K153" s="818">
        <f t="shared" si="76"/>
        <v>0</v>
      </c>
      <c r="L153" s="818">
        <f t="shared" si="76"/>
        <v>0</v>
      </c>
      <c r="M153" s="818">
        <f t="shared" si="76"/>
        <v>0</v>
      </c>
      <c r="N153" s="2009"/>
      <c r="O153" s="1995" t="s">
        <v>16</v>
      </c>
      <c r="P153" s="1071"/>
      <c r="Q153" s="322"/>
      <c r="R153" s="105"/>
      <c r="S153" s="105"/>
      <c r="T153" s="105"/>
    </row>
    <row r="154" spans="1:24" s="1" customFormat="1" ht="20.399999999999999" x14ac:dyDescent="0.3">
      <c r="A154" s="1861"/>
      <c r="B154" s="2008"/>
      <c r="C154" s="1999"/>
      <c r="D154" s="1999"/>
      <c r="E154" s="1948"/>
      <c r="F154" s="160">
        <v>0</v>
      </c>
      <c r="G154" s="814" t="s">
        <v>13</v>
      </c>
      <c r="H154" s="818">
        <f>I154+J154+K154+L154+M154</f>
        <v>793000</v>
      </c>
      <c r="I154" s="818">
        <v>488000</v>
      </c>
      <c r="J154" s="818">
        <v>305000</v>
      </c>
      <c r="K154" s="818">
        <v>0</v>
      </c>
      <c r="L154" s="818">
        <v>0</v>
      </c>
      <c r="M154" s="818">
        <v>0</v>
      </c>
      <c r="N154" s="2010"/>
      <c r="O154" s="1996"/>
      <c r="P154" s="1071"/>
      <c r="Q154" s="322"/>
      <c r="R154" s="105"/>
      <c r="S154" s="105"/>
      <c r="T154" s="105"/>
      <c r="X154" s="1">
        <v>1</v>
      </c>
    </row>
    <row r="155" spans="1:24" s="1" customFormat="1" ht="40.799999999999997" x14ac:dyDescent="0.3">
      <c r="A155" s="1861"/>
      <c r="B155" s="2008"/>
      <c r="C155" s="1999"/>
      <c r="D155" s="1999"/>
      <c r="E155" s="1948"/>
      <c r="F155" s="160">
        <v>0</v>
      </c>
      <c r="G155" s="814" t="s">
        <v>3</v>
      </c>
      <c r="H155" s="818">
        <f>I155+J155+K155+L155+M155</f>
        <v>507000</v>
      </c>
      <c r="I155" s="818">
        <v>312000</v>
      </c>
      <c r="J155" s="818">
        <v>195000</v>
      </c>
      <c r="K155" s="818">
        <v>0</v>
      </c>
      <c r="L155" s="818">
        <v>0</v>
      </c>
      <c r="M155" s="818">
        <v>0</v>
      </c>
      <c r="N155" s="2011"/>
      <c r="O155" s="1997"/>
      <c r="P155" s="1071"/>
      <c r="Q155" s="322"/>
      <c r="R155" s="105"/>
      <c r="S155" s="105"/>
      <c r="T155" s="105"/>
    </row>
    <row r="156" spans="1:24" s="1" customFormat="1" x14ac:dyDescent="0.3">
      <c r="A156" s="2001" t="s">
        <v>585</v>
      </c>
      <c r="B156" s="2002" t="s">
        <v>124</v>
      </c>
      <c r="C156" s="2003"/>
      <c r="D156" s="2003"/>
      <c r="E156" s="2003"/>
      <c r="F156" s="2004"/>
      <c r="G156" s="814" t="s">
        <v>12</v>
      </c>
      <c r="H156" s="818">
        <f>H157+H158</f>
        <v>142793.17000000001</v>
      </c>
      <c r="I156" s="876">
        <f t="shared" ref="I156:M156" si="77">I157+I158</f>
        <v>91013.4</v>
      </c>
      <c r="J156" s="818">
        <f t="shared" si="77"/>
        <v>51779.77</v>
      </c>
      <c r="K156" s="818">
        <f t="shared" si="77"/>
        <v>0</v>
      </c>
      <c r="L156" s="818">
        <f t="shared" si="77"/>
        <v>0</v>
      </c>
      <c r="M156" s="818">
        <f t="shared" si="77"/>
        <v>0</v>
      </c>
      <c r="N156" s="1977"/>
      <c r="O156" s="1980"/>
      <c r="P156" s="1070"/>
      <c r="Q156" s="321"/>
      <c r="R156" s="105"/>
      <c r="S156" s="105"/>
      <c r="T156" s="105"/>
    </row>
    <row r="157" spans="1:24" s="1" customFormat="1" ht="20.399999999999999" x14ac:dyDescent="0.3">
      <c r="A157" s="2001"/>
      <c r="B157" s="2005"/>
      <c r="C157" s="2006"/>
      <c r="D157" s="2006"/>
      <c r="E157" s="2006"/>
      <c r="F157" s="2007"/>
      <c r="G157" s="814" t="s">
        <v>13</v>
      </c>
      <c r="H157" s="818">
        <f>I157+J157+K157+L157+M157</f>
        <v>81726.62</v>
      </c>
      <c r="I157" s="876">
        <f>I160+I166+I163</f>
        <v>40193.71</v>
      </c>
      <c r="J157" s="818">
        <f t="shared" ref="J157:M157" si="78">J160+J166</f>
        <v>41532.910000000003</v>
      </c>
      <c r="K157" s="818">
        <f t="shared" si="78"/>
        <v>0</v>
      </c>
      <c r="L157" s="818">
        <f t="shared" si="78"/>
        <v>0</v>
      </c>
      <c r="M157" s="818">
        <f t="shared" si="78"/>
        <v>0</v>
      </c>
      <c r="N157" s="1978"/>
      <c r="O157" s="1981"/>
      <c r="P157" s="1070"/>
      <c r="Q157" s="321"/>
      <c r="R157" s="105"/>
      <c r="S157" s="105"/>
      <c r="T157" s="105"/>
    </row>
    <row r="158" spans="1:24" s="1" customFormat="1" ht="40.799999999999997" x14ac:dyDescent="0.3">
      <c r="A158" s="2001"/>
      <c r="B158" s="2005"/>
      <c r="C158" s="2006"/>
      <c r="D158" s="2006"/>
      <c r="E158" s="2006"/>
      <c r="F158" s="2007"/>
      <c r="G158" s="814" t="s">
        <v>3</v>
      </c>
      <c r="H158" s="818">
        <f>I158+J158+K158+L158+M158</f>
        <v>61066.55</v>
      </c>
      <c r="I158" s="818">
        <f>I161+I167+I171+I164</f>
        <v>50819.69</v>
      </c>
      <c r="J158" s="818">
        <f t="shared" ref="J158:M158" si="79">J161+J167+J171</f>
        <v>10246.86</v>
      </c>
      <c r="K158" s="818">
        <f t="shared" si="79"/>
        <v>0</v>
      </c>
      <c r="L158" s="818">
        <f t="shared" si="79"/>
        <v>0</v>
      </c>
      <c r="M158" s="818">
        <f t="shared" si="79"/>
        <v>0</v>
      </c>
      <c r="N158" s="1979"/>
      <c r="O158" s="1982"/>
      <c r="P158" s="1070"/>
      <c r="Q158" s="321"/>
      <c r="R158" s="105"/>
      <c r="S158" s="105"/>
      <c r="T158" s="105"/>
    </row>
    <row r="159" spans="1:24" s="1" customFormat="1" ht="15" customHeight="1" x14ac:dyDescent="0.3">
      <c r="A159" s="1861" t="s">
        <v>586</v>
      </c>
      <c r="B159" s="1861" t="s">
        <v>246</v>
      </c>
      <c r="C159" s="1999" t="s">
        <v>205</v>
      </c>
      <c r="D159" s="1999"/>
      <c r="E159" s="2019">
        <v>250141.81</v>
      </c>
      <c r="F159" s="818">
        <f>F160+F161</f>
        <v>130921.88</v>
      </c>
      <c r="G159" s="814" t="s">
        <v>12</v>
      </c>
      <c r="H159" s="818">
        <f>H160+H161</f>
        <v>119219.93</v>
      </c>
      <c r="I159" s="818">
        <f>I160+I161</f>
        <v>67440.160000000003</v>
      </c>
      <c r="J159" s="818">
        <f t="shared" ref="J159:M159" si="80">J160+J161</f>
        <v>51779.77</v>
      </c>
      <c r="K159" s="818">
        <f t="shared" si="80"/>
        <v>0</v>
      </c>
      <c r="L159" s="818">
        <f t="shared" si="80"/>
        <v>0</v>
      </c>
      <c r="M159" s="818">
        <f t="shared" si="80"/>
        <v>0</v>
      </c>
      <c r="N159" s="2009"/>
      <c r="O159" s="1995" t="s">
        <v>47</v>
      </c>
      <c r="P159" s="1071" t="s">
        <v>1497</v>
      </c>
      <c r="Q159" s="322"/>
      <c r="R159" s="105"/>
      <c r="S159" s="105"/>
      <c r="T159" s="105"/>
    </row>
    <row r="160" spans="1:24" s="1" customFormat="1" ht="20.399999999999999" x14ac:dyDescent="0.3">
      <c r="A160" s="1861"/>
      <c r="B160" s="1861"/>
      <c r="C160" s="1999"/>
      <c r="D160" s="1999"/>
      <c r="E160" s="2019"/>
      <c r="F160" s="818">
        <v>84035.04</v>
      </c>
      <c r="G160" s="814" t="s">
        <v>13</v>
      </c>
      <c r="H160" s="818">
        <f>I160+J160+K160+L160+M160</f>
        <v>79565.87</v>
      </c>
      <c r="I160" s="818">
        <v>38032.959999999999</v>
      </c>
      <c r="J160" s="818">
        <v>41532.910000000003</v>
      </c>
      <c r="K160" s="818">
        <v>0</v>
      </c>
      <c r="L160" s="818">
        <v>0</v>
      </c>
      <c r="M160" s="818">
        <v>0</v>
      </c>
      <c r="N160" s="2010"/>
      <c r="O160" s="1996"/>
      <c r="P160" s="1071"/>
      <c r="Q160" s="322"/>
      <c r="R160" s="105"/>
      <c r="S160" s="105"/>
      <c r="T160" s="105"/>
      <c r="X160" s="1">
        <v>1</v>
      </c>
    </row>
    <row r="161" spans="1:27" s="1" customFormat="1" ht="40.799999999999997" x14ac:dyDescent="0.3">
      <c r="A161" s="1861"/>
      <c r="B161" s="1861"/>
      <c r="C161" s="1999"/>
      <c r="D161" s="1999"/>
      <c r="E161" s="2019"/>
      <c r="F161" s="160">
        <f>46886.84</f>
        <v>46886.84</v>
      </c>
      <c r="G161" s="814" t="s">
        <v>3</v>
      </c>
      <c r="H161" s="818">
        <f>I161+J161+K161+L161+M161</f>
        <v>39654.06</v>
      </c>
      <c r="I161" s="818">
        <v>29407.200000000001</v>
      </c>
      <c r="J161" s="818">
        <v>10246.86</v>
      </c>
      <c r="K161" s="818">
        <v>0</v>
      </c>
      <c r="L161" s="818">
        <v>0</v>
      </c>
      <c r="M161" s="818">
        <v>0</v>
      </c>
      <c r="N161" s="2011"/>
      <c r="O161" s="1997"/>
      <c r="P161" s="1071"/>
      <c r="Q161" s="322"/>
      <c r="R161" s="105"/>
      <c r="S161" s="105"/>
      <c r="T161" s="105"/>
    </row>
    <row r="162" spans="1:27" s="1" customFormat="1" ht="15" customHeight="1" x14ac:dyDescent="0.3">
      <c r="A162" s="2020" t="s">
        <v>587</v>
      </c>
      <c r="B162" s="1717" t="s">
        <v>1339</v>
      </c>
      <c r="C162" s="2021" t="s">
        <v>1450</v>
      </c>
      <c r="D162" s="1718"/>
      <c r="E162" s="1719">
        <f>F162+H162</f>
        <v>47918.2</v>
      </c>
      <c r="F162" s="803">
        <f>F163+F164</f>
        <v>45756.959999999999</v>
      </c>
      <c r="G162" s="802" t="s">
        <v>12</v>
      </c>
      <c r="H162" s="803">
        <f>H163+H164</f>
        <v>2161.2399999999998</v>
      </c>
      <c r="I162" s="803">
        <f>I163+I164</f>
        <v>2161.2399999999998</v>
      </c>
      <c r="J162" s="818">
        <f t="shared" ref="J162:M162" si="81">J163+J164</f>
        <v>0</v>
      </c>
      <c r="K162" s="818">
        <f t="shared" si="81"/>
        <v>0</v>
      </c>
      <c r="L162" s="818">
        <f t="shared" si="81"/>
        <v>0</v>
      </c>
      <c r="M162" s="818">
        <f t="shared" si="81"/>
        <v>0</v>
      </c>
      <c r="N162" s="2022"/>
      <c r="O162" s="816"/>
      <c r="P162" s="1071"/>
      <c r="Q162" s="322"/>
      <c r="R162" s="105"/>
      <c r="S162" s="105"/>
      <c r="T162" s="105"/>
    </row>
    <row r="163" spans="1:27" s="1" customFormat="1" ht="26.4" x14ac:dyDescent="0.3">
      <c r="A163" s="2020"/>
      <c r="B163" s="1717"/>
      <c r="C163" s="2021"/>
      <c r="D163" s="1718"/>
      <c r="E163" s="1719"/>
      <c r="F163" s="803">
        <v>30655.87</v>
      </c>
      <c r="G163" s="802" t="s">
        <v>13</v>
      </c>
      <c r="H163" s="803">
        <f>SUM(I163:M163)</f>
        <v>2160.75</v>
      </c>
      <c r="I163" s="803">
        <v>2160.75</v>
      </c>
      <c r="J163" s="818">
        <v>0</v>
      </c>
      <c r="K163" s="818">
        <v>0</v>
      </c>
      <c r="L163" s="818">
        <v>0</v>
      </c>
      <c r="M163" s="818">
        <v>0</v>
      </c>
      <c r="N163" s="2023"/>
      <c r="O163" s="816"/>
      <c r="P163" s="1071"/>
      <c r="Q163" s="322"/>
      <c r="R163" s="105"/>
      <c r="S163" s="105"/>
      <c r="T163" s="105"/>
      <c r="W163" s="1">
        <v>0</v>
      </c>
      <c r="X163" s="1">
        <v>0</v>
      </c>
      <c r="Y163" s="1">
        <v>0</v>
      </c>
      <c r="Z163" s="1">
        <v>0</v>
      </c>
      <c r="AA163" s="1">
        <v>0</v>
      </c>
    </row>
    <row r="164" spans="1:27" s="1" customFormat="1" ht="52.8" x14ac:dyDescent="0.3">
      <c r="A164" s="2020"/>
      <c r="B164" s="1717"/>
      <c r="C164" s="2021"/>
      <c r="D164" s="1718"/>
      <c r="E164" s="1719"/>
      <c r="F164" s="69">
        <v>15101.09</v>
      </c>
      <c r="G164" s="802" t="s">
        <v>14</v>
      </c>
      <c r="H164" s="803">
        <f>SUM(I164:M164)</f>
        <v>0.49</v>
      </c>
      <c r="I164" s="1224">
        <v>0.49</v>
      </c>
      <c r="J164" s="818">
        <v>0</v>
      </c>
      <c r="K164" s="818">
        <v>0</v>
      </c>
      <c r="L164" s="818">
        <v>0</v>
      </c>
      <c r="M164" s="818">
        <v>0</v>
      </c>
      <c r="N164" s="2024"/>
      <c r="O164" s="816"/>
      <c r="P164" s="1071"/>
      <c r="Q164" s="322"/>
      <c r="R164" s="105"/>
      <c r="S164" s="105"/>
      <c r="T164" s="105"/>
    </row>
    <row r="165" spans="1:27" s="1" customFormat="1" ht="15" customHeight="1" x14ac:dyDescent="0.3">
      <c r="A165" s="1953" t="s">
        <v>1292</v>
      </c>
      <c r="B165" s="2008" t="s">
        <v>193</v>
      </c>
      <c r="C165" s="2012" t="s">
        <v>83</v>
      </c>
      <c r="D165" s="2012"/>
      <c r="E165" s="2014">
        <f>F165+H165</f>
        <v>56051.19</v>
      </c>
      <c r="F165" s="819">
        <f>F166+F167</f>
        <v>34639.19</v>
      </c>
      <c r="G165" s="814" t="s">
        <v>12</v>
      </c>
      <c r="H165" s="818">
        <f>H166+H167</f>
        <v>21412</v>
      </c>
      <c r="I165" s="818">
        <f t="shared" ref="I165:M165" si="82">I166+I167</f>
        <v>21412</v>
      </c>
      <c r="J165" s="818">
        <f t="shared" si="82"/>
        <v>0</v>
      </c>
      <c r="K165" s="818">
        <f t="shared" si="82"/>
        <v>0</v>
      </c>
      <c r="L165" s="818">
        <f t="shared" si="82"/>
        <v>0</v>
      </c>
      <c r="M165" s="818">
        <f t="shared" si="82"/>
        <v>0</v>
      </c>
      <c r="N165" s="2016"/>
      <c r="O165" s="1934" t="s">
        <v>858</v>
      </c>
      <c r="P165" s="1059" t="s">
        <v>1291</v>
      </c>
      <c r="Q165" s="330"/>
      <c r="R165" s="105"/>
      <c r="S165" s="105"/>
      <c r="T165" s="105"/>
    </row>
    <row r="166" spans="1:27" s="1" customFormat="1" ht="20.399999999999999" x14ac:dyDescent="0.3">
      <c r="A166" s="1954"/>
      <c r="B166" s="2008"/>
      <c r="C166" s="2013"/>
      <c r="D166" s="2013"/>
      <c r="E166" s="2015"/>
      <c r="F166" s="819">
        <v>34455.19</v>
      </c>
      <c r="G166" s="814" t="s">
        <v>13</v>
      </c>
      <c r="H166" s="818">
        <f>I166+J166+K166+L166+M166</f>
        <v>0</v>
      </c>
      <c r="I166" s="818">
        <v>0</v>
      </c>
      <c r="J166" s="818">
        <v>0</v>
      </c>
      <c r="K166" s="818">
        <v>0</v>
      </c>
      <c r="L166" s="818">
        <v>0</v>
      </c>
      <c r="M166" s="818">
        <v>0</v>
      </c>
      <c r="N166" s="2017"/>
      <c r="O166" s="1935"/>
      <c r="P166" s="1059"/>
      <c r="Q166" s="330"/>
      <c r="R166" s="105"/>
      <c r="S166" s="105"/>
      <c r="T166" s="105"/>
    </row>
    <row r="167" spans="1:27" s="1" customFormat="1" ht="70.95" customHeight="1" x14ac:dyDescent="0.3">
      <c r="A167" s="1954"/>
      <c r="B167" s="2008"/>
      <c r="C167" s="2013"/>
      <c r="D167" s="2013"/>
      <c r="E167" s="2015"/>
      <c r="F167" s="819">
        <f>143+41</f>
        <v>184</v>
      </c>
      <c r="G167" s="814" t="s">
        <v>14</v>
      </c>
      <c r="H167" s="818">
        <f>I167+J167+K167+L167+M167</f>
        <v>21412</v>
      </c>
      <c r="I167" s="818">
        <v>21412</v>
      </c>
      <c r="J167" s="818">
        <v>0</v>
      </c>
      <c r="K167" s="818">
        <v>0</v>
      </c>
      <c r="L167" s="818">
        <v>0</v>
      </c>
      <c r="M167" s="818">
        <v>0</v>
      </c>
      <c r="N167" s="2017"/>
      <c r="O167" s="1935"/>
      <c r="P167" s="1059"/>
      <c r="Q167" s="330"/>
      <c r="R167" s="105"/>
      <c r="S167" s="105"/>
      <c r="T167" s="105"/>
      <c r="W167" s="1">
        <v>1</v>
      </c>
    </row>
    <row r="168" spans="1:27" s="1" customFormat="1" ht="30.6" x14ac:dyDescent="0.3">
      <c r="A168" s="1955"/>
      <c r="B168" s="817" t="s">
        <v>168</v>
      </c>
      <c r="C168" s="817" t="s">
        <v>82</v>
      </c>
      <c r="D168" s="817"/>
      <c r="E168" s="500">
        <v>2523.5500000000002</v>
      </c>
      <c r="F168" s="819">
        <v>143</v>
      </c>
      <c r="G168" s="814" t="s">
        <v>14</v>
      </c>
      <c r="H168" s="818">
        <f>I168+J168+K168+L168+M168</f>
        <v>2380.5500000000002</v>
      </c>
      <c r="I168" s="818">
        <v>2380.5500000000002</v>
      </c>
      <c r="J168" s="818">
        <v>0</v>
      </c>
      <c r="K168" s="818">
        <v>0</v>
      </c>
      <c r="L168" s="818">
        <v>0</v>
      </c>
      <c r="M168" s="818">
        <v>0</v>
      </c>
      <c r="N168" s="2018"/>
      <c r="O168" s="1936"/>
      <c r="P168" s="1059"/>
      <c r="Q168" s="330"/>
      <c r="R168" s="105"/>
      <c r="S168" s="105"/>
      <c r="T168" s="105"/>
    </row>
    <row r="169" spans="1:27" s="1" customFormat="1" ht="15" customHeight="1" x14ac:dyDescent="0.3">
      <c r="A169" s="2034" t="s">
        <v>1292</v>
      </c>
      <c r="B169" s="2035" t="s">
        <v>1293</v>
      </c>
      <c r="C169" s="2036" t="s">
        <v>208</v>
      </c>
      <c r="D169" s="2036" t="s">
        <v>1294</v>
      </c>
      <c r="E169" s="2037">
        <f>H169</f>
        <v>0</v>
      </c>
      <c r="F169" s="954">
        <f>F170+F171</f>
        <v>0</v>
      </c>
      <c r="G169" s="935" t="s">
        <v>12</v>
      </c>
      <c r="H169" s="956">
        <f>H170+H171</f>
        <v>0</v>
      </c>
      <c r="I169" s="956">
        <f>I170+I171</f>
        <v>0</v>
      </c>
      <c r="J169" s="956">
        <f t="shared" ref="J169:M169" si="83">J170+J171</f>
        <v>0</v>
      </c>
      <c r="K169" s="956">
        <f t="shared" si="83"/>
        <v>0</v>
      </c>
      <c r="L169" s="876">
        <f t="shared" si="83"/>
        <v>0</v>
      </c>
      <c r="M169" s="876">
        <f t="shared" si="83"/>
        <v>0</v>
      </c>
      <c r="N169" s="2038"/>
      <c r="O169" s="2025" t="s">
        <v>16</v>
      </c>
      <c r="P169" s="1070" t="s">
        <v>1498</v>
      </c>
      <c r="Q169" s="329">
        <v>0.67700000000000005</v>
      </c>
      <c r="R169" s="105">
        <f>I170/$Q169</f>
        <v>0</v>
      </c>
      <c r="S169" s="105">
        <f>J170/$Q169</f>
        <v>0</v>
      </c>
      <c r="T169" s="105">
        <f>K170/$Q169</f>
        <v>0</v>
      </c>
    </row>
    <row r="170" spans="1:27" s="1" customFormat="1" ht="20.399999999999999" x14ac:dyDescent="0.3">
      <c r="A170" s="2034"/>
      <c r="B170" s="2035"/>
      <c r="C170" s="2036"/>
      <c r="D170" s="2036"/>
      <c r="E170" s="2037"/>
      <c r="F170" s="954">
        <v>0</v>
      </c>
      <c r="G170" s="935" t="s">
        <v>13</v>
      </c>
      <c r="H170" s="956">
        <f>I170+J170+K170+L170+M170</f>
        <v>0</v>
      </c>
      <c r="I170" s="956">
        <f>13540*0</f>
        <v>0</v>
      </c>
      <c r="J170" s="956">
        <f>136572.64*0</f>
        <v>0</v>
      </c>
      <c r="K170" s="956">
        <v>0</v>
      </c>
      <c r="L170" s="876">
        <v>0</v>
      </c>
      <c r="M170" s="876">
        <v>0</v>
      </c>
      <c r="N170" s="2039"/>
      <c r="O170" s="2026"/>
      <c r="P170" s="1070"/>
      <c r="Q170" s="329"/>
      <c r="R170" s="309"/>
      <c r="S170" s="309"/>
      <c r="T170" s="309"/>
    </row>
    <row r="171" spans="1:27" s="1" customFormat="1" ht="40.799999999999997" x14ac:dyDescent="0.3">
      <c r="A171" s="2034"/>
      <c r="B171" s="2035"/>
      <c r="C171" s="2036"/>
      <c r="D171" s="2036"/>
      <c r="E171" s="2037"/>
      <c r="F171" s="954">
        <v>0</v>
      </c>
      <c r="G171" s="935" t="s">
        <v>3</v>
      </c>
      <c r="H171" s="956">
        <f>I171+J171+K171+L171+M171</f>
        <v>0</v>
      </c>
      <c r="I171" s="956">
        <f>6460*0</f>
        <v>0</v>
      </c>
      <c r="J171" s="956">
        <f>65159.47*0</f>
        <v>0</v>
      </c>
      <c r="K171" s="956">
        <v>0</v>
      </c>
      <c r="L171" s="876">
        <v>0</v>
      </c>
      <c r="M171" s="876">
        <v>0</v>
      </c>
      <c r="N171" s="2040"/>
      <c r="O171" s="2027"/>
      <c r="P171" s="1070"/>
      <c r="Q171" s="329">
        <f>1-Q169</f>
        <v>0.32300000000000001</v>
      </c>
      <c r="R171" s="309">
        <f>R169*$Q171</f>
        <v>0</v>
      </c>
      <c r="S171" s="309">
        <f t="shared" ref="S171:T171" si="84">S169*$Q171</f>
        <v>0</v>
      </c>
      <c r="T171" s="309">
        <f t="shared" si="84"/>
        <v>0</v>
      </c>
    </row>
    <row r="172" spans="1:27" s="1" customFormat="1" x14ac:dyDescent="0.3">
      <c r="A172" s="1953" t="s">
        <v>588</v>
      </c>
      <c r="B172" s="2028" t="s">
        <v>841</v>
      </c>
      <c r="C172" s="2029"/>
      <c r="D172" s="2029"/>
      <c r="E172" s="2029"/>
      <c r="F172" s="2030"/>
      <c r="G172" s="814" t="s">
        <v>12</v>
      </c>
      <c r="H172" s="818">
        <f>H173+H174</f>
        <v>40000</v>
      </c>
      <c r="I172" s="818">
        <f t="shared" ref="I172:M172" si="85">I173+I174</f>
        <v>0</v>
      </c>
      <c r="J172" s="818">
        <f t="shared" si="85"/>
        <v>40000</v>
      </c>
      <c r="K172" s="818">
        <f t="shared" si="85"/>
        <v>0</v>
      </c>
      <c r="L172" s="818">
        <f t="shared" si="85"/>
        <v>0</v>
      </c>
      <c r="M172" s="818">
        <f t="shared" si="85"/>
        <v>0</v>
      </c>
      <c r="N172" s="1977"/>
      <c r="O172" s="1980"/>
      <c r="P172" s="1070"/>
      <c r="Q172" s="321"/>
      <c r="R172" s="105"/>
      <c r="S172" s="105"/>
      <c r="T172" s="105"/>
    </row>
    <row r="173" spans="1:27" s="1" customFormat="1" ht="20.399999999999999" x14ac:dyDescent="0.3">
      <c r="A173" s="1954"/>
      <c r="B173" s="2031"/>
      <c r="C173" s="2032"/>
      <c r="D173" s="2032"/>
      <c r="E173" s="2032"/>
      <c r="F173" s="2033"/>
      <c r="G173" s="814" t="s">
        <v>13</v>
      </c>
      <c r="H173" s="818">
        <f>I173+J173+K173+L173+M173</f>
        <v>33480</v>
      </c>
      <c r="I173" s="818">
        <f>I176</f>
        <v>0</v>
      </c>
      <c r="J173" s="818">
        <f t="shared" ref="J173:M174" si="86">J176</f>
        <v>33480</v>
      </c>
      <c r="K173" s="818">
        <f t="shared" si="86"/>
        <v>0</v>
      </c>
      <c r="L173" s="818">
        <f t="shared" si="86"/>
        <v>0</v>
      </c>
      <c r="M173" s="818">
        <f t="shared" si="86"/>
        <v>0</v>
      </c>
      <c r="N173" s="1978"/>
      <c r="O173" s="1981"/>
      <c r="P173" s="1070"/>
      <c r="Q173" s="321"/>
      <c r="R173" s="105"/>
      <c r="S173" s="105"/>
      <c r="T173" s="105"/>
    </row>
    <row r="174" spans="1:27" s="1" customFormat="1" ht="40.799999999999997" x14ac:dyDescent="0.3">
      <c r="A174" s="1955"/>
      <c r="B174" s="2031"/>
      <c r="C174" s="2032"/>
      <c r="D174" s="2032"/>
      <c r="E174" s="2032"/>
      <c r="F174" s="2033"/>
      <c r="G174" s="814" t="s">
        <v>3</v>
      </c>
      <c r="H174" s="818">
        <f>I174+J174+K174+L174+M174</f>
        <v>6520</v>
      </c>
      <c r="I174" s="818">
        <f>I177</f>
        <v>0</v>
      </c>
      <c r="J174" s="818">
        <f t="shared" si="86"/>
        <v>6520</v>
      </c>
      <c r="K174" s="818">
        <f t="shared" si="86"/>
        <v>0</v>
      </c>
      <c r="L174" s="818">
        <f t="shared" si="86"/>
        <v>0</v>
      </c>
      <c r="M174" s="818">
        <f t="shared" si="86"/>
        <v>0</v>
      </c>
      <c r="N174" s="1979"/>
      <c r="O174" s="1982"/>
      <c r="P174" s="1070"/>
      <c r="Q174" s="321"/>
      <c r="R174" s="105"/>
      <c r="S174" s="105"/>
      <c r="T174" s="105"/>
    </row>
    <row r="175" spans="1:27" s="1" customFormat="1" ht="52.2" customHeight="1" x14ac:dyDescent="0.3">
      <c r="A175" s="1861" t="s">
        <v>768</v>
      </c>
      <c r="B175" s="2008" t="s">
        <v>828</v>
      </c>
      <c r="C175" s="1998">
        <v>2019</v>
      </c>
      <c r="D175" s="1998"/>
      <c r="E175" s="2014">
        <v>40000</v>
      </c>
      <c r="F175" s="501">
        <f>F176+F177</f>
        <v>0</v>
      </c>
      <c r="G175" s="814" t="s">
        <v>12</v>
      </c>
      <c r="H175" s="818">
        <f t="shared" ref="H175:M175" si="87">H176+H177</f>
        <v>40000</v>
      </c>
      <c r="I175" s="818">
        <f t="shared" si="87"/>
        <v>0</v>
      </c>
      <c r="J175" s="818">
        <f t="shared" si="87"/>
        <v>40000</v>
      </c>
      <c r="K175" s="818">
        <f t="shared" si="87"/>
        <v>0</v>
      </c>
      <c r="L175" s="818">
        <f t="shared" si="87"/>
        <v>0</v>
      </c>
      <c r="M175" s="818">
        <f t="shared" si="87"/>
        <v>0</v>
      </c>
      <c r="N175" s="1977"/>
      <c r="O175" s="1995" t="s">
        <v>16</v>
      </c>
      <c r="P175" s="1070" t="s">
        <v>1499</v>
      </c>
      <c r="Q175" s="4"/>
      <c r="R175" s="105"/>
      <c r="S175" s="105"/>
      <c r="T175" s="105"/>
    </row>
    <row r="176" spans="1:27" s="1" customFormat="1" ht="34.950000000000003" customHeight="1" x14ac:dyDescent="0.3">
      <c r="A176" s="1861"/>
      <c r="B176" s="2008"/>
      <c r="C176" s="1998"/>
      <c r="D176" s="1998"/>
      <c r="E176" s="2014"/>
      <c r="F176" s="501">
        <v>0</v>
      </c>
      <c r="G176" s="814" t="s">
        <v>13</v>
      </c>
      <c r="H176" s="818">
        <f>I176+J176+K176+L176+M176</f>
        <v>33480</v>
      </c>
      <c r="I176" s="818">
        <v>0</v>
      </c>
      <c r="J176" s="818">
        <v>33480</v>
      </c>
      <c r="K176" s="818">
        <v>0</v>
      </c>
      <c r="L176" s="818">
        <v>0</v>
      </c>
      <c r="M176" s="818">
        <v>0</v>
      </c>
      <c r="N176" s="1978"/>
      <c r="O176" s="1996"/>
      <c r="P176" s="1070"/>
      <c r="Q176" s="4"/>
      <c r="R176" s="105"/>
      <c r="S176" s="105"/>
      <c r="T176" s="105"/>
      <c r="X176" s="1">
        <v>1</v>
      </c>
    </row>
    <row r="177" spans="1:26" s="1" customFormat="1" ht="40.799999999999997" x14ac:dyDescent="0.3">
      <c r="A177" s="1861"/>
      <c r="B177" s="2008"/>
      <c r="C177" s="1998"/>
      <c r="D177" s="1998"/>
      <c r="E177" s="2014"/>
      <c r="F177" s="501">
        <v>0</v>
      </c>
      <c r="G177" s="814" t="s">
        <v>3</v>
      </c>
      <c r="H177" s="818">
        <f>I177+J177+K177+L177+M177</f>
        <v>6520</v>
      </c>
      <c r="I177" s="818">
        <v>0</v>
      </c>
      <c r="J177" s="818">
        <v>6520</v>
      </c>
      <c r="K177" s="818">
        <v>0</v>
      </c>
      <c r="L177" s="818">
        <v>0</v>
      </c>
      <c r="M177" s="818">
        <v>0</v>
      </c>
      <c r="N177" s="1979"/>
      <c r="O177" s="1997"/>
      <c r="P177" s="1070"/>
    </row>
    <row r="178" spans="1:26" s="1" customFormat="1" ht="14.4" customHeight="1" x14ac:dyDescent="0.3">
      <c r="A178" s="1953" t="s">
        <v>769</v>
      </c>
      <c r="B178" s="2028" t="s">
        <v>1160</v>
      </c>
      <c r="C178" s="2029"/>
      <c r="D178" s="2029"/>
      <c r="E178" s="2029"/>
      <c r="F178" s="2030"/>
      <c r="G178" s="814" t="s">
        <v>12</v>
      </c>
      <c r="H178" s="818">
        <f>H179+H180</f>
        <v>30000</v>
      </c>
      <c r="I178" s="818">
        <f t="shared" ref="I178:M178" si="88">I179+I180</f>
        <v>3000</v>
      </c>
      <c r="J178" s="818">
        <f t="shared" si="88"/>
        <v>27000</v>
      </c>
      <c r="K178" s="818">
        <f t="shared" si="88"/>
        <v>0</v>
      </c>
      <c r="L178" s="818">
        <f t="shared" si="88"/>
        <v>0</v>
      </c>
      <c r="M178" s="818">
        <f t="shared" si="88"/>
        <v>0</v>
      </c>
      <c r="N178" s="1977"/>
      <c r="O178" s="1980"/>
      <c r="P178" s="1070" t="s">
        <v>1500</v>
      </c>
      <c r="Q178" s="329">
        <v>0.7</v>
      </c>
      <c r="R178" s="105">
        <f>I182/$Q178</f>
        <v>3000</v>
      </c>
      <c r="S178" s="105">
        <f>J182/$Q178</f>
        <v>27000</v>
      </c>
      <c r="T178" s="105">
        <f>K182/$Q178</f>
        <v>0</v>
      </c>
    </row>
    <row r="179" spans="1:26" s="1" customFormat="1" ht="20.399999999999999" x14ac:dyDescent="0.3">
      <c r="A179" s="1954"/>
      <c r="B179" s="2031"/>
      <c r="C179" s="2032"/>
      <c r="D179" s="2032"/>
      <c r="E179" s="2032"/>
      <c r="F179" s="2033"/>
      <c r="G179" s="814" t="s">
        <v>13</v>
      </c>
      <c r="H179" s="818">
        <f>I179+J179+K179+L179+M179</f>
        <v>21000</v>
      </c>
      <c r="I179" s="818">
        <f>I182</f>
        <v>2100</v>
      </c>
      <c r="J179" s="818">
        <f t="shared" ref="I179:M180" si="89">J182</f>
        <v>18900</v>
      </c>
      <c r="K179" s="818">
        <f t="shared" si="89"/>
        <v>0</v>
      </c>
      <c r="L179" s="818">
        <f t="shared" si="89"/>
        <v>0</v>
      </c>
      <c r="M179" s="818">
        <f t="shared" si="89"/>
        <v>0</v>
      </c>
      <c r="N179" s="1978"/>
      <c r="O179" s="1981"/>
      <c r="P179" s="1070"/>
      <c r="Q179" s="329"/>
      <c r="R179" s="309"/>
      <c r="S179" s="309"/>
      <c r="T179" s="309"/>
    </row>
    <row r="180" spans="1:26" s="1" customFormat="1" ht="40.799999999999997" x14ac:dyDescent="0.3">
      <c r="A180" s="1955"/>
      <c r="B180" s="2031"/>
      <c r="C180" s="2032"/>
      <c r="D180" s="2032"/>
      <c r="E180" s="2032"/>
      <c r="F180" s="2033"/>
      <c r="G180" s="814" t="s">
        <v>3</v>
      </c>
      <c r="H180" s="818">
        <f>I180+J180+K180+L180+M180</f>
        <v>9000</v>
      </c>
      <c r="I180" s="818">
        <f t="shared" si="89"/>
        <v>900</v>
      </c>
      <c r="J180" s="818">
        <f t="shared" si="89"/>
        <v>8100</v>
      </c>
      <c r="K180" s="818">
        <f t="shared" si="89"/>
        <v>0</v>
      </c>
      <c r="L180" s="818">
        <f t="shared" si="89"/>
        <v>0</v>
      </c>
      <c r="M180" s="818">
        <f t="shared" si="89"/>
        <v>0</v>
      </c>
      <c r="N180" s="1979"/>
      <c r="O180" s="1982"/>
      <c r="P180" s="1070"/>
      <c r="Q180" s="329">
        <f>1-Q178</f>
        <v>0.3</v>
      </c>
      <c r="R180" s="309">
        <f>R178*$Q180</f>
        <v>900</v>
      </c>
      <c r="S180" s="309">
        <f>S178*$Q180</f>
        <v>8100</v>
      </c>
      <c r="T180" s="309">
        <f>T178*$Q180</f>
        <v>0</v>
      </c>
    </row>
    <row r="181" spans="1:26" s="1" customFormat="1" ht="31.95" customHeight="1" x14ac:dyDescent="0.3">
      <c r="A181" s="1861" t="s">
        <v>1295</v>
      </c>
      <c r="B181" s="2008" t="s">
        <v>1296</v>
      </c>
      <c r="C181" s="1999" t="s">
        <v>208</v>
      </c>
      <c r="D181" s="1999"/>
      <c r="E181" s="1949">
        <f>H181</f>
        <v>30000</v>
      </c>
      <c r="F181" s="160">
        <f>F182+F183</f>
        <v>0</v>
      </c>
      <c r="G181" s="814" t="s">
        <v>12</v>
      </c>
      <c r="H181" s="818">
        <f t="shared" ref="H181:M181" si="90">H182+H183</f>
        <v>30000</v>
      </c>
      <c r="I181" s="818">
        <f t="shared" si="90"/>
        <v>3000</v>
      </c>
      <c r="J181" s="818">
        <f t="shared" si="90"/>
        <v>27000</v>
      </c>
      <c r="K181" s="818">
        <f t="shared" si="90"/>
        <v>0</v>
      </c>
      <c r="L181" s="818">
        <f t="shared" si="90"/>
        <v>0</v>
      </c>
      <c r="M181" s="818">
        <f t="shared" si="90"/>
        <v>0</v>
      </c>
      <c r="N181" s="1977"/>
      <c r="O181" s="1995" t="s">
        <v>16</v>
      </c>
      <c r="P181" s="1070" t="s">
        <v>1512</v>
      </c>
      <c r="Q181" s="329">
        <v>0.7</v>
      </c>
      <c r="R181" s="105" t="e">
        <f>#REF!/$Q181</f>
        <v>#REF!</v>
      </c>
      <c r="S181" s="105" t="e">
        <f>#REF!/$Q181</f>
        <v>#REF!</v>
      </c>
      <c r="T181" s="105" t="e">
        <f>#REF!/$Q181</f>
        <v>#REF!</v>
      </c>
    </row>
    <row r="182" spans="1:26" s="1" customFormat="1" ht="20.399999999999999" x14ac:dyDescent="0.3">
      <c r="A182" s="1861"/>
      <c r="B182" s="2008"/>
      <c r="C182" s="1999"/>
      <c r="D182" s="1999"/>
      <c r="E182" s="1949"/>
      <c r="F182" s="160">
        <v>0</v>
      </c>
      <c r="G182" s="814" t="s">
        <v>13</v>
      </c>
      <c r="H182" s="818">
        <f>I182+J182+K182+L182+M182</f>
        <v>21000</v>
      </c>
      <c r="I182" s="818">
        <v>2100</v>
      </c>
      <c r="J182" s="818">
        <v>18900</v>
      </c>
      <c r="K182" s="818">
        <v>0</v>
      </c>
      <c r="L182" s="818">
        <v>0</v>
      </c>
      <c r="M182" s="818">
        <v>0</v>
      </c>
      <c r="N182" s="1978"/>
      <c r="O182" s="1996"/>
      <c r="P182" s="1070"/>
      <c r="Q182" s="329"/>
      <c r="R182" s="309"/>
      <c r="S182" s="309"/>
      <c r="T182" s="309"/>
      <c r="X182" s="1">
        <v>1</v>
      </c>
    </row>
    <row r="183" spans="1:26" s="1" customFormat="1" ht="40.5" customHeight="1" x14ac:dyDescent="0.3">
      <c r="A183" s="1861"/>
      <c r="B183" s="2008"/>
      <c r="C183" s="1999"/>
      <c r="D183" s="1999"/>
      <c r="E183" s="1949"/>
      <c r="F183" s="160">
        <v>0</v>
      </c>
      <c r="G183" s="814" t="s">
        <v>3</v>
      </c>
      <c r="H183" s="818">
        <f>I183+J183+K183+L183+M183</f>
        <v>9000</v>
      </c>
      <c r="I183" s="818">
        <v>900</v>
      </c>
      <c r="J183" s="818">
        <v>8100</v>
      </c>
      <c r="K183" s="818">
        <v>0</v>
      </c>
      <c r="L183" s="818">
        <v>0</v>
      </c>
      <c r="M183" s="818">
        <v>0</v>
      </c>
      <c r="N183" s="1979"/>
      <c r="O183" s="1997"/>
      <c r="P183" s="1070"/>
      <c r="Q183" s="329">
        <f>1-Q181</f>
        <v>0.3</v>
      </c>
      <c r="R183" s="309" t="e">
        <f>R181*$Q183</f>
        <v>#REF!</v>
      </c>
      <c r="S183" s="309" t="e">
        <f>S181*$Q183</f>
        <v>#REF!</v>
      </c>
      <c r="T183" s="309" t="e">
        <f>T181*$Q183</f>
        <v>#REF!</v>
      </c>
    </row>
    <row r="184" spans="1:26" s="688" customFormat="1" ht="19.5" customHeight="1" x14ac:dyDescent="0.3">
      <c r="A184" s="2044" t="s">
        <v>1297</v>
      </c>
      <c r="B184" s="2047" t="s">
        <v>97</v>
      </c>
      <c r="C184" s="2048"/>
      <c r="D184" s="2048"/>
      <c r="E184" s="2048"/>
      <c r="F184" s="2049"/>
      <c r="G184" s="850" t="s">
        <v>12</v>
      </c>
      <c r="H184" s="851">
        <f>H185+H186</f>
        <v>0</v>
      </c>
      <c r="I184" s="851">
        <f t="shared" ref="I184:M184" si="91">I185+I186</f>
        <v>0</v>
      </c>
      <c r="J184" s="851">
        <f t="shared" si="91"/>
        <v>0</v>
      </c>
      <c r="K184" s="851">
        <f t="shared" si="91"/>
        <v>0</v>
      </c>
      <c r="L184" s="851">
        <f t="shared" si="91"/>
        <v>0</v>
      </c>
      <c r="M184" s="851">
        <f t="shared" si="91"/>
        <v>0</v>
      </c>
      <c r="N184" s="1977"/>
      <c r="O184" s="1980"/>
      <c r="P184" s="1075" t="s">
        <v>1298</v>
      </c>
      <c r="Q184" s="686">
        <v>0.71499999999999997</v>
      </c>
      <c r="R184" s="687">
        <f>I188/$Q184</f>
        <v>0</v>
      </c>
      <c r="S184" s="687">
        <f>J188/$Q184</f>
        <v>0</v>
      </c>
      <c r="T184" s="687">
        <f>K188/$Q184</f>
        <v>0</v>
      </c>
    </row>
    <row r="185" spans="1:26" s="689" customFormat="1" ht="19.5" customHeight="1" x14ac:dyDescent="0.3">
      <c r="A185" s="2045"/>
      <c r="B185" s="2050"/>
      <c r="C185" s="2051"/>
      <c r="D185" s="2051"/>
      <c r="E185" s="2051"/>
      <c r="F185" s="2052"/>
      <c r="G185" s="850" t="s">
        <v>13</v>
      </c>
      <c r="H185" s="851">
        <f>I185+J185+K185+L185+M185</f>
        <v>0</v>
      </c>
      <c r="I185" s="851">
        <f>I188</f>
        <v>0</v>
      </c>
      <c r="J185" s="851">
        <f t="shared" ref="J185:M186" si="92">J188</f>
        <v>0</v>
      </c>
      <c r="K185" s="851">
        <f t="shared" si="92"/>
        <v>0</v>
      </c>
      <c r="L185" s="851">
        <f t="shared" si="92"/>
        <v>0</v>
      </c>
      <c r="M185" s="851">
        <f t="shared" si="92"/>
        <v>0</v>
      </c>
      <c r="N185" s="1978"/>
      <c r="O185" s="1981"/>
      <c r="P185" s="1075"/>
      <c r="Q185" s="686"/>
      <c r="R185" s="687"/>
      <c r="S185" s="687"/>
      <c r="T185" s="687"/>
      <c r="U185" s="688"/>
      <c r="V185" s="688"/>
      <c r="W185" s="688"/>
      <c r="X185" s="688"/>
      <c r="Y185" s="688"/>
    </row>
    <row r="186" spans="1:26" s="689" customFormat="1" ht="19.5" customHeight="1" x14ac:dyDescent="0.3">
      <c r="A186" s="2046"/>
      <c r="B186" s="2050"/>
      <c r="C186" s="2051"/>
      <c r="D186" s="2051"/>
      <c r="E186" s="2051"/>
      <c r="F186" s="2052"/>
      <c r="G186" s="850" t="s">
        <v>3</v>
      </c>
      <c r="H186" s="851">
        <f>I186+J186+K186+L186+M186</f>
        <v>0</v>
      </c>
      <c r="I186" s="851">
        <f>I189</f>
        <v>0</v>
      </c>
      <c r="J186" s="851">
        <f t="shared" si="92"/>
        <v>0</v>
      </c>
      <c r="K186" s="851">
        <f t="shared" si="92"/>
        <v>0</v>
      </c>
      <c r="L186" s="851">
        <f t="shared" si="92"/>
        <v>0</v>
      </c>
      <c r="M186" s="851">
        <f t="shared" si="92"/>
        <v>0</v>
      </c>
      <c r="N186" s="1979"/>
      <c r="O186" s="1982"/>
      <c r="P186" s="1075"/>
      <c r="Q186" s="686">
        <f>1-Q184</f>
        <v>0.28499999999999998</v>
      </c>
      <c r="R186" s="687">
        <f>R184*$Q186</f>
        <v>0</v>
      </c>
      <c r="S186" s="687">
        <f>S184*$Q186</f>
        <v>0</v>
      </c>
      <c r="T186" s="687">
        <f>T184*$Q186</f>
        <v>0</v>
      </c>
      <c r="U186" s="688"/>
      <c r="V186" s="688"/>
      <c r="W186" s="688"/>
      <c r="X186" s="688"/>
      <c r="Y186" s="688"/>
    </row>
    <row r="187" spans="1:26" s="688" customFormat="1" ht="19.5" customHeight="1" x14ac:dyDescent="0.3">
      <c r="A187" s="1861" t="s">
        <v>1299</v>
      </c>
      <c r="B187" s="2053" t="s">
        <v>1300</v>
      </c>
      <c r="C187" s="2054" t="s">
        <v>334</v>
      </c>
      <c r="D187" s="2054"/>
      <c r="E187" s="2055">
        <v>40000</v>
      </c>
      <c r="F187" s="852">
        <f>F188+F189</f>
        <v>0</v>
      </c>
      <c r="G187" s="850" t="s">
        <v>12</v>
      </c>
      <c r="H187" s="851">
        <f t="shared" ref="H187:M187" si="93">H188+H189</f>
        <v>0</v>
      </c>
      <c r="I187" s="851">
        <f t="shared" si="93"/>
        <v>0</v>
      </c>
      <c r="J187" s="851">
        <f t="shared" si="93"/>
        <v>0</v>
      </c>
      <c r="K187" s="851">
        <f t="shared" si="93"/>
        <v>0</v>
      </c>
      <c r="L187" s="851">
        <f t="shared" si="93"/>
        <v>0</v>
      </c>
      <c r="M187" s="851">
        <f t="shared" si="93"/>
        <v>0</v>
      </c>
      <c r="N187" s="2041"/>
      <c r="O187" s="1995" t="s">
        <v>16</v>
      </c>
      <c r="P187" s="1075" t="s">
        <v>1425</v>
      </c>
      <c r="Q187" s="690"/>
      <c r="R187" s="687"/>
      <c r="S187" s="687"/>
      <c r="T187" s="687"/>
    </row>
    <row r="188" spans="1:26" s="688" customFormat="1" ht="19.5" customHeight="1" x14ac:dyDescent="0.3">
      <c r="A188" s="1861"/>
      <c r="B188" s="2053"/>
      <c r="C188" s="2054"/>
      <c r="D188" s="2054"/>
      <c r="E188" s="2055"/>
      <c r="F188" s="852">
        <v>0</v>
      </c>
      <c r="G188" s="850" t="s">
        <v>13</v>
      </c>
      <c r="H188" s="851">
        <f>I188+J188+K188+L188+M188</f>
        <v>0</v>
      </c>
      <c r="I188" s="851">
        <f>14300*0</f>
        <v>0</v>
      </c>
      <c r="J188" s="851">
        <f>71500*0</f>
        <v>0</v>
      </c>
      <c r="K188" s="851">
        <f>57200*0</f>
        <v>0</v>
      </c>
      <c r="L188" s="851">
        <v>0</v>
      </c>
      <c r="M188" s="851">
        <v>0</v>
      </c>
      <c r="N188" s="2042"/>
      <c r="O188" s="1996"/>
      <c r="P188" s="1075"/>
      <c r="Q188" s="690"/>
      <c r="R188" s="687"/>
      <c r="S188" s="687"/>
      <c r="T188" s="687"/>
    </row>
    <row r="189" spans="1:26" s="688" customFormat="1" ht="19.5" customHeight="1" x14ac:dyDescent="0.3">
      <c r="A189" s="1861"/>
      <c r="B189" s="2053"/>
      <c r="C189" s="2054"/>
      <c r="D189" s="2054"/>
      <c r="E189" s="2055"/>
      <c r="F189" s="852">
        <v>0</v>
      </c>
      <c r="G189" s="850" t="s">
        <v>3</v>
      </c>
      <c r="H189" s="851">
        <f>I189+J189+K189+L189+M189</f>
        <v>0</v>
      </c>
      <c r="I189" s="851">
        <f>5700*0</f>
        <v>0</v>
      </c>
      <c r="J189" s="851">
        <f>28500*0</f>
        <v>0</v>
      </c>
      <c r="K189" s="851">
        <f>22800*0</f>
        <v>0</v>
      </c>
      <c r="L189" s="851">
        <v>0</v>
      </c>
      <c r="M189" s="851">
        <v>0</v>
      </c>
      <c r="N189" s="2043"/>
      <c r="O189" s="1997"/>
      <c r="P189" s="1075"/>
      <c r="Q189" s="690"/>
      <c r="R189" s="687"/>
      <c r="S189" s="687"/>
      <c r="T189" s="687"/>
    </row>
    <row r="190" spans="1:26" s="1" customFormat="1" ht="39.75" customHeight="1" x14ac:dyDescent="0.3">
      <c r="A190" s="813" t="s">
        <v>769</v>
      </c>
      <c r="B190" s="2062" t="s">
        <v>757</v>
      </c>
      <c r="C190" s="2062"/>
      <c r="D190" s="2062"/>
      <c r="E190" s="2062"/>
      <c r="F190" s="820"/>
      <c r="G190" s="984" t="s">
        <v>13</v>
      </c>
      <c r="H190" s="514">
        <f>I190+J190+K190+L190+M190</f>
        <v>0.65</v>
      </c>
      <c r="I190" s="987">
        <f>0.56</f>
        <v>0.56000000000000005</v>
      </c>
      <c r="J190" s="986">
        <v>0.09</v>
      </c>
      <c r="K190" s="985"/>
      <c r="L190" s="818"/>
      <c r="M190" s="818"/>
      <c r="N190" s="365"/>
      <c r="O190" s="365"/>
      <c r="P190" s="71"/>
      <c r="Q190" s="59"/>
      <c r="R190" s="105"/>
      <c r="S190" s="105"/>
      <c r="T190" s="105"/>
    </row>
    <row r="191" spans="1:26" s="1" customFormat="1" ht="89.4" customHeight="1" x14ac:dyDescent="0.3">
      <c r="A191" s="2063" t="s">
        <v>1373</v>
      </c>
      <c r="B191" s="2064"/>
      <c r="C191" s="2064"/>
      <c r="D191" s="2064"/>
      <c r="E191" s="2065"/>
      <c r="F191" s="897">
        <f>F192+F193+F194</f>
        <v>169035.67</v>
      </c>
      <c r="G191" s="411" t="s">
        <v>42</v>
      </c>
      <c r="H191" s="897">
        <f>H192+H193+H194</f>
        <v>1975840.32</v>
      </c>
      <c r="I191" s="898">
        <f>I192+I193+I194</f>
        <v>1357060.46</v>
      </c>
      <c r="J191" s="897">
        <f t="shared" ref="J191:M191" si="94">J192+J193+J194</f>
        <v>618779.86</v>
      </c>
      <c r="K191" s="897">
        <f t="shared" si="94"/>
        <v>0</v>
      </c>
      <c r="L191" s="897">
        <f t="shared" si="94"/>
        <v>0</v>
      </c>
      <c r="M191" s="897">
        <f t="shared" si="94"/>
        <v>0</v>
      </c>
      <c r="N191" s="2072"/>
      <c r="O191" s="2078"/>
      <c r="P191" s="1072" t="s">
        <v>1505</v>
      </c>
      <c r="Q191" s="59">
        <f>Q192+Q193+Q194</f>
        <v>1357060.46</v>
      </c>
      <c r="R191" s="105"/>
      <c r="S191" s="105"/>
      <c r="T191" s="105"/>
      <c r="W191" s="1128">
        <f>SUM(W125:W190)</f>
        <v>4</v>
      </c>
      <c r="X191" s="1128">
        <f>SUM(X125:X190)</f>
        <v>4</v>
      </c>
      <c r="Y191" s="1128">
        <f t="shared" ref="Y191:Z191" si="95">SUM(Y125:Y190)</f>
        <v>0</v>
      </c>
      <c r="Z191" s="1128">
        <f t="shared" si="95"/>
        <v>0</v>
      </c>
    </row>
    <row r="192" spans="1:26" s="1" customFormat="1" ht="52.2" customHeight="1" x14ac:dyDescent="0.3">
      <c r="A192" s="2066"/>
      <c r="B192" s="2067"/>
      <c r="C192" s="2067"/>
      <c r="D192" s="2067"/>
      <c r="E192" s="2068"/>
      <c r="F192" s="897">
        <f>F166+F160+F154+F176+F148+F141+F130+F188+F182</f>
        <v>118490.23</v>
      </c>
      <c r="G192" s="411" t="s">
        <v>13</v>
      </c>
      <c r="H192" s="897">
        <f>I192+J192+K192+L192+M192</f>
        <v>1323817</v>
      </c>
      <c r="I192" s="901">
        <f>I126+I137+I145+I151+I157+I190+I173+I179+I185</f>
        <v>924904</v>
      </c>
      <c r="J192" s="901">
        <f>J126+J137+J145+J151+J190+J173+J179+J185+J157</f>
        <v>398913</v>
      </c>
      <c r="K192" s="897">
        <f>K126+K137+K145+K151+K157+K190+K173+K179+K185</f>
        <v>0</v>
      </c>
      <c r="L192" s="897">
        <f>L126+L137+L145+L151+L157+L190+L173+L179+L185</f>
        <v>0</v>
      </c>
      <c r="M192" s="897">
        <f>M126+M137+M145+M151+M157+M190+M173+M179+M185</f>
        <v>0</v>
      </c>
      <c r="N192" s="2072"/>
      <c r="O192" s="2079"/>
      <c r="P192" s="1073"/>
      <c r="Q192" s="59">
        <f>I190+I179+I173+I157+I151+I145+I137+I126</f>
        <v>924904</v>
      </c>
      <c r="R192" s="105"/>
      <c r="S192" s="105"/>
      <c r="T192" s="105"/>
    </row>
    <row r="193" spans="1:29" s="1" customFormat="1" ht="45" customHeight="1" x14ac:dyDescent="0.3">
      <c r="A193" s="2066"/>
      <c r="B193" s="2067"/>
      <c r="C193" s="2067"/>
      <c r="D193" s="2067"/>
      <c r="E193" s="2068"/>
      <c r="F193" s="897">
        <f>F167+F161+F155+F177+F149+F142+F131+F189+F183</f>
        <v>50545.440000000002</v>
      </c>
      <c r="G193" s="412" t="s">
        <v>34</v>
      </c>
      <c r="H193" s="897">
        <f t="shared" ref="H193:H194" si="96">I193+J193+K193+L193+M193</f>
        <v>608610.93000000005</v>
      </c>
      <c r="I193" s="897">
        <f>I127+I138+I146+I152+I158+I174+I180+I186</f>
        <v>388744.07</v>
      </c>
      <c r="J193" s="897">
        <f>J127+J138+J146+J152+J158+J174+J180+J186</f>
        <v>219866.86</v>
      </c>
      <c r="K193" s="897">
        <f>K127+K138+K146+K152+K158+K174+K180+K186</f>
        <v>0</v>
      </c>
      <c r="L193" s="897">
        <f>L127+L138+L146+L152+L158+L174+L180+L186</f>
        <v>0</v>
      </c>
      <c r="M193" s="897">
        <f>M127+M138+M146+M152+M158+M174+M180+M186</f>
        <v>0</v>
      </c>
      <c r="N193" s="2072"/>
      <c r="O193" s="2079"/>
      <c r="P193" s="1073"/>
      <c r="Q193" s="59">
        <f>I180+I174+I158+I152+I146+I138+I127</f>
        <v>388744.07</v>
      </c>
      <c r="R193" s="105"/>
      <c r="S193" s="105"/>
      <c r="T193" s="105"/>
    </row>
    <row r="194" spans="1:29" s="1" customFormat="1" ht="27" customHeight="1" x14ac:dyDescent="0.3">
      <c r="A194" s="2069"/>
      <c r="B194" s="2070"/>
      <c r="C194" s="2070"/>
      <c r="D194" s="2070"/>
      <c r="E194" s="2071"/>
      <c r="F194" s="897">
        <f>F143+F135+F132</f>
        <v>0</v>
      </c>
      <c r="G194" s="412" t="s">
        <v>15</v>
      </c>
      <c r="H194" s="897">
        <f t="shared" si="96"/>
        <v>43412.39</v>
      </c>
      <c r="I194" s="898">
        <f>I128+I135+I139</f>
        <v>43412.39</v>
      </c>
      <c r="J194" s="897">
        <f>J128+J135</f>
        <v>0</v>
      </c>
      <c r="K194" s="897">
        <f>K128+K135</f>
        <v>0</v>
      </c>
      <c r="L194" s="897">
        <f>L128+L135</f>
        <v>0</v>
      </c>
      <c r="M194" s="897">
        <f>M128+M135</f>
        <v>0</v>
      </c>
      <c r="N194" s="2072"/>
      <c r="O194" s="2080"/>
      <c r="P194" s="1074"/>
      <c r="Q194" s="59">
        <f>I139+I128</f>
        <v>43412.39</v>
      </c>
      <c r="R194" s="105"/>
      <c r="S194" s="105"/>
      <c r="T194" s="105"/>
    </row>
    <row r="195" spans="1:29" s="1" customFormat="1" ht="22.2" customHeight="1" x14ac:dyDescent="0.3">
      <c r="A195" s="2056"/>
      <c r="B195" s="2057"/>
      <c r="C195" s="2057"/>
      <c r="D195" s="2058"/>
      <c r="E195" s="823"/>
      <c r="F195" s="897"/>
      <c r="G195" s="412" t="s">
        <v>33</v>
      </c>
      <c r="H195" s="336"/>
      <c r="I195" s="336">
        <f>I196+I198</f>
        <v>924904</v>
      </c>
      <c r="J195" s="336">
        <f>J196+J198</f>
        <v>398913</v>
      </c>
      <c r="K195" s="336">
        <f>K196</f>
        <v>0</v>
      </c>
      <c r="L195" s="336"/>
      <c r="M195" s="336"/>
      <c r="N195" s="988">
        <f>N196+N198</f>
        <v>0.65</v>
      </c>
      <c r="O195" s="336"/>
      <c r="P195" s="360"/>
      <c r="Q195" s="59"/>
      <c r="R195" s="105"/>
      <c r="S195" s="105"/>
      <c r="T195" s="105"/>
    </row>
    <row r="196" spans="1:29" s="1" customFormat="1" ht="24.75" customHeight="1" x14ac:dyDescent="0.3">
      <c r="A196" s="2081" t="s">
        <v>1370</v>
      </c>
      <c r="B196" s="2082"/>
      <c r="C196" s="2082"/>
      <c r="D196" s="2083"/>
      <c r="E196" s="898" t="s">
        <v>593</v>
      </c>
      <c r="F196" s="897" t="s">
        <v>1301</v>
      </c>
      <c r="G196" s="2059" t="s">
        <v>348</v>
      </c>
      <c r="H196" s="336" t="s">
        <v>563</v>
      </c>
      <c r="I196" s="902">
        <f>I126+I137+I145+I151+I173+I179+I170+0.27</f>
        <v>884710</v>
      </c>
      <c r="J196" s="902">
        <f>J126+J137+J145+J151+J173+J179+J185+J170</f>
        <v>357380</v>
      </c>
      <c r="K196" s="336">
        <f>K126+K137+K145+K151+K173+K179+K185+K170</f>
        <v>0</v>
      </c>
      <c r="L196" s="336">
        <f>L126+L137+L145+L151+L173+L179+L185+Q196+L170</f>
        <v>0</v>
      </c>
      <c r="M196" s="336"/>
      <c r="N196" s="988">
        <v>0.27</v>
      </c>
      <c r="O196" s="336"/>
      <c r="P196" s="360"/>
      <c r="Q196" s="59"/>
      <c r="R196" s="105"/>
      <c r="S196" s="105"/>
      <c r="T196" s="105"/>
    </row>
    <row r="197" spans="1:29" s="1" customFormat="1" ht="38.25" customHeight="1" x14ac:dyDescent="0.3">
      <c r="A197" s="2084"/>
      <c r="B197" s="2085"/>
      <c r="C197" s="2085"/>
      <c r="D197" s="2086"/>
      <c r="E197" s="898" t="s">
        <v>1302</v>
      </c>
      <c r="F197" s="897"/>
      <c r="G197" s="2059"/>
      <c r="H197" s="336" t="s">
        <v>564</v>
      </c>
      <c r="I197" s="336">
        <f>I127+I138+I146+I152+I174+I180+I186</f>
        <v>337924.38</v>
      </c>
      <c r="J197" s="336">
        <f>J127+J138+J146+J152+L197+J174+J180+J186</f>
        <v>209620</v>
      </c>
      <c r="K197" s="336">
        <f>K127+K138+K146+K152+M197+K174+K180+K186</f>
        <v>0</v>
      </c>
      <c r="L197" s="336"/>
      <c r="M197" s="336"/>
      <c r="N197" s="336"/>
      <c r="O197" s="336"/>
      <c r="P197" s="360"/>
      <c r="Q197" s="59"/>
      <c r="R197" s="105"/>
      <c r="S197" s="105"/>
      <c r="T197" s="105"/>
    </row>
    <row r="198" spans="1:29" s="1" customFormat="1" ht="24" x14ac:dyDescent="0.3">
      <c r="A198" s="2084"/>
      <c r="B198" s="2085"/>
      <c r="C198" s="2085"/>
      <c r="D198" s="2086"/>
      <c r="E198" s="499"/>
      <c r="F198" s="897" t="s">
        <v>1303</v>
      </c>
      <c r="G198" s="2059" t="s">
        <v>349</v>
      </c>
      <c r="H198" s="336" t="s">
        <v>563</v>
      </c>
      <c r="I198" s="902">
        <f>I157+0.29</f>
        <v>40194</v>
      </c>
      <c r="J198" s="902">
        <f>J160+J166+0.09</f>
        <v>41533</v>
      </c>
      <c r="K198" s="336">
        <f>K128+K139+K147+K153+M198+K175+K181+K187</f>
        <v>0</v>
      </c>
      <c r="L198" s="336">
        <f>L160+L166+Q198</f>
        <v>0</v>
      </c>
      <c r="M198" s="336"/>
      <c r="N198" s="988">
        <f>0.29+0.09</f>
        <v>0.38</v>
      </c>
      <c r="O198" s="900"/>
      <c r="P198" s="360"/>
      <c r="Q198" s="59"/>
      <c r="R198" s="105"/>
      <c r="S198" s="105"/>
      <c r="T198" s="105"/>
    </row>
    <row r="199" spans="1:29" s="1" customFormat="1" ht="41.25" customHeight="1" x14ac:dyDescent="0.3">
      <c r="A199" s="2087"/>
      <c r="B199" s="2088"/>
      <c r="C199" s="2088"/>
      <c r="D199" s="2089"/>
      <c r="E199" s="499"/>
      <c r="F199" s="897"/>
      <c r="G199" s="2059"/>
      <c r="H199" s="336" t="s">
        <v>564</v>
      </c>
      <c r="I199" s="336">
        <f>I158</f>
        <v>50819.69</v>
      </c>
      <c r="J199" s="336">
        <f>J158+L199</f>
        <v>10246.86</v>
      </c>
      <c r="K199" s="336">
        <f>K158+M199</f>
        <v>0</v>
      </c>
      <c r="L199" s="336">
        <f>L158+N199</f>
        <v>0</v>
      </c>
      <c r="M199" s="336"/>
      <c r="N199" s="336"/>
      <c r="O199" s="336"/>
      <c r="P199" s="126"/>
      <c r="Q199" s="4"/>
      <c r="R199" s="105"/>
      <c r="S199" s="105"/>
      <c r="T199" s="105"/>
    </row>
    <row r="200" spans="1:29" ht="9.75" customHeight="1" x14ac:dyDescent="0.3">
      <c r="A200" s="800"/>
      <c r="B200" s="804"/>
      <c r="C200" s="804"/>
      <c r="D200" s="804"/>
      <c r="E200" s="804"/>
      <c r="F200" s="85"/>
      <c r="G200" s="800"/>
      <c r="H200" s="12"/>
      <c r="I200" s="12"/>
      <c r="J200" s="12"/>
      <c r="K200" s="12"/>
      <c r="L200" s="12"/>
      <c r="M200" s="12"/>
      <c r="N200" s="59"/>
      <c r="O200" s="59"/>
      <c r="P200" s="219"/>
      <c r="Q200" s="318"/>
    </row>
    <row r="201" spans="1:29" s="88" customFormat="1" ht="27" customHeight="1" x14ac:dyDescent="0.3">
      <c r="A201" s="2073" t="s">
        <v>169</v>
      </c>
      <c r="B201" s="2073"/>
      <c r="C201" s="2073"/>
      <c r="D201" s="2073"/>
      <c r="E201" s="2073"/>
      <c r="F201" s="2073"/>
      <c r="G201" s="2073"/>
      <c r="H201" s="2073"/>
      <c r="I201" s="2073"/>
      <c r="J201" s="2073"/>
      <c r="K201" s="2073"/>
      <c r="L201" s="2073"/>
      <c r="M201" s="2073"/>
      <c r="N201" s="2073"/>
      <c r="O201" s="2074"/>
      <c r="P201" s="219" t="s">
        <v>1376</v>
      </c>
      <c r="Q201" s="318"/>
      <c r="R201" s="104"/>
      <c r="S201" s="104"/>
      <c r="T201" s="104"/>
      <c r="U201" s="17"/>
      <c r="V201" s="17"/>
      <c r="W201" s="17"/>
      <c r="X201" s="17"/>
      <c r="Y201" s="17"/>
      <c r="Z201" s="47"/>
      <c r="AA201" s="47"/>
      <c r="AB201" s="47"/>
      <c r="AC201" s="47"/>
    </row>
    <row r="202" spans="1:29" s="88" customFormat="1" ht="29.25" customHeight="1" x14ac:dyDescent="0.3">
      <c r="A202" s="331"/>
      <c r="B202" s="331"/>
      <c r="C202" s="331"/>
      <c r="D202" s="331"/>
      <c r="E202" s="331"/>
      <c r="F202" s="331"/>
      <c r="G202" s="331"/>
      <c r="H202" s="331"/>
      <c r="I202" s="331"/>
      <c r="J202" s="331"/>
      <c r="K202" s="331"/>
      <c r="L202" s="331"/>
      <c r="M202" s="331"/>
      <c r="N202" s="367"/>
      <c r="O202" s="367"/>
      <c r="P202" s="219"/>
      <c r="Q202" s="318"/>
      <c r="R202" s="104"/>
      <c r="S202" s="104"/>
      <c r="T202" s="104"/>
      <c r="U202" s="17"/>
      <c r="V202" s="17"/>
      <c r="W202" s="17"/>
      <c r="X202" s="17"/>
      <c r="Y202" s="17"/>
      <c r="Z202" s="47"/>
      <c r="AA202" s="47"/>
      <c r="AB202" s="47"/>
      <c r="AC202" s="47"/>
    </row>
    <row r="203" spans="1:29" s="47" customFormat="1" ht="76.5" customHeight="1" x14ac:dyDescent="0.3">
      <c r="A203" s="2075" t="s">
        <v>1443</v>
      </c>
      <c r="B203" s="2076"/>
      <c r="C203" s="2076"/>
      <c r="D203" s="2076"/>
      <c r="E203" s="2076"/>
      <c r="F203" s="2076"/>
      <c r="G203" s="2076"/>
      <c r="H203" s="2076"/>
      <c r="I203" s="2076"/>
      <c r="J203" s="2076"/>
      <c r="K203" s="2076"/>
      <c r="L203" s="2076"/>
      <c r="M203" s="2076"/>
      <c r="N203" s="2076"/>
      <c r="O203" s="2077"/>
      <c r="P203" s="72"/>
      <c r="Q203" s="4"/>
      <c r="R203" s="105"/>
      <c r="S203" s="105"/>
      <c r="T203" s="105"/>
      <c r="U203" s="1"/>
      <c r="V203" s="1"/>
      <c r="W203" s="1"/>
      <c r="X203" s="1"/>
      <c r="Y203" s="1"/>
    </row>
    <row r="204" spans="1:29" s="1" customFormat="1" ht="17.25" customHeight="1" x14ac:dyDescent="0.3">
      <c r="A204" s="2060" t="s">
        <v>56</v>
      </c>
      <c r="B204" s="2060"/>
      <c r="C204" s="2060"/>
      <c r="D204" s="2060"/>
      <c r="E204" s="2060"/>
      <c r="F204" s="2060"/>
      <c r="G204" s="2060"/>
      <c r="H204" s="2060"/>
      <c r="I204" s="2060"/>
      <c r="J204" s="2060"/>
      <c r="K204" s="2060"/>
      <c r="L204" s="2060"/>
      <c r="M204" s="2060"/>
      <c r="N204" s="2060"/>
      <c r="O204" s="502"/>
      <c r="P204" s="72"/>
      <c r="Q204" s="4"/>
      <c r="R204" s="105"/>
      <c r="S204" s="105"/>
      <c r="T204" s="105"/>
    </row>
    <row r="205" spans="1:29" s="1" customFormat="1" ht="15.75" customHeight="1" x14ac:dyDescent="0.3">
      <c r="A205" s="2061" t="s">
        <v>145</v>
      </c>
      <c r="B205" s="2061"/>
      <c r="C205" s="2061"/>
      <c r="D205" s="2061"/>
      <c r="E205" s="2061"/>
      <c r="F205" s="2061"/>
      <c r="G205" s="2061"/>
      <c r="H205" s="2061"/>
      <c r="I205" s="2061"/>
      <c r="J205" s="2061"/>
      <c r="K205" s="2061"/>
      <c r="L205" s="2061"/>
      <c r="M205" s="2061"/>
      <c r="N205" s="2061"/>
      <c r="O205" s="1277"/>
      <c r="P205" s="72"/>
      <c r="Q205" s="4"/>
      <c r="R205" s="105"/>
      <c r="S205" s="105"/>
      <c r="T205" s="105"/>
    </row>
    <row r="206" spans="1:29" s="508" customFormat="1" ht="29.25" customHeight="1" x14ac:dyDescent="0.3">
      <c r="A206" s="1920" t="s">
        <v>46</v>
      </c>
      <c r="B206" s="1920" t="s">
        <v>822</v>
      </c>
      <c r="C206" s="1920" t="s">
        <v>823</v>
      </c>
      <c r="D206" s="1920" t="s">
        <v>854</v>
      </c>
      <c r="E206" s="1920" t="s">
        <v>52</v>
      </c>
      <c r="F206" s="1920" t="s">
        <v>545</v>
      </c>
      <c r="G206" s="1913" t="s">
        <v>59</v>
      </c>
      <c r="H206" s="1914" t="s">
        <v>106</v>
      </c>
      <c r="I206" s="1914"/>
      <c r="J206" s="1914"/>
      <c r="K206" s="1914"/>
      <c r="L206" s="1914"/>
      <c r="M206" s="1914"/>
      <c r="N206" s="1915" t="s">
        <v>50</v>
      </c>
      <c r="O206" s="1916" t="s">
        <v>820</v>
      </c>
      <c r="P206" s="505"/>
      <c r="Q206" s="506"/>
      <c r="R206" s="507"/>
      <c r="S206" s="507"/>
      <c r="T206" s="507"/>
    </row>
    <row r="207" spans="1:29" s="508" customFormat="1" ht="63" customHeight="1" x14ac:dyDescent="0.3">
      <c r="A207" s="1921"/>
      <c r="B207" s="1921"/>
      <c r="C207" s="1921"/>
      <c r="D207" s="1921"/>
      <c r="E207" s="1921"/>
      <c r="F207" s="1921"/>
      <c r="G207" s="1913"/>
      <c r="H207" s="478" t="s">
        <v>33</v>
      </c>
      <c r="I207" s="478" t="s">
        <v>4</v>
      </c>
      <c r="J207" s="478" t="s">
        <v>91</v>
      </c>
      <c r="K207" s="478" t="s">
        <v>90</v>
      </c>
      <c r="L207" s="478" t="s">
        <v>89</v>
      </c>
      <c r="M207" s="478" t="s">
        <v>221</v>
      </c>
      <c r="N207" s="1915"/>
      <c r="O207" s="1917"/>
      <c r="P207" s="505"/>
      <c r="Q207" s="506"/>
      <c r="R207" s="507"/>
      <c r="S207" s="507"/>
      <c r="T207" s="507"/>
    </row>
    <row r="208" spans="1:29" s="508" customFormat="1" x14ac:dyDescent="0.3">
      <c r="A208" s="509">
        <v>1</v>
      </c>
      <c r="B208" s="510">
        <v>2</v>
      </c>
      <c r="C208" s="510">
        <v>3</v>
      </c>
      <c r="D208" s="510">
        <v>4</v>
      </c>
      <c r="E208" s="510">
        <v>5</v>
      </c>
      <c r="F208" s="510">
        <v>6</v>
      </c>
      <c r="G208" s="510">
        <v>7</v>
      </c>
      <c r="H208" s="510">
        <v>8</v>
      </c>
      <c r="I208" s="510">
        <v>9</v>
      </c>
      <c r="J208" s="510">
        <v>10</v>
      </c>
      <c r="K208" s="510">
        <v>11</v>
      </c>
      <c r="L208" s="510">
        <v>12</v>
      </c>
      <c r="M208" s="510">
        <v>13</v>
      </c>
      <c r="N208" s="511">
        <v>14</v>
      </c>
      <c r="O208" s="511">
        <v>15</v>
      </c>
      <c r="P208" s="505"/>
      <c r="Q208" s="506"/>
      <c r="R208" s="512"/>
      <c r="S208" s="512"/>
      <c r="T208" s="512"/>
      <c r="U208" s="513"/>
      <c r="V208" s="513"/>
      <c r="W208" s="513"/>
      <c r="X208" s="513"/>
      <c r="Y208" s="513"/>
    </row>
    <row r="209" spans="1:25" s="1" customFormat="1" ht="13.95" customHeight="1" x14ac:dyDescent="0.3">
      <c r="A209" s="1861" t="s">
        <v>117</v>
      </c>
      <c r="B209" s="1999" t="s">
        <v>174</v>
      </c>
      <c r="C209" s="1999"/>
      <c r="D209" s="1999"/>
      <c r="E209" s="1999"/>
      <c r="F209" s="1999"/>
      <c r="G209" s="357" t="s">
        <v>12</v>
      </c>
      <c r="H209" s="514">
        <f>H210+H211</f>
        <v>1300000</v>
      </c>
      <c r="I209" s="514">
        <f t="shared" ref="I209:M209" si="97">I210+I211</f>
        <v>433333</v>
      </c>
      <c r="J209" s="514">
        <f t="shared" si="97"/>
        <v>433333</v>
      </c>
      <c r="K209" s="514">
        <f t="shared" si="97"/>
        <v>433334</v>
      </c>
      <c r="L209" s="514">
        <f t="shared" si="97"/>
        <v>0</v>
      </c>
      <c r="M209" s="514">
        <f t="shared" si="97"/>
        <v>0</v>
      </c>
      <c r="N209" s="2019"/>
      <c r="O209" s="356"/>
      <c r="P209" s="72"/>
      <c r="Q209" s="4"/>
      <c r="R209" s="309"/>
      <c r="S209" s="309"/>
      <c r="T209" s="309"/>
      <c r="U209" s="47"/>
      <c r="V209" s="47"/>
      <c r="W209" s="47"/>
      <c r="X209" s="47"/>
      <c r="Y209" s="47"/>
    </row>
    <row r="210" spans="1:25" s="1" customFormat="1" ht="49.5" customHeight="1" x14ac:dyDescent="0.3">
      <c r="A210" s="1861"/>
      <c r="B210" s="1999"/>
      <c r="C210" s="1999"/>
      <c r="D210" s="1999"/>
      <c r="E210" s="1999"/>
      <c r="F210" s="1999"/>
      <c r="G210" s="357" t="s">
        <v>13</v>
      </c>
      <c r="H210" s="514">
        <f>I210+J210+K210+L210+M210</f>
        <v>1300000</v>
      </c>
      <c r="I210" s="515">
        <f>I213</f>
        <v>433333</v>
      </c>
      <c r="J210" s="515">
        <f t="shared" ref="J210:M211" si="98">J213</f>
        <v>433333</v>
      </c>
      <c r="K210" s="515">
        <f t="shared" si="98"/>
        <v>433334</v>
      </c>
      <c r="L210" s="515">
        <f t="shared" si="98"/>
        <v>0</v>
      </c>
      <c r="M210" s="515">
        <f t="shared" si="98"/>
        <v>0</v>
      </c>
      <c r="N210" s="2019"/>
      <c r="O210" s="356"/>
      <c r="P210" s="503" t="s">
        <v>1304</v>
      </c>
      <c r="Q210" s="4"/>
      <c r="R210" s="105"/>
      <c r="S210" s="105"/>
      <c r="T210" s="105"/>
    </row>
    <row r="211" spans="1:25" s="1" customFormat="1" ht="37.200000000000003" customHeight="1" x14ac:dyDescent="0.3">
      <c r="A211" s="1861"/>
      <c r="B211" s="1999"/>
      <c r="C211" s="1999"/>
      <c r="D211" s="1999"/>
      <c r="E211" s="1999"/>
      <c r="F211" s="1999"/>
      <c r="G211" s="357"/>
      <c r="H211" s="514">
        <f>I211+J211+K211+L211+M211</f>
        <v>0</v>
      </c>
      <c r="I211" s="515">
        <f>I214</f>
        <v>0</v>
      </c>
      <c r="J211" s="515">
        <f t="shared" si="98"/>
        <v>0</v>
      </c>
      <c r="K211" s="515">
        <f t="shared" si="98"/>
        <v>0</v>
      </c>
      <c r="L211" s="515">
        <f t="shared" si="98"/>
        <v>0</v>
      </c>
      <c r="M211" s="515">
        <f t="shared" si="98"/>
        <v>0</v>
      </c>
      <c r="N211" s="2019"/>
      <c r="O211" s="356"/>
      <c r="P211" s="72"/>
      <c r="Q211" s="4"/>
      <c r="R211" s="105"/>
      <c r="S211" s="105"/>
      <c r="T211" s="105"/>
    </row>
    <row r="212" spans="1:25" s="1" customFormat="1" ht="14.4" customHeight="1" x14ac:dyDescent="0.3">
      <c r="A212" s="1861" t="s">
        <v>573</v>
      </c>
      <c r="B212" s="1999" t="s">
        <v>613</v>
      </c>
      <c r="C212" s="1999" t="s">
        <v>334</v>
      </c>
      <c r="D212" s="1999"/>
      <c r="E212" s="1949">
        <f>H212</f>
        <v>1300000</v>
      </c>
      <c r="F212" s="356">
        <f>F213+F214</f>
        <v>0</v>
      </c>
      <c r="G212" s="357" t="s">
        <v>12</v>
      </c>
      <c r="H212" s="514">
        <f>H213+H214</f>
        <v>1300000</v>
      </c>
      <c r="I212" s="514">
        <f t="shared" ref="I212:M212" si="99">I213+I214</f>
        <v>433333</v>
      </c>
      <c r="J212" s="514">
        <f t="shared" si="99"/>
        <v>433333</v>
      </c>
      <c r="K212" s="514">
        <f t="shared" si="99"/>
        <v>433334</v>
      </c>
      <c r="L212" s="514">
        <f t="shared" si="99"/>
        <v>0</v>
      </c>
      <c r="M212" s="514">
        <f t="shared" si="99"/>
        <v>0</v>
      </c>
      <c r="N212" s="2019"/>
      <c r="O212" s="356"/>
      <c r="P212" s="2090"/>
      <c r="Q212" s="504"/>
      <c r="R212" s="105"/>
      <c r="S212" s="105"/>
      <c r="T212" s="105"/>
    </row>
    <row r="213" spans="1:25" s="1" customFormat="1" ht="13.95" customHeight="1" x14ac:dyDescent="0.3">
      <c r="A213" s="1861"/>
      <c r="B213" s="1999"/>
      <c r="C213" s="1999"/>
      <c r="D213" s="1999"/>
      <c r="E213" s="1949"/>
      <c r="F213" s="356">
        <v>0</v>
      </c>
      <c r="G213" s="357" t="s">
        <v>13</v>
      </c>
      <c r="H213" s="514">
        <f>I213+J213+K213+L213+M213</f>
        <v>1300000</v>
      </c>
      <c r="I213" s="515">
        <v>433333</v>
      </c>
      <c r="J213" s="515">
        <v>433333</v>
      </c>
      <c r="K213" s="515">
        <v>433334</v>
      </c>
      <c r="L213" s="515">
        <v>0</v>
      </c>
      <c r="M213" s="515">
        <v>0</v>
      </c>
      <c r="N213" s="2019"/>
      <c r="O213" s="356"/>
      <c r="P213" s="2090"/>
      <c r="Q213" s="504"/>
      <c r="R213" s="105"/>
      <c r="S213" s="105"/>
      <c r="T213" s="105"/>
      <c r="Y213" s="1">
        <v>1</v>
      </c>
    </row>
    <row r="214" spans="1:25" s="1" customFormat="1" ht="48" customHeight="1" x14ac:dyDescent="0.3">
      <c r="A214" s="1861"/>
      <c r="B214" s="1999"/>
      <c r="C214" s="1999"/>
      <c r="D214" s="1999"/>
      <c r="E214" s="1949"/>
      <c r="F214" s="356">
        <v>0</v>
      </c>
      <c r="G214" s="357"/>
      <c r="H214" s="514">
        <f>I214+J214+K214+L214+M214</f>
        <v>0</v>
      </c>
      <c r="I214" s="515">
        <f>5423.44*0</f>
        <v>0</v>
      </c>
      <c r="J214" s="515">
        <f>5423.44*0</f>
        <v>0</v>
      </c>
      <c r="K214" s="515">
        <f>5423.45*0</f>
        <v>0</v>
      </c>
      <c r="L214" s="515">
        <v>0</v>
      </c>
      <c r="M214" s="515">
        <v>0</v>
      </c>
      <c r="N214" s="2019"/>
      <c r="O214" s="356"/>
      <c r="P214" s="2090"/>
      <c r="Q214" s="504"/>
      <c r="R214" s="105"/>
      <c r="S214" s="105"/>
      <c r="T214" s="105"/>
    </row>
    <row r="215" spans="1:25" s="1" customFormat="1" ht="13.95" customHeight="1" x14ac:dyDescent="0.3">
      <c r="A215" s="2091" t="s">
        <v>1377</v>
      </c>
      <c r="B215" s="2092"/>
      <c r="C215" s="2092"/>
      <c r="D215" s="2092"/>
      <c r="E215" s="2093"/>
      <c r="F215" s="854">
        <v>0</v>
      </c>
      <c r="G215" s="855" t="s">
        <v>42</v>
      </c>
      <c r="H215" s="856">
        <f>H216+H217</f>
        <v>1300000</v>
      </c>
      <c r="I215" s="856">
        <f t="shared" ref="I215:M215" si="100">I216+I217</f>
        <v>433333</v>
      </c>
      <c r="J215" s="856">
        <f t="shared" si="100"/>
        <v>433333</v>
      </c>
      <c r="K215" s="856">
        <f t="shared" si="100"/>
        <v>433334</v>
      </c>
      <c r="L215" s="856">
        <f t="shared" si="100"/>
        <v>0</v>
      </c>
      <c r="M215" s="856">
        <f t="shared" si="100"/>
        <v>0</v>
      </c>
      <c r="N215" s="2100"/>
      <c r="O215" s="857"/>
      <c r="P215" s="72"/>
      <c r="Q215" s="4"/>
      <c r="R215" s="105"/>
      <c r="S215" s="105"/>
      <c r="T215" s="105"/>
    </row>
    <row r="216" spans="1:25" s="1" customFormat="1" ht="39.75" customHeight="1" x14ac:dyDescent="0.3">
      <c r="A216" s="2094"/>
      <c r="B216" s="2095"/>
      <c r="C216" s="2095"/>
      <c r="D216" s="2095"/>
      <c r="E216" s="2096"/>
      <c r="F216" s="854">
        <v>0</v>
      </c>
      <c r="G216" s="855" t="s">
        <v>13</v>
      </c>
      <c r="H216" s="856">
        <f>I216+J216+K216+L216+M216</f>
        <v>1300000</v>
      </c>
      <c r="I216" s="856">
        <f>I210</f>
        <v>433333</v>
      </c>
      <c r="J216" s="856">
        <f t="shared" ref="J216:M217" si="101">J210</f>
        <v>433333</v>
      </c>
      <c r="K216" s="856">
        <f t="shared" si="101"/>
        <v>433334</v>
      </c>
      <c r="L216" s="856">
        <f t="shared" si="101"/>
        <v>0</v>
      </c>
      <c r="M216" s="856">
        <f t="shared" si="101"/>
        <v>0</v>
      </c>
      <c r="N216" s="2100"/>
      <c r="O216" s="857"/>
      <c r="P216" s="72"/>
      <c r="Q216" s="4"/>
      <c r="R216" s="105"/>
      <c r="S216" s="105"/>
      <c r="T216" s="105"/>
    </row>
    <row r="217" spans="1:25" s="1" customFormat="1" ht="38.25" customHeight="1" x14ac:dyDescent="0.3">
      <c r="A217" s="2097"/>
      <c r="B217" s="2098"/>
      <c r="C217" s="2098"/>
      <c r="D217" s="2098"/>
      <c r="E217" s="2099"/>
      <c r="F217" s="854">
        <v>0</v>
      </c>
      <c r="G217" s="858"/>
      <c r="H217" s="856">
        <f>I217+J217+K217+L217+M217</f>
        <v>0</v>
      </c>
      <c r="I217" s="856">
        <f>I211</f>
        <v>0</v>
      </c>
      <c r="J217" s="856">
        <f t="shared" si="101"/>
        <v>0</v>
      </c>
      <c r="K217" s="856">
        <f t="shared" si="101"/>
        <v>0</v>
      </c>
      <c r="L217" s="856">
        <f t="shared" si="101"/>
        <v>0</v>
      </c>
      <c r="M217" s="856">
        <f t="shared" si="101"/>
        <v>0</v>
      </c>
      <c r="N217" s="2100"/>
      <c r="O217" s="857"/>
      <c r="P217" s="217"/>
      <c r="Q217" s="29"/>
      <c r="R217" s="105"/>
      <c r="S217" s="105"/>
      <c r="T217" s="105"/>
    </row>
    <row r="218" spans="1:25" s="1" customFormat="1" x14ac:dyDescent="0.3">
      <c r="A218" s="1706" t="s">
        <v>169</v>
      </c>
      <c r="B218" s="1706"/>
      <c r="C218" s="1706"/>
      <c r="D218" s="1706"/>
      <c r="E218" s="1706"/>
      <c r="F218" s="1706"/>
      <c r="G218" s="1706"/>
      <c r="H218" s="1706"/>
      <c r="I218" s="1706"/>
      <c r="J218" s="1706"/>
      <c r="K218" s="1706"/>
      <c r="L218" s="1706"/>
      <c r="M218" s="1706"/>
      <c r="N218" s="1707"/>
      <c r="O218" s="367"/>
      <c r="P218" s="217"/>
      <c r="Q218" s="29"/>
      <c r="R218" s="105"/>
      <c r="S218" s="105"/>
      <c r="T218" s="105"/>
    </row>
    <row r="219" spans="1:25" s="1" customFormat="1" x14ac:dyDescent="0.3">
      <c r="A219" s="331"/>
      <c r="B219" s="331"/>
      <c r="C219" s="331"/>
      <c r="D219" s="331"/>
      <c r="E219" s="331"/>
      <c r="F219" s="331"/>
      <c r="G219" s="331"/>
      <c r="H219" s="331"/>
      <c r="I219" s="331"/>
      <c r="J219" s="331"/>
      <c r="K219" s="331"/>
      <c r="L219" s="331"/>
      <c r="M219" s="331"/>
      <c r="N219" s="331"/>
      <c r="O219" s="331"/>
      <c r="P219" s="217"/>
      <c r="Q219" s="29"/>
      <c r="R219" s="105"/>
      <c r="S219" s="105"/>
      <c r="T219" s="105"/>
    </row>
    <row r="220" spans="1:25" s="1" customFormat="1" x14ac:dyDescent="0.3">
      <c r="A220" s="331"/>
      <c r="B220" s="331"/>
      <c r="C220" s="331"/>
      <c r="D220" s="331"/>
      <c r="E220" s="331"/>
      <c r="F220" s="331"/>
      <c r="G220" s="331"/>
      <c r="H220" s="331"/>
      <c r="I220" s="331"/>
      <c r="J220" s="331"/>
      <c r="K220" s="331"/>
      <c r="L220" s="331"/>
      <c r="M220" s="331"/>
      <c r="N220" s="331"/>
      <c r="O220" s="331"/>
      <c r="P220" s="217"/>
      <c r="Q220" s="29"/>
      <c r="R220" s="105"/>
      <c r="S220" s="105"/>
      <c r="T220" s="105"/>
    </row>
    <row r="221" spans="1:25" s="167" customFormat="1" ht="79.5" customHeight="1" x14ac:dyDescent="0.3">
      <c r="A221" s="2101" t="s">
        <v>1511</v>
      </c>
      <c r="B221" s="2101"/>
      <c r="C221" s="2101"/>
      <c r="D221" s="2101"/>
      <c r="E221" s="2101"/>
      <c r="F221" s="2101"/>
      <c r="G221" s="2101"/>
      <c r="H221" s="2101"/>
      <c r="I221" s="2101"/>
      <c r="J221" s="2101"/>
      <c r="K221" s="2101"/>
      <c r="L221" s="2101"/>
      <c r="M221" s="2101"/>
      <c r="N221" s="2101"/>
      <c r="O221" s="2102"/>
      <c r="P221" s="423"/>
      <c r="Q221" s="419"/>
      <c r="R221" s="516"/>
      <c r="S221" s="516"/>
      <c r="T221" s="516"/>
    </row>
    <row r="222" spans="1:25" s="167" customFormat="1" x14ac:dyDescent="0.3">
      <c r="A222" s="1922" t="s">
        <v>56</v>
      </c>
      <c r="B222" s="1922"/>
      <c r="C222" s="1922"/>
      <c r="D222" s="1922"/>
      <c r="E222" s="1922"/>
      <c r="F222" s="1922"/>
      <c r="G222" s="1922"/>
      <c r="H222" s="1922"/>
      <c r="I222" s="1922"/>
      <c r="J222" s="1922"/>
      <c r="K222" s="1922"/>
      <c r="L222" s="1922"/>
      <c r="M222" s="1922"/>
      <c r="N222" s="1922"/>
      <c r="O222" s="498"/>
      <c r="P222" s="423"/>
      <c r="Q222" s="419"/>
      <c r="R222" s="516"/>
      <c r="S222" s="516"/>
      <c r="T222" s="516"/>
    </row>
    <row r="223" spans="1:25" s="167" customFormat="1" x14ac:dyDescent="0.3">
      <c r="A223" s="1835" t="s">
        <v>145</v>
      </c>
      <c r="B223" s="1835"/>
      <c r="C223" s="1835"/>
      <c r="D223" s="1835"/>
      <c r="E223" s="1835"/>
      <c r="F223" s="1835"/>
      <c r="G223" s="1835"/>
      <c r="H223" s="1835"/>
      <c r="I223" s="1835"/>
      <c r="J223" s="1835"/>
      <c r="K223" s="1835"/>
      <c r="L223" s="1835"/>
      <c r="M223" s="1835"/>
      <c r="N223" s="1835"/>
      <c r="O223" s="498"/>
      <c r="P223" s="423"/>
      <c r="Q223" s="419"/>
      <c r="R223" s="516"/>
      <c r="S223" s="516"/>
      <c r="T223" s="516"/>
    </row>
    <row r="224" spans="1:25" s="167" customFormat="1" ht="30" customHeight="1" x14ac:dyDescent="0.3">
      <c r="A224" s="2111" t="s">
        <v>46</v>
      </c>
      <c r="B224" s="2111" t="s">
        <v>822</v>
      </c>
      <c r="C224" s="2111" t="s">
        <v>823</v>
      </c>
      <c r="D224" s="2111" t="s">
        <v>854</v>
      </c>
      <c r="E224" s="2111" t="s">
        <v>52</v>
      </c>
      <c r="F224" s="2111" t="s">
        <v>545</v>
      </c>
      <c r="G224" s="2113" t="s">
        <v>59</v>
      </c>
      <c r="H224" s="2114" t="s">
        <v>106</v>
      </c>
      <c r="I224" s="2114"/>
      <c r="J224" s="2114"/>
      <c r="K224" s="2114"/>
      <c r="L224" s="2114"/>
      <c r="M224" s="2114"/>
      <c r="N224" s="2115" t="s">
        <v>50</v>
      </c>
      <c r="O224" s="2103" t="s">
        <v>820</v>
      </c>
      <c r="P224" s="517"/>
      <c r="Q224" s="518"/>
      <c r="R224" s="516"/>
      <c r="S224" s="516"/>
      <c r="T224" s="516"/>
    </row>
    <row r="225" spans="1:27" s="167" customFormat="1" ht="59.25" customHeight="1" x14ac:dyDescent="0.3">
      <c r="A225" s="2112"/>
      <c r="B225" s="2112"/>
      <c r="C225" s="2112"/>
      <c r="D225" s="2112"/>
      <c r="E225" s="2112"/>
      <c r="F225" s="2112"/>
      <c r="G225" s="2113"/>
      <c r="H225" s="519" t="s">
        <v>33</v>
      </c>
      <c r="I225" s="519" t="s">
        <v>4</v>
      </c>
      <c r="J225" s="519" t="s">
        <v>91</v>
      </c>
      <c r="K225" s="519" t="s">
        <v>90</v>
      </c>
      <c r="L225" s="519" t="s">
        <v>89</v>
      </c>
      <c r="M225" s="519" t="s">
        <v>221</v>
      </c>
      <c r="N225" s="2115"/>
      <c r="O225" s="2104"/>
      <c r="P225" s="517"/>
      <c r="Q225" s="518"/>
      <c r="R225" s="516"/>
      <c r="S225" s="516"/>
      <c r="T225" s="516"/>
    </row>
    <row r="226" spans="1:27" s="526" customFormat="1" ht="12" x14ac:dyDescent="0.25">
      <c r="A226" s="520">
        <v>1</v>
      </c>
      <c r="B226" s="521">
        <v>2</v>
      </c>
      <c r="C226" s="521">
        <v>3</v>
      </c>
      <c r="D226" s="521">
        <v>4</v>
      </c>
      <c r="E226" s="521">
        <v>5</v>
      </c>
      <c r="F226" s="521">
        <v>6</v>
      </c>
      <c r="G226" s="521">
        <v>7</v>
      </c>
      <c r="H226" s="521">
        <v>8</v>
      </c>
      <c r="I226" s="521">
        <v>9</v>
      </c>
      <c r="J226" s="521">
        <v>10</v>
      </c>
      <c r="K226" s="521">
        <v>11</v>
      </c>
      <c r="L226" s="521">
        <v>12</v>
      </c>
      <c r="M226" s="521">
        <v>13</v>
      </c>
      <c r="N226" s="522">
        <v>14</v>
      </c>
      <c r="O226" s="522">
        <v>15</v>
      </c>
      <c r="P226" s="523"/>
      <c r="Q226" s="524"/>
      <c r="R226" s="525"/>
      <c r="S226" s="525"/>
      <c r="T226" s="525"/>
    </row>
    <row r="227" spans="1:27" s="428" customFormat="1" ht="12" x14ac:dyDescent="0.25">
      <c r="A227" s="2105" t="s">
        <v>741</v>
      </c>
      <c r="B227" s="2106" t="s">
        <v>134</v>
      </c>
      <c r="C227" s="2106"/>
      <c r="D227" s="2106"/>
      <c r="E227" s="2106"/>
      <c r="F227" s="2106"/>
      <c r="G227" s="417" t="s">
        <v>12</v>
      </c>
      <c r="H227" s="527">
        <f>H228+H229+H230</f>
        <v>137674</v>
      </c>
      <c r="I227" s="527">
        <f t="shared" ref="I227:M227" si="102">I228+I229+I230</f>
        <v>137674</v>
      </c>
      <c r="J227" s="527">
        <f t="shared" si="102"/>
        <v>0</v>
      </c>
      <c r="K227" s="527">
        <f t="shared" si="102"/>
        <v>0</v>
      </c>
      <c r="L227" s="527">
        <f t="shared" si="102"/>
        <v>0</v>
      </c>
      <c r="M227" s="527">
        <f t="shared" si="102"/>
        <v>0</v>
      </c>
      <c r="N227" s="2107"/>
      <c r="O227" s="2107"/>
      <c r="P227" s="2108" t="s">
        <v>1509</v>
      </c>
      <c r="Q227" s="528"/>
      <c r="R227" s="529"/>
      <c r="S227" s="529"/>
      <c r="T227" s="529"/>
    </row>
    <row r="228" spans="1:27" s="428" customFormat="1" ht="30.75" customHeight="1" x14ac:dyDescent="0.25">
      <c r="A228" s="2105"/>
      <c r="B228" s="2106"/>
      <c r="C228" s="2106"/>
      <c r="D228" s="2106"/>
      <c r="E228" s="2106"/>
      <c r="F228" s="2106"/>
      <c r="G228" s="417" t="s">
        <v>13</v>
      </c>
      <c r="H228" s="527">
        <f>I228+J228+K228+L228+M228</f>
        <v>110139.2</v>
      </c>
      <c r="I228" s="530">
        <f>I232</f>
        <v>110139.2</v>
      </c>
      <c r="J228" s="530">
        <f t="shared" ref="J228:M230" si="103">J232</f>
        <v>0</v>
      </c>
      <c r="K228" s="530">
        <f t="shared" si="103"/>
        <v>0</v>
      </c>
      <c r="L228" s="530">
        <f t="shared" si="103"/>
        <v>0</v>
      </c>
      <c r="M228" s="530">
        <f t="shared" si="103"/>
        <v>0</v>
      </c>
      <c r="N228" s="2107"/>
      <c r="O228" s="2107"/>
      <c r="P228" s="2109"/>
      <c r="Q228" s="528"/>
      <c r="R228" s="529"/>
      <c r="S228" s="529"/>
      <c r="T228" s="529"/>
    </row>
    <row r="229" spans="1:27" s="428" customFormat="1" ht="37.5" customHeight="1" x14ac:dyDescent="0.25">
      <c r="A229" s="2105"/>
      <c r="B229" s="2106"/>
      <c r="C229" s="2106"/>
      <c r="D229" s="2106"/>
      <c r="E229" s="2106"/>
      <c r="F229" s="2106"/>
      <c r="G229" s="417" t="s">
        <v>3</v>
      </c>
      <c r="H229" s="527">
        <f>I229+J229+K229+L229+M229</f>
        <v>13767.4</v>
      </c>
      <c r="I229" s="530">
        <f>I233</f>
        <v>13767.4</v>
      </c>
      <c r="J229" s="530">
        <f t="shared" si="103"/>
        <v>0</v>
      </c>
      <c r="K229" s="530">
        <f t="shared" si="103"/>
        <v>0</v>
      </c>
      <c r="L229" s="530">
        <f t="shared" si="103"/>
        <v>0</v>
      </c>
      <c r="M229" s="530">
        <f t="shared" si="103"/>
        <v>0</v>
      </c>
      <c r="N229" s="2107"/>
      <c r="O229" s="2107"/>
      <c r="P229" s="2109"/>
      <c r="Q229" s="528"/>
      <c r="R229" s="529"/>
      <c r="S229" s="529"/>
      <c r="T229" s="529"/>
      <c r="W229" s="428">
        <v>2018</v>
      </c>
      <c r="X229" s="428">
        <v>2019</v>
      </c>
      <c r="Y229" s="428">
        <v>2020</v>
      </c>
      <c r="Z229" s="428">
        <v>2021</v>
      </c>
      <c r="AA229" s="428">
        <v>2022</v>
      </c>
    </row>
    <row r="230" spans="1:27" s="428" customFormat="1" ht="12" x14ac:dyDescent="0.25">
      <c r="A230" s="2105"/>
      <c r="B230" s="2106"/>
      <c r="C230" s="2106"/>
      <c r="D230" s="2106"/>
      <c r="E230" s="2106"/>
      <c r="F230" s="2106"/>
      <c r="G230" s="417" t="s">
        <v>15</v>
      </c>
      <c r="H230" s="527">
        <f>I230+J230+K230+L230+M230</f>
        <v>13767.4</v>
      </c>
      <c r="I230" s="530">
        <f>I234</f>
        <v>13767.4</v>
      </c>
      <c r="J230" s="530">
        <f t="shared" si="103"/>
        <v>0</v>
      </c>
      <c r="K230" s="530">
        <f t="shared" si="103"/>
        <v>0</v>
      </c>
      <c r="L230" s="530">
        <f t="shared" si="103"/>
        <v>0</v>
      </c>
      <c r="M230" s="530">
        <f t="shared" si="103"/>
        <v>0</v>
      </c>
      <c r="N230" s="2107"/>
      <c r="O230" s="2107"/>
      <c r="P230" s="2110"/>
      <c r="Q230" s="531"/>
      <c r="R230" s="532"/>
      <c r="S230" s="529"/>
      <c r="T230" s="529"/>
    </row>
    <row r="231" spans="1:27" s="428" customFormat="1" ht="12" x14ac:dyDescent="0.25">
      <c r="A231" s="2105" t="s">
        <v>742</v>
      </c>
      <c r="B231" s="2106" t="s">
        <v>344</v>
      </c>
      <c r="C231" s="2106" t="s">
        <v>82</v>
      </c>
      <c r="D231" s="2106" t="s">
        <v>359</v>
      </c>
      <c r="E231" s="2107">
        <v>199924</v>
      </c>
      <c r="F231" s="530">
        <f>F232+F233+F234</f>
        <v>62250</v>
      </c>
      <c r="G231" s="417" t="s">
        <v>12</v>
      </c>
      <c r="H231" s="527">
        <f>H232+H233+H234</f>
        <v>137674</v>
      </c>
      <c r="I231" s="527">
        <f t="shared" ref="I231:M231" si="104">I232+I233+I234</f>
        <v>137674</v>
      </c>
      <c r="J231" s="527">
        <f t="shared" si="104"/>
        <v>0</v>
      </c>
      <c r="K231" s="527">
        <f t="shared" si="104"/>
        <v>0</v>
      </c>
      <c r="L231" s="527">
        <f t="shared" si="104"/>
        <v>0</v>
      </c>
      <c r="M231" s="527">
        <f t="shared" si="104"/>
        <v>0</v>
      </c>
      <c r="N231" s="2107"/>
      <c r="O231" s="2107" t="s">
        <v>16</v>
      </c>
      <c r="P231" s="2116"/>
      <c r="Q231" s="531"/>
      <c r="R231" s="532"/>
      <c r="S231" s="529"/>
      <c r="T231" s="529"/>
    </row>
    <row r="232" spans="1:27" s="428" customFormat="1" ht="24.75" customHeight="1" x14ac:dyDescent="0.25">
      <c r="A232" s="2105"/>
      <c r="B232" s="2106"/>
      <c r="C232" s="2106"/>
      <c r="D232" s="2106"/>
      <c r="E232" s="2107"/>
      <c r="F232" s="530">
        <v>49800</v>
      </c>
      <c r="G232" s="417" t="s">
        <v>13</v>
      </c>
      <c r="H232" s="527">
        <f>I232+J232+K232+L232+M232</f>
        <v>110139.2</v>
      </c>
      <c r="I232" s="530">
        <v>110139.2</v>
      </c>
      <c r="J232" s="530">
        <v>0</v>
      </c>
      <c r="K232" s="530">
        <v>0</v>
      </c>
      <c r="L232" s="530">
        <v>0</v>
      </c>
      <c r="M232" s="530">
        <v>0</v>
      </c>
      <c r="N232" s="2107"/>
      <c r="O232" s="2107"/>
      <c r="P232" s="2117"/>
      <c r="Q232" s="533"/>
      <c r="R232" s="532"/>
      <c r="S232" s="529"/>
      <c r="T232" s="529"/>
    </row>
    <row r="233" spans="1:27" s="428" customFormat="1" ht="48" x14ac:dyDescent="0.25">
      <c r="A233" s="2105"/>
      <c r="B233" s="2106"/>
      <c r="C233" s="2106"/>
      <c r="D233" s="2106"/>
      <c r="E233" s="2107"/>
      <c r="F233" s="530">
        <v>6225</v>
      </c>
      <c r="G233" s="417" t="s">
        <v>3</v>
      </c>
      <c r="H233" s="527">
        <f>I233+J233+K233+L233+M233</f>
        <v>13767.4</v>
      </c>
      <c r="I233" s="530">
        <v>13767.4</v>
      </c>
      <c r="J233" s="530">
        <v>0</v>
      </c>
      <c r="K233" s="530">
        <v>0</v>
      </c>
      <c r="L233" s="530">
        <v>0</v>
      </c>
      <c r="M233" s="530">
        <v>0</v>
      </c>
      <c r="N233" s="2107"/>
      <c r="O233" s="2107"/>
      <c r="P233" s="2117"/>
      <c r="Q233" s="533"/>
      <c r="R233" s="532"/>
      <c r="S233" s="529"/>
      <c r="T233" s="529"/>
      <c r="W233" s="428">
        <v>1</v>
      </c>
    </row>
    <row r="234" spans="1:27" s="428" customFormat="1" ht="27" customHeight="1" x14ac:dyDescent="0.25">
      <c r="A234" s="2105"/>
      <c r="B234" s="2106"/>
      <c r="C234" s="2106"/>
      <c r="D234" s="2106"/>
      <c r="E234" s="2107"/>
      <c r="F234" s="530">
        <v>6225</v>
      </c>
      <c r="G234" s="417" t="s">
        <v>15</v>
      </c>
      <c r="H234" s="527">
        <f>I234+J234+K234+L234+M234</f>
        <v>13767.4</v>
      </c>
      <c r="I234" s="530">
        <v>13767.4</v>
      </c>
      <c r="J234" s="530">
        <v>0</v>
      </c>
      <c r="K234" s="530">
        <v>0</v>
      </c>
      <c r="L234" s="530">
        <v>0</v>
      </c>
      <c r="M234" s="530">
        <v>0</v>
      </c>
      <c r="N234" s="2107"/>
      <c r="O234" s="2107"/>
      <c r="P234" s="2118"/>
      <c r="Q234" s="533"/>
      <c r="R234" s="532"/>
      <c r="S234" s="529"/>
      <c r="T234" s="529"/>
    </row>
    <row r="235" spans="1:27" s="428" customFormat="1" ht="22.2" customHeight="1" x14ac:dyDescent="0.25">
      <c r="A235" s="2105" t="s">
        <v>743</v>
      </c>
      <c r="B235" s="2106" t="s">
        <v>357</v>
      </c>
      <c r="C235" s="2106"/>
      <c r="D235" s="2106"/>
      <c r="E235" s="2106"/>
      <c r="F235" s="2106"/>
      <c r="G235" s="417" t="s">
        <v>12</v>
      </c>
      <c r="H235" s="527">
        <f>H236+H237+H238</f>
        <v>186190.62</v>
      </c>
      <c r="I235" s="1051">
        <f>I236+I237+I238</f>
        <v>7494.62</v>
      </c>
      <c r="J235" s="527">
        <f>J236+J237+J238</f>
        <v>178696</v>
      </c>
      <c r="K235" s="527">
        <f>K236+K237</f>
        <v>0</v>
      </c>
      <c r="L235" s="527">
        <f>L236+L237</f>
        <v>0</v>
      </c>
      <c r="M235" s="527">
        <f>M236+M237</f>
        <v>0</v>
      </c>
      <c r="N235" s="2107"/>
      <c r="O235" s="2107"/>
      <c r="P235" s="2108" t="s">
        <v>1510</v>
      </c>
      <c r="Q235" s="534"/>
      <c r="R235" s="529"/>
      <c r="S235" s="529"/>
      <c r="T235" s="529"/>
    </row>
    <row r="236" spans="1:27" s="428" customFormat="1" ht="24" x14ac:dyDescent="0.25">
      <c r="A236" s="2105"/>
      <c r="B236" s="2106"/>
      <c r="C236" s="2106"/>
      <c r="D236" s="2106"/>
      <c r="E236" s="2106"/>
      <c r="F236" s="2106"/>
      <c r="G236" s="417" t="s">
        <v>13</v>
      </c>
      <c r="H236" s="527">
        <f>I236+J236+K236+L236+M236</f>
        <v>160826.4</v>
      </c>
      <c r="I236" s="530">
        <f>I240+I284</f>
        <v>0</v>
      </c>
      <c r="J236" s="530">
        <f>J240</f>
        <v>160826.4</v>
      </c>
      <c r="K236" s="530">
        <f t="shared" ref="K236:M237" si="105">K240+K284</f>
        <v>0</v>
      </c>
      <c r="L236" s="530">
        <f t="shared" si="105"/>
        <v>0</v>
      </c>
      <c r="M236" s="530">
        <f t="shared" si="105"/>
        <v>0</v>
      </c>
      <c r="N236" s="2107"/>
      <c r="O236" s="2107"/>
      <c r="P236" s="2109"/>
      <c r="Q236" s="528"/>
      <c r="R236" s="529"/>
      <c r="S236" s="529"/>
      <c r="T236" s="529"/>
    </row>
    <row r="237" spans="1:27" s="428" customFormat="1" ht="48" customHeight="1" x14ac:dyDescent="0.25">
      <c r="A237" s="2105"/>
      <c r="B237" s="2106"/>
      <c r="C237" s="2106"/>
      <c r="D237" s="2106"/>
      <c r="E237" s="2106"/>
      <c r="F237" s="2106"/>
      <c r="G237" s="417" t="s">
        <v>3</v>
      </c>
      <c r="H237" s="527">
        <f>I237+J237+K237+L237+M237</f>
        <v>8934.7999999999993</v>
      </c>
      <c r="I237" s="530">
        <f>I241+I285</f>
        <v>0</v>
      </c>
      <c r="J237" s="530">
        <f>J241</f>
        <v>8934.7999999999993</v>
      </c>
      <c r="K237" s="530">
        <f t="shared" si="105"/>
        <v>0</v>
      </c>
      <c r="L237" s="530">
        <f t="shared" si="105"/>
        <v>0</v>
      </c>
      <c r="M237" s="530">
        <f t="shared" si="105"/>
        <v>0</v>
      </c>
      <c r="N237" s="2107"/>
      <c r="O237" s="2107"/>
      <c r="P237" s="2109"/>
      <c r="Q237" s="528"/>
      <c r="R237" s="529"/>
      <c r="S237" s="529"/>
      <c r="T237" s="529"/>
    </row>
    <row r="238" spans="1:27" s="428" customFormat="1" ht="18.75" customHeight="1" x14ac:dyDescent="0.25">
      <c r="A238" s="2105"/>
      <c r="B238" s="2106"/>
      <c r="C238" s="2106"/>
      <c r="D238" s="2106"/>
      <c r="E238" s="2106"/>
      <c r="F238" s="2106"/>
      <c r="G238" s="417" t="s">
        <v>15</v>
      </c>
      <c r="H238" s="527">
        <f>I238+J238+K238+L238+M238</f>
        <v>16429.419999999998</v>
      </c>
      <c r="I238" s="530">
        <f>I242</f>
        <v>7494.62</v>
      </c>
      <c r="J238" s="530">
        <f>J242</f>
        <v>8934.7999999999993</v>
      </c>
      <c r="K238" s="530">
        <f t="shared" ref="K238:M238" si="106">K242</f>
        <v>0</v>
      </c>
      <c r="L238" s="530">
        <f t="shared" si="106"/>
        <v>0</v>
      </c>
      <c r="M238" s="530">
        <f t="shared" si="106"/>
        <v>0</v>
      </c>
      <c r="N238" s="2107"/>
      <c r="O238" s="2107"/>
      <c r="P238" s="2110"/>
      <c r="Q238" s="528"/>
      <c r="R238" s="529"/>
      <c r="S238" s="529"/>
      <c r="T238" s="529"/>
    </row>
    <row r="239" spans="1:27" s="428" customFormat="1" ht="12" x14ac:dyDescent="0.25">
      <c r="A239" s="2105" t="s">
        <v>744</v>
      </c>
      <c r="B239" s="2106" t="s">
        <v>345</v>
      </c>
      <c r="C239" s="2106" t="s">
        <v>356</v>
      </c>
      <c r="D239" s="2106" t="s">
        <v>358</v>
      </c>
      <c r="E239" s="2107">
        <v>320030</v>
      </c>
      <c r="F239" s="530">
        <f>F240+F241</f>
        <v>134267</v>
      </c>
      <c r="G239" s="417" t="s">
        <v>12</v>
      </c>
      <c r="H239" s="527">
        <f>H240+H241+H242</f>
        <v>186190.62</v>
      </c>
      <c r="I239" s="527">
        <f t="shared" ref="I239:M239" si="107">I240+I241+I242</f>
        <v>7494.62</v>
      </c>
      <c r="J239" s="527">
        <f>J240+J241+J242</f>
        <v>178696</v>
      </c>
      <c r="K239" s="527">
        <f t="shared" si="107"/>
        <v>0</v>
      </c>
      <c r="L239" s="527">
        <f t="shared" si="107"/>
        <v>0</v>
      </c>
      <c r="M239" s="527">
        <f t="shared" si="107"/>
        <v>0</v>
      </c>
      <c r="N239" s="2107"/>
      <c r="O239" s="2107" t="s">
        <v>16</v>
      </c>
      <c r="P239" s="530"/>
      <c r="Q239" s="528"/>
      <c r="R239" s="529"/>
      <c r="S239" s="529"/>
      <c r="T239" s="529"/>
    </row>
    <row r="240" spans="1:27" s="428" customFormat="1" ht="24" x14ac:dyDescent="0.25">
      <c r="A240" s="2105"/>
      <c r="B240" s="2106"/>
      <c r="C240" s="2106"/>
      <c r="D240" s="2106"/>
      <c r="E240" s="2107"/>
      <c r="F240" s="530">
        <v>127200</v>
      </c>
      <c r="G240" s="417" t="s">
        <v>13</v>
      </c>
      <c r="H240" s="527">
        <f>I240+J240+K240+L240+M240</f>
        <v>160826.4</v>
      </c>
      <c r="I240" s="530">
        <v>0</v>
      </c>
      <c r="J240" s="530">
        <v>160826.4</v>
      </c>
      <c r="K240" s="530">
        <v>0</v>
      </c>
      <c r="L240" s="530">
        <v>0</v>
      </c>
      <c r="M240" s="530">
        <v>0</v>
      </c>
      <c r="N240" s="2107"/>
      <c r="O240" s="2107"/>
      <c r="P240" s="2119"/>
      <c r="Q240" s="534"/>
      <c r="R240" s="529"/>
      <c r="S240" s="529"/>
      <c r="T240" s="529"/>
      <c r="X240" s="428">
        <v>1</v>
      </c>
    </row>
    <row r="241" spans="1:23" s="428" customFormat="1" ht="13.95" customHeight="1" x14ac:dyDescent="0.25">
      <c r="A241" s="2105"/>
      <c r="B241" s="2106"/>
      <c r="C241" s="2106"/>
      <c r="D241" s="2106"/>
      <c r="E241" s="2107"/>
      <c r="F241" s="530">
        <v>7067</v>
      </c>
      <c r="G241" s="417" t="s">
        <v>3</v>
      </c>
      <c r="H241" s="527">
        <f>I241+J241+K241+L241+M241</f>
        <v>8934.7999999999993</v>
      </c>
      <c r="I241" s="530">
        <v>0</v>
      </c>
      <c r="J241" s="530">
        <v>8934.7999999999993</v>
      </c>
      <c r="K241" s="530">
        <v>0</v>
      </c>
      <c r="L241" s="530">
        <v>0</v>
      </c>
      <c r="M241" s="530">
        <v>0</v>
      </c>
      <c r="N241" s="2107"/>
      <c r="O241" s="2107"/>
      <c r="P241" s="2119"/>
      <c r="Q241" s="534"/>
      <c r="R241" s="529"/>
      <c r="S241" s="529"/>
      <c r="T241" s="529"/>
    </row>
    <row r="242" spans="1:23" s="428" customFormat="1" ht="35.25" customHeight="1" x14ac:dyDescent="0.25">
      <c r="A242" s="2105"/>
      <c r="B242" s="2106"/>
      <c r="C242" s="2106"/>
      <c r="D242" s="2106"/>
      <c r="E242" s="2107"/>
      <c r="F242" s="530">
        <v>7067</v>
      </c>
      <c r="G242" s="417" t="s">
        <v>15</v>
      </c>
      <c r="H242" s="527">
        <f>I242+J242+K242+L242+M242</f>
        <v>16429.419999999998</v>
      </c>
      <c r="I242" s="1161">
        <f>7494.62</f>
        <v>7494.62</v>
      </c>
      <c r="J242" s="530">
        <v>8934.7999999999993</v>
      </c>
      <c r="K242" s="530">
        <v>0</v>
      </c>
      <c r="L242" s="530">
        <v>0</v>
      </c>
      <c r="M242" s="530">
        <v>0</v>
      </c>
      <c r="N242" s="2107"/>
      <c r="O242" s="2107"/>
      <c r="P242" s="2119"/>
      <c r="Q242" s="534"/>
      <c r="R242" s="529"/>
      <c r="S242" s="529"/>
      <c r="T242" s="529"/>
    </row>
    <row r="243" spans="1:23" s="1283" customFormat="1" ht="32.25" customHeight="1" x14ac:dyDescent="0.25">
      <c r="A243" s="2121" t="s">
        <v>1330</v>
      </c>
      <c r="B243" s="2122" t="s">
        <v>1332</v>
      </c>
      <c r="C243" s="2123" t="s">
        <v>82</v>
      </c>
      <c r="D243" s="1699" t="s">
        <v>358</v>
      </c>
      <c r="E243" s="2124">
        <v>320030</v>
      </c>
      <c r="F243" s="1089">
        <f>F244+F245+I246</f>
        <v>141334</v>
      </c>
      <c r="G243" s="1211" t="s">
        <v>12</v>
      </c>
      <c r="H243" s="1279">
        <f>SUM(I243:M243)</f>
        <v>0</v>
      </c>
      <c r="I243" s="1279">
        <v>0</v>
      </c>
      <c r="J243" s="1279">
        <f>J244+J245</f>
        <v>0</v>
      </c>
      <c r="K243" s="1279">
        <f>K244+K245</f>
        <v>0</v>
      </c>
      <c r="L243" s="1279">
        <f>L244+L245</f>
        <v>0</v>
      </c>
      <c r="M243" s="1279">
        <f>M244+M245</f>
        <v>0</v>
      </c>
      <c r="N243" s="1280"/>
      <c r="O243" s="1280"/>
      <c r="P243" s="1089"/>
      <c r="Q243" s="1281"/>
      <c r="R243" s="1282"/>
      <c r="S243" s="1282"/>
      <c r="T243" s="1282"/>
    </row>
    <row r="244" spans="1:23" s="1283" customFormat="1" ht="24" x14ac:dyDescent="0.25">
      <c r="A244" s="2121"/>
      <c r="B244" s="2122"/>
      <c r="C244" s="2123"/>
      <c r="D244" s="1699"/>
      <c r="E244" s="2124"/>
      <c r="F244" s="1089">
        <v>127200</v>
      </c>
      <c r="G244" s="1211" t="s">
        <v>13</v>
      </c>
      <c r="H244" s="1279">
        <f t="shared" ref="H244:H245" si="108">SUM(I244:M244)</f>
        <v>0</v>
      </c>
      <c r="I244" s="1280">
        <v>0</v>
      </c>
      <c r="J244" s="1280">
        <v>0</v>
      </c>
      <c r="K244" s="1280">
        <v>0</v>
      </c>
      <c r="L244" s="1280">
        <v>0</v>
      </c>
      <c r="M244" s="1280">
        <v>0</v>
      </c>
      <c r="N244" s="1280"/>
      <c r="O244" s="1280"/>
      <c r="P244" s="1089"/>
      <c r="Q244" s="1281"/>
      <c r="R244" s="1282"/>
      <c r="S244" s="1282"/>
      <c r="T244" s="1282"/>
      <c r="W244" s="1283">
        <v>1</v>
      </c>
    </row>
    <row r="245" spans="1:23" s="1283" customFormat="1" ht="36" x14ac:dyDescent="0.25">
      <c r="A245" s="2121"/>
      <c r="B245" s="2122"/>
      <c r="C245" s="2123"/>
      <c r="D245" s="1699"/>
      <c r="E245" s="2124"/>
      <c r="F245" s="1284">
        <v>7067</v>
      </c>
      <c r="G245" s="1285" t="s">
        <v>14</v>
      </c>
      <c r="H245" s="1279">
        <f t="shared" si="108"/>
        <v>0</v>
      </c>
      <c r="I245" s="1280">
        <v>0</v>
      </c>
      <c r="J245" s="1280">
        <v>0</v>
      </c>
      <c r="K245" s="1280">
        <v>0</v>
      </c>
      <c r="L245" s="1280">
        <v>0</v>
      </c>
      <c r="M245" s="1280">
        <v>0</v>
      </c>
      <c r="N245" s="1280"/>
      <c r="O245" s="1280"/>
      <c r="P245" s="1089" t="s">
        <v>1639</v>
      </c>
      <c r="Q245" s="1281"/>
      <c r="R245" s="1282"/>
      <c r="S245" s="1282"/>
      <c r="T245" s="1282"/>
    </row>
    <row r="246" spans="1:23" s="1283" customFormat="1" ht="12" x14ac:dyDescent="0.25">
      <c r="A246" s="2121"/>
      <c r="B246" s="2122"/>
      <c r="C246" s="2123"/>
      <c r="D246" s="1699"/>
      <c r="E246" s="2124"/>
      <c r="F246" s="1283">
        <v>0</v>
      </c>
      <c r="G246" s="1285" t="s">
        <v>15</v>
      </c>
      <c r="H246" s="1279">
        <f>I246</f>
        <v>7067</v>
      </c>
      <c r="I246" s="1280">
        <v>7067</v>
      </c>
      <c r="J246" s="1280">
        <v>0</v>
      </c>
      <c r="K246" s="1280">
        <v>0</v>
      </c>
      <c r="L246" s="1280">
        <v>0</v>
      </c>
      <c r="M246" s="1280">
        <v>0</v>
      </c>
      <c r="N246" s="1280"/>
      <c r="O246" s="1280"/>
      <c r="P246" s="1089"/>
      <c r="Q246" s="1281"/>
      <c r="R246" s="1282"/>
      <c r="S246" s="1282"/>
      <c r="T246" s="1282"/>
    </row>
    <row r="247" spans="1:23" s="428" customFormat="1" ht="12" x14ac:dyDescent="0.25">
      <c r="A247" s="2105" t="s">
        <v>745</v>
      </c>
      <c r="B247" s="2106" t="s">
        <v>353</v>
      </c>
      <c r="C247" s="2106"/>
      <c r="D247" s="2106"/>
      <c r="E247" s="2106"/>
      <c r="F247" s="2106"/>
      <c r="G247" s="417" t="s">
        <v>12</v>
      </c>
      <c r="H247" s="527">
        <f>H248+H249</f>
        <v>23727.27</v>
      </c>
      <c r="I247" s="527">
        <f t="shared" ref="I247:M247" si="109">I248+I249</f>
        <v>23727.27</v>
      </c>
      <c r="J247" s="527">
        <f t="shared" si="109"/>
        <v>0</v>
      </c>
      <c r="K247" s="527">
        <f t="shared" si="109"/>
        <v>0</v>
      </c>
      <c r="L247" s="527">
        <f t="shared" si="109"/>
        <v>0</v>
      </c>
      <c r="M247" s="527">
        <f t="shared" si="109"/>
        <v>0</v>
      </c>
      <c r="N247" s="2107"/>
      <c r="O247" s="2107"/>
      <c r="P247" s="2120" t="s">
        <v>1509</v>
      </c>
      <c r="Q247" s="534"/>
      <c r="R247" s="529"/>
      <c r="S247" s="529"/>
      <c r="T247" s="529"/>
    </row>
    <row r="248" spans="1:23" s="428" customFormat="1" ht="24" x14ac:dyDescent="0.25">
      <c r="A248" s="2105"/>
      <c r="B248" s="2106"/>
      <c r="C248" s="2106"/>
      <c r="D248" s="2106"/>
      <c r="E248" s="2106"/>
      <c r="F248" s="2106"/>
      <c r="G248" s="417" t="s">
        <v>13</v>
      </c>
      <c r="H248" s="527">
        <f>I248+J248+K248+L248+M248</f>
        <v>21354.54</v>
      </c>
      <c r="I248" s="530">
        <f>I251</f>
        <v>21354.54</v>
      </c>
      <c r="J248" s="530">
        <f t="shared" ref="J248:M249" si="110">J251</f>
        <v>0</v>
      </c>
      <c r="K248" s="530">
        <f t="shared" si="110"/>
        <v>0</v>
      </c>
      <c r="L248" s="530">
        <f t="shared" si="110"/>
        <v>0</v>
      </c>
      <c r="M248" s="530">
        <f t="shared" si="110"/>
        <v>0</v>
      </c>
      <c r="N248" s="2107"/>
      <c r="O248" s="2107"/>
      <c r="P248" s="2120"/>
      <c r="Q248" s="534"/>
      <c r="R248" s="529"/>
      <c r="S248" s="529"/>
      <c r="T248" s="529"/>
    </row>
    <row r="249" spans="1:23" s="428" customFormat="1" ht="48" x14ac:dyDescent="0.25">
      <c r="A249" s="2105"/>
      <c r="B249" s="2106"/>
      <c r="C249" s="2106"/>
      <c r="D249" s="2106"/>
      <c r="E249" s="2106"/>
      <c r="F249" s="2106"/>
      <c r="G249" s="417" t="s">
        <v>3</v>
      </c>
      <c r="H249" s="527">
        <f>I249+J249+K249+L249+M249</f>
        <v>2372.73</v>
      </c>
      <c r="I249" s="530">
        <f>I252</f>
        <v>2372.73</v>
      </c>
      <c r="J249" s="530">
        <f t="shared" si="110"/>
        <v>0</v>
      </c>
      <c r="K249" s="530">
        <f t="shared" si="110"/>
        <v>0</v>
      </c>
      <c r="L249" s="530">
        <f t="shared" si="110"/>
        <v>0</v>
      </c>
      <c r="M249" s="530">
        <f t="shared" si="110"/>
        <v>0</v>
      </c>
      <c r="N249" s="2107"/>
      <c r="O249" s="2107"/>
      <c r="P249" s="2120"/>
      <c r="Q249" s="534"/>
      <c r="R249" s="529"/>
      <c r="S249" s="529"/>
      <c r="T249" s="529"/>
    </row>
    <row r="250" spans="1:23" s="428" customFormat="1" ht="13.95" customHeight="1" x14ac:dyDescent="0.25">
      <c r="A250" s="2105" t="s">
        <v>746</v>
      </c>
      <c r="B250" s="2106" t="s">
        <v>354</v>
      </c>
      <c r="C250" s="2106" t="s">
        <v>264</v>
      </c>
      <c r="D250" s="2106" t="s">
        <v>355</v>
      </c>
      <c r="E250" s="2107">
        <v>23727.27</v>
      </c>
      <c r="F250" s="530">
        <f>F251+F252</f>
        <v>0</v>
      </c>
      <c r="G250" s="417" t="s">
        <v>12</v>
      </c>
      <c r="H250" s="527">
        <f>H251+H252</f>
        <v>23727.27</v>
      </c>
      <c r="I250" s="527">
        <f t="shared" ref="I250:M250" si="111">I251+I252</f>
        <v>23727.27</v>
      </c>
      <c r="J250" s="527">
        <f t="shared" si="111"/>
        <v>0</v>
      </c>
      <c r="K250" s="527">
        <f t="shared" si="111"/>
        <v>0</v>
      </c>
      <c r="L250" s="527">
        <f t="shared" si="111"/>
        <v>0</v>
      </c>
      <c r="M250" s="527">
        <f t="shared" si="111"/>
        <v>0</v>
      </c>
      <c r="N250" s="2107"/>
      <c r="O250" s="2107" t="s">
        <v>16</v>
      </c>
      <c r="P250" s="2119"/>
      <c r="Q250" s="534"/>
      <c r="R250" s="529"/>
      <c r="S250" s="529"/>
      <c r="T250" s="529"/>
    </row>
    <row r="251" spans="1:23" s="428" customFormat="1" ht="34.200000000000003" customHeight="1" x14ac:dyDescent="0.25">
      <c r="A251" s="2105"/>
      <c r="B251" s="2106"/>
      <c r="C251" s="2106"/>
      <c r="D251" s="2106"/>
      <c r="E251" s="2107"/>
      <c r="F251" s="530">
        <v>0</v>
      </c>
      <c r="G251" s="417" t="s">
        <v>13</v>
      </c>
      <c r="H251" s="527">
        <f>I251+J251+K251+L251+M251</f>
        <v>21354.54</v>
      </c>
      <c r="I251" s="530">
        <v>21354.54</v>
      </c>
      <c r="J251" s="530">
        <v>0</v>
      </c>
      <c r="K251" s="530">
        <v>0</v>
      </c>
      <c r="L251" s="530">
        <v>0</v>
      </c>
      <c r="M251" s="530">
        <v>0</v>
      </c>
      <c r="N251" s="2107"/>
      <c r="O251" s="2107"/>
      <c r="P251" s="2119"/>
      <c r="Q251" s="534"/>
      <c r="R251" s="529"/>
      <c r="S251" s="529"/>
      <c r="T251" s="529"/>
      <c r="W251" s="428">
        <v>1</v>
      </c>
    </row>
    <row r="252" spans="1:23" s="428" customFormat="1" ht="48" x14ac:dyDescent="0.25">
      <c r="A252" s="2105"/>
      <c r="B252" s="2106"/>
      <c r="C252" s="2106"/>
      <c r="D252" s="2106"/>
      <c r="E252" s="2107"/>
      <c r="F252" s="530">
        <v>0</v>
      </c>
      <c r="G252" s="417" t="s">
        <v>3</v>
      </c>
      <c r="H252" s="527">
        <f>I252+J252+K252+L252+M252</f>
        <v>2372.73</v>
      </c>
      <c r="I252" s="530">
        <v>2372.73</v>
      </c>
      <c r="J252" s="530">
        <v>0</v>
      </c>
      <c r="K252" s="530">
        <v>0</v>
      </c>
      <c r="L252" s="530">
        <v>0</v>
      </c>
      <c r="M252" s="530">
        <v>0</v>
      </c>
      <c r="N252" s="2107"/>
      <c r="O252" s="2107"/>
      <c r="P252" s="2119"/>
      <c r="Q252" s="534"/>
      <c r="R252" s="529"/>
      <c r="S252" s="529"/>
      <c r="T252" s="529"/>
    </row>
    <row r="253" spans="1:23" s="428" customFormat="1" ht="12" x14ac:dyDescent="0.25">
      <c r="A253" s="2105" t="s">
        <v>747</v>
      </c>
      <c r="B253" s="2106" t="s">
        <v>346</v>
      </c>
      <c r="C253" s="2106"/>
      <c r="D253" s="2106"/>
      <c r="E253" s="2106"/>
      <c r="F253" s="2106"/>
      <c r="G253" s="417" t="s">
        <v>12</v>
      </c>
      <c r="H253" s="527">
        <f>H254+H255</f>
        <v>23357.06</v>
      </c>
      <c r="I253" s="527">
        <f t="shared" ref="I253:M253" si="112">I254+I255</f>
        <v>23357.06</v>
      </c>
      <c r="J253" s="527">
        <f t="shared" si="112"/>
        <v>0</v>
      </c>
      <c r="K253" s="527">
        <f t="shared" si="112"/>
        <v>0</v>
      </c>
      <c r="L253" s="527">
        <f t="shared" si="112"/>
        <v>0</v>
      </c>
      <c r="M253" s="527">
        <f t="shared" si="112"/>
        <v>0</v>
      </c>
      <c r="N253" s="2107"/>
      <c r="O253" s="2107"/>
      <c r="P253" s="2120" t="s">
        <v>1508</v>
      </c>
      <c r="Q253" s="534"/>
      <c r="R253" s="529"/>
      <c r="S253" s="529"/>
      <c r="T253" s="529"/>
    </row>
    <row r="254" spans="1:23" s="428" customFormat="1" ht="24" x14ac:dyDescent="0.25">
      <c r="A254" s="2105"/>
      <c r="B254" s="2106"/>
      <c r="C254" s="2106"/>
      <c r="D254" s="2106"/>
      <c r="E254" s="2106"/>
      <c r="F254" s="2106"/>
      <c r="G254" s="417" t="s">
        <v>13</v>
      </c>
      <c r="H254" s="527">
        <f>I254+J254+K254+L254+M254</f>
        <v>19549.86</v>
      </c>
      <c r="I254" s="530">
        <f>I257</f>
        <v>19549.86</v>
      </c>
      <c r="J254" s="530">
        <f t="shared" ref="J254:M255" si="113">J257</f>
        <v>0</v>
      </c>
      <c r="K254" s="530">
        <f t="shared" si="113"/>
        <v>0</v>
      </c>
      <c r="L254" s="530">
        <f t="shared" si="113"/>
        <v>0</v>
      </c>
      <c r="M254" s="530">
        <f t="shared" si="113"/>
        <v>0</v>
      </c>
      <c r="N254" s="2107"/>
      <c r="O254" s="2107"/>
      <c r="P254" s="2120"/>
      <c r="Q254" s="534"/>
      <c r="R254" s="529"/>
      <c r="S254" s="529"/>
      <c r="T254" s="529"/>
    </row>
    <row r="255" spans="1:23" s="428" customFormat="1" ht="48" x14ac:dyDescent="0.25">
      <c r="A255" s="2105"/>
      <c r="B255" s="2106"/>
      <c r="C255" s="2106"/>
      <c r="D255" s="2106"/>
      <c r="E255" s="2106"/>
      <c r="F255" s="2106"/>
      <c r="G255" s="417" t="s">
        <v>3</v>
      </c>
      <c r="H255" s="527">
        <f>I255+J255+K255+L255+M255</f>
        <v>3807.2</v>
      </c>
      <c r="I255" s="530">
        <f>I258</f>
        <v>3807.2</v>
      </c>
      <c r="J255" s="530">
        <f t="shared" si="113"/>
        <v>0</v>
      </c>
      <c r="K255" s="530">
        <f t="shared" si="113"/>
        <v>0</v>
      </c>
      <c r="L255" s="530">
        <f t="shared" si="113"/>
        <v>0</v>
      </c>
      <c r="M255" s="530">
        <f t="shared" si="113"/>
        <v>0</v>
      </c>
      <c r="N255" s="2107"/>
      <c r="O255" s="2107"/>
      <c r="P255" s="2120"/>
      <c r="Q255" s="534"/>
      <c r="R255" s="529"/>
      <c r="S255" s="529"/>
      <c r="T255" s="529"/>
    </row>
    <row r="256" spans="1:23" s="428" customFormat="1" ht="12" x14ac:dyDescent="0.25">
      <c r="A256" s="2105" t="s">
        <v>748</v>
      </c>
      <c r="B256" s="2106" t="s">
        <v>931</v>
      </c>
      <c r="C256" s="2106">
        <v>2018</v>
      </c>
      <c r="D256" s="2106"/>
      <c r="E256" s="2107">
        <f>F256+H256</f>
        <v>23357.06</v>
      </c>
      <c r="F256" s="530">
        <f>F257+F258</f>
        <v>0</v>
      </c>
      <c r="G256" s="417" t="s">
        <v>12</v>
      </c>
      <c r="H256" s="527">
        <f>H257+H258</f>
        <v>23357.06</v>
      </c>
      <c r="I256" s="527">
        <f t="shared" ref="I256:M256" si="114">I257+I258</f>
        <v>23357.06</v>
      </c>
      <c r="J256" s="527">
        <f t="shared" si="114"/>
        <v>0</v>
      </c>
      <c r="K256" s="527">
        <f t="shared" si="114"/>
        <v>0</v>
      </c>
      <c r="L256" s="527">
        <f t="shared" si="114"/>
        <v>0</v>
      </c>
      <c r="M256" s="527">
        <f t="shared" si="114"/>
        <v>0</v>
      </c>
      <c r="N256" s="2107"/>
      <c r="O256" s="2107" t="s">
        <v>16</v>
      </c>
      <c r="P256" s="2119"/>
      <c r="Q256" s="534"/>
      <c r="R256" s="529"/>
      <c r="S256" s="529"/>
      <c r="T256" s="529"/>
    </row>
    <row r="257" spans="1:24" s="428" customFormat="1" ht="24" x14ac:dyDescent="0.25">
      <c r="A257" s="2105"/>
      <c r="B257" s="2106"/>
      <c r="C257" s="2106"/>
      <c r="D257" s="2106"/>
      <c r="E257" s="2107"/>
      <c r="F257" s="530">
        <v>0</v>
      </c>
      <c r="G257" s="417" t="s">
        <v>13</v>
      </c>
      <c r="H257" s="527">
        <f>I257+J257+K257+L257+M257</f>
        <v>19549.86</v>
      </c>
      <c r="I257" s="530">
        <v>19549.86</v>
      </c>
      <c r="J257" s="530">
        <v>0</v>
      </c>
      <c r="K257" s="530">
        <v>0</v>
      </c>
      <c r="L257" s="530">
        <v>0</v>
      </c>
      <c r="M257" s="530">
        <v>0</v>
      </c>
      <c r="N257" s="2107"/>
      <c r="O257" s="2107"/>
      <c r="P257" s="2119"/>
      <c r="Q257" s="534"/>
      <c r="R257" s="529"/>
      <c r="S257" s="529"/>
      <c r="T257" s="529"/>
      <c r="W257" s="428">
        <v>1</v>
      </c>
    </row>
    <row r="258" spans="1:24" s="428" customFormat="1" ht="48" x14ac:dyDescent="0.25">
      <c r="A258" s="2105"/>
      <c r="B258" s="2106"/>
      <c r="C258" s="2106"/>
      <c r="D258" s="2106"/>
      <c r="E258" s="2107"/>
      <c r="F258" s="530">
        <v>0</v>
      </c>
      <c r="G258" s="417" t="s">
        <v>3</v>
      </c>
      <c r="H258" s="527">
        <f>I258+J258+K258+L258+M258</f>
        <v>3807.2</v>
      </c>
      <c r="I258" s="530">
        <v>3807.2</v>
      </c>
      <c r="J258" s="530">
        <v>0</v>
      </c>
      <c r="K258" s="530">
        <v>0</v>
      </c>
      <c r="L258" s="530">
        <v>0</v>
      </c>
      <c r="M258" s="530">
        <v>0</v>
      </c>
      <c r="N258" s="2107"/>
      <c r="O258" s="2107"/>
      <c r="P258" s="2119"/>
      <c r="Q258" s="534"/>
      <c r="R258" s="529"/>
      <c r="S258" s="529"/>
      <c r="T258" s="529"/>
    </row>
    <row r="259" spans="1:24" s="428" customFormat="1" ht="12" x14ac:dyDescent="0.25">
      <c r="A259" s="2105" t="s">
        <v>749</v>
      </c>
      <c r="B259" s="2106" t="s">
        <v>347</v>
      </c>
      <c r="C259" s="2106"/>
      <c r="D259" s="2106"/>
      <c r="E259" s="2106"/>
      <c r="F259" s="2106"/>
      <c r="G259" s="417" t="s">
        <v>12</v>
      </c>
      <c r="H259" s="527">
        <f>H260+H261</f>
        <v>155927.47</v>
      </c>
      <c r="I259" s="527">
        <f t="shared" ref="I259:M259" si="115">I260+I261</f>
        <v>0</v>
      </c>
      <c r="J259" s="527">
        <f t="shared" si="115"/>
        <v>155927.47</v>
      </c>
      <c r="K259" s="527">
        <f t="shared" si="115"/>
        <v>0</v>
      </c>
      <c r="L259" s="527">
        <f t="shared" si="115"/>
        <v>0</v>
      </c>
      <c r="M259" s="527">
        <f t="shared" si="115"/>
        <v>0</v>
      </c>
      <c r="N259" s="2107"/>
      <c r="O259" s="2107"/>
      <c r="P259" s="2119" t="s">
        <v>1507</v>
      </c>
      <c r="Q259" s="534"/>
      <c r="R259" s="529"/>
      <c r="S259" s="529"/>
      <c r="T259" s="529"/>
    </row>
    <row r="260" spans="1:24" s="428" customFormat="1" ht="24" x14ac:dyDescent="0.25">
      <c r="A260" s="2105"/>
      <c r="B260" s="2106"/>
      <c r="C260" s="2106"/>
      <c r="D260" s="2106"/>
      <c r="E260" s="2106"/>
      <c r="F260" s="2106"/>
      <c r="G260" s="417" t="s">
        <v>13</v>
      </c>
      <c r="H260" s="527">
        <f>I260+J260+K260+L260+M260</f>
        <v>111488.14</v>
      </c>
      <c r="I260" s="530">
        <f>I263</f>
        <v>0</v>
      </c>
      <c r="J260" s="530">
        <f>J263+J266</f>
        <v>111488.14</v>
      </c>
      <c r="K260" s="530">
        <f t="shared" ref="K260:M261" si="116">K263</f>
        <v>0</v>
      </c>
      <c r="L260" s="530">
        <f t="shared" si="116"/>
        <v>0</v>
      </c>
      <c r="M260" s="530">
        <f t="shared" si="116"/>
        <v>0</v>
      </c>
      <c r="N260" s="2107"/>
      <c r="O260" s="2107"/>
      <c r="P260" s="2119"/>
      <c r="Q260" s="534"/>
      <c r="R260" s="529"/>
      <c r="S260" s="529"/>
      <c r="T260" s="529"/>
    </row>
    <row r="261" spans="1:24" s="428" customFormat="1" ht="48" x14ac:dyDescent="0.25">
      <c r="A261" s="2105"/>
      <c r="B261" s="2106"/>
      <c r="C261" s="2106"/>
      <c r="D261" s="2106"/>
      <c r="E261" s="2106"/>
      <c r="F261" s="2106"/>
      <c r="G261" s="417" t="s">
        <v>3</v>
      </c>
      <c r="H261" s="527">
        <f>I261+J261+K261+L261+M261</f>
        <v>44439.33</v>
      </c>
      <c r="I261" s="530">
        <f>I264</f>
        <v>0</v>
      </c>
      <c r="J261" s="530">
        <f>J264+J267</f>
        <v>44439.33</v>
      </c>
      <c r="K261" s="530">
        <f t="shared" si="116"/>
        <v>0</v>
      </c>
      <c r="L261" s="530">
        <f t="shared" si="116"/>
        <v>0</v>
      </c>
      <c r="M261" s="530">
        <f t="shared" si="116"/>
        <v>0</v>
      </c>
      <c r="N261" s="2107"/>
      <c r="O261" s="2107"/>
      <c r="P261" s="2119"/>
      <c r="Q261" s="534"/>
      <c r="R261" s="529"/>
      <c r="S261" s="529"/>
      <c r="T261" s="529"/>
    </row>
    <row r="262" spans="1:24" s="428" customFormat="1" ht="12" x14ac:dyDescent="0.25">
      <c r="A262" s="2105" t="s">
        <v>750</v>
      </c>
      <c r="B262" s="2106" t="s">
        <v>930</v>
      </c>
      <c r="C262" s="2106">
        <v>2019</v>
      </c>
      <c r="D262" s="2106"/>
      <c r="E262" s="2107">
        <f>F262+H262</f>
        <v>58968.61</v>
      </c>
      <c r="F262" s="530">
        <f>F263+F264</f>
        <v>0</v>
      </c>
      <c r="G262" s="417" t="s">
        <v>12</v>
      </c>
      <c r="H262" s="527">
        <f>H263+H264</f>
        <v>58968.61</v>
      </c>
      <c r="I262" s="527">
        <f t="shared" ref="I262:M262" si="117">I263+I264</f>
        <v>0</v>
      </c>
      <c r="J262" s="527">
        <f t="shared" si="117"/>
        <v>58968.61</v>
      </c>
      <c r="K262" s="527">
        <f t="shared" si="117"/>
        <v>0</v>
      </c>
      <c r="L262" s="527">
        <f t="shared" si="117"/>
        <v>0</v>
      </c>
      <c r="M262" s="527">
        <f t="shared" si="117"/>
        <v>0</v>
      </c>
      <c r="N262" s="2107"/>
      <c r="O262" s="2107" t="s">
        <v>16</v>
      </c>
      <c r="P262" s="2119"/>
      <c r="Q262" s="534"/>
      <c r="R262" s="529"/>
      <c r="S262" s="529"/>
      <c r="T262" s="529"/>
    </row>
    <row r="263" spans="1:24" s="428" customFormat="1" ht="24" x14ac:dyDescent="0.25">
      <c r="A263" s="2105"/>
      <c r="B263" s="2106"/>
      <c r="C263" s="2106"/>
      <c r="D263" s="2106"/>
      <c r="E263" s="2107"/>
      <c r="F263" s="530">
        <v>0</v>
      </c>
      <c r="G263" s="417" t="s">
        <v>13</v>
      </c>
      <c r="H263" s="527">
        <f>I263+J263+K263+L263+M263</f>
        <v>42162.559999999998</v>
      </c>
      <c r="I263" s="530">
        <v>0</v>
      </c>
      <c r="J263" s="530">
        <v>42162.559999999998</v>
      </c>
      <c r="K263" s="530">
        <v>0</v>
      </c>
      <c r="L263" s="530">
        <v>0</v>
      </c>
      <c r="M263" s="530">
        <v>0</v>
      </c>
      <c r="N263" s="2107"/>
      <c r="O263" s="2107"/>
      <c r="P263" s="2119"/>
      <c r="Q263" s="534"/>
      <c r="R263" s="529"/>
      <c r="S263" s="529"/>
      <c r="T263" s="529"/>
      <c r="X263" s="428">
        <v>1</v>
      </c>
    </row>
    <row r="264" spans="1:24" s="428" customFormat="1" ht="48" x14ac:dyDescent="0.25">
      <c r="A264" s="2105"/>
      <c r="B264" s="2106"/>
      <c r="C264" s="2106"/>
      <c r="D264" s="2106"/>
      <c r="E264" s="2107"/>
      <c r="F264" s="530">
        <v>0</v>
      </c>
      <c r="G264" s="417" t="s">
        <v>3</v>
      </c>
      <c r="H264" s="527">
        <f>I264+J264+K264+L264+M264</f>
        <v>16806.05</v>
      </c>
      <c r="I264" s="530">
        <v>0</v>
      </c>
      <c r="J264" s="530">
        <v>16806.05</v>
      </c>
      <c r="K264" s="530">
        <v>0</v>
      </c>
      <c r="L264" s="530">
        <v>0</v>
      </c>
      <c r="M264" s="530">
        <v>0</v>
      </c>
      <c r="N264" s="2107"/>
      <c r="O264" s="2107"/>
      <c r="P264" s="2119"/>
      <c r="Q264" s="534"/>
      <c r="R264" s="529"/>
      <c r="S264" s="529"/>
      <c r="T264" s="529"/>
    </row>
    <row r="265" spans="1:24" s="428" customFormat="1" ht="13.95" customHeight="1" x14ac:dyDescent="0.25">
      <c r="A265" s="2105" t="s">
        <v>752</v>
      </c>
      <c r="B265" s="2106" t="s">
        <v>751</v>
      </c>
      <c r="C265" s="2106">
        <v>2019</v>
      </c>
      <c r="D265" s="2106"/>
      <c r="E265" s="2107">
        <f>F265+H265</f>
        <v>96958.86</v>
      </c>
      <c r="F265" s="530">
        <f>F266+F267</f>
        <v>0</v>
      </c>
      <c r="G265" s="417" t="s">
        <v>12</v>
      </c>
      <c r="H265" s="527">
        <f>H266+H267</f>
        <v>96958.86</v>
      </c>
      <c r="I265" s="527">
        <f t="shared" ref="I265:M265" si="118">I266+I267</f>
        <v>0</v>
      </c>
      <c r="J265" s="527">
        <f t="shared" si="118"/>
        <v>96958.86</v>
      </c>
      <c r="K265" s="527">
        <f t="shared" si="118"/>
        <v>0</v>
      </c>
      <c r="L265" s="527">
        <f t="shared" si="118"/>
        <v>0</v>
      </c>
      <c r="M265" s="527">
        <f t="shared" si="118"/>
        <v>0</v>
      </c>
      <c r="N265" s="2107"/>
      <c r="O265" s="2107" t="s">
        <v>16</v>
      </c>
      <c r="P265" s="2119"/>
      <c r="Q265" s="534"/>
      <c r="R265" s="529"/>
      <c r="S265" s="529"/>
      <c r="T265" s="529"/>
    </row>
    <row r="266" spans="1:24" s="428" customFormat="1" ht="24" x14ac:dyDescent="0.25">
      <c r="A266" s="2105"/>
      <c r="B266" s="2106"/>
      <c r="C266" s="2106"/>
      <c r="D266" s="2106"/>
      <c r="E266" s="2107"/>
      <c r="F266" s="530">
        <v>0</v>
      </c>
      <c r="G266" s="417" t="s">
        <v>13</v>
      </c>
      <c r="H266" s="527">
        <f>I266+J266+K266+L266+M266</f>
        <v>69325.58</v>
      </c>
      <c r="I266" s="530">
        <v>0</v>
      </c>
      <c r="J266" s="530">
        <v>69325.58</v>
      </c>
      <c r="K266" s="530">
        <v>0</v>
      </c>
      <c r="L266" s="530">
        <v>0</v>
      </c>
      <c r="M266" s="530">
        <v>0</v>
      </c>
      <c r="N266" s="2107"/>
      <c r="O266" s="2107"/>
      <c r="P266" s="2119"/>
      <c r="Q266" s="534"/>
      <c r="R266" s="529"/>
      <c r="S266" s="529"/>
      <c r="T266" s="529"/>
      <c r="X266" s="428">
        <v>1</v>
      </c>
    </row>
    <row r="267" spans="1:24" s="428" customFormat="1" ht="48" x14ac:dyDescent="0.25">
      <c r="A267" s="2105"/>
      <c r="B267" s="2106"/>
      <c r="C267" s="2106"/>
      <c r="D267" s="2106"/>
      <c r="E267" s="2107"/>
      <c r="F267" s="530">
        <v>0</v>
      </c>
      <c r="G267" s="417" t="s">
        <v>3</v>
      </c>
      <c r="H267" s="527">
        <f>I267+J267+K267+L267+M267</f>
        <v>27633.279999999999</v>
      </c>
      <c r="I267" s="530">
        <v>0</v>
      </c>
      <c r="J267" s="530">
        <v>27633.279999999999</v>
      </c>
      <c r="K267" s="530">
        <v>0</v>
      </c>
      <c r="L267" s="530">
        <v>0</v>
      </c>
      <c r="M267" s="530">
        <v>0</v>
      </c>
      <c r="N267" s="2107"/>
      <c r="O267" s="2107"/>
      <c r="P267" s="2119"/>
      <c r="Q267" s="534"/>
      <c r="R267" s="529"/>
      <c r="S267" s="529"/>
      <c r="T267" s="529"/>
    </row>
    <row r="268" spans="1:24" s="428" customFormat="1" ht="12" x14ac:dyDescent="0.25">
      <c r="A268" s="2105" t="s">
        <v>753</v>
      </c>
      <c r="B268" s="2106" t="s">
        <v>324</v>
      </c>
      <c r="C268" s="2106"/>
      <c r="D268" s="2106"/>
      <c r="E268" s="2106"/>
      <c r="F268" s="2106"/>
      <c r="G268" s="417" t="s">
        <v>12</v>
      </c>
      <c r="H268" s="527">
        <f>H269+H270</f>
        <v>7999.2</v>
      </c>
      <c r="I268" s="527">
        <f t="shared" ref="I268:M268" si="119">I269+I270</f>
        <v>7999.2</v>
      </c>
      <c r="J268" s="527">
        <f t="shared" si="119"/>
        <v>0</v>
      </c>
      <c r="K268" s="527">
        <f t="shared" si="119"/>
        <v>0</v>
      </c>
      <c r="L268" s="527">
        <f t="shared" si="119"/>
        <v>0</v>
      </c>
      <c r="M268" s="527">
        <f t="shared" si="119"/>
        <v>0</v>
      </c>
      <c r="N268" s="2107"/>
      <c r="O268" s="2107"/>
      <c r="P268" s="2120" t="s">
        <v>1506</v>
      </c>
      <c r="Q268" s="534"/>
      <c r="R268" s="529"/>
      <c r="S268" s="529"/>
      <c r="T268" s="529"/>
    </row>
    <row r="269" spans="1:24" s="428" customFormat="1" ht="24" x14ac:dyDescent="0.25">
      <c r="A269" s="2105"/>
      <c r="B269" s="2106"/>
      <c r="C269" s="2106"/>
      <c r="D269" s="2106"/>
      <c r="E269" s="2106"/>
      <c r="F269" s="2106"/>
      <c r="G269" s="417" t="s">
        <v>13</v>
      </c>
      <c r="H269" s="527">
        <f>I269+J269+K269+L269+M269</f>
        <v>7920</v>
      </c>
      <c r="I269" s="530">
        <f>I272</f>
        <v>7920</v>
      </c>
      <c r="J269" s="530">
        <f t="shared" ref="J269:M270" si="120">J272</f>
        <v>0</v>
      </c>
      <c r="K269" s="530">
        <f t="shared" si="120"/>
        <v>0</v>
      </c>
      <c r="L269" s="530">
        <f t="shared" si="120"/>
        <v>0</v>
      </c>
      <c r="M269" s="530">
        <f t="shared" si="120"/>
        <v>0</v>
      </c>
      <c r="N269" s="2107"/>
      <c r="O269" s="2107"/>
      <c r="P269" s="2120"/>
      <c r="Q269" s="534"/>
      <c r="R269" s="529"/>
      <c r="S269" s="529"/>
      <c r="T269" s="529"/>
    </row>
    <row r="270" spans="1:24" s="428" customFormat="1" ht="48.75" customHeight="1" x14ac:dyDescent="0.25">
      <c r="A270" s="2105"/>
      <c r="B270" s="2106"/>
      <c r="C270" s="2106"/>
      <c r="D270" s="2106"/>
      <c r="E270" s="2106"/>
      <c r="F270" s="2106"/>
      <c r="G270" s="417" t="s">
        <v>3</v>
      </c>
      <c r="H270" s="527">
        <f>I270+J270+K270+L270+M270</f>
        <v>79.2</v>
      </c>
      <c r="I270" s="530">
        <f>I273</f>
        <v>79.2</v>
      </c>
      <c r="J270" s="530">
        <f t="shared" si="120"/>
        <v>0</v>
      </c>
      <c r="K270" s="530">
        <f t="shared" si="120"/>
        <v>0</v>
      </c>
      <c r="L270" s="530">
        <f t="shared" si="120"/>
        <v>0</v>
      </c>
      <c r="M270" s="530">
        <f t="shared" si="120"/>
        <v>0</v>
      </c>
      <c r="N270" s="2107"/>
      <c r="O270" s="2107"/>
      <c r="P270" s="2120"/>
      <c r="Q270" s="534"/>
      <c r="R270" s="529"/>
      <c r="S270" s="529"/>
      <c r="T270" s="529"/>
    </row>
    <row r="271" spans="1:24" s="428" customFormat="1" ht="12" x14ac:dyDescent="0.25">
      <c r="A271" s="2105" t="s">
        <v>754</v>
      </c>
      <c r="B271" s="2106" t="s">
        <v>1305</v>
      </c>
      <c r="C271" s="2106">
        <v>2018</v>
      </c>
      <c r="D271" s="2106"/>
      <c r="E271" s="2107">
        <f>F271+H271</f>
        <v>7999.2</v>
      </c>
      <c r="F271" s="530">
        <f>F272+F273</f>
        <v>0</v>
      </c>
      <c r="G271" s="417" t="s">
        <v>12</v>
      </c>
      <c r="H271" s="527">
        <f>H272+H273</f>
        <v>7999.2</v>
      </c>
      <c r="I271" s="527">
        <f>I272+I273</f>
        <v>7999.2</v>
      </c>
      <c r="J271" s="527">
        <f t="shared" ref="J271:M271" si="121">J272+J273</f>
        <v>0</v>
      </c>
      <c r="K271" s="527">
        <f t="shared" si="121"/>
        <v>0</v>
      </c>
      <c r="L271" s="527">
        <f t="shared" si="121"/>
        <v>0</v>
      </c>
      <c r="M271" s="527">
        <f t="shared" si="121"/>
        <v>0</v>
      </c>
      <c r="N271" s="2107"/>
      <c r="O271" s="2107" t="s">
        <v>16</v>
      </c>
      <c r="P271" s="2119"/>
      <c r="Q271" s="534"/>
      <c r="R271" s="529"/>
      <c r="S271" s="529"/>
      <c r="T271" s="529"/>
    </row>
    <row r="272" spans="1:24" s="428" customFormat="1" ht="24" x14ac:dyDescent="0.25">
      <c r="A272" s="2105"/>
      <c r="B272" s="2106"/>
      <c r="C272" s="2106"/>
      <c r="D272" s="2106"/>
      <c r="E272" s="2107"/>
      <c r="F272" s="530">
        <v>0</v>
      </c>
      <c r="G272" s="417" t="s">
        <v>13</v>
      </c>
      <c r="H272" s="527">
        <f>I272+J272+K272+L272+M272</f>
        <v>7920</v>
      </c>
      <c r="I272" s="530">
        <f>7920</f>
        <v>7920</v>
      </c>
      <c r="J272" s="530">
        <v>0</v>
      </c>
      <c r="K272" s="530">
        <v>0</v>
      </c>
      <c r="L272" s="530">
        <v>0</v>
      </c>
      <c r="M272" s="530">
        <v>0</v>
      </c>
      <c r="N272" s="2107"/>
      <c r="O272" s="2107"/>
      <c r="P272" s="2119"/>
      <c r="Q272" s="534"/>
      <c r="R272" s="529"/>
      <c r="S272" s="529"/>
      <c r="T272" s="529"/>
      <c r="W272" s="428">
        <v>2</v>
      </c>
    </row>
    <row r="273" spans="1:29" s="428" customFormat="1" ht="48" x14ac:dyDescent="0.25">
      <c r="A273" s="2105"/>
      <c r="B273" s="2106"/>
      <c r="C273" s="2106"/>
      <c r="D273" s="2106"/>
      <c r="E273" s="2107"/>
      <c r="F273" s="530">
        <v>0</v>
      </c>
      <c r="G273" s="417" t="s">
        <v>3</v>
      </c>
      <c r="H273" s="527">
        <f>I273+J273+K273+L273+M273</f>
        <v>79.2</v>
      </c>
      <c r="I273" s="530">
        <f>I272/100*1</f>
        <v>79.2</v>
      </c>
      <c r="J273" s="530">
        <v>0</v>
      </c>
      <c r="K273" s="530">
        <v>0</v>
      </c>
      <c r="L273" s="530">
        <v>0</v>
      </c>
      <c r="M273" s="530">
        <v>0</v>
      </c>
      <c r="N273" s="2107"/>
      <c r="O273" s="2107"/>
      <c r="P273" s="2119"/>
      <c r="Q273" s="534"/>
      <c r="R273" s="529"/>
      <c r="S273" s="529"/>
      <c r="T273" s="529"/>
    </row>
    <row r="274" spans="1:29" s="428" customFormat="1" ht="24" x14ac:dyDescent="0.25">
      <c r="A274" s="537" t="s">
        <v>755</v>
      </c>
      <c r="B274" s="2125" t="s">
        <v>757</v>
      </c>
      <c r="C274" s="2126"/>
      <c r="D274" s="2126"/>
      <c r="E274" s="2127"/>
      <c r="F274" s="538"/>
      <c r="G274" s="537" t="s">
        <v>13</v>
      </c>
      <c r="H274" s="965">
        <f>I274+J274+K274+L274+M274</f>
        <v>0.86</v>
      </c>
      <c r="I274" s="897">
        <v>0.4</v>
      </c>
      <c r="J274" s="897">
        <v>0.46</v>
      </c>
      <c r="K274" s="897">
        <v>0</v>
      </c>
      <c r="L274" s="897">
        <v>0</v>
      </c>
      <c r="M274" s="530"/>
      <c r="N274" s="530"/>
      <c r="O274" s="530"/>
      <c r="P274" s="2120"/>
      <c r="Q274" s="528"/>
      <c r="R274" s="529"/>
      <c r="S274" s="529"/>
      <c r="T274" s="529"/>
    </row>
    <row r="275" spans="1:29" s="428" customFormat="1" ht="25.2" customHeight="1" x14ac:dyDescent="0.25">
      <c r="A275" s="2128" t="s">
        <v>1378</v>
      </c>
      <c r="B275" s="2129"/>
      <c r="C275" s="2129"/>
      <c r="D275" s="2129"/>
      <c r="E275" s="2130"/>
      <c r="F275" s="853">
        <f>F276+F277+F278</f>
        <v>203584</v>
      </c>
      <c r="G275" s="859" t="s">
        <v>12</v>
      </c>
      <c r="H275" s="853">
        <f>H276+H277+H278</f>
        <v>534876.48</v>
      </c>
      <c r="I275" s="853">
        <f t="shared" ref="I275:M275" si="122">I276+I277+I278</f>
        <v>200252.55</v>
      </c>
      <c r="J275" s="853">
        <f t="shared" si="122"/>
        <v>334623.93</v>
      </c>
      <c r="K275" s="853">
        <f t="shared" si="122"/>
        <v>0</v>
      </c>
      <c r="L275" s="853">
        <f t="shared" si="122"/>
        <v>0</v>
      </c>
      <c r="M275" s="853">
        <f t="shared" si="122"/>
        <v>0</v>
      </c>
      <c r="N275" s="2137"/>
      <c r="O275" s="2137"/>
      <c r="P275" s="2120"/>
      <c r="Q275" s="528"/>
      <c r="R275" s="529"/>
      <c r="S275" s="529"/>
      <c r="T275" s="529"/>
    </row>
    <row r="276" spans="1:29" s="428" customFormat="1" ht="24" x14ac:dyDescent="0.25">
      <c r="A276" s="2131"/>
      <c r="B276" s="2132"/>
      <c r="C276" s="2132"/>
      <c r="D276" s="2132"/>
      <c r="E276" s="2133"/>
      <c r="F276" s="853">
        <f>F232+F240+F251+F257+F263+F266+F272</f>
        <v>177000</v>
      </c>
      <c r="G276" s="859" t="s">
        <v>13</v>
      </c>
      <c r="H276" s="853">
        <f>I276+J276+K276+L276+M276</f>
        <v>431279</v>
      </c>
      <c r="I276" s="853">
        <f>I228+I236+I248+I254+I260+I269+I274</f>
        <v>158964</v>
      </c>
      <c r="J276" s="853">
        <f>J228+J236+J248+J254+J260+J269+J274</f>
        <v>272315</v>
      </c>
      <c r="K276" s="853">
        <f>K228+K236+K248+K254+K260+K269+K274</f>
        <v>0</v>
      </c>
      <c r="L276" s="853">
        <f>L228+L236+L248+L254+L260+L269+L274</f>
        <v>0</v>
      </c>
      <c r="M276" s="853">
        <f>M228+M236+M248+M254+M260+M269+M274</f>
        <v>0</v>
      </c>
      <c r="N276" s="2137"/>
      <c r="O276" s="2137"/>
      <c r="P276" s="2138" t="s">
        <v>1306</v>
      </c>
      <c r="Q276" s="434"/>
      <c r="R276" s="529"/>
      <c r="S276" s="529"/>
      <c r="T276" s="529"/>
      <c r="W276" s="1130">
        <f>SUM(W231:W275)</f>
        <v>6</v>
      </c>
      <c r="X276" s="1130">
        <f t="shared" ref="X276:Z276" si="123">SUM(X231:X275)</f>
        <v>3</v>
      </c>
      <c r="Y276" s="1130">
        <f t="shared" si="123"/>
        <v>0</v>
      </c>
      <c r="Z276" s="1130">
        <f t="shared" si="123"/>
        <v>0</v>
      </c>
    </row>
    <row r="277" spans="1:29" s="428" customFormat="1" ht="39" customHeight="1" x14ac:dyDescent="0.25">
      <c r="A277" s="2131"/>
      <c r="B277" s="2132"/>
      <c r="C277" s="2132"/>
      <c r="D277" s="2132"/>
      <c r="E277" s="2133"/>
      <c r="F277" s="853">
        <f>F233+F241+F252+F258+F264+F267+F273</f>
        <v>13292</v>
      </c>
      <c r="G277" s="859" t="s">
        <v>3</v>
      </c>
      <c r="H277" s="853">
        <f>I277+J277+K277+L277+M277</f>
        <v>73400.66</v>
      </c>
      <c r="I277" s="853">
        <f>I229+I237+I249+I255+I261+I270</f>
        <v>20026.53</v>
      </c>
      <c r="J277" s="853">
        <f>J229+J237+J249+J255+J261+J270</f>
        <v>53374.13</v>
      </c>
      <c r="K277" s="853">
        <f>K229+K237+K249+K255+K261+K270</f>
        <v>0</v>
      </c>
      <c r="L277" s="853">
        <f>L229+L237+L249+L255+L261+L270</f>
        <v>0</v>
      </c>
      <c r="M277" s="853">
        <f>M229+M237+M249+M255+M261+M270</f>
        <v>0</v>
      </c>
      <c r="N277" s="2137"/>
      <c r="O277" s="2137"/>
      <c r="P277" s="2139"/>
      <c r="Q277" s="434"/>
      <c r="R277" s="529"/>
      <c r="S277" s="529"/>
      <c r="T277" s="529"/>
    </row>
    <row r="278" spans="1:29" s="428" customFormat="1" ht="21" customHeight="1" x14ac:dyDescent="0.25">
      <c r="A278" s="2134"/>
      <c r="B278" s="2135"/>
      <c r="C278" s="2135"/>
      <c r="D278" s="2135"/>
      <c r="E278" s="2136"/>
      <c r="F278" s="853">
        <f>F234+F242</f>
        <v>13292</v>
      </c>
      <c r="G278" s="859" t="s">
        <v>15</v>
      </c>
      <c r="H278" s="853">
        <f>I278+J278+K278+L278+M278</f>
        <v>30196.82</v>
      </c>
      <c r="I278" s="853">
        <f>I230+I238</f>
        <v>21262.02</v>
      </c>
      <c r="J278" s="853">
        <f>J230+J238</f>
        <v>8934.7999999999993</v>
      </c>
      <c r="K278" s="853">
        <f>K230+K238</f>
        <v>0</v>
      </c>
      <c r="L278" s="853">
        <f>L230+L238</f>
        <v>0</v>
      </c>
      <c r="M278" s="853">
        <f>M230+M238</f>
        <v>0</v>
      </c>
      <c r="N278" s="2137"/>
      <c r="O278" s="2137"/>
      <c r="P278" s="2140"/>
      <c r="Q278" s="434"/>
      <c r="R278" s="529"/>
      <c r="S278" s="529"/>
      <c r="T278" s="529"/>
    </row>
    <row r="279" spans="1:29" s="460" customFormat="1" ht="23.25" customHeight="1" x14ac:dyDescent="0.35">
      <c r="A279" s="2141" t="s">
        <v>169</v>
      </c>
      <c r="B279" s="2141"/>
      <c r="C279" s="2141"/>
      <c r="D279" s="2141"/>
      <c r="E279" s="2141"/>
      <c r="F279" s="2141"/>
      <c r="G279" s="2141"/>
      <c r="H279" s="2141"/>
      <c r="I279" s="2141"/>
      <c r="J279" s="2141"/>
      <c r="K279" s="2141"/>
      <c r="L279" s="2141"/>
      <c r="M279" s="2141"/>
      <c r="N279" s="2141"/>
      <c r="O279" s="2141"/>
      <c r="P279" s="424" t="s">
        <v>1379</v>
      </c>
      <c r="Q279" s="434"/>
      <c r="R279" s="529"/>
      <c r="S279" s="529"/>
      <c r="T279" s="529"/>
      <c r="U279" s="428"/>
      <c r="V279" s="428"/>
      <c r="W279" s="428"/>
      <c r="X279" s="428"/>
      <c r="Y279" s="428"/>
      <c r="Z279" s="428"/>
      <c r="AA279" s="428"/>
      <c r="AB279" s="428"/>
      <c r="AC279" s="428"/>
    </row>
    <row r="280" spans="1:29" s="460" customFormat="1" ht="25.5" customHeight="1" x14ac:dyDescent="0.25">
      <c r="A280" s="2142" t="s">
        <v>1331</v>
      </c>
      <c r="B280" s="2142"/>
      <c r="C280" s="2142"/>
      <c r="D280" s="2142"/>
      <c r="E280" s="2142"/>
      <c r="F280" s="2142"/>
      <c r="G280" s="2142"/>
      <c r="H280" s="2142"/>
      <c r="I280" s="2142"/>
      <c r="J280" s="2142"/>
      <c r="K280" s="2142"/>
      <c r="L280" s="2142"/>
      <c r="M280" s="2142"/>
      <c r="N280" s="2142"/>
      <c r="O280" s="2143"/>
      <c r="P280" s="539"/>
      <c r="Q280" s="434"/>
      <c r="R280" s="529"/>
      <c r="S280" s="529"/>
      <c r="T280" s="529"/>
      <c r="U280" s="428"/>
      <c r="V280" s="428"/>
      <c r="W280" s="428"/>
      <c r="X280" s="428"/>
      <c r="Y280" s="428"/>
      <c r="Z280" s="428"/>
      <c r="AA280" s="428"/>
      <c r="AB280" s="428"/>
      <c r="AC280" s="428"/>
    </row>
    <row r="281" spans="1:29" ht="21.75" customHeight="1" x14ac:dyDescent="0.3">
      <c r="A281" s="362"/>
      <c r="B281" s="362"/>
      <c r="C281" s="362"/>
      <c r="D281" s="362"/>
      <c r="E281" s="362"/>
      <c r="F281" s="362"/>
      <c r="G281" s="362"/>
      <c r="H281" s="362"/>
      <c r="I281" s="362"/>
      <c r="J281" s="362"/>
      <c r="K281" s="362"/>
      <c r="L281" s="362"/>
      <c r="M281" s="362"/>
      <c r="N281" s="362"/>
      <c r="O281" s="362"/>
      <c r="P281" s="217"/>
      <c r="Q281" s="29"/>
    </row>
    <row r="282" spans="1:29" ht="21.75" customHeight="1" x14ac:dyDescent="0.3">
      <c r="A282" s="362"/>
      <c r="B282" s="362"/>
      <c r="C282" s="362"/>
      <c r="D282" s="362"/>
      <c r="E282" s="362"/>
      <c r="F282" s="362"/>
      <c r="G282" s="362"/>
      <c r="H282" s="362"/>
      <c r="I282" s="362"/>
      <c r="J282" s="362"/>
      <c r="K282" s="362"/>
      <c r="L282" s="362"/>
      <c r="M282" s="362"/>
      <c r="N282" s="362"/>
      <c r="O282" s="362"/>
      <c r="P282" s="217"/>
      <c r="Q282" s="29"/>
    </row>
    <row r="283" spans="1:29" s="100" customFormat="1" ht="52.5" customHeight="1" x14ac:dyDescent="0.3">
      <c r="A283" s="2144" t="s">
        <v>1380</v>
      </c>
      <c r="B283" s="2144"/>
      <c r="C283" s="2144"/>
      <c r="D283" s="2144"/>
      <c r="E283" s="2144"/>
      <c r="F283" s="2144"/>
      <c r="G283" s="2144"/>
      <c r="H283" s="2144"/>
      <c r="I283" s="2144"/>
      <c r="J283" s="2144"/>
      <c r="K283" s="2144"/>
      <c r="L283" s="2144"/>
      <c r="M283" s="2144"/>
      <c r="N283" s="2144"/>
      <c r="O283" s="2145"/>
      <c r="P283" s="423"/>
      <c r="Q283" s="419"/>
      <c r="R283" s="516"/>
      <c r="S283" s="516"/>
      <c r="T283" s="516"/>
      <c r="U283" s="167"/>
      <c r="V283" s="167"/>
      <c r="W283" s="167"/>
      <c r="X283" s="167"/>
      <c r="Y283" s="167"/>
      <c r="Z283" s="167"/>
      <c r="AA283" s="167"/>
      <c r="AB283" s="167"/>
      <c r="AC283" s="167"/>
    </row>
    <row r="284" spans="1:29" s="100" customFormat="1" ht="14.4" customHeight="1" x14ac:dyDescent="0.3">
      <c r="A284" s="1922" t="s">
        <v>56</v>
      </c>
      <c r="B284" s="1922"/>
      <c r="C284" s="1922"/>
      <c r="D284" s="1922"/>
      <c r="E284" s="1922"/>
      <c r="F284" s="1922"/>
      <c r="G284" s="1922"/>
      <c r="H284" s="1922"/>
      <c r="I284" s="1922"/>
      <c r="J284" s="1922"/>
      <c r="K284" s="1922"/>
      <c r="L284" s="1922"/>
      <c r="M284" s="1922"/>
      <c r="N284" s="1922"/>
      <c r="O284" s="498"/>
      <c r="P284" s="423"/>
      <c r="Q284" s="419"/>
      <c r="R284" s="516"/>
      <c r="S284" s="516"/>
      <c r="T284" s="516"/>
      <c r="U284" s="167"/>
      <c r="V284" s="167"/>
      <c r="W284" s="167"/>
      <c r="X284" s="167"/>
      <c r="Y284" s="167"/>
      <c r="Z284" s="167"/>
      <c r="AA284" s="167"/>
      <c r="AB284" s="167"/>
      <c r="AC284" s="167"/>
    </row>
    <row r="285" spans="1:29" s="100" customFormat="1" ht="14.4" customHeight="1" x14ac:dyDescent="0.3">
      <c r="A285" s="1835" t="s">
        <v>555</v>
      </c>
      <c r="B285" s="1835"/>
      <c r="C285" s="1835"/>
      <c r="D285" s="1835"/>
      <c r="E285" s="1835"/>
      <c r="F285" s="1835"/>
      <c r="G285" s="1835"/>
      <c r="H285" s="1835"/>
      <c r="I285" s="1835"/>
      <c r="J285" s="1835"/>
      <c r="K285" s="1835"/>
      <c r="L285" s="1835"/>
      <c r="M285" s="1835"/>
      <c r="N285" s="1835"/>
      <c r="O285" s="498"/>
      <c r="P285" s="423"/>
      <c r="Q285" s="419"/>
      <c r="R285" s="516"/>
      <c r="S285" s="516"/>
      <c r="T285" s="516"/>
      <c r="U285" s="167"/>
      <c r="V285" s="167"/>
      <c r="W285" s="167"/>
      <c r="X285" s="167"/>
      <c r="Y285" s="167"/>
      <c r="Z285" s="167"/>
      <c r="AA285" s="167"/>
      <c r="AB285" s="167"/>
      <c r="AC285" s="167"/>
    </row>
    <row r="286" spans="1:29" s="545" customFormat="1" ht="14.4" customHeight="1" x14ac:dyDescent="0.3">
      <c r="A286" s="2111" t="s">
        <v>46</v>
      </c>
      <c r="B286" s="2111" t="s">
        <v>822</v>
      </c>
      <c r="C286" s="2111" t="s">
        <v>823</v>
      </c>
      <c r="D286" s="2111" t="s">
        <v>854</v>
      </c>
      <c r="E286" s="2111" t="s">
        <v>52</v>
      </c>
      <c r="F286" s="2111" t="s">
        <v>545</v>
      </c>
      <c r="G286" s="2113" t="s">
        <v>59</v>
      </c>
      <c r="H286" s="2114" t="s">
        <v>106</v>
      </c>
      <c r="I286" s="2114"/>
      <c r="J286" s="2114"/>
      <c r="K286" s="2114"/>
      <c r="L286" s="2114"/>
      <c r="M286" s="2114"/>
      <c r="N286" s="2115" t="s">
        <v>50</v>
      </c>
      <c r="O286" s="2103" t="s">
        <v>820</v>
      </c>
      <c r="P286" s="505"/>
      <c r="Q286" s="506"/>
      <c r="R286" s="507"/>
      <c r="S286" s="507"/>
      <c r="T286" s="507"/>
      <c r="U286" s="508"/>
      <c r="V286" s="508"/>
      <c r="W286" s="508"/>
      <c r="X286" s="508"/>
      <c r="Y286" s="508"/>
      <c r="Z286" s="508"/>
      <c r="AA286" s="508"/>
      <c r="AB286" s="508"/>
      <c r="AC286" s="508"/>
    </row>
    <row r="287" spans="1:29" s="545" customFormat="1" ht="73.5" customHeight="1" x14ac:dyDescent="0.3">
      <c r="A287" s="2112"/>
      <c r="B287" s="2112"/>
      <c r="C287" s="2112"/>
      <c r="D287" s="2112"/>
      <c r="E287" s="2112"/>
      <c r="F287" s="2112"/>
      <c r="G287" s="2113"/>
      <c r="H287" s="519" t="s">
        <v>33</v>
      </c>
      <c r="I287" s="519" t="s">
        <v>4</v>
      </c>
      <c r="J287" s="519" t="s">
        <v>91</v>
      </c>
      <c r="K287" s="519" t="s">
        <v>90</v>
      </c>
      <c r="L287" s="519" t="s">
        <v>89</v>
      </c>
      <c r="M287" s="519" t="s">
        <v>221</v>
      </c>
      <c r="N287" s="2115"/>
      <c r="O287" s="2104"/>
      <c r="P287" s="505"/>
      <c r="Q287" s="506"/>
      <c r="R287" s="507"/>
      <c r="S287" s="507"/>
      <c r="T287" s="507"/>
      <c r="U287" s="508"/>
      <c r="V287" s="508"/>
      <c r="W287" s="508">
        <v>2018</v>
      </c>
      <c r="X287" s="508">
        <v>2019</v>
      </c>
      <c r="Y287" s="508">
        <v>2020</v>
      </c>
      <c r="Z287" s="508">
        <v>2021</v>
      </c>
      <c r="AA287" s="508">
        <v>2022</v>
      </c>
      <c r="AB287" s="508"/>
      <c r="AC287" s="508"/>
    </row>
    <row r="288" spans="1:29" s="545" customFormat="1" ht="17.25" customHeight="1" x14ac:dyDescent="0.3">
      <c r="A288" s="520">
        <v>1</v>
      </c>
      <c r="B288" s="521">
        <v>2</v>
      </c>
      <c r="C288" s="521">
        <v>3</v>
      </c>
      <c r="D288" s="521">
        <v>4</v>
      </c>
      <c r="E288" s="521">
        <v>5</v>
      </c>
      <c r="F288" s="521">
        <v>6</v>
      </c>
      <c r="G288" s="521">
        <v>7</v>
      </c>
      <c r="H288" s="521">
        <v>8</v>
      </c>
      <c r="I288" s="521">
        <v>9</v>
      </c>
      <c r="J288" s="521">
        <v>10</v>
      </c>
      <c r="K288" s="521">
        <v>11</v>
      </c>
      <c r="L288" s="521">
        <v>12</v>
      </c>
      <c r="M288" s="521">
        <v>13</v>
      </c>
      <c r="N288" s="522">
        <v>14</v>
      </c>
      <c r="O288" s="522">
        <v>15</v>
      </c>
      <c r="P288" s="505"/>
      <c r="Q288" s="506"/>
      <c r="R288" s="507"/>
      <c r="S288" s="507"/>
      <c r="T288" s="507"/>
      <c r="U288" s="508"/>
      <c r="V288" s="508"/>
      <c r="W288" s="508"/>
      <c r="X288" s="508"/>
      <c r="Y288" s="508"/>
      <c r="Z288" s="508"/>
      <c r="AA288" s="508"/>
      <c r="AB288" s="508"/>
      <c r="AC288" s="508"/>
    </row>
    <row r="289" spans="1:29" s="100" customFormat="1" ht="21" customHeight="1" x14ac:dyDescent="0.3">
      <c r="A289" s="2149" t="s">
        <v>604</v>
      </c>
      <c r="B289" s="1564" t="s">
        <v>336</v>
      </c>
      <c r="C289" s="1564">
        <v>2019</v>
      </c>
      <c r="D289" s="1564"/>
      <c r="E289" s="2151">
        <f>H289</f>
        <v>23996.19</v>
      </c>
      <c r="F289" s="535">
        <f>F291</f>
        <v>0</v>
      </c>
      <c r="G289" s="418" t="s">
        <v>12</v>
      </c>
      <c r="H289" s="536">
        <f>H290</f>
        <v>23996.19</v>
      </c>
      <c r="I289" s="536">
        <f t="shared" ref="I289:M289" si="124">I290</f>
        <v>0</v>
      </c>
      <c r="J289" s="536">
        <f t="shared" si="124"/>
        <v>23996.19</v>
      </c>
      <c r="K289" s="536">
        <f t="shared" si="124"/>
        <v>0</v>
      </c>
      <c r="L289" s="536">
        <f t="shared" si="124"/>
        <v>0</v>
      </c>
      <c r="M289" s="536">
        <f t="shared" si="124"/>
        <v>0</v>
      </c>
      <c r="N289" s="2151"/>
      <c r="O289" s="2151" t="s">
        <v>16</v>
      </c>
      <c r="P289" s="423"/>
      <c r="Q289" s="419"/>
      <c r="R289" s="516"/>
      <c r="S289" s="516"/>
      <c r="T289" s="516"/>
      <c r="U289" s="167"/>
      <c r="V289" s="167"/>
      <c r="W289" s="167"/>
      <c r="X289" s="167"/>
      <c r="Y289" s="167"/>
      <c r="Z289" s="167"/>
      <c r="AA289" s="167"/>
      <c r="AB289" s="167"/>
      <c r="AC289" s="167"/>
    </row>
    <row r="290" spans="1:29" s="100" customFormat="1" ht="26.25" customHeight="1" x14ac:dyDescent="0.3">
      <c r="A290" s="2150"/>
      <c r="B290" s="1566"/>
      <c r="C290" s="1566"/>
      <c r="D290" s="1566"/>
      <c r="E290" s="2152"/>
      <c r="F290" s="535">
        <v>0</v>
      </c>
      <c r="G290" s="418" t="s">
        <v>13</v>
      </c>
      <c r="H290" s="536">
        <f>I290+J290+K290+L290+M290</f>
        <v>23996.19</v>
      </c>
      <c r="I290" s="535">
        <v>0</v>
      </c>
      <c r="J290" s="535">
        <v>23996.19</v>
      </c>
      <c r="K290" s="535">
        <v>0</v>
      </c>
      <c r="L290" s="535">
        <v>0</v>
      </c>
      <c r="M290" s="535">
        <v>0</v>
      </c>
      <c r="N290" s="2152"/>
      <c r="O290" s="2152"/>
      <c r="P290" s="423"/>
      <c r="Q290" s="419"/>
      <c r="R290" s="516"/>
      <c r="S290" s="516"/>
      <c r="T290" s="516"/>
      <c r="U290" s="167"/>
      <c r="V290" s="167"/>
      <c r="W290" s="167"/>
      <c r="X290" s="167">
        <v>1</v>
      </c>
      <c r="Y290" s="167"/>
      <c r="Z290" s="167"/>
      <c r="AA290" s="167"/>
      <c r="AB290" s="167"/>
      <c r="AC290" s="167"/>
    </row>
    <row r="291" spans="1:29" s="100" customFormat="1" ht="47.25" customHeight="1" x14ac:dyDescent="0.3">
      <c r="A291" s="2149" t="s">
        <v>605</v>
      </c>
      <c r="B291" s="1564" t="s">
        <v>325</v>
      </c>
      <c r="C291" s="1564" t="s">
        <v>338</v>
      </c>
      <c r="D291" s="1564"/>
      <c r="E291" s="2151">
        <f>H291</f>
        <v>897990.69</v>
      </c>
      <c r="F291" s="535">
        <f>F292</f>
        <v>0</v>
      </c>
      <c r="G291" s="418" t="s">
        <v>12</v>
      </c>
      <c r="H291" s="536">
        <f>H292</f>
        <v>897990.69</v>
      </c>
      <c r="I291" s="536">
        <f t="shared" ref="I291:M291" si="125">I292</f>
        <v>0</v>
      </c>
      <c r="J291" s="536">
        <f t="shared" si="125"/>
        <v>299330.23</v>
      </c>
      <c r="K291" s="536">
        <f t="shared" si="125"/>
        <v>299330.23</v>
      </c>
      <c r="L291" s="536">
        <f t="shared" si="125"/>
        <v>299330.23</v>
      </c>
      <c r="M291" s="536">
        <f t="shared" si="125"/>
        <v>0</v>
      </c>
      <c r="N291" s="2151"/>
      <c r="O291" s="2151" t="s">
        <v>16</v>
      </c>
      <c r="P291" s="2153" t="s">
        <v>337</v>
      </c>
      <c r="Q291" s="85"/>
      <c r="R291" s="516"/>
      <c r="S291" s="516"/>
      <c r="T291" s="516"/>
      <c r="U291" s="167"/>
      <c r="V291" s="167"/>
      <c r="W291" s="167"/>
      <c r="X291" s="167"/>
      <c r="Y291" s="167"/>
      <c r="Z291" s="167"/>
      <c r="AA291" s="167"/>
      <c r="AB291" s="167"/>
      <c r="AC291" s="167"/>
    </row>
    <row r="292" spans="1:29" s="100" customFormat="1" ht="87" customHeight="1" x14ac:dyDescent="0.3">
      <c r="A292" s="2150"/>
      <c r="B292" s="1566"/>
      <c r="C292" s="1566"/>
      <c r="D292" s="1566"/>
      <c r="E292" s="2152"/>
      <c r="F292" s="535">
        <v>0</v>
      </c>
      <c r="G292" s="418" t="s">
        <v>13</v>
      </c>
      <c r="H292" s="536">
        <f>I292+J292+K292+L292+M292</f>
        <v>897990.69</v>
      </c>
      <c r="I292" s="535">
        <v>0</v>
      </c>
      <c r="J292" s="535">
        <v>299330.23</v>
      </c>
      <c r="K292" s="535">
        <v>299330.23</v>
      </c>
      <c r="L292" s="535">
        <v>299330.23</v>
      </c>
      <c r="M292" s="535">
        <v>0</v>
      </c>
      <c r="N292" s="2152"/>
      <c r="O292" s="2152"/>
      <c r="P292" s="2153"/>
      <c r="Q292" s="85"/>
      <c r="R292" s="516"/>
      <c r="S292" s="516"/>
      <c r="T292" s="516"/>
      <c r="U292" s="167"/>
      <c r="V292" s="167"/>
      <c r="W292" s="167"/>
      <c r="X292" s="167"/>
      <c r="Y292" s="167"/>
      <c r="Z292" s="167">
        <v>1</v>
      </c>
      <c r="AA292" s="167"/>
      <c r="AB292" s="167"/>
      <c r="AC292" s="167"/>
    </row>
    <row r="293" spans="1:29" s="980" customFormat="1" ht="31.5" customHeight="1" x14ac:dyDescent="0.3">
      <c r="A293" s="1479" t="s">
        <v>756</v>
      </c>
      <c r="B293" s="2154" t="s">
        <v>757</v>
      </c>
      <c r="C293" s="2155"/>
      <c r="D293" s="2155"/>
      <c r="E293" s="2156"/>
      <c r="F293" s="1480"/>
      <c r="G293" s="1479" t="s">
        <v>13</v>
      </c>
      <c r="H293" s="1481">
        <f>I293+J293+K293+L293+M293</f>
        <v>12.12</v>
      </c>
      <c r="I293" s="1482">
        <v>0</v>
      </c>
      <c r="J293" s="1482">
        <v>1.58</v>
      </c>
      <c r="K293" s="1482">
        <v>9.77</v>
      </c>
      <c r="L293" s="1482">
        <v>0.77</v>
      </c>
      <c r="M293" s="1482"/>
      <c r="N293" s="1483"/>
      <c r="O293" s="1483"/>
      <c r="P293" s="976"/>
      <c r="Q293" s="977"/>
      <c r="R293" s="978"/>
      <c r="S293" s="978"/>
      <c r="T293" s="978"/>
      <c r="U293" s="979"/>
      <c r="V293" s="979"/>
      <c r="W293" s="979"/>
      <c r="X293" s="979"/>
      <c r="Y293" s="979"/>
      <c r="Z293" s="979"/>
      <c r="AA293" s="979"/>
      <c r="AB293" s="979"/>
      <c r="AC293" s="979"/>
    </row>
    <row r="294" spans="1:29" s="100" customFormat="1" ht="25.5" customHeight="1" x14ac:dyDescent="0.3">
      <c r="A294" s="2157" t="s">
        <v>1381</v>
      </c>
      <c r="B294" s="2158"/>
      <c r="C294" s="2158"/>
      <c r="D294" s="2158"/>
      <c r="E294" s="2159"/>
      <c r="F294" s="535"/>
      <c r="G294" s="418" t="s">
        <v>42</v>
      </c>
      <c r="H294" s="535">
        <f>H295</f>
        <v>921999</v>
      </c>
      <c r="I294" s="535">
        <f t="shared" ref="I294:M294" si="126">I295</f>
        <v>0</v>
      </c>
      <c r="J294" s="535">
        <f t="shared" si="126"/>
        <v>323328</v>
      </c>
      <c r="K294" s="535">
        <f t="shared" si="126"/>
        <v>299340</v>
      </c>
      <c r="L294" s="535">
        <f t="shared" si="126"/>
        <v>299331</v>
      </c>
      <c r="M294" s="535">
        <f t="shared" si="126"/>
        <v>0</v>
      </c>
      <c r="N294" s="2151"/>
      <c r="O294" s="2151"/>
      <c r="P294" s="423" t="s">
        <v>427</v>
      </c>
      <c r="Q294" s="419"/>
      <c r="R294" s="516"/>
      <c r="S294" s="516"/>
      <c r="T294" s="516"/>
      <c r="U294" s="167"/>
      <c r="V294" s="167"/>
      <c r="W294" s="167"/>
      <c r="X294" s="167"/>
      <c r="Y294" s="167"/>
      <c r="Z294" s="167"/>
      <c r="AA294" s="167"/>
      <c r="AB294" s="167"/>
      <c r="AC294" s="167"/>
    </row>
    <row r="295" spans="1:29" s="100" customFormat="1" ht="34.5" customHeight="1" x14ac:dyDescent="0.3">
      <c r="A295" s="2160"/>
      <c r="B295" s="2161"/>
      <c r="C295" s="2161"/>
      <c r="D295" s="2161"/>
      <c r="E295" s="2162"/>
      <c r="F295" s="535"/>
      <c r="G295" s="418" t="s">
        <v>13</v>
      </c>
      <c r="H295" s="535">
        <f>I295+K295+J295+L295+M295</f>
        <v>921999</v>
      </c>
      <c r="I295" s="535">
        <f>I290+I292</f>
        <v>0</v>
      </c>
      <c r="J295" s="535">
        <f>J290+J292+J293</f>
        <v>323328</v>
      </c>
      <c r="K295" s="535">
        <f t="shared" ref="K295:M295" si="127">K290+K292+K293</f>
        <v>299340</v>
      </c>
      <c r="L295" s="535">
        <f t="shared" si="127"/>
        <v>299331</v>
      </c>
      <c r="M295" s="535">
        <f t="shared" si="127"/>
        <v>0</v>
      </c>
      <c r="N295" s="2152"/>
      <c r="O295" s="2152"/>
      <c r="P295" s="423"/>
      <c r="Q295" s="419"/>
      <c r="R295" s="516"/>
      <c r="S295" s="516"/>
      <c r="T295" s="516"/>
      <c r="U295" s="167"/>
      <c r="V295" s="167"/>
      <c r="W295" s="1128">
        <f>W290+W293</f>
        <v>0</v>
      </c>
      <c r="X295" s="1128">
        <f>X290+X292</f>
        <v>1</v>
      </c>
      <c r="Y295" s="1128">
        <f t="shared" ref="Y295:AA295" si="128">Y290+Y292</f>
        <v>0</v>
      </c>
      <c r="Z295" s="1128">
        <f t="shared" si="128"/>
        <v>1</v>
      </c>
      <c r="AA295" s="1128">
        <f t="shared" si="128"/>
        <v>0</v>
      </c>
      <c r="AB295" s="167"/>
      <c r="AC295" s="167"/>
    </row>
    <row r="296" spans="1:29" ht="52.5" customHeight="1" x14ac:dyDescent="0.3">
      <c r="A296" s="354"/>
      <c r="B296" s="355"/>
      <c r="C296" s="355"/>
      <c r="D296" s="355"/>
      <c r="E296" s="355"/>
      <c r="F296" s="540"/>
      <c r="G296" s="541"/>
      <c r="H296" s="540"/>
      <c r="I296" s="540"/>
      <c r="J296" s="540"/>
      <c r="K296" s="540"/>
      <c r="L296" s="540"/>
      <c r="M296" s="540"/>
      <c r="N296" s="542"/>
      <c r="O296" s="358"/>
      <c r="P296" s="217"/>
      <c r="Q296" s="29"/>
    </row>
    <row r="297" spans="1:29" s="100" customFormat="1" ht="79.5" customHeight="1" x14ac:dyDescent="0.3">
      <c r="A297" s="2146" t="s">
        <v>1383</v>
      </c>
      <c r="B297" s="2147"/>
      <c r="C297" s="2147"/>
      <c r="D297" s="2147"/>
      <c r="E297" s="2147"/>
      <c r="F297" s="2147"/>
      <c r="G297" s="2147"/>
      <c r="H297" s="2147"/>
      <c r="I297" s="2147"/>
      <c r="J297" s="2147"/>
      <c r="K297" s="2147"/>
      <c r="L297" s="2147"/>
      <c r="M297" s="2147"/>
      <c r="N297" s="2147"/>
      <c r="O297" s="2148"/>
      <c r="P297" s="543"/>
      <c r="Q297" s="544"/>
      <c r="R297" s="516"/>
      <c r="S297" s="516"/>
      <c r="T297" s="516"/>
      <c r="U297" s="167"/>
      <c r="V297" s="167"/>
      <c r="W297" s="167"/>
      <c r="X297" s="167"/>
      <c r="Y297" s="167"/>
      <c r="Z297" s="167"/>
      <c r="AA297" s="167"/>
      <c r="AB297" s="167"/>
      <c r="AC297" s="167"/>
    </row>
    <row r="298" spans="1:29" s="100" customFormat="1" x14ac:dyDescent="0.3">
      <c r="A298" s="2163" t="s">
        <v>56</v>
      </c>
      <c r="B298" s="2164"/>
      <c r="C298" s="2164"/>
      <c r="D298" s="2164"/>
      <c r="E298" s="2164"/>
      <c r="F298" s="2164"/>
      <c r="G298" s="2164"/>
      <c r="H298" s="2164"/>
      <c r="I298" s="2164"/>
      <c r="J298" s="2164"/>
      <c r="K298" s="2164"/>
      <c r="L298" s="2164"/>
      <c r="M298" s="2164"/>
      <c r="N298" s="2165"/>
      <c r="O298" s="546"/>
      <c r="P298" s="543"/>
      <c r="Q298" s="544"/>
      <c r="R298" s="516"/>
      <c r="S298" s="516"/>
      <c r="T298" s="516"/>
      <c r="U298" s="167"/>
      <c r="V298" s="167"/>
      <c r="W298" s="167"/>
      <c r="X298" s="167"/>
      <c r="Y298" s="167"/>
      <c r="Z298" s="167"/>
      <c r="AA298" s="167"/>
      <c r="AB298" s="167"/>
      <c r="AC298" s="167"/>
    </row>
    <row r="299" spans="1:29" s="100" customFormat="1" ht="21" customHeight="1" x14ac:dyDescent="0.3">
      <c r="A299" s="2164" t="s">
        <v>555</v>
      </c>
      <c r="B299" s="2164"/>
      <c r="C299" s="2164"/>
      <c r="D299" s="2164"/>
      <c r="E299" s="2164"/>
      <c r="F299" s="2164"/>
      <c r="G299" s="2164"/>
      <c r="H299" s="2164"/>
      <c r="I299" s="2164"/>
      <c r="J299" s="2164"/>
      <c r="K299" s="2164"/>
      <c r="L299" s="2164"/>
      <c r="M299" s="2164"/>
      <c r="N299" s="2164"/>
      <c r="O299" s="498"/>
      <c r="P299" s="543"/>
      <c r="Q299" s="544"/>
      <c r="R299" s="516"/>
      <c r="S299" s="516"/>
      <c r="T299" s="516"/>
      <c r="U299" s="167"/>
      <c r="V299" s="167"/>
      <c r="W299" s="167"/>
      <c r="X299" s="167"/>
      <c r="Y299" s="167"/>
      <c r="Z299" s="167"/>
      <c r="AA299" s="167"/>
      <c r="AB299" s="167"/>
      <c r="AC299" s="167"/>
    </row>
    <row r="300" spans="1:29" s="545" customFormat="1" ht="28.5" customHeight="1" x14ac:dyDescent="0.3">
      <c r="A300" s="2113" t="s">
        <v>46</v>
      </c>
      <c r="B300" s="2113" t="s">
        <v>822</v>
      </c>
      <c r="C300" s="2113" t="s">
        <v>823</v>
      </c>
      <c r="D300" s="2113" t="s">
        <v>854</v>
      </c>
      <c r="E300" s="2113" t="s">
        <v>52</v>
      </c>
      <c r="F300" s="2113" t="s">
        <v>545</v>
      </c>
      <c r="G300" s="2113" t="s">
        <v>59</v>
      </c>
      <c r="H300" s="2114" t="s">
        <v>106</v>
      </c>
      <c r="I300" s="2114"/>
      <c r="J300" s="2114"/>
      <c r="K300" s="2114"/>
      <c r="L300" s="2114"/>
      <c r="M300" s="2114"/>
      <c r="N300" s="2166" t="s">
        <v>50</v>
      </c>
      <c r="O300" s="2166" t="s">
        <v>820</v>
      </c>
      <c r="P300" s="505"/>
      <c r="Q300" s="506"/>
      <c r="R300" s="507"/>
      <c r="S300" s="507"/>
      <c r="T300" s="507"/>
      <c r="U300" s="508"/>
      <c r="V300" s="508"/>
      <c r="W300" s="508"/>
      <c r="X300" s="508"/>
      <c r="Y300" s="508"/>
      <c r="Z300" s="508"/>
      <c r="AA300" s="508"/>
      <c r="AB300" s="508"/>
      <c r="AC300" s="508"/>
    </row>
    <row r="301" spans="1:29" s="545" customFormat="1" ht="31.95" customHeight="1" x14ac:dyDescent="0.3">
      <c r="A301" s="2113"/>
      <c r="B301" s="2113"/>
      <c r="C301" s="2113"/>
      <c r="D301" s="2113"/>
      <c r="E301" s="2113"/>
      <c r="F301" s="2113"/>
      <c r="G301" s="2113"/>
      <c r="H301" s="519" t="s">
        <v>33</v>
      </c>
      <c r="I301" s="519" t="s">
        <v>4</v>
      </c>
      <c r="J301" s="519" t="s">
        <v>91</v>
      </c>
      <c r="K301" s="519" t="s">
        <v>90</v>
      </c>
      <c r="L301" s="519" t="s">
        <v>89</v>
      </c>
      <c r="M301" s="519" t="s">
        <v>221</v>
      </c>
      <c r="N301" s="2166"/>
      <c r="O301" s="2166"/>
      <c r="P301" s="505"/>
      <c r="Q301" s="506"/>
      <c r="R301" s="507"/>
      <c r="S301" s="507"/>
      <c r="T301" s="507"/>
      <c r="U301" s="508"/>
      <c r="V301" s="508"/>
      <c r="W301" s="508"/>
      <c r="X301" s="508"/>
      <c r="Y301" s="508"/>
      <c r="Z301" s="508"/>
      <c r="AA301" s="508"/>
      <c r="AB301" s="508"/>
      <c r="AC301" s="508"/>
    </row>
    <row r="302" spans="1:29" s="545" customFormat="1" ht="15.75" customHeight="1" x14ac:dyDescent="0.3">
      <c r="A302" s="520">
        <v>1</v>
      </c>
      <c r="B302" s="521">
        <v>2</v>
      </c>
      <c r="C302" s="521">
        <v>3</v>
      </c>
      <c r="D302" s="521">
        <v>4</v>
      </c>
      <c r="E302" s="521">
        <v>5</v>
      </c>
      <c r="F302" s="521">
        <v>6</v>
      </c>
      <c r="G302" s="521">
        <v>7</v>
      </c>
      <c r="H302" s="521">
        <v>8</v>
      </c>
      <c r="I302" s="521">
        <v>9</v>
      </c>
      <c r="J302" s="521">
        <v>10</v>
      </c>
      <c r="K302" s="521">
        <v>11</v>
      </c>
      <c r="L302" s="521">
        <v>12</v>
      </c>
      <c r="M302" s="521">
        <v>13</v>
      </c>
      <c r="N302" s="552">
        <v>14</v>
      </c>
      <c r="O302" s="552">
        <v>15</v>
      </c>
      <c r="P302" s="505"/>
      <c r="Q302" s="506"/>
      <c r="R302" s="507"/>
      <c r="S302" s="507"/>
      <c r="T302" s="507"/>
      <c r="U302" s="508"/>
      <c r="V302" s="508"/>
      <c r="W302" s="508"/>
      <c r="X302" s="508"/>
      <c r="Y302" s="508"/>
      <c r="Z302" s="508"/>
      <c r="AA302" s="508"/>
      <c r="AB302" s="508"/>
      <c r="AC302" s="508"/>
    </row>
    <row r="303" spans="1:29" s="100" customFormat="1" x14ac:dyDescent="0.3">
      <c r="A303" s="2008" t="s">
        <v>608</v>
      </c>
      <c r="B303" s="1998" t="s">
        <v>339</v>
      </c>
      <c r="C303" s="1998">
        <v>2018</v>
      </c>
      <c r="D303" s="1998"/>
      <c r="E303" s="2167">
        <f>H303</f>
        <v>15225.66</v>
      </c>
      <c r="F303" s="161">
        <f>F305</f>
        <v>0</v>
      </c>
      <c r="G303" s="370" t="s">
        <v>12</v>
      </c>
      <c r="H303" s="501">
        <f>H304</f>
        <v>15225.66</v>
      </c>
      <c r="I303" s="501">
        <f t="shared" ref="I303:M303" si="129">I304</f>
        <v>15225.66</v>
      </c>
      <c r="J303" s="501">
        <f t="shared" si="129"/>
        <v>0</v>
      </c>
      <c r="K303" s="501">
        <f t="shared" si="129"/>
        <v>0</v>
      </c>
      <c r="L303" s="501">
        <f t="shared" si="129"/>
        <v>0</v>
      </c>
      <c r="M303" s="501">
        <f t="shared" si="129"/>
        <v>0</v>
      </c>
      <c r="N303" s="2167"/>
      <c r="O303" s="2167" t="s">
        <v>16</v>
      </c>
      <c r="P303" s="423"/>
      <c r="Q303" s="419"/>
      <c r="R303" s="516"/>
      <c r="S303" s="516"/>
      <c r="T303" s="516"/>
      <c r="U303" s="167"/>
      <c r="V303" s="167"/>
      <c r="W303" s="167"/>
      <c r="X303" s="167"/>
      <c r="Y303" s="167"/>
      <c r="Z303" s="167"/>
      <c r="AA303" s="167"/>
      <c r="AB303" s="167"/>
      <c r="AC303" s="167"/>
    </row>
    <row r="304" spans="1:29" s="100" customFormat="1" ht="45" customHeight="1" x14ac:dyDescent="0.3">
      <c r="A304" s="2008"/>
      <c r="B304" s="1998"/>
      <c r="C304" s="1998"/>
      <c r="D304" s="1998"/>
      <c r="E304" s="2167"/>
      <c r="F304" s="161">
        <v>0</v>
      </c>
      <c r="G304" s="370" t="s">
        <v>13</v>
      </c>
      <c r="H304" s="501">
        <f>I304+J304+K304+L304+M304</f>
        <v>15225.66</v>
      </c>
      <c r="I304" s="161">
        <v>15225.66</v>
      </c>
      <c r="J304" s="161">
        <v>0</v>
      </c>
      <c r="K304" s="161">
        <v>0</v>
      </c>
      <c r="L304" s="161">
        <v>0</v>
      </c>
      <c r="M304" s="161">
        <v>0</v>
      </c>
      <c r="N304" s="2167"/>
      <c r="O304" s="2167"/>
      <c r="P304" s="423"/>
      <c r="Q304" s="419"/>
      <c r="R304" s="516"/>
      <c r="S304" s="516"/>
      <c r="T304" s="516"/>
      <c r="U304" s="167"/>
      <c r="V304" s="167"/>
      <c r="W304" s="167">
        <v>1</v>
      </c>
      <c r="X304" s="167"/>
      <c r="Y304" s="167"/>
      <c r="Z304" s="167"/>
      <c r="AA304" s="167"/>
      <c r="AB304" s="167"/>
      <c r="AC304" s="167"/>
    </row>
    <row r="305" spans="1:29" s="100" customFormat="1" x14ac:dyDescent="0.3">
      <c r="A305" s="2008" t="s">
        <v>609</v>
      </c>
      <c r="B305" s="1998" t="s">
        <v>340</v>
      </c>
      <c r="C305" s="1998">
        <v>2018</v>
      </c>
      <c r="D305" s="1998"/>
      <c r="E305" s="2167">
        <f>H305</f>
        <v>15427.88</v>
      </c>
      <c r="F305" s="161">
        <f>F307</f>
        <v>0</v>
      </c>
      <c r="G305" s="370" t="s">
        <v>12</v>
      </c>
      <c r="H305" s="501">
        <f>H306</f>
        <v>15427.88</v>
      </c>
      <c r="I305" s="501">
        <f t="shared" ref="I305:M305" si="130">I306</f>
        <v>15427.88</v>
      </c>
      <c r="J305" s="501">
        <f t="shared" si="130"/>
        <v>0</v>
      </c>
      <c r="K305" s="501">
        <f t="shared" si="130"/>
        <v>0</v>
      </c>
      <c r="L305" s="501">
        <f t="shared" si="130"/>
        <v>0</v>
      </c>
      <c r="M305" s="501">
        <f t="shared" si="130"/>
        <v>0</v>
      </c>
      <c r="N305" s="2167"/>
      <c r="O305" s="2167" t="s">
        <v>16</v>
      </c>
      <c r="P305" s="423"/>
      <c r="Q305" s="419"/>
      <c r="R305" s="516"/>
      <c r="S305" s="516"/>
      <c r="T305" s="516"/>
      <c r="U305" s="167"/>
      <c r="V305" s="167"/>
      <c r="W305" s="167"/>
      <c r="X305" s="167"/>
      <c r="Y305" s="167"/>
      <c r="Z305" s="167"/>
      <c r="AA305" s="167"/>
      <c r="AB305" s="167"/>
      <c r="AC305" s="167"/>
    </row>
    <row r="306" spans="1:29" s="100" customFormat="1" ht="55.95" customHeight="1" x14ac:dyDescent="0.3">
      <c r="A306" s="2008"/>
      <c r="B306" s="1998"/>
      <c r="C306" s="1998"/>
      <c r="D306" s="1998"/>
      <c r="E306" s="2167"/>
      <c r="F306" s="161">
        <v>0</v>
      </c>
      <c r="G306" s="370" t="s">
        <v>13</v>
      </c>
      <c r="H306" s="501">
        <f>I306+J306+K306+L306+M306</f>
        <v>15427.88</v>
      </c>
      <c r="I306" s="161">
        <v>15427.88</v>
      </c>
      <c r="J306" s="161">
        <v>0</v>
      </c>
      <c r="K306" s="161">
        <v>0</v>
      </c>
      <c r="L306" s="161">
        <v>0</v>
      </c>
      <c r="M306" s="161">
        <v>0</v>
      </c>
      <c r="N306" s="2167"/>
      <c r="O306" s="2167"/>
      <c r="P306" s="423"/>
      <c r="Q306" s="419"/>
      <c r="R306" s="516"/>
      <c r="S306" s="516"/>
      <c r="T306" s="516"/>
      <c r="U306" s="167"/>
      <c r="V306" s="167"/>
      <c r="W306" s="167">
        <v>1</v>
      </c>
      <c r="X306" s="167"/>
      <c r="Y306" s="167"/>
      <c r="Z306" s="167"/>
      <c r="AA306" s="167"/>
      <c r="AB306" s="167"/>
      <c r="AC306" s="167"/>
    </row>
    <row r="307" spans="1:29" s="100" customFormat="1" ht="72.75" customHeight="1" x14ac:dyDescent="0.3">
      <c r="A307" s="2008" t="s">
        <v>610</v>
      </c>
      <c r="B307" s="1998" t="s">
        <v>341</v>
      </c>
      <c r="C307" s="1998">
        <v>2018</v>
      </c>
      <c r="D307" s="1998"/>
      <c r="E307" s="2167">
        <f>H307</f>
        <v>15810</v>
      </c>
      <c r="F307" s="161">
        <f>F309</f>
        <v>0</v>
      </c>
      <c r="G307" s="370" t="s">
        <v>12</v>
      </c>
      <c r="H307" s="501">
        <f>H308</f>
        <v>15810</v>
      </c>
      <c r="I307" s="501">
        <f t="shared" ref="I307:M307" si="131">I308</f>
        <v>15810</v>
      </c>
      <c r="J307" s="501">
        <f t="shared" si="131"/>
        <v>0</v>
      </c>
      <c r="K307" s="501">
        <f t="shared" si="131"/>
        <v>0</v>
      </c>
      <c r="L307" s="501">
        <f t="shared" si="131"/>
        <v>0</v>
      </c>
      <c r="M307" s="501">
        <f t="shared" si="131"/>
        <v>0</v>
      </c>
      <c r="N307" s="2167"/>
      <c r="O307" s="2167" t="s">
        <v>16</v>
      </c>
      <c r="P307" s="423"/>
      <c r="Q307" s="419"/>
      <c r="R307" s="516"/>
      <c r="S307" s="516"/>
      <c r="T307" s="516"/>
      <c r="U307" s="167"/>
      <c r="V307" s="167"/>
      <c r="W307" s="167"/>
      <c r="X307" s="167"/>
      <c r="Y307" s="167"/>
      <c r="Z307" s="167"/>
      <c r="AA307" s="167"/>
      <c r="AB307" s="167"/>
      <c r="AC307" s="167"/>
    </row>
    <row r="308" spans="1:29" s="100" customFormat="1" ht="27" customHeight="1" x14ac:dyDescent="0.3">
      <c r="A308" s="2008"/>
      <c r="B308" s="1998"/>
      <c r="C308" s="1998"/>
      <c r="D308" s="1998"/>
      <c r="E308" s="2167"/>
      <c r="F308" s="161">
        <v>0</v>
      </c>
      <c r="G308" s="370" t="s">
        <v>13</v>
      </c>
      <c r="H308" s="501">
        <f>I308+J308+K308+L308+M308</f>
        <v>15810</v>
      </c>
      <c r="I308" s="161">
        <v>15810</v>
      </c>
      <c r="J308" s="161">
        <v>0</v>
      </c>
      <c r="K308" s="161">
        <v>0</v>
      </c>
      <c r="L308" s="161">
        <v>0</v>
      </c>
      <c r="M308" s="161">
        <v>0</v>
      </c>
      <c r="N308" s="2167"/>
      <c r="O308" s="2167"/>
      <c r="P308" s="543"/>
      <c r="Q308" s="544"/>
      <c r="R308" s="516"/>
      <c r="S308" s="516"/>
      <c r="T308" s="516"/>
      <c r="U308" s="167"/>
      <c r="V308" s="167"/>
      <c r="W308" s="167">
        <v>1</v>
      </c>
      <c r="X308" s="167"/>
      <c r="Y308" s="167"/>
      <c r="Z308" s="167"/>
      <c r="AA308" s="167"/>
      <c r="AB308" s="167"/>
      <c r="AC308" s="167"/>
    </row>
    <row r="309" spans="1:29" s="100" customFormat="1" ht="14.4" customHeight="1" x14ac:dyDescent="0.3">
      <c r="A309" s="2008" t="s">
        <v>611</v>
      </c>
      <c r="B309" s="1998" t="s">
        <v>342</v>
      </c>
      <c r="C309" s="1998">
        <v>2018</v>
      </c>
      <c r="D309" s="1998"/>
      <c r="E309" s="2167">
        <f>H309</f>
        <v>16627.810000000001</v>
      </c>
      <c r="F309" s="161">
        <f>F313</f>
        <v>0</v>
      </c>
      <c r="G309" s="370" t="s">
        <v>12</v>
      </c>
      <c r="H309" s="501">
        <f>H310</f>
        <v>16627.810000000001</v>
      </c>
      <c r="I309" s="501">
        <f t="shared" ref="I309:M309" si="132">I310</f>
        <v>16627.810000000001</v>
      </c>
      <c r="J309" s="501">
        <f t="shared" si="132"/>
        <v>0</v>
      </c>
      <c r="K309" s="501">
        <f t="shared" si="132"/>
        <v>0</v>
      </c>
      <c r="L309" s="501">
        <f t="shared" si="132"/>
        <v>0</v>
      </c>
      <c r="M309" s="501">
        <f t="shared" si="132"/>
        <v>0</v>
      </c>
      <c r="N309" s="2167"/>
      <c r="O309" s="2167" t="s">
        <v>16</v>
      </c>
      <c r="P309" s="2170" t="s">
        <v>343</v>
      </c>
      <c r="Q309" s="547"/>
      <c r="R309" s="516"/>
      <c r="S309" s="516"/>
      <c r="T309" s="516"/>
      <c r="U309" s="167"/>
      <c r="V309" s="167"/>
      <c r="W309" s="167"/>
      <c r="X309" s="167"/>
      <c r="Y309" s="167"/>
      <c r="Z309" s="167"/>
      <c r="AA309" s="167"/>
      <c r="AB309" s="167"/>
      <c r="AC309" s="167"/>
    </row>
    <row r="310" spans="1:29" s="100" customFormat="1" ht="37.5" customHeight="1" x14ac:dyDescent="0.3">
      <c r="A310" s="2008"/>
      <c r="B310" s="1998"/>
      <c r="C310" s="1998"/>
      <c r="D310" s="1998"/>
      <c r="E310" s="2167"/>
      <c r="F310" s="161">
        <v>0</v>
      </c>
      <c r="G310" s="370" t="s">
        <v>13</v>
      </c>
      <c r="H310" s="501">
        <f>I310+J310+K310+L310+M310</f>
        <v>16627.810000000001</v>
      </c>
      <c r="I310" s="161">
        <v>16627.810000000001</v>
      </c>
      <c r="J310" s="161">
        <v>0</v>
      </c>
      <c r="K310" s="161">
        <v>0</v>
      </c>
      <c r="L310" s="161">
        <v>0</v>
      </c>
      <c r="M310" s="161">
        <v>0</v>
      </c>
      <c r="N310" s="2167"/>
      <c r="O310" s="2167"/>
      <c r="P310" s="2170"/>
      <c r="Q310" s="547"/>
      <c r="R310" s="516"/>
      <c r="S310" s="516"/>
      <c r="T310" s="516"/>
      <c r="U310" s="167"/>
      <c r="V310" s="167"/>
      <c r="W310" s="167">
        <v>1</v>
      </c>
      <c r="X310" s="167"/>
      <c r="Y310" s="167"/>
      <c r="Z310" s="167"/>
      <c r="AA310" s="167"/>
      <c r="AB310" s="167"/>
      <c r="AC310" s="167"/>
    </row>
    <row r="311" spans="1:29" s="100" customFormat="1" ht="24" customHeight="1" x14ac:dyDescent="0.3">
      <c r="A311" s="2180" t="s">
        <v>612</v>
      </c>
      <c r="B311" s="2181" t="s">
        <v>1472</v>
      </c>
      <c r="C311" s="2036">
        <v>2017</v>
      </c>
      <c r="D311" s="2036" t="s">
        <v>1448</v>
      </c>
      <c r="E311" s="2037">
        <v>44072.38</v>
      </c>
      <c r="F311" s="952">
        <f>F312</f>
        <v>0</v>
      </c>
      <c r="G311" s="953" t="s">
        <v>12</v>
      </c>
      <c r="H311" s="952">
        <f t="shared" ref="H311:M311" si="133">H312</f>
        <v>0</v>
      </c>
      <c r="I311" s="952">
        <v>0</v>
      </c>
      <c r="J311" s="952">
        <f t="shared" si="133"/>
        <v>0</v>
      </c>
      <c r="K311" s="952">
        <f t="shared" si="133"/>
        <v>0</v>
      </c>
      <c r="L311" s="952">
        <f t="shared" si="133"/>
        <v>0</v>
      </c>
      <c r="M311" s="952">
        <f t="shared" si="133"/>
        <v>0</v>
      </c>
      <c r="N311" s="954"/>
      <c r="O311" s="954"/>
      <c r="P311" s="932"/>
      <c r="Q311" s="547"/>
      <c r="R311" s="516"/>
      <c r="S311" s="516"/>
      <c r="T311" s="516"/>
      <c r="U311" s="167"/>
      <c r="V311" s="167"/>
      <c r="W311" s="167"/>
      <c r="X311" s="167"/>
      <c r="Y311" s="167"/>
      <c r="Z311" s="167"/>
      <c r="AA311" s="167"/>
      <c r="AB311" s="167"/>
      <c r="AC311" s="167"/>
    </row>
    <row r="312" spans="1:29" s="100" customFormat="1" ht="37.5" customHeight="1" x14ac:dyDescent="0.3">
      <c r="A312" s="2180"/>
      <c r="B312" s="2181"/>
      <c r="C312" s="2036"/>
      <c r="D312" s="2036"/>
      <c r="E312" s="2037"/>
      <c r="F312" s="933">
        <v>0</v>
      </c>
      <c r="G312" s="955" t="s">
        <v>13</v>
      </c>
      <c r="H312" s="933">
        <f>SUM(I312:M312)</f>
        <v>0</v>
      </c>
      <c r="I312" s="933">
        <v>0</v>
      </c>
      <c r="J312" s="933">
        <f>'[3]адресный перечень ЧВ'!L366</f>
        <v>0</v>
      </c>
      <c r="K312" s="933">
        <f>'[3]адресный перечень ЧВ'!M366</f>
        <v>0</v>
      </c>
      <c r="L312" s="933">
        <v>0</v>
      </c>
      <c r="M312" s="933">
        <v>0</v>
      </c>
      <c r="N312" s="954"/>
      <c r="O312" s="954"/>
      <c r="P312" s="932"/>
      <c r="Q312" s="547"/>
      <c r="R312" s="516"/>
      <c r="S312" s="516"/>
      <c r="T312" s="516"/>
      <c r="U312" s="167"/>
      <c r="V312" s="167"/>
      <c r="W312" s="167">
        <v>1</v>
      </c>
      <c r="X312" s="167"/>
      <c r="Y312" s="167"/>
      <c r="Z312" s="167"/>
      <c r="AA312" s="167"/>
      <c r="AB312" s="167"/>
      <c r="AC312" s="167"/>
    </row>
    <row r="313" spans="1:29" s="100" customFormat="1" ht="31.2" customHeight="1" x14ac:dyDescent="0.3">
      <c r="A313" s="548" t="s">
        <v>1449</v>
      </c>
      <c r="B313" s="2171" t="s">
        <v>757</v>
      </c>
      <c r="C313" s="2171"/>
      <c r="D313" s="2171"/>
      <c r="E313" s="2171"/>
      <c r="F313" s="549"/>
      <c r="G313" s="548" t="s">
        <v>13</v>
      </c>
      <c r="H313" s="501">
        <f>I313+J313+K313+L313+M313</f>
        <v>9.65</v>
      </c>
      <c r="I313" s="1076">
        <v>9.65</v>
      </c>
      <c r="J313" s="161">
        <v>0</v>
      </c>
      <c r="K313" s="161">
        <v>0</v>
      </c>
      <c r="L313" s="161">
        <v>0</v>
      </c>
      <c r="M313" s="161"/>
      <c r="N313" s="161"/>
      <c r="O313" s="161"/>
      <c r="P313" s="423"/>
      <c r="Q313" s="419"/>
      <c r="R313" s="516"/>
      <c r="S313" s="516"/>
      <c r="T313" s="516"/>
      <c r="U313" s="167"/>
      <c r="V313" s="167"/>
      <c r="W313" s="167"/>
      <c r="X313" s="167"/>
      <c r="Y313" s="167"/>
      <c r="Z313" s="167"/>
      <c r="AA313" s="167"/>
      <c r="AB313" s="167"/>
      <c r="AC313" s="167"/>
    </row>
    <row r="314" spans="1:29" s="100" customFormat="1" ht="24.75" customHeight="1" x14ac:dyDescent="0.3">
      <c r="A314" s="2172" t="s">
        <v>54</v>
      </c>
      <c r="B314" s="2173"/>
      <c r="C314" s="2173"/>
      <c r="D314" s="2173"/>
      <c r="E314" s="2174"/>
      <c r="F314" s="496"/>
      <c r="G314" s="551" t="s">
        <v>42</v>
      </c>
      <c r="H314" s="496">
        <f>H315</f>
        <v>63101</v>
      </c>
      <c r="I314" s="496">
        <f t="shared" ref="I314:M314" si="134">I315</f>
        <v>63101</v>
      </c>
      <c r="J314" s="496">
        <f t="shared" si="134"/>
        <v>0</v>
      </c>
      <c r="K314" s="496">
        <f t="shared" si="134"/>
        <v>0</v>
      </c>
      <c r="L314" s="496">
        <f t="shared" si="134"/>
        <v>0</v>
      </c>
      <c r="M314" s="496">
        <f t="shared" si="134"/>
        <v>0</v>
      </c>
      <c r="N314" s="2178"/>
      <c r="O314" s="2179"/>
      <c r="P314" s="423"/>
      <c r="Q314" s="419"/>
      <c r="R314" s="516"/>
      <c r="S314" s="516"/>
      <c r="T314" s="516"/>
      <c r="U314" s="167"/>
      <c r="V314" s="167"/>
      <c r="W314" s="1128">
        <f t="shared" ref="W314:Z314" si="135">SUM(W303:W313)</f>
        <v>5</v>
      </c>
      <c r="X314" s="1128">
        <f t="shared" si="135"/>
        <v>0</v>
      </c>
      <c r="Y314" s="1128">
        <f t="shared" si="135"/>
        <v>0</v>
      </c>
      <c r="Z314" s="1128">
        <f t="shared" si="135"/>
        <v>0</v>
      </c>
      <c r="AA314" s="1128"/>
      <c r="AB314" s="167"/>
      <c r="AC314" s="167"/>
    </row>
    <row r="315" spans="1:29" s="980" customFormat="1" ht="36.75" customHeight="1" x14ac:dyDescent="0.3">
      <c r="A315" s="2175"/>
      <c r="B315" s="2176"/>
      <c r="C315" s="2176"/>
      <c r="D315" s="2176"/>
      <c r="E315" s="2177"/>
      <c r="F315" s="974"/>
      <c r="G315" s="975" t="s">
        <v>13</v>
      </c>
      <c r="H315" s="974">
        <f>I315+K315+J315+L315+M315</f>
        <v>63101</v>
      </c>
      <c r="I315" s="974">
        <f>I304+I306+I308+I310+I313</f>
        <v>63101</v>
      </c>
      <c r="J315" s="974">
        <f>J304+J306+J313</f>
        <v>0</v>
      </c>
      <c r="K315" s="974">
        <f>K304+K306+K313</f>
        <v>0</v>
      </c>
      <c r="L315" s="974">
        <f>L304+L306+L313</f>
        <v>0</v>
      </c>
      <c r="M315" s="974">
        <f>M304+M306+M313</f>
        <v>0</v>
      </c>
      <c r="N315" s="2178"/>
      <c r="O315" s="2179"/>
      <c r="P315" s="976"/>
      <c r="Q315" s="977"/>
      <c r="R315" s="978"/>
      <c r="S315" s="978"/>
      <c r="T315" s="978"/>
      <c r="U315" s="979"/>
      <c r="V315" s="979"/>
      <c r="W315" s="979"/>
      <c r="X315" s="979"/>
      <c r="Y315" s="979"/>
      <c r="Z315" s="979"/>
      <c r="AA315" s="979"/>
      <c r="AB315" s="979"/>
      <c r="AC315" s="979"/>
    </row>
    <row r="316" spans="1:29" ht="40.200000000000003" x14ac:dyDescent="0.3">
      <c r="A316" s="1049"/>
      <c r="B316" s="1049" t="s">
        <v>1473</v>
      </c>
      <c r="C316" s="1049"/>
      <c r="D316" s="1049"/>
      <c r="E316" s="1049"/>
      <c r="F316" s="1049"/>
      <c r="G316" s="1049"/>
      <c r="H316" s="1049"/>
      <c r="I316" s="1049"/>
      <c r="J316" s="1049"/>
      <c r="K316" s="1049"/>
      <c r="L316" s="1049"/>
      <c r="M316" s="1049"/>
      <c r="N316" s="1049"/>
      <c r="O316" s="1049"/>
      <c r="P316" s="215"/>
      <c r="Q316" s="29"/>
    </row>
    <row r="317" spans="1:29" x14ac:dyDescent="0.3">
      <c r="P317" s="215"/>
      <c r="Q317" s="29"/>
    </row>
    <row r="318" spans="1:29" x14ac:dyDescent="0.3">
      <c r="P318" s="215"/>
      <c r="Q318" s="29"/>
    </row>
    <row r="319" spans="1:29" s="167" customFormat="1" ht="52.5" customHeight="1" x14ac:dyDescent="0.3">
      <c r="A319" s="2168" t="s">
        <v>1385</v>
      </c>
      <c r="B319" s="2168"/>
      <c r="C319" s="2168"/>
      <c r="D319" s="2168"/>
      <c r="E319" s="2168"/>
      <c r="F319" s="2168"/>
      <c r="G319" s="2168"/>
      <c r="H319" s="2168"/>
      <c r="I319" s="2168"/>
      <c r="J319" s="2168"/>
      <c r="K319" s="2168"/>
      <c r="L319" s="2168"/>
      <c r="M319" s="2168"/>
      <c r="N319" s="2168"/>
      <c r="O319" s="2169"/>
      <c r="P319" s="423"/>
      <c r="Q319" s="419"/>
      <c r="R319" s="516"/>
      <c r="S319" s="516"/>
      <c r="T319" s="516"/>
    </row>
    <row r="320" spans="1:29" s="167" customFormat="1" x14ac:dyDescent="0.3">
      <c r="A320" s="2188" t="s">
        <v>105</v>
      </c>
      <c r="B320" s="2188"/>
      <c r="C320" s="2188"/>
      <c r="D320" s="2188"/>
      <c r="E320" s="2188"/>
      <c r="F320" s="2188"/>
      <c r="G320" s="2188"/>
      <c r="H320" s="2188"/>
      <c r="I320" s="2188"/>
      <c r="J320" s="2188"/>
      <c r="K320" s="2188"/>
      <c r="L320" s="2188"/>
      <c r="M320" s="2188"/>
      <c r="N320" s="2188"/>
      <c r="O320" s="553"/>
      <c r="P320" s="423"/>
      <c r="Q320" s="419"/>
      <c r="R320" s="516"/>
      <c r="S320" s="516"/>
      <c r="T320" s="516"/>
    </row>
    <row r="321" spans="1:23" s="167" customFormat="1" x14ac:dyDescent="0.3">
      <c r="A321" s="1835" t="s">
        <v>145</v>
      </c>
      <c r="B321" s="1835"/>
      <c r="C321" s="1835"/>
      <c r="D321" s="1835"/>
      <c r="E321" s="1835"/>
      <c r="F321" s="1835"/>
      <c r="G321" s="1835"/>
      <c r="H321" s="1835"/>
      <c r="I321" s="1835"/>
      <c r="J321" s="1835"/>
      <c r="K321" s="1835"/>
      <c r="L321" s="1835"/>
      <c r="M321" s="1835"/>
      <c r="N321" s="1835"/>
      <c r="O321" s="1275"/>
      <c r="P321" s="423"/>
      <c r="Q321" s="419"/>
      <c r="R321" s="516"/>
      <c r="S321" s="516"/>
      <c r="T321" s="516"/>
    </row>
    <row r="322" spans="1:23" s="508" customFormat="1" x14ac:dyDescent="0.3">
      <c r="A322" s="2111" t="s">
        <v>46</v>
      </c>
      <c r="B322" s="2111" t="s">
        <v>822</v>
      </c>
      <c r="C322" s="2111" t="s">
        <v>823</v>
      </c>
      <c r="D322" s="2111" t="s">
        <v>854</v>
      </c>
      <c r="E322" s="2111" t="s">
        <v>52</v>
      </c>
      <c r="F322" s="2111" t="s">
        <v>545</v>
      </c>
      <c r="G322" s="2113" t="s">
        <v>59</v>
      </c>
      <c r="H322" s="2114" t="s">
        <v>106</v>
      </c>
      <c r="I322" s="2114"/>
      <c r="J322" s="2114"/>
      <c r="K322" s="2114"/>
      <c r="L322" s="2114"/>
      <c r="M322" s="2114"/>
      <c r="N322" s="2115" t="s">
        <v>50</v>
      </c>
      <c r="O322" s="2103" t="s">
        <v>820</v>
      </c>
      <c r="P322" s="505"/>
      <c r="Q322" s="506"/>
      <c r="R322" s="507"/>
      <c r="S322" s="507"/>
      <c r="T322" s="507"/>
    </row>
    <row r="323" spans="1:23" s="508" customFormat="1" ht="27.75" customHeight="1" x14ac:dyDescent="0.3">
      <c r="A323" s="2112"/>
      <c r="B323" s="2112"/>
      <c r="C323" s="2112"/>
      <c r="D323" s="2112"/>
      <c r="E323" s="2112"/>
      <c r="F323" s="2112"/>
      <c r="G323" s="2113"/>
      <c r="H323" s="519" t="s">
        <v>33</v>
      </c>
      <c r="I323" s="519" t="s">
        <v>4</v>
      </c>
      <c r="J323" s="519" t="s">
        <v>91</v>
      </c>
      <c r="K323" s="519" t="s">
        <v>90</v>
      </c>
      <c r="L323" s="519" t="s">
        <v>89</v>
      </c>
      <c r="M323" s="519" t="s">
        <v>221</v>
      </c>
      <c r="N323" s="2115"/>
      <c r="O323" s="2104"/>
      <c r="Q323" s="506"/>
      <c r="R323" s="507"/>
      <c r="S323" s="507"/>
      <c r="T323" s="507"/>
    </row>
    <row r="324" spans="1:23" s="508" customFormat="1" x14ac:dyDescent="0.3">
      <c r="A324" s="520">
        <v>1</v>
      </c>
      <c r="B324" s="521">
        <v>2</v>
      </c>
      <c r="C324" s="521">
        <v>3</v>
      </c>
      <c r="D324" s="521">
        <v>4</v>
      </c>
      <c r="E324" s="521">
        <v>5</v>
      </c>
      <c r="F324" s="521">
        <v>6</v>
      </c>
      <c r="G324" s="521">
        <v>7</v>
      </c>
      <c r="H324" s="521">
        <v>8</v>
      </c>
      <c r="I324" s="521">
        <v>9</v>
      </c>
      <c r="J324" s="521">
        <v>10</v>
      </c>
      <c r="K324" s="521">
        <v>11</v>
      </c>
      <c r="L324" s="521">
        <v>12</v>
      </c>
      <c r="M324" s="521">
        <v>13</v>
      </c>
      <c r="N324" s="522">
        <v>14</v>
      </c>
      <c r="O324" s="522">
        <v>15</v>
      </c>
      <c r="P324" s="505"/>
      <c r="Q324" s="506"/>
      <c r="R324" s="507"/>
      <c r="S324" s="507"/>
      <c r="T324" s="507"/>
    </row>
    <row r="325" spans="1:23" s="167" customFormat="1" x14ac:dyDescent="0.3">
      <c r="A325" s="2182" t="s">
        <v>120</v>
      </c>
      <c r="B325" s="2183" t="s">
        <v>350</v>
      </c>
      <c r="C325" s="2183"/>
      <c r="D325" s="2183"/>
      <c r="E325" s="2183"/>
      <c r="F325" s="2183"/>
      <c r="G325" s="418" t="s">
        <v>12</v>
      </c>
      <c r="H325" s="535">
        <f>H326+H327+H328+H329</f>
        <v>187100</v>
      </c>
      <c r="I325" s="535">
        <f t="shared" ref="I325:M325" si="136">I326+I327+I328+I329</f>
        <v>187100</v>
      </c>
      <c r="J325" s="535">
        <f t="shared" si="136"/>
        <v>0</v>
      </c>
      <c r="K325" s="535">
        <f t="shared" si="136"/>
        <v>0</v>
      </c>
      <c r="L325" s="535">
        <f t="shared" si="136"/>
        <v>0</v>
      </c>
      <c r="M325" s="535">
        <f t="shared" si="136"/>
        <v>0</v>
      </c>
      <c r="N325" s="2184"/>
      <c r="O325" s="2185" t="s">
        <v>16</v>
      </c>
      <c r="P325" s="423"/>
      <c r="Q325" s="419"/>
      <c r="R325" s="516"/>
      <c r="S325" s="516"/>
      <c r="T325" s="516"/>
    </row>
    <row r="326" spans="1:23" s="167" customFormat="1" ht="24" x14ac:dyDescent="0.3">
      <c r="A326" s="2182"/>
      <c r="B326" s="2183"/>
      <c r="C326" s="2183"/>
      <c r="D326" s="2183"/>
      <c r="E326" s="2183"/>
      <c r="F326" s="2183"/>
      <c r="G326" s="418" t="s">
        <v>13</v>
      </c>
      <c r="H326" s="535">
        <f t="shared" ref="H326:H349" si="137">SUM(I326:M326)</f>
        <v>20000</v>
      </c>
      <c r="I326" s="535">
        <f>I331</f>
        <v>20000</v>
      </c>
      <c r="J326" s="535">
        <f>J331</f>
        <v>0</v>
      </c>
      <c r="K326" s="1007">
        <f t="shared" ref="K326:M326" si="138">K327+K328+K329+K330</f>
        <v>0</v>
      </c>
      <c r="L326" s="1007">
        <f t="shared" si="138"/>
        <v>0</v>
      </c>
      <c r="M326" s="1007">
        <f t="shared" si="138"/>
        <v>0</v>
      </c>
      <c r="N326" s="2184"/>
      <c r="O326" s="2186"/>
      <c r="P326" s="505" t="s">
        <v>1307</v>
      </c>
      <c r="Q326" s="419"/>
      <c r="R326" s="516"/>
      <c r="S326" s="516"/>
      <c r="T326" s="516"/>
    </row>
    <row r="327" spans="1:23" s="167" customFormat="1" ht="36" x14ac:dyDescent="0.3">
      <c r="A327" s="2182"/>
      <c r="B327" s="2183"/>
      <c r="C327" s="2183"/>
      <c r="D327" s="2183"/>
      <c r="E327" s="2183"/>
      <c r="F327" s="2183"/>
      <c r="G327" s="418" t="s">
        <v>14</v>
      </c>
      <c r="H327" s="535">
        <f t="shared" si="137"/>
        <v>15000</v>
      </c>
      <c r="I327" s="535">
        <f t="shared" ref="I327:J329" si="139">I332</f>
        <v>15000</v>
      </c>
      <c r="J327" s="535">
        <f t="shared" si="139"/>
        <v>0</v>
      </c>
      <c r="K327" s="1007">
        <f t="shared" ref="K327:M327" si="140">K328+K329+K330+K331</f>
        <v>0</v>
      </c>
      <c r="L327" s="1007">
        <f t="shared" si="140"/>
        <v>0</v>
      </c>
      <c r="M327" s="1007">
        <f t="shared" si="140"/>
        <v>0</v>
      </c>
      <c r="N327" s="2184"/>
      <c r="O327" s="2186"/>
      <c r="P327" s="423"/>
      <c r="Q327" s="419"/>
      <c r="R327" s="516"/>
      <c r="S327" s="516"/>
      <c r="T327" s="516"/>
    </row>
    <row r="328" spans="1:23" s="167" customFormat="1" x14ac:dyDescent="0.3">
      <c r="A328" s="2182"/>
      <c r="B328" s="2183"/>
      <c r="C328" s="2183"/>
      <c r="D328" s="2183"/>
      <c r="E328" s="2183"/>
      <c r="F328" s="2183"/>
      <c r="G328" s="418" t="s">
        <v>15</v>
      </c>
      <c r="H328" s="535">
        <f t="shared" si="137"/>
        <v>37100</v>
      </c>
      <c r="I328" s="535">
        <f t="shared" si="139"/>
        <v>37100</v>
      </c>
      <c r="J328" s="535">
        <f t="shared" si="139"/>
        <v>0</v>
      </c>
      <c r="K328" s="1007">
        <f t="shared" ref="K328:M328" si="141">K329+K330+K331+K332</f>
        <v>0</v>
      </c>
      <c r="L328" s="1007">
        <f t="shared" si="141"/>
        <v>0</v>
      </c>
      <c r="M328" s="1007">
        <f t="shared" si="141"/>
        <v>0</v>
      </c>
      <c r="N328" s="2184"/>
      <c r="O328" s="2186"/>
      <c r="P328" s="423"/>
      <c r="Q328" s="419"/>
      <c r="R328" s="516"/>
      <c r="S328" s="516"/>
      <c r="T328" s="516"/>
    </row>
    <row r="329" spans="1:23" s="167" customFormat="1" ht="36" x14ac:dyDescent="0.3">
      <c r="A329" s="2182"/>
      <c r="B329" s="2183"/>
      <c r="C329" s="2183"/>
      <c r="D329" s="2183"/>
      <c r="E329" s="2183"/>
      <c r="F329" s="2183"/>
      <c r="G329" s="418" t="s">
        <v>144</v>
      </c>
      <c r="H329" s="535">
        <f t="shared" si="137"/>
        <v>115000</v>
      </c>
      <c r="I329" s="535">
        <f t="shared" si="139"/>
        <v>115000</v>
      </c>
      <c r="J329" s="535">
        <f t="shared" si="139"/>
        <v>0</v>
      </c>
      <c r="K329" s="1007">
        <f t="shared" ref="K329:M329" si="142">K330+K331+K332+K333</f>
        <v>0</v>
      </c>
      <c r="L329" s="1007">
        <f t="shared" si="142"/>
        <v>0</v>
      </c>
      <c r="M329" s="1007">
        <f t="shared" si="142"/>
        <v>0</v>
      </c>
      <c r="N329" s="2184"/>
      <c r="O329" s="2187"/>
      <c r="P329" s="423"/>
      <c r="Q329" s="419"/>
      <c r="R329" s="516"/>
      <c r="S329" s="516"/>
      <c r="T329" s="516"/>
    </row>
    <row r="330" spans="1:23" s="167" customFormat="1" x14ac:dyDescent="0.3">
      <c r="A330" s="2182" t="s">
        <v>616</v>
      </c>
      <c r="B330" s="2207" t="s">
        <v>1384</v>
      </c>
      <c r="C330" s="2207" t="s">
        <v>82</v>
      </c>
      <c r="D330" s="2207" t="s">
        <v>351</v>
      </c>
      <c r="E330" s="2119">
        <f>F330+H330</f>
        <v>187100</v>
      </c>
      <c r="F330" s="535">
        <f>F331+F332+F333+F334</f>
        <v>0</v>
      </c>
      <c r="G330" s="418" t="s">
        <v>12</v>
      </c>
      <c r="H330" s="535">
        <f>H331+H332+H333+H334</f>
        <v>187100</v>
      </c>
      <c r="I330" s="535">
        <f t="shared" ref="I330:M334" si="143">I331+I332+I333+I334</f>
        <v>187100</v>
      </c>
      <c r="J330" s="535">
        <f>J331+J332+J333+J334</f>
        <v>0</v>
      </c>
      <c r="K330" s="1007">
        <f t="shared" ref="K330:M330" si="144">K331+K332+K333+K334</f>
        <v>0</v>
      </c>
      <c r="L330" s="1007">
        <f t="shared" si="144"/>
        <v>0</v>
      </c>
      <c r="M330" s="1007">
        <f t="shared" si="144"/>
        <v>0</v>
      </c>
      <c r="N330" s="2184"/>
      <c r="O330" s="2185" t="s">
        <v>16</v>
      </c>
      <c r="P330" s="423"/>
      <c r="Q330" s="419"/>
      <c r="R330" s="516"/>
      <c r="S330" s="516"/>
      <c r="T330" s="516"/>
    </row>
    <row r="331" spans="1:23" s="167" customFormat="1" ht="24" x14ac:dyDescent="0.3">
      <c r="A331" s="2182"/>
      <c r="B331" s="2207"/>
      <c r="C331" s="2207"/>
      <c r="D331" s="2207"/>
      <c r="E331" s="2119"/>
      <c r="F331" s="535">
        <v>0</v>
      </c>
      <c r="G331" s="418" t="s">
        <v>560</v>
      </c>
      <c r="H331" s="535">
        <f t="shared" si="137"/>
        <v>20000</v>
      </c>
      <c r="I331" s="535">
        <v>20000</v>
      </c>
      <c r="J331" s="535">
        <v>0</v>
      </c>
      <c r="K331" s="535">
        <f t="shared" si="143"/>
        <v>0</v>
      </c>
      <c r="L331" s="535">
        <f t="shared" si="143"/>
        <v>0</v>
      </c>
      <c r="M331" s="535">
        <f t="shared" si="143"/>
        <v>0</v>
      </c>
      <c r="N331" s="2184"/>
      <c r="O331" s="2186"/>
      <c r="P331" s="423"/>
      <c r="Q331" s="419"/>
      <c r="R331" s="516"/>
      <c r="S331" s="516"/>
      <c r="T331" s="516"/>
      <c r="W331" s="167">
        <v>1</v>
      </c>
    </row>
    <row r="332" spans="1:23" s="167" customFormat="1" ht="36" x14ac:dyDescent="0.3">
      <c r="A332" s="2182"/>
      <c r="B332" s="2207"/>
      <c r="C332" s="2207"/>
      <c r="D332" s="2207"/>
      <c r="E332" s="2119"/>
      <c r="F332" s="535">
        <v>0</v>
      </c>
      <c r="G332" s="418" t="s">
        <v>14</v>
      </c>
      <c r="H332" s="535">
        <f t="shared" si="137"/>
        <v>15000</v>
      </c>
      <c r="I332" s="535">
        <v>15000</v>
      </c>
      <c r="J332" s="535">
        <v>0</v>
      </c>
      <c r="K332" s="535">
        <f t="shared" si="143"/>
        <v>0</v>
      </c>
      <c r="L332" s="535">
        <f t="shared" si="143"/>
        <v>0</v>
      </c>
      <c r="M332" s="535">
        <f t="shared" si="143"/>
        <v>0</v>
      </c>
      <c r="N332" s="2184"/>
      <c r="O332" s="2186"/>
      <c r="P332" s="554" t="s">
        <v>1308</v>
      </c>
      <c r="Q332" s="419"/>
      <c r="R332" s="516"/>
      <c r="S332" s="516"/>
      <c r="T332" s="516"/>
    </row>
    <row r="333" spans="1:23" s="167" customFormat="1" x14ac:dyDescent="0.3">
      <c r="A333" s="2182"/>
      <c r="B333" s="2207"/>
      <c r="C333" s="2207"/>
      <c r="D333" s="2207"/>
      <c r="E333" s="2119"/>
      <c r="F333" s="535">
        <v>0</v>
      </c>
      <c r="G333" s="418" t="s">
        <v>15</v>
      </c>
      <c r="H333" s="535">
        <f t="shared" si="137"/>
        <v>37100</v>
      </c>
      <c r="I333" s="535">
        <v>37100</v>
      </c>
      <c r="J333" s="535">
        <v>0</v>
      </c>
      <c r="K333" s="535">
        <f t="shared" si="143"/>
        <v>0</v>
      </c>
      <c r="L333" s="535">
        <f t="shared" si="143"/>
        <v>0</v>
      </c>
      <c r="M333" s="535">
        <f t="shared" si="143"/>
        <v>0</v>
      </c>
      <c r="N333" s="2184"/>
      <c r="O333" s="2186"/>
      <c r="P333" s="554"/>
      <c r="Q333" s="419"/>
      <c r="R333" s="516"/>
      <c r="S333" s="516"/>
      <c r="T333" s="516"/>
    </row>
    <row r="334" spans="1:23" s="167" customFormat="1" ht="44.25" customHeight="1" x14ac:dyDescent="0.3">
      <c r="A334" s="2182"/>
      <c r="B334" s="2207"/>
      <c r="C334" s="2207"/>
      <c r="D334" s="2207"/>
      <c r="E334" s="2119"/>
      <c r="F334" s="535">
        <v>0</v>
      </c>
      <c r="G334" s="418" t="s">
        <v>1309</v>
      </c>
      <c r="H334" s="535">
        <f>SUM(I334:M334)</f>
        <v>115000</v>
      </c>
      <c r="I334" s="535">
        <v>115000</v>
      </c>
      <c r="J334" s="535">
        <v>0</v>
      </c>
      <c r="K334" s="535">
        <f t="shared" si="143"/>
        <v>0</v>
      </c>
      <c r="L334" s="535">
        <f t="shared" si="143"/>
        <v>0</v>
      </c>
      <c r="M334" s="535">
        <f t="shared" si="143"/>
        <v>0</v>
      </c>
      <c r="N334" s="2184"/>
      <c r="O334" s="2187"/>
      <c r="P334" s="554"/>
      <c r="Q334" s="419"/>
      <c r="R334" s="516"/>
      <c r="S334" s="516"/>
      <c r="T334" s="516"/>
    </row>
    <row r="335" spans="1:23" s="167" customFormat="1" x14ac:dyDescent="0.3">
      <c r="A335" s="2203" t="s">
        <v>131</v>
      </c>
      <c r="B335" s="2183" t="s">
        <v>995</v>
      </c>
      <c r="C335" s="2183"/>
      <c r="D335" s="2183"/>
      <c r="E335" s="2183"/>
      <c r="F335" s="2183"/>
      <c r="G335" s="418" t="s">
        <v>12</v>
      </c>
      <c r="H335" s="535">
        <f>H336+H337+H338+H339</f>
        <v>235123.32</v>
      </c>
      <c r="I335" s="535">
        <f>SUM(I336:I339)</f>
        <v>235123.32</v>
      </c>
      <c r="J335" s="1007">
        <f>J336+J337+J338+J339</f>
        <v>0</v>
      </c>
      <c r="K335" s="1007">
        <f t="shared" ref="K335:M335" si="145">K336+K337+K338+K339</f>
        <v>0</v>
      </c>
      <c r="L335" s="1007">
        <f t="shared" si="145"/>
        <v>0</v>
      </c>
      <c r="M335" s="1007">
        <f t="shared" si="145"/>
        <v>0</v>
      </c>
      <c r="N335" s="555"/>
      <c r="O335" s="2185" t="s">
        <v>16</v>
      </c>
      <c r="P335" s="554"/>
      <c r="Q335" s="419"/>
      <c r="R335" s="516"/>
      <c r="S335" s="516"/>
      <c r="T335" s="516"/>
    </row>
    <row r="336" spans="1:23" s="167" customFormat="1" ht="24" x14ac:dyDescent="0.3">
      <c r="A336" s="2204"/>
      <c r="B336" s="2183"/>
      <c r="C336" s="2183"/>
      <c r="D336" s="2183"/>
      <c r="E336" s="2183"/>
      <c r="F336" s="2183"/>
      <c r="G336" s="418" t="s">
        <v>560</v>
      </c>
      <c r="H336" s="535">
        <f>SUM(I336:N336)</f>
        <v>0</v>
      </c>
      <c r="I336" s="535">
        <f>SUM(J336:O336)</f>
        <v>0</v>
      </c>
      <c r="J336" s="1007">
        <v>0</v>
      </c>
      <c r="K336" s="1007">
        <f t="shared" ref="K336:M336" si="146">K337+K338+K339+K340</f>
        <v>0</v>
      </c>
      <c r="L336" s="1007">
        <f t="shared" si="146"/>
        <v>0</v>
      </c>
      <c r="M336" s="1007">
        <f t="shared" si="146"/>
        <v>0</v>
      </c>
      <c r="N336" s="555"/>
      <c r="O336" s="2186"/>
      <c r="P336" s="554"/>
      <c r="Q336" s="419"/>
      <c r="R336" s="516"/>
      <c r="S336" s="516"/>
      <c r="T336" s="516"/>
    </row>
    <row r="337" spans="1:23" s="167" customFormat="1" ht="36" x14ac:dyDescent="0.3">
      <c r="A337" s="2204"/>
      <c r="B337" s="2183"/>
      <c r="C337" s="2183"/>
      <c r="D337" s="2183"/>
      <c r="E337" s="2183"/>
      <c r="F337" s="2183"/>
      <c r="G337" s="418" t="s">
        <v>14</v>
      </c>
      <c r="H337" s="535">
        <f>SUM(I337:N337)</f>
        <v>0</v>
      </c>
      <c r="I337" s="535">
        <f>SUM(J337:O337)</f>
        <v>0</v>
      </c>
      <c r="J337" s="1007">
        <v>0</v>
      </c>
      <c r="K337" s="1007">
        <f t="shared" ref="K337:M337" si="147">K338+K339+K340+K341</f>
        <v>0</v>
      </c>
      <c r="L337" s="1007">
        <f t="shared" si="147"/>
        <v>0</v>
      </c>
      <c r="M337" s="1007">
        <f t="shared" si="147"/>
        <v>0</v>
      </c>
      <c r="N337" s="555"/>
      <c r="O337" s="2186"/>
      <c r="P337" s="556"/>
      <c r="Q337" s="557"/>
      <c r="R337" s="516"/>
      <c r="S337" s="516"/>
      <c r="T337" s="516"/>
    </row>
    <row r="338" spans="1:23" s="167" customFormat="1" x14ac:dyDescent="0.3">
      <c r="A338" s="2204"/>
      <c r="B338" s="2183"/>
      <c r="C338" s="2183"/>
      <c r="D338" s="2183"/>
      <c r="E338" s="2183"/>
      <c r="F338" s="2183"/>
      <c r="G338" s="418" t="s">
        <v>15</v>
      </c>
      <c r="H338" s="535">
        <f>SUM(I338:N338)</f>
        <v>25123.32</v>
      </c>
      <c r="I338" s="535">
        <v>25123.32</v>
      </c>
      <c r="J338" s="1007">
        <v>0</v>
      </c>
      <c r="K338" s="1007">
        <f t="shared" ref="K338:M338" si="148">K339+K340+K341+K342</f>
        <v>0</v>
      </c>
      <c r="L338" s="1007">
        <f t="shared" si="148"/>
        <v>0</v>
      </c>
      <c r="M338" s="1007">
        <f t="shared" si="148"/>
        <v>0</v>
      </c>
      <c r="N338" s="555"/>
      <c r="O338" s="2186"/>
      <c r="P338" s="556"/>
      <c r="Q338" s="557"/>
      <c r="R338" s="516"/>
      <c r="S338" s="516"/>
      <c r="T338" s="516"/>
    </row>
    <row r="339" spans="1:23" s="167" customFormat="1" ht="36" x14ac:dyDescent="0.3">
      <c r="A339" s="2205"/>
      <c r="B339" s="2183"/>
      <c r="C339" s="2183"/>
      <c r="D339" s="2183"/>
      <c r="E339" s="2183"/>
      <c r="F339" s="2183"/>
      <c r="G339" s="418" t="s">
        <v>1309</v>
      </c>
      <c r="H339" s="535">
        <f>SUM(I339:N339)</f>
        <v>210000</v>
      </c>
      <c r="I339" s="535">
        <f>I344</f>
        <v>210000</v>
      </c>
      <c r="J339" s="1007">
        <v>0</v>
      </c>
      <c r="K339" s="1007">
        <f t="shared" ref="K339:M340" si="149">K340+K341+K342+K343</f>
        <v>0</v>
      </c>
      <c r="L339" s="1007">
        <f t="shared" si="149"/>
        <v>0</v>
      </c>
      <c r="M339" s="1007">
        <f t="shared" si="149"/>
        <v>0</v>
      </c>
      <c r="N339" s="555"/>
      <c r="O339" s="2187"/>
      <c r="P339" s="556"/>
      <c r="Q339" s="557"/>
      <c r="R339" s="516"/>
      <c r="S339" s="516"/>
      <c r="T339" s="516"/>
    </row>
    <row r="340" spans="1:23" s="167" customFormat="1" x14ac:dyDescent="0.3">
      <c r="A340" s="2203" t="s">
        <v>996</v>
      </c>
      <c r="B340" s="2157" t="s">
        <v>993</v>
      </c>
      <c r="C340" s="2207" t="s">
        <v>264</v>
      </c>
      <c r="D340" s="2157" t="s">
        <v>994</v>
      </c>
      <c r="E340" s="558">
        <v>512965.45</v>
      </c>
      <c r="F340" s="559">
        <f>F341+F342+F343+F344</f>
        <v>277842.13</v>
      </c>
      <c r="G340" s="418" t="s">
        <v>12</v>
      </c>
      <c r="H340" s="535">
        <f>H341+H342+H343+H344</f>
        <v>235123.32</v>
      </c>
      <c r="I340" s="535">
        <f>SUM(I341:I344)</f>
        <v>235123.32</v>
      </c>
      <c r="J340" s="1007">
        <v>0</v>
      </c>
      <c r="K340" s="1007">
        <f t="shared" si="149"/>
        <v>0</v>
      </c>
      <c r="L340" s="1007">
        <f t="shared" si="149"/>
        <v>0</v>
      </c>
      <c r="M340" s="1007">
        <f t="shared" si="149"/>
        <v>0</v>
      </c>
      <c r="N340" s="535"/>
      <c r="O340" s="2185" t="s">
        <v>16</v>
      </c>
      <c r="P340" s="556"/>
      <c r="Q340" s="557"/>
      <c r="R340" s="516"/>
      <c r="S340" s="516"/>
      <c r="T340" s="516"/>
    </row>
    <row r="341" spans="1:23" s="167" customFormat="1" ht="23.4" customHeight="1" x14ac:dyDescent="0.3">
      <c r="A341" s="2204"/>
      <c r="B341" s="2206"/>
      <c r="C341" s="2207"/>
      <c r="D341" s="2206"/>
      <c r="E341" s="561"/>
      <c r="F341" s="559">
        <v>50000</v>
      </c>
      <c r="G341" s="418" t="s">
        <v>560</v>
      </c>
      <c r="H341" s="535">
        <f>SUM(I341:N341)</f>
        <v>0</v>
      </c>
      <c r="I341" s="535">
        <f>SUM(J341:O341)</f>
        <v>0</v>
      </c>
      <c r="J341" s="562">
        <v>0</v>
      </c>
      <c r="K341" s="535">
        <v>0</v>
      </c>
      <c r="L341" s="535">
        <v>0</v>
      </c>
      <c r="M341" s="535">
        <v>0</v>
      </c>
      <c r="N341" s="535"/>
      <c r="O341" s="2186"/>
      <c r="P341" s="556"/>
      <c r="Q341" s="557"/>
      <c r="R341" s="516"/>
      <c r="S341" s="516"/>
      <c r="T341" s="516"/>
      <c r="W341" s="167">
        <v>1</v>
      </c>
    </row>
    <row r="342" spans="1:23" s="167" customFormat="1" ht="14.4" customHeight="1" x14ac:dyDescent="0.3">
      <c r="A342" s="2204"/>
      <c r="B342" s="2206"/>
      <c r="C342" s="2207"/>
      <c r="D342" s="2206"/>
      <c r="E342" s="561"/>
      <c r="F342" s="559">
        <v>50000</v>
      </c>
      <c r="G342" s="418" t="s">
        <v>14</v>
      </c>
      <c r="H342" s="535">
        <f>SUM(I342:N342)</f>
        <v>0</v>
      </c>
      <c r="I342" s="535">
        <f>SUM(J342:O342)</f>
        <v>0</v>
      </c>
      <c r="J342" s="562">
        <v>0</v>
      </c>
      <c r="K342" s="535">
        <v>0</v>
      </c>
      <c r="L342" s="535">
        <v>0</v>
      </c>
      <c r="M342" s="535">
        <v>0</v>
      </c>
      <c r="N342" s="535"/>
      <c r="O342" s="2186"/>
      <c r="P342" s="2189" t="s">
        <v>352</v>
      </c>
      <c r="Q342" s="563"/>
      <c r="R342" s="516"/>
      <c r="S342" s="516"/>
      <c r="T342" s="516"/>
    </row>
    <row r="343" spans="1:23" s="167" customFormat="1" x14ac:dyDescent="0.3">
      <c r="A343" s="2204"/>
      <c r="B343" s="2206"/>
      <c r="C343" s="2207"/>
      <c r="D343" s="2206"/>
      <c r="E343" s="561"/>
      <c r="F343" s="559">
        <v>87842.13</v>
      </c>
      <c r="G343" s="418" t="s">
        <v>15</v>
      </c>
      <c r="H343" s="535">
        <f>SUM(I343:N343)</f>
        <v>25123.32</v>
      </c>
      <c r="I343" s="535">
        <v>25123.32</v>
      </c>
      <c r="J343" s="562">
        <v>0</v>
      </c>
      <c r="K343" s="535">
        <v>0</v>
      </c>
      <c r="L343" s="535">
        <v>0</v>
      </c>
      <c r="M343" s="535">
        <v>0</v>
      </c>
      <c r="N343" s="535"/>
      <c r="O343" s="2186"/>
      <c r="P343" s="2189"/>
      <c r="Q343" s="563"/>
      <c r="R343" s="516"/>
      <c r="S343" s="516"/>
      <c r="T343" s="516"/>
    </row>
    <row r="344" spans="1:23" s="167" customFormat="1" ht="39" customHeight="1" x14ac:dyDescent="0.3">
      <c r="A344" s="2205"/>
      <c r="B344" s="2160"/>
      <c r="C344" s="2207"/>
      <c r="D344" s="2160"/>
      <c r="E344" s="564"/>
      <c r="F344" s="559">
        <v>90000</v>
      </c>
      <c r="G344" s="418" t="s">
        <v>1309</v>
      </c>
      <c r="H344" s="535">
        <f>SUM(I344:N344)</f>
        <v>210000</v>
      </c>
      <c r="I344" s="535">
        <v>210000</v>
      </c>
      <c r="J344" s="562">
        <v>0</v>
      </c>
      <c r="K344" s="535">
        <v>0</v>
      </c>
      <c r="L344" s="535">
        <v>0</v>
      </c>
      <c r="M344" s="535">
        <v>0</v>
      </c>
      <c r="N344" s="535"/>
      <c r="O344" s="2187"/>
      <c r="P344" s="2189"/>
      <c r="Q344" s="563"/>
      <c r="R344" s="516"/>
      <c r="S344" s="516"/>
      <c r="T344" s="516"/>
    </row>
    <row r="345" spans="1:23" s="167" customFormat="1" ht="14.4" customHeight="1" x14ac:dyDescent="0.3">
      <c r="A345" s="2190" t="s">
        <v>1386</v>
      </c>
      <c r="B345" s="2191"/>
      <c r="C345" s="2191"/>
      <c r="D345" s="2191"/>
      <c r="E345" s="2192"/>
      <c r="F345" s="990">
        <f>F346+F347+F348+F349</f>
        <v>277842.13</v>
      </c>
      <c r="G345" s="989" t="s">
        <v>42</v>
      </c>
      <c r="H345" s="990">
        <f>H346+H347+H348+H349</f>
        <v>422223.32</v>
      </c>
      <c r="I345" s="990">
        <f t="shared" ref="I345:M345" si="150">I346+I347+I348+I349</f>
        <v>422223.32</v>
      </c>
      <c r="J345" s="990">
        <f t="shared" si="150"/>
        <v>0</v>
      </c>
      <c r="K345" s="990">
        <f t="shared" si="150"/>
        <v>0</v>
      </c>
      <c r="L345" s="990">
        <f t="shared" si="150"/>
        <v>0</v>
      </c>
      <c r="M345" s="990">
        <f t="shared" si="150"/>
        <v>0</v>
      </c>
      <c r="N345" s="2199"/>
      <c r="O345" s="2200"/>
      <c r="P345" s="2189"/>
      <c r="Q345" s="563"/>
      <c r="R345" s="516"/>
      <c r="S345" s="516"/>
      <c r="T345" s="516"/>
    </row>
    <row r="346" spans="1:23" s="167" customFormat="1" ht="36" customHeight="1" x14ac:dyDescent="0.3">
      <c r="A346" s="2193"/>
      <c r="B346" s="2194"/>
      <c r="C346" s="2194"/>
      <c r="D346" s="2194"/>
      <c r="E346" s="2195"/>
      <c r="F346" s="990">
        <f>F341+F331</f>
        <v>50000</v>
      </c>
      <c r="G346" s="989" t="s">
        <v>13</v>
      </c>
      <c r="H346" s="966">
        <f t="shared" si="137"/>
        <v>20000</v>
      </c>
      <c r="I346" s="966">
        <f>I331+I341</f>
        <v>20000</v>
      </c>
      <c r="J346" s="990">
        <f t="shared" ref="J346:M348" si="151">J331</f>
        <v>0</v>
      </c>
      <c r="K346" s="990">
        <f t="shared" si="151"/>
        <v>0</v>
      </c>
      <c r="L346" s="990">
        <f t="shared" si="151"/>
        <v>0</v>
      </c>
      <c r="M346" s="990">
        <f t="shared" si="151"/>
        <v>0</v>
      </c>
      <c r="N346" s="2199"/>
      <c r="O346" s="2201"/>
      <c r="P346" s="2189"/>
      <c r="Q346" s="563"/>
      <c r="R346" s="516"/>
      <c r="S346" s="516"/>
      <c r="T346" s="516"/>
    </row>
    <row r="347" spans="1:23" s="167" customFormat="1" ht="42" customHeight="1" x14ac:dyDescent="0.3">
      <c r="A347" s="2193"/>
      <c r="B347" s="2194"/>
      <c r="C347" s="2194"/>
      <c r="D347" s="2194"/>
      <c r="E347" s="2195"/>
      <c r="F347" s="990">
        <f>F332+F342</f>
        <v>50000</v>
      </c>
      <c r="G347" s="989" t="s">
        <v>14</v>
      </c>
      <c r="H347" s="990">
        <f t="shared" si="137"/>
        <v>15000</v>
      </c>
      <c r="I347" s="990">
        <f>I332+I342</f>
        <v>15000</v>
      </c>
      <c r="J347" s="990">
        <f t="shared" si="151"/>
        <v>0</v>
      </c>
      <c r="K347" s="990">
        <f t="shared" si="151"/>
        <v>0</v>
      </c>
      <c r="L347" s="990">
        <f t="shared" si="151"/>
        <v>0</v>
      </c>
      <c r="M347" s="990">
        <f t="shared" si="151"/>
        <v>0</v>
      </c>
      <c r="N347" s="2199"/>
      <c r="O347" s="2201"/>
      <c r="P347" s="565"/>
      <c r="Q347" s="563"/>
      <c r="R347" s="516"/>
      <c r="S347" s="516"/>
      <c r="T347" s="516"/>
    </row>
    <row r="348" spans="1:23" s="167" customFormat="1" ht="33.75" customHeight="1" x14ac:dyDescent="0.3">
      <c r="A348" s="2193"/>
      <c r="B348" s="2194"/>
      <c r="C348" s="2194"/>
      <c r="D348" s="2194"/>
      <c r="E348" s="2195"/>
      <c r="F348" s="990">
        <f>F333+F343</f>
        <v>87842.13</v>
      </c>
      <c r="G348" s="989" t="s">
        <v>15</v>
      </c>
      <c r="H348" s="990">
        <f t="shared" si="137"/>
        <v>62223.32</v>
      </c>
      <c r="I348" s="990">
        <f>I333+I343</f>
        <v>62223.32</v>
      </c>
      <c r="J348" s="990">
        <f t="shared" si="151"/>
        <v>0</v>
      </c>
      <c r="K348" s="990">
        <f t="shared" si="151"/>
        <v>0</v>
      </c>
      <c r="L348" s="990">
        <f t="shared" si="151"/>
        <v>0</v>
      </c>
      <c r="M348" s="990">
        <f t="shared" si="151"/>
        <v>0</v>
      </c>
      <c r="N348" s="2199"/>
      <c r="O348" s="2201"/>
      <c r="P348" s="566"/>
      <c r="Q348" s="419"/>
      <c r="R348" s="516"/>
      <c r="S348" s="516"/>
      <c r="T348" s="516"/>
    </row>
    <row r="349" spans="1:23" s="167" customFormat="1" ht="50.25" customHeight="1" x14ac:dyDescent="0.3">
      <c r="A349" s="2196"/>
      <c r="B349" s="2197"/>
      <c r="C349" s="2197"/>
      <c r="D349" s="2197"/>
      <c r="E349" s="2198"/>
      <c r="F349" s="990">
        <f>F334+F344</f>
        <v>90000</v>
      </c>
      <c r="G349" s="991" t="s">
        <v>144</v>
      </c>
      <c r="H349" s="990">
        <f t="shared" si="137"/>
        <v>325000</v>
      </c>
      <c r="I349" s="990">
        <f>I334+I344</f>
        <v>325000</v>
      </c>
      <c r="J349" s="990">
        <f t="shared" ref="J349:M349" si="152">J334+J344</f>
        <v>0</v>
      </c>
      <c r="K349" s="990">
        <f t="shared" si="152"/>
        <v>0</v>
      </c>
      <c r="L349" s="990">
        <f t="shared" si="152"/>
        <v>0</v>
      </c>
      <c r="M349" s="990">
        <f t="shared" si="152"/>
        <v>0</v>
      </c>
      <c r="N349" s="2199"/>
      <c r="O349" s="2202"/>
      <c r="P349" s="423"/>
      <c r="Q349" s="419"/>
      <c r="R349" s="516"/>
      <c r="S349" s="516"/>
      <c r="T349" s="516"/>
    </row>
    <row r="350" spans="1:23" s="167" customFormat="1" ht="40.5" customHeight="1" x14ac:dyDescent="0.4">
      <c r="A350" s="2208" t="s">
        <v>1310</v>
      </c>
      <c r="B350" s="2208"/>
      <c r="C350" s="2208"/>
      <c r="D350" s="2208"/>
      <c r="E350" s="2208"/>
      <c r="F350" s="2208"/>
      <c r="G350" s="2208"/>
      <c r="H350" s="2208"/>
      <c r="I350" s="2208"/>
      <c r="J350" s="2208"/>
      <c r="K350" s="2208"/>
      <c r="L350" s="2208"/>
      <c r="M350" s="2208"/>
      <c r="N350" s="2208"/>
      <c r="O350" s="2209"/>
      <c r="P350" s="569" t="s">
        <v>1387</v>
      </c>
      <c r="Q350" s="419"/>
      <c r="R350" s="516"/>
      <c r="S350" s="516"/>
      <c r="T350" s="516"/>
    </row>
    <row r="351" spans="1:23" s="167" customFormat="1" ht="24.75" customHeight="1" x14ac:dyDescent="0.3">
      <c r="A351" s="2210" t="s">
        <v>997</v>
      </c>
      <c r="B351" s="2210"/>
      <c r="C351" s="2210"/>
      <c r="D351" s="2210"/>
      <c r="E351" s="2210"/>
      <c r="F351" s="2210"/>
      <c r="G351" s="2210"/>
      <c r="H351" s="2210"/>
      <c r="I351" s="2210"/>
      <c r="J351" s="2210"/>
      <c r="K351" s="2210"/>
      <c r="L351" s="2210"/>
      <c r="M351" s="2210"/>
      <c r="N351" s="2210"/>
      <c r="O351" s="2211"/>
      <c r="P351" s="423"/>
      <c r="Q351" s="419"/>
      <c r="R351" s="516"/>
      <c r="S351" s="516"/>
      <c r="T351" s="516"/>
    </row>
    <row r="352" spans="1:23" s="167" customFormat="1" ht="24.75" customHeight="1" x14ac:dyDescent="0.3">
      <c r="A352" s="567"/>
      <c r="B352" s="567"/>
      <c r="C352" s="567"/>
      <c r="D352" s="567"/>
      <c r="E352" s="567"/>
      <c r="F352" s="567"/>
      <c r="G352" s="567"/>
      <c r="H352" s="567"/>
      <c r="I352" s="567"/>
      <c r="J352" s="567"/>
      <c r="K352" s="567"/>
      <c r="L352" s="567"/>
      <c r="M352" s="567"/>
      <c r="N352" s="567"/>
      <c r="O352" s="567"/>
      <c r="P352" s="423"/>
      <c r="Q352" s="419"/>
      <c r="R352" s="516"/>
      <c r="S352" s="516"/>
      <c r="T352" s="516"/>
    </row>
    <row r="354" spans="1:26" s="1" customFormat="1" ht="39" customHeight="1" x14ac:dyDescent="0.3">
      <c r="A354" s="2168" t="s">
        <v>1444</v>
      </c>
      <c r="B354" s="2168"/>
      <c r="C354" s="2168"/>
      <c r="D354" s="2168"/>
      <c r="E354" s="2168"/>
      <c r="F354" s="2168"/>
      <c r="G354" s="2168"/>
      <c r="H354" s="2168"/>
      <c r="I354" s="2168"/>
      <c r="J354" s="2168"/>
      <c r="K354" s="2168"/>
      <c r="L354" s="2168"/>
      <c r="M354" s="2168"/>
      <c r="N354" s="2168"/>
      <c r="O354" s="2169"/>
      <c r="P354" s="72"/>
      <c r="Q354" s="4"/>
      <c r="R354" s="105"/>
      <c r="S354" s="105"/>
      <c r="T354" s="105"/>
    </row>
    <row r="355" spans="1:26" s="1" customFormat="1" x14ac:dyDescent="0.3">
      <c r="A355" s="2188" t="s">
        <v>105</v>
      </c>
      <c r="B355" s="2188"/>
      <c r="C355" s="2188"/>
      <c r="D355" s="2188"/>
      <c r="E355" s="2188"/>
      <c r="F355" s="2188"/>
      <c r="G355" s="2188"/>
      <c r="H355" s="2188"/>
      <c r="I355" s="2188"/>
      <c r="J355" s="2188"/>
      <c r="K355" s="2188"/>
      <c r="L355" s="2188"/>
      <c r="M355" s="2188"/>
      <c r="N355" s="2188"/>
      <c r="O355" s="560"/>
      <c r="P355" s="72"/>
      <c r="Q355" s="4"/>
      <c r="R355" s="105"/>
      <c r="S355" s="105"/>
      <c r="T355" s="105"/>
    </row>
    <row r="356" spans="1:26" s="1" customFormat="1" x14ac:dyDescent="0.3">
      <c r="A356" s="1835" t="s">
        <v>145</v>
      </c>
      <c r="B356" s="1835"/>
      <c r="C356" s="1835"/>
      <c r="D356" s="1835"/>
      <c r="E356" s="1835"/>
      <c r="F356" s="1835"/>
      <c r="G356" s="1835"/>
      <c r="H356" s="1835"/>
      <c r="I356" s="1835"/>
      <c r="J356" s="1835"/>
      <c r="K356" s="1835"/>
      <c r="L356" s="1835"/>
      <c r="M356" s="1835"/>
      <c r="N356" s="1835"/>
      <c r="O356" s="1276"/>
      <c r="P356" s="72"/>
      <c r="Q356" s="4"/>
      <c r="R356" s="105"/>
      <c r="S356" s="105"/>
      <c r="T356" s="105"/>
    </row>
    <row r="357" spans="1:26" s="508" customFormat="1" ht="28.5" customHeight="1" x14ac:dyDescent="0.3">
      <c r="A357" s="2111" t="s">
        <v>46</v>
      </c>
      <c r="B357" s="2111" t="s">
        <v>822</v>
      </c>
      <c r="C357" s="2111" t="s">
        <v>823</v>
      </c>
      <c r="D357" s="2111" t="s">
        <v>854</v>
      </c>
      <c r="E357" s="2111" t="s">
        <v>52</v>
      </c>
      <c r="F357" s="2111" t="s">
        <v>545</v>
      </c>
      <c r="G357" s="2113" t="s">
        <v>59</v>
      </c>
      <c r="H357" s="2114" t="s">
        <v>106</v>
      </c>
      <c r="I357" s="2114"/>
      <c r="J357" s="2114"/>
      <c r="K357" s="2114"/>
      <c r="L357" s="2114"/>
      <c r="M357" s="2114"/>
      <c r="N357" s="2115" t="s">
        <v>50</v>
      </c>
      <c r="O357" s="2103" t="s">
        <v>820</v>
      </c>
      <c r="P357" s="570" t="s">
        <v>1311</v>
      </c>
      <c r="Q357" s="571"/>
      <c r="R357" s="507"/>
      <c r="S357" s="507"/>
      <c r="T357" s="507"/>
    </row>
    <row r="358" spans="1:26" s="508" customFormat="1" ht="49.95" customHeight="1" x14ac:dyDescent="0.3">
      <c r="A358" s="2112"/>
      <c r="B358" s="2112"/>
      <c r="C358" s="2112"/>
      <c r="D358" s="2112"/>
      <c r="E358" s="2112"/>
      <c r="F358" s="2112"/>
      <c r="G358" s="2113"/>
      <c r="H358" s="519" t="s">
        <v>33</v>
      </c>
      <c r="I358" s="519" t="s">
        <v>4</v>
      </c>
      <c r="J358" s="519" t="s">
        <v>91</v>
      </c>
      <c r="K358" s="519" t="s">
        <v>90</v>
      </c>
      <c r="L358" s="519" t="s">
        <v>89</v>
      </c>
      <c r="M358" s="519" t="s">
        <v>221</v>
      </c>
      <c r="N358" s="2115"/>
      <c r="O358" s="2104"/>
      <c r="P358" s="570"/>
      <c r="Q358" s="571"/>
      <c r="R358" s="507"/>
      <c r="S358" s="507"/>
      <c r="T358" s="507"/>
    </row>
    <row r="359" spans="1:26" s="508" customFormat="1" x14ac:dyDescent="0.3">
      <c r="A359" s="520">
        <v>1</v>
      </c>
      <c r="B359" s="521">
        <v>2</v>
      </c>
      <c r="C359" s="521">
        <v>3</v>
      </c>
      <c r="D359" s="521">
        <v>4</v>
      </c>
      <c r="E359" s="521">
        <v>5</v>
      </c>
      <c r="F359" s="521">
        <v>6</v>
      </c>
      <c r="G359" s="521">
        <v>7</v>
      </c>
      <c r="H359" s="521">
        <v>8</v>
      </c>
      <c r="I359" s="521">
        <v>9</v>
      </c>
      <c r="J359" s="521">
        <v>10</v>
      </c>
      <c r="K359" s="521">
        <v>11</v>
      </c>
      <c r="L359" s="521">
        <v>12</v>
      </c>
      <c r="M359" s="521">
        <v>13</v>
      </c>
      <c r="N359" s="522">
        <v>14</v>
      </c>
      <c r="O359" s="522">
        <v>15</v>
      </c>
      <c r="P359" s="570"/>
      <c r="Q359" s="571"/>
      <c r="R359" s="507"/>
      <c r="S359" s="507"/>
      <c r="T359" s="507"/>
    </row>
    <row r="360" spans="1:26" s="1" customFormat="1" x14ac:dyDescent="0.3">
      <c r="A360" s="2214" t="s">
        <v>1148</v>
      </c>
      <c r="B360" s="2215" t="s">
        <v>1471</v>
      </c>
      <c r="C360" s="2207" t="s">
        <v>998</v>
      </c>
      <c r="D360" s="2216" t="s">
        <v>1312</v>
      </c>
      <c r="E360" s="2217">
        <f>H360</f>
        <v>168300</v>
      </c>
      <c r="F360" s="536">
        <v>0</v>
      </c>
      <c r="G360" s="418" t="s">
        <v>12</v>
      </c>
      <c r="H360" s="535">
        <f>H361+H362</f>
        <v>168300</v>
      </c>
      <c r="I360" s="535">
        <f>I361+I362</f>
        <v>4590</v>
      </c>
      <c r="J360" s="535">
        <f>J361+J362</f>
        <v>61710</v>
      </c>
      <c r="K360" s="535">
        <f>K361+K362</f>
        <v>51000</v>
      </c>
      <c r="L360" s="535">
        <f>L361+L362</f>
        <v>51000</v>
      </c>
      <c r="M360" s="535">
        <f>SUM(M361:M362)</f>
        <v>0</v>
      </c>
      <c r="N360" s="2108"/>
      <c r="O360" s="2218" t="s">
        <v>16</v>
      </c>
      <c r="P360" s="72"/>
      <c r="Q360" s="4"/>
      <c r="R360" s="105"/>
      <c r="S360" s="105"/>
      <c r="T360" s="105"/>
    </row>
    <row r="361" spans="1:26" s="1" customFormat="1" ht="24" customHeight="1" x14ac:dyDescent="0.3">
      <c r="A361" s="2214"/>
      <c r="B361" s="2215"/>
      <c r="C361" s="2207"/>
      <c r="D361" s="2216"/>
      <c r="E361" s="2217"/>
      <c r="F361" s="2223">
        <v>0</v>
      </c>
      <c r="G361" s="2221" t="s">
        <v>560</v>
      </c>
      <c r="H361" s="2108">
        <f>SUM(I361:N361)</f>
        <v>168300</v>
      </c>
      <c r="I361" s="2108">
        <f>4590</f>
        <v>4590</v>
      </c>
      <c r="J361" s="2108">
        <v>61710</v>
      </c>
      <c r="K361" s="2108">
        <v>51000</v>
      </c>
      <c r="L361" s="2108">
        <v>51000</v>
      </c>
      <c r="M361" s="2108">
        <v>0</v>
      </c>
      <c r="N361" s="2109"/>
      <c r="O361" s="2218"/>
      <c r="P361" s="72"/>
      <c r="Q361" s="4"/>
      <c r="R361" s="105"/>
      <c r="S361" s="105"/>
      <c r="T361" s="105"/>
      <c r="Z361" s="1">
        <v>1</v>
      </c>
    </row>
    <row r="362" spans="1:26" s="1" customFormat="1" x14ac:dyDescent="0.3">
      <c r="A362" s="2214"/>
      <c r="B362" s="2215"/>
      <c r="C362" s="2207"/>
      <c r="D362" s="2216"/>
      <c r="E362" s="2217"/>
      <c r="F362" s="2224"/>
      <c r="G362" s="2222"/>
      <c r="H362" s="2110"/>
      <c r="I362" s="2110"/>
      <c r="J362" s="2110"/>
      <c r="K362" s="2110"/>
      <c r="L362" s="2110"/>
      <c r="M362" s="2110"/>
      <c r="N362" s="2110"/>
      <c r="O362" s="2218"/>
      <c r="P362" s="72"/>
      <c r="Q362" s="4"/>
      <c r="R362" s="105"/>
      <c r="S362" s="105"/>
      <c r="T362" s="105"/>
    </row>
    <row r="363" spans="1:26" s="1" customFormat="1" x14ac:dyDescent="0.3">
      <c r="A363" s="2212" t="s">
        <v>54</v>
      </c>
      <c r="B363" s="2212"/>
      <c r="C363" s="2212"/>
      <c r="D363" s="2212"/>
      <c r="E363" s="2212"/>
      <c r="F363" s="568">
        <v>0</v>
      </c>
      <c r="G363" s="427" t="s">
        <v>42</v>
      </c>
      <c r="H363" s="992">
        <f t="shared" ref="H363:M363" si="153">H364+H365+H366</f>
        <v>168300</v>
      </c>
      <c r="I363" s="992">
        <f t="shared" si="153"/>
        <v>4590</v>
      </c>
      <c r="J363" s="992">
        <f t="shared" si="153"/>
        <v>61710</v>
      </c>
      <c r="K363" s="992">
        <f t="shared" si="153"/>
        <v>51000</v>
      </c>
      <c r="L363" s="992">
        <f t="shared" si="153"/>
        <v>51000</v>
      </c>
      <c r="M363" s="992">
        <f t="shared" si="153"/>
        <v>0</v>
      </c>
      <c r="N363" s="2213"/>
      <c r="O363" s="2213"/>
      <c r="P363" s="72"/>
      <c r="Q363" s="4"/>
      <c r="R363" s="105"/>
      <c r="S363" s="105"/>
      <c r="T363" s="105"/>
    </row>
    <row r="364" spans="1:26" s="1" customFormat="1" ht="25.5" customHeight="1" x14ac:dyDescent="0.3">
      <c r="A364" s="2212"/>
      <c r="B364" s="2212"/>
      <c r="C364" s="2212"/>
      <c r="D364" s="2212"/>
      <c r="E364" s="2212"/>
      <c r="F364" s="2219">
        <v>0</v>
      </c>
      <c r="G364" s="2225" t="s">
        <v>13</v>
      </c>
      <c r="H364" s="1803">
        <f t="shared" ref="H364:H366" si="154">SUM(I364:M364)</f>
        <v>168300</v>
      </c>
      <c r="I364" s="1801">
        <f>I361</f>
        <v>4590</v>
      </c>
      <c r="J364" s="1801">
        <f>J361</f>
        <v>61710</v>
      </c>
      <c r="K364" s="1801">
        <f>K361</f>
        <v>51000</v>
      </c>
      <c r="L364" s="1801">
        <f>L361</f>
        <v>51000</v>
      </c>
      <c r="M364" s="1803">
        <f>M361</f>
        <v>0</v>
      </c>
      <c r="N364" s="2213"/>
      <c r="O364" s="2213"/>
      <c r="P364" s="72"/>
      <c r="Q364" s="4"/>
      <c r="R364" s="105"/>
      <c r="S364" s="105"/>
      <c r="T364" s="105"/>
    </row>
    <row r="365" spans="1:26" s="1" customFormat="1" ht="18.75" customHeight="1" x14ac:dyDescent="0.3">
      <c r="A365" s="2212"/>
      <c r="B365" s="2212"/>
      <c r="C365" s="2212"/>
      <c r="D365" s="2212"/>
      <c r="E365" s="2212"/>
      <c r="F365" s="2220"/>
      <c r="G365" s="2226"/>
      <c r="H365" s="1804"/>
      <c r="I365" s="1802"/>
      <c r="J365" s="1802"/>
      <c r="K365" s="1802"/>
      <c r="L365" s="1802"/>
      <c r="M365" s="1804"/>
      <c r="N365" s="2213"/>
      <c r="O365" s="2213"/>
      <c r="P365" s="72"/>
      <c r="Q365" s="4"/>
      <c r="R365" s="105"/>
      <c r="S365" s="105"/>
      <c r="T365" s="105"/>
    </row>
    <row r="366" spans="1:26" s="1" customFormat="1" ht="42.75" customHeight="1" x14ac:dyDescent="0.3">
      <c r="A366" s="2212"/>
      <c r="B366" s="2212"/>
      <c r="C366" s="2212"/>
      <c r="D366" s="2212"/>
      <c r="E366" s="2212"/>
      <c r="F366" s="568">
        <f>F351+F362</f>
        <v>0</v>
      </c>
      <c r="G366" s="427" t="s">
        <v>15</v>
      </c>
      <c r="H366" s="992">
        <f t="shared" si="154"/>
        <v>0</v>
      </c>
      <c r="I366" s="992">
        <f>I351+I362</f>
        <v>0</v>
      </c>
      <c r="J366" s="992">
        <f>J351</f>
        <v>0</v>
      </c>
      <c r="K366" s="992">
        <f>K351</f>
        <v>0</v>
      </c>
      <c r="L366" s="992">
        <f>L351</f>
        <v>0</v>
      </c>
      <c r="M366" s="992">
        <f>M351</f>
        <v>0</v>
      </c>
      <c r="N366" s="2213"/>
      <c r="O366" s="2213"/>
      <c r="P366" s="72"/>
      <c r="Q366" s="4"/>
      <c r="R366" s="105"/>
      <c r="S366" s="105"/>
      <c r="T366" s="105"/>
    </row>
  </sheetData>
  <customSheetViews>
    <customSheetView guid="{7DDEA387-EEC9-4633-99BE-C0D9299FB093}" scale="80" showPageBreaks="1" fitToPage="1" printArea="1" hiddenRows="1" view="pageBreakPreview" topLeftCell="A230">
      <pane xSplit="15" topLeftCell="P1" activePane="topRight" state="frozen"/>
      <selection pane="topRight" activeCell="F9" sqref="F9"/>
      <rowBreaks count="16" manualBreakCount="16">
        <brk id="28" max="14" man="1"/>
        <brk id="46" max="14" man="1"/>
        <brk id="115" max="14" man="1"/>
        <brk id="140" max="14" man="1"/>
        <brk id="152" max="14" man="1"/>
        <brk id="177" max="14" man="1"/>
        <brk id="196" max="14" man="1"/>
        <brk id="214" max="14" man="1"/>
        <brk id="223" max="14" man="1"/>
        <brk id="249" max="14" man="1"/>
        <brk id="264" max="14" man="1"/>
        <brk id="279" max="14" man="1"/>
        <brk id="293" max="14" man="1"/>
        <brk id="312" max="14" man="1"/>
        <brk id="325" max="14" man="1"/>
        <brk id="345" max="14" man="1"/>
      </rowBreaks>
      <pageMargins left="0.11811023622047245" right="0.11811023622047245" top="0.74803149606299213" bottom="0.74803149606299213" header="0.31496062992125984" footer="0.31496062992125984"/>
      <pageSetup paperSize="8" fitToHeight="0" orientation="landscape" r:id="rId1"/>
    </customSheetView>
    <customSheetView guid="{6592EBC0-D945-4F6F-93D1-49FCB588A4A0}" scale="80" showPageBreaks="1" fitToPage="1" hiddenRows="1" view="pageBreakPreview" topLeftCell="A24">
      <pane xSplit="6" topLeftCell="G1" activePane="topRight" state="frozen"/>
      <selection pane="topRight" activeCell="B32" sqref="B32:B34"/>
      <pageMargins left="0.11811023622047245" right="0.11811023622047245" top="0.74803149606299213" bottom="0.74803149606299213" header="0.31496062992125984" footer="0.31496062992125984"/>
      <pageSetup paperSize="8" scale="10" orientation="landscape" r:id="rId2"/>
    </customSheetView>
    <customSheetView guid="{001F394D-7E32-49E0-9108-A9790B233A9D}" scale="80" fitToPage="1" printArea="1" hiddenRows="1" topLeftCell="A325">
      <pane xSplit="6" topLeftCell="G1" activePane="topRight" state="frozen"/>
      <selection pane="topRight" activeCell="K334" sqref="K334"/>
      <rowBreaks count="16" manualBreakCount="16">
        <brk id="28" max="14" man="1"/>
        <brk id="46" max="14" man="1"/>
        <brk id="116" max="14" man="1"/>
        <brk id="135" max="14" man="1"/>
        <brk id="152" max="14" man="1"/>
        <brk id="176" max="14" man="1"/>
        <brk id="199" max="14" man="1"/>
        <brk id="215" max="14" man="1"/>
        <brk id="224" max="14" man="1"/>
        <brk id="250" max="14" man="1"/>
        <brk id="265" max="14" man="1"/>
        <brk id="280" max="14" man="1"/>
        <brk id="294" max="14" man="1"/>
        <brk id="313" max="14" man="1"/>
        <brk id="326" max="14" man="1"/>
        <brk id="346" max="14" man="1"/>
      </rowBreaks>
      <pageMargins left="0.11811023622047245" right="0.11811023622047245" top="0.74803149606299213" bottom="0.74803149606299213" header="0.31496062992125984" footer="0.31496062992125984"/>
      <pageSetup paperSize="8" fitToHeight="0" orientation="landscape" r:id="rId3"/>
    </customSheetView>
    <customSheetView guid="{F08E63B0-D6C4-4E18-B2B6-E1E751FE7DF2}" scale="80" showPageBreaks="1" fitToPage="1" printArea="1" hiddenRows="1" view="pageBreakPreview" topLeftCell="A202">
      <pane xSplit="6" topLeftCell="G1" activePane="topRight" state="frozen"/>
      <selection pane="topRight" activeCell="R162" sqref="R162"/>
      <rowBreaks count="16" manualBreakCount="16">
        <brk id="28" max="14" man="1"/>
        <brk id="46" max="14" man="1"/>
        <brk id="116" max="14" man="1"/>
        <brk id="135" max="14" man="1"/>
        <brk id="152" max="14" man="1"/>
        <brk id="176" max="14" man="1"/>
        <brk id="199" max="14" man="1"/>
        <brk id="215" max="14" man="1"/>
        <brk id="224" max="14" man="1"/>
        <brk id="250" max="14" man="1"/>
        <brk id="265" max="14" man="1"/>
        <brk id="280" max="14" man="1"/>
        <brk id="294" max="14" man="1"/>
        <brk id="313" max="14" man="1"/>
        <brk id="326" max="14" man="1"/>
        <brk id="346" max="14" man="1"/>
      </rowBreaks>
      <pageMargins left="0.11811023622047245" right="0.11811023622047245" top="0.74803149606299213" bottom="0.74803149606299213" header="0.31496062992125984" footer="0.31496062992125984"/>
      <pageSetup paperSize="8" fitToHeight="0" orientation="landscape" r:id="rId4"/>
    </customSheetView>
    <customSheetView guid="{D32E4BC6-6FD7-4441-855E-C6B8F80A132E}" scale="80" showPageBreaks="1" fitToPage="1" printArea="1" hiddenRows="1" view="pageBreakPreview" topLeftCell="A238">
      <pane xSplit="6" topLeftCell="G1" activePane="topRight" state="frozen"/>
      <selection pane="topRight" activeCell="I245" sqref="I245"/>
      <rowBreaks count="17" manualBreakCount="17">
        <brk id="21" max="14" man="1"/>
        <brk id="33" max="14" man="1"/>
        <brk id="46" max="14" man="1"/>
        <brk id="115" max="14" man="1"/>
        <brk id="140" max="14" man="1"/>
        <brk id="152" max="14" man="1"/>
        <brk id="177" max="14" man="1"/>
        <brk id="196" max="14" man="1"/>
        <brk id="214" max="14" man="1"/>
        <brk id="223" max="14" man="1"/>
        <brk id="249" max="14" man="1"/>
        <brk id="264" max="14" man="1"/>
        <brk id="279" max="14" man="1"/>
        <brk id="293" max="14" man="1"/>
        <brk id="312" max="14" man="1"/>
        <brk id="325" max="14" man="1"/>
        <brk id="345" max="14" man="1"/>
      </rowBreaks>
      <pageMargins left="0.11811023622047245" right="0.11811023622047245" top="0.74803149606299213" bottom="0.74803149606299213" header="0.31496062992125984" footer="0.31496062992125984"/>
      <pageSetup paperSize="8" scale="70" fitToHeight="0" orientation="landscape" r:id="rId5"/>
    </customSheetView>
  </customSheetViews>
  <mergeCells count="663">
    <mergeCell ref="A363:E366"/>
    <mergeCell ref="N363:N366"/>
    <mergeCell ref="O363:O366"/>
    <mergeCell ref="H357:M357"/>
    <mergeCell ref="N357:N358"/>
    <mergeCell ref="O357:O358"/>
    <mergeCell ref="A360:A362"/>
    <mergeCell ref="B360:B362"/>
    <mergeCell ref="C360:C362"/>
    <mergeCell ref="D360:D362"/>
    <mergeCell ref="E360:E362"/>
    <mergeCell ref="O360:O362"/>
    <mergeCell ref="M361:M362"/>
    <mergeCell ref="N360:N362"/>
    <mergeCell ref="F364:F365"/>
    <mergeCell ref="L361:L362"/>
    <mergeCell ref="K361:K362"/>
    <mergeCell ref="J361:J362"/>
    <mergeCell ref="I361:I362"/>
    <mergeCell ref="H361:H362"/>
    <mergeCell ref="G361:G362"/>
    <mergeCell ref="F361:F362"/>
    <mergeCell ref="G364:G365"/>
    <mergeCell ref="H364:H365"/>
    <mergeCell ref="A355:N355"/>
    <mergeCell ref="A356:N356"/>
    <mergeCell ref="A357:A358"/>
    <mergeCell ref="B357:B358"/>
    <mergeCell ref="C357:C358"/>
    <mergeCell ref="D357:D358"/>
    <mergeCell ref="E357:E358"/>
    <mergeCell ref="F357:F358"/>
    <mergeCell ref="G357:G358"/>
    <mergeCell ref="A354:O354"/>
    <mergeCell ref="P342:P346"/>
    <mergeCell ref="A345:E349"/>
    <mergeCell ref="N345:N349"/>
    <mergeCell ref="O345:O349"/>
    <mergeCell ref="O330:O334"/>
    <mergeCell ref="A335:A339"/>
    <mergeCell ref="B335:F339"/>
    <mergeCell ref="O335:O339"/>
    <mergeCell ref="A340:A344"/>
    <mergeCell ref="B340:B344"/>
    <mergeCell ref="C340:C344"/>
    <mergeCell ref="D340:D344"/>
    <mergeCell ref="O340:O344"/>
    <mergeCell ref="A330:A334"/>
    <mergeCell ref="B330:B334"/>
    <mergeCell ref="C330:C334"/>
    <mergeCell ref="D330:D334"/>
    <mergeCell ref="E330:E334"/>
    <mergeCell ref="N330:N334"/>
    <mergeCell ref="A350:O350"/>
    <mergeCell ref="A351:O351"/>
    <mergeCell ref="H322:M322"/>
    <mergeCell ref="N322:N323"/>
    <mergeCell ref="O322:O323"/>
    <mergeCell ref="A325:A329"/>
    <mergeCell ref="B325:F329"/>
    <mergeCell ref="N325:N329"/>
    <mergeCell ref="O325:O329"/>
    <mergeCell ref="A320:N320"/>
    <mergeCell ref="A321:N321"/>
    <mergeCell ref="A322:A323"/>
    <mergeCell ref="B322:B323"/>
    <mergeCell ref="C322:C323"/>
    <mergeCell ref="D322:D323"/>
    <mergeCell ref="E322:E323"/>
    <mergeCell ref="F322:F323"/>
    <mergeCell ref="G322:G323"/>
    <mergeCell ref="A319:O319"/>
    <mergeCell ref="O309:O310"/>
    <mergeCell ref="P309:P310"/>
    <mergeCell ref="B313:E313"/>
    <mergeCell ref="A314:E315"/>
    <mergeCell ref="N314:N315"/>
    <mergeCell ref="O314:O315"/>
    <mergeCell ref="A309:A310"/>
    <mergeCell ref="B309:B310"/>
    <mergeCell ref="C309:C310"/>
    <mergeCell ref="D309:D310"/>
    <mergeCell ref="E309:E310"/>
    <mergeCell ref="N309:N310"/>
    <mergeCell ref="A311:A312"/>
    <mergeCell ref="B311:B312"/>
    <mergeCell ref="C311:C312"/>
    <mergeCell ref="D311:D312"/>
    <mergeCell ref="E311:E312"/>
    <mergeCell ref="A307:A308"/>
    <mergeCell ref="B307:B308"/>
    <mergeCell ref="C307:C308"/>
    <mergeCell ref="D307:D308"/>
    <mergeCell ref="E307:E308"/>
    <mergeCell ref="N307:N308"/>
    <mergeCell ref="O307:O308"/>
    <mergeCell ref="A305:A306"/>
    <mergeCell ref="B305:B306"/>
    <mergeCell ref="C305:C306"/>
    <mergeCell ref="D305:D306"/>
    <mergeCell ref="E305:E306"/>
    <mergeCell ref="N305:N306"/>
    <mergeCell ref="O300:O301"/>
    <mergeCell ref="A303:A304"/>
    <mergeCell ref="B303:B304"/>
    <mergeCell ref="C303:C304"/>
    <mergeCell ref="D303:D304"/>
    <mergeCell ref="E303:E304"/>
    <mergeCell ref="N303:N304"/>
    <mergeCell ref="O303:O304"/>
    <mergeCell ref="O305:O306"/>
    <mergeCell ref="A298:N298"/>
    <mergeCell ref="A299:N299"/>
    <mergeCell ref="A300:A301"/>
    <mergeCell ref="B300:B301"/>
    <mergeCell ref="C300:C301"/>
    <mergeCell ref="D300:D301"/>
    <mergeCell ref="E300:E301"/>
    <mergeCell ref="F300:F301"/>
    <mergeCell ref="G300:G301"/>
    <mergeCell ref="H300:M300"/>
    <mergeCell ref="N300:N301"/>
    <mergeCell ref="A297:O297"/>
    <mergeCell ref="O286:O287"/>
    <mergeCell ref="A289:A290"/>
    <mergeCell ref="B289:B290"/>
    <mergeCell ref="C289:C290"/>
    <mergeCell ref="D289:D290"/>
    <mergeCell ref="E289:E290"/>
    <mergeCell ref="N289:N290"/>
    <mergeCell ref="P291:P292"/>
    <mergeCell ref="B293:E293"/>
    <mergeCell ref="A294:E295"/>
    <mergeCell ref="N294:N295"/>
    <mergeCell ref="O294:O295"/>
    <mergeCell ref="O289:O290"/>
    <mergeCell ref="A291:A292"/>
    <mergeCell ref="B291:B292"/>
    <mergeCell ref="C291:C292"/>
    <mergeCell ref="D291:D292"/>
    <mergeCell ref="E291:E292"/>
    <mergeCell ref="N291:N292"/>
    <mergeCell ref="O291:O292"/>
    <mergeCell ref="A285:N285"/>
    <mergeCell ref="A286:A287"/>
    <mergeCell ref="B286:B287"/>
    <mergeCell ref="C286:C287"/>
    <mergeCell ref="D286:D287"/>
    <mergeCell ref="E286:E287"/>
    <mergeCell ref="F286:F287"/>
    <mergeCell ref="G286:G287"/>
    <mergeCell ref="H286:M286"/>
    <mergeCell ref="N286:N287"/>
    <mergeCell ref="P274:P275"/>
    <mergeCell ref="B274:E274"/>
    <mergeCell ref="A275:E278"/>
    <mergeCell ref="N275:N278"/>
    <mergeCell ref="O275:O278"/>
    <mergeCell ref="P276:P278"/>
    <mergeCell ref="A279:O279"/>
    <mergeCell ref="A284:N284"/>
    <mergeCell ref="A280:O280"/>
    <mergeCell ref="A283:O283"/>
    <mergeCell ref="N271:N273"/>
    <mergeCell ref="O271:O273"/>
    <mergeCell ref="P271:P273"/>
    <mergeCell ref="A268:A270"/>
    <mergeCell ref="B268:F270"/>
    <mergeCell ref="N268:N270"/>
    <mergeCell ref="O268:O270"/>
    <mergeCell ref="P268:P270"/>
    <mergeCell ref="A271:A273"/>
    <mergeCell ref="B271:B273"/>
    <mergeCell ref="C271:C273"/>
    <mergeCell ref="D271:D273"/>
    <mergeCell ref="E271:E273"/>
    <mergeCell ref="O262:O264"/>
    <mergeCell ref="P262:P264"/>
    <mergeCell ref="A265:A267"/>
    <mergeCell ref="B265:B267"/>
    <mergeCell ref="C265:C267"/>
    <mergeCell ref="D265:D267"/>
    <mergeCell ref="E265:E267"/>
    <mergeCell ref="N265:N267"/>
    <mergeCell ref="O265:O267"/>
    <mergeCell ref="P265:P267"/>
    <mergeCell ref="A262:A264"/>
    <mergeCell ref="B262:B264"/>
    <mergeCell ref="C262:C264"/>
    <mergeCell ref="D262:D264"/>
    <mergeCell ref="E262:E264"/>
    <mergeCell ref="N262:N264"/>
    <mergeCell ref="O256:O258"/>
    <mergeCell ref="P256:P258"/>
    <mergeCell ref="A259:A261"/>
    <mergeCell ref="B259:F261"/>
    <mergeCell ref="N259:N261"/>
    <mergeCell ref="O259:O261"/>
    <mergeCell ref="P259:P261"/>
    <mergeCell ref="A256:A258"/>
    <mergeCell ref="B256:B258"/>
    <mergeCell ref="C256:C258"/>
    <mergeCell ref="D256:D258"/>
    <mergeCell ref="E256:E258"/>
    <mergeCell ref="N256:N258"/>
    <mergeCell ref="O250:O252"/>
    <mergeCell ref="P250:P252"/>
    <mergeCell ref="A253:A255"/>
    <mergeCell ref="B253:F255"/>
    <mergeCell ref="N253:N255"/>
    <mergeCell ref="O253:O255"/>
    <mergeCell ref="P253:P255"/>
    <mergeCell ref="A250:A252"/>
    <mergeCell ref="B250:B252"/>
    <mergeCell ref="C250:C252"/>
    <mergeCell ref="D250:D252"/>
    <mergeCell ref="E250:E252"/>
    <mergeCell ref="N250:N252"/>
    <mergeCell ref="O239:O242"/>
    <mergeCell ref="P240:P242"/>
    <mergeCell ref="A247:A249"/>
    <mergeCell ref="B247:F249"/>
    <mergeCell ref="N247:N249"/>
    <mergeCell ref="O247:O249"/>
    <mergeCell ref="P247:P249"/>
    <mergeCell ref="A239:A242"/>
    <mergeCell ref="B239:B242"/>
    <mergeCell ref="C239:C242"/>
    <mergeCell ref="D239:D242"/>
    <mergeCell ref="E239:E242"/>
    <mergeCell ref="N239:N242"/>
    <mergeCell ref="A243:A246"/>
    <mergeCell ref="B243:B246"/>
    <mergeCell ref="C243:C246"/>
    <mergeCell ref="D243:D246"/>
    <mergeCell ref="E243:E246"/>
    <mergeCell ref="O231:O234"/>
    <mergeCell ref="P231:P234"/>
    <mergeCell ref="A235:A238"/>
    <mergeCell ref="B235:F238"/>
    <mergeCell ref="N235:N238"/>
    <mergeCell ref="O235:O238"/>
    <mergeCell ref="P235:P238"/>
    <mergeCell ref="A231:A234"/>
    <mergeCell ref="B231:B234"/>
    <mergeCell ref="C231:C234"/>
    <mergeCell ref="D231:D234"/>
    <mergeCell ref="E231:E234"/>
    <mergeCell ref="N231:N234"/>
    <mergeCell ref="O224:O225"/>
    <mergeCell ref="A227:A230"/>
    <mergeCell ref="B227:F230"/>
    <mergeCell ref="N227:N230"/>
    <mergeCell ref="O227:O230"/>
    <mergeCell ref="P227:P230"/>
    <mergeCell ref="A223:N223"/>
    <mergeCell ref="A224:A225"/>
    <mergeCell ref="B224:B225"/>
    <mergeCell ref="C224:C225"/>
    <mergeCell ref="D224:D225"/>
    <mergeCell ref="E224:E225"/>
    <mergeCell ref="F224:F225"/>
    <mergeCell ref="G224:G225"/>
    <mergeCell ref="H224:M224"/>
    <mergeCell ref="N224:N225"/>
    <mergeCell ref="P212:P214"/>
    <mergeCell ref="A215:E217"/>
    <mergeCell ref="N215:N217"/>
    <mergeCell ref="A218:N218"/>
    <mergeCell ref="A222:N222"/>
    <mergeCell ref="A212:A214"/>
    <mergeCell ref="B212:B214"/>
    <mergeCell ref="C212:C214"/>
    <mergeCell ref="D212:D214"/>
    <mergeCell ref="E212:E214"/>
    <mergeCell ref="N212:N214"/>
    <mergeCell ref="A221:O221"/>
    <mergeCell ref="G206:G207"/>
    <mergeCell ref="H206:M206"/>
    <mergeCell ref="N206:N207"/>
    <mergeCell ref="O206:O207"/>
    <mergeCell ref="A209:A211"/>
    <mergeCell ref="B209:F211"/>
    <mergeCell ref="N209:N211"/>
    <mergeCell ref="A206:A207"/>
    <mergeCell ref="B206:B207"/>
    <mergeCell ref="C206:C207"/>
    <mergeCell ref="D206:D207"/>
    <mergeCell ref="E206:E207"/>
    <mergeCell ref="F206:F207"/>
    <mergeCell ref="A195:D195"/>
    <mergeCell ref="G196:G197"/>
    <mergeCell ref="G198:G199"/>
    <mergeCell ref="A204:N204"/>
    <mergeCell ref="A205:N205"/>
    <mergeCell ref="B190:E190"/>
    <mergeCell ref="A191:E194"/>
    <mergeCell ref="N191:N194"/>
    <mergeCell ref="A201:O201"/>
    <mergeCell ref="A203:O203"/>
    <mergeCell ref="O191:O194"/>
    <mergeCell ref="A196:D199"/>
    <mergeCell ref="N187:N189"/>
    <mergeCell ref="O187:O189"/>
    <mergeCell ref="A184:A186"/>
    <mergeCell ref="B184:F186"/>
    <mergeCell ref="N184:N186"/>
    <mergeCell ref="O184:O186"/>
    <mergeCell ref="A187:A189"/>
    <mergeCell ref="B187:B189"/>
    <mergeCell ref="C187:C189"/>
    <mergeCell ref="D187:D189"/>
    <mergeCell ref="E187:E189"/>
    <mergeCell ref="O181:O183"/>
    <mergeCell ref="A181:A183"/>
    <mergeCell ref="B181:B183"/>
    <mergeCell ref="C181:C183"/>
    <mergeCell ref="D181:D183"/>
    <mergeCell ref="E181:E183"/>
    <mergeCell ref="N181:N183"/>
    <mergeCell ref="O175:O177"/>
    <mergeCell ref="A178:A180"/>
    <mergeCell ref="B178:F180"/>
    <mergeCell ref="N178:N180"/>
    <mergeCell ref="O178:O180"/>
    <mergeCell ref="A175:A177"/>
    <mergeCell ref="B175:B177"/>
    <mergeCell ref="C175:C177"/>
    <mergeCell ref="D175:D177"/>
    <mergeCell ref="E175:E177"/>
    <mergeCell ref="N175:N177"/>
    <mergeCell ref="O169:O171"/>
    <mergeCell ref="A172:A174"/>
    <mergeCell ref="B172:F174"/>
    <mergeCell ref="N172:N174"/>
    <mergeCell ref="O172:O174"/>
    <mergeCell ref="A169:A171"/>
    <mergeCell ref="B169:B171"/>
    <mergeCell ref="C169:C171"/>
    <mergeCell ref="D169:D171"/>
    <mergeCell ref="E169:E171"/>
    <mergeCell ref="N169:N171"/>
    <mergeCell ref="O159:O161"/>
    <mergeCell ref="A165:A168"/>
    <mergeCell ref="B165:B167"/>
    <mergeCell ref="C165:C167"/>
    <mergeCell ref="D165:D167"/>
    <mergeCell ref="E165:E167"/>
    <mergeCell ref="N165:N168"/>
    <mergeCell ref="O165:O168"/>
    <mergeCell ref="A159:A161"/>
    <mergeCell ref="B159:B161"/>
    <mergeCell ref="C159:C161"/>
    <mergeCell ref="D159:D161"/>
    <mergeCell ref="E159:E161"/>
    <mergeCell ref="N159:N161"/>
    <mergeCell ref="A162:A164"/>
    <mergeCell ref="B162:B164"/>
    <mergeCell ref="C162:C164"/>
    <mergeCell ref="D162:D164"/>
    <mergeCell ref="E162:E164"/>
    <mergeCell ref="N162:N164"/>
    <mergeCell ref="O153:O155"/>
    <mergeCell ref="A156:A158"/>
    <mergeCell ref="B156:F158"/>
    <mergeCell ref="N156:N158"/>
    <mergeCell ref="O156:O158"/>
    <mergeCell ref="A153:A155"/>
    <mergeCell ref="B153:B155"/>
    <mergeCell ref="C153:C155"/>
    <mergeCell ref="D153:D155"/>
    <mergeCell ref="E153:E155"/>
    <mergeCell ref="N153:N155"/>
    <mergeCell ref="O147:O149"/>
    <mergeCell ref="A150:A152"/>
    <mergeCell ref="B150:F152"/>
    <mergeCell ref="N150:N152"/>
    <mergeCell ref="O150:O152"/>
    <mergeCell ref="A147:A149"/>
    <mergeCell ref="B147:B149"/>
    <mergeCell ref="C147:C149"/>
    <mergeCell ref="D147:D149"/>
    <mergeCell ref="E147:E149"/>
    <mergeCell ref="N147:N149"/>
    <mergeCell ref="N140:N143"/>
    <mergeCell ref="O140:O143"/>
    <mergeCell ref="A144:A146"/>
    <mergeCell ref="B144:F146"/>
    <mergeCell ref="N144:N146"/>
    <mergeCell ref="O144:O146"/>
    <mergeCell ref="A136:A139"/>
    <mergeCell ref="B136:F139"/>
    <mergeCell ref="N136:N138"/>
    <mergeCell ref="O136:O138"/>
    <mergeCell ref="A140:A143"/>
    <mergeCell ref="B140:B143"/>
    <mergeCell ref="C140:C143"/>
    <mergeCell ref="D140:D143"/>
    <mergeCell ref="E140:E143"/>
    <mergeCell ref="B107:E107"/>
    <mergeCell ref="A108:E110"/>
    <mergeCell ref="N108:N110"/>
    <mergeCell ref="C133:C135"/>
    <mergeCell ref="D133:D135"/>
    <mergeCell ref="E133:E135"/>
    <mergeCell ref="N133:N135"/>
    <mergeCell ref="O133:O135"/>
    <mergeCell ref="A129:A135"/>
    <mergeCell ref="B129:B132"/>
    <mergeCell ref="C129:C132"/>
    <mergeCell ref="D129:D132"/>
    <mergeCell ref="E129:E132"/>
    <mergeCell ref="N129:N132"/>
    <mergeCell ref="O129:O132"/>
    <mergeCell ref="B133:B135"/>
    <mergeCell ref="A125:A128"/>
    <mergeCell ref="B125:F128"/>
    <mergeCell ref="N125:N128"/>
    <mergeCell ref="O125:O128"/>
    <mergeCell ref="O108:O110"/>
    <mergeCell ref="A113:E116"/>
    <mergeCell ref="A112:E112"/>
    <mergeCell ref="A117:O117"/>
    <mergeCell ref="G122:G123"/>
    <mergeCell ref="H122:M122"/>
    <mergeCell ref="N122:N123"/>
    <mergeCell ref="O122:O123"/>
    <mergeCell ref="G115:G116"/>
    <mergeCell ref="A119:O119"/>
    <mergeCell ref="A122:A123"/>
    <mergeCell ref="B122:B123"/>
    <mergeCell ref="C122:C123"/>
    <mergeCell ref="D122:D123"/>
    <mergeCell ref="E122:E123"/>
    <mergeCell ref="F122:F123"/>
    <mergeCell ref="A120:N120"/>
    <mergeCell ref="O103:O105"/>
    <mergeCell ref="P103:P105"/>
    <mergeCell ref="A103:A105"/>
    <mergeCell ref="B103:B105"/>
    <mergeCell ref="C103:C105"/>
    <mergeCell ref="D103:D105"/>
    <mergeCell ref="E103:E105"/>
    <mergeCell ref="N103:N105"/>
    <mergeCell ref="O96:O98"/>
    <mergeCell ref="P96:P98"/>
    <mergeCell ref="A99:A101"/>
    <mergeCell ref="B99:F101"/>
    <mergeCell ref="N99:N101"/>
    <mergeCell ref="O99:O101"/>
    <mergeCell ref="A93:A95"/>
    <mergeCell ref="B93:F95"/>
    <mergeCell ref="N93:N95"/>
    <mergeCell ref="O93:O95"/>
    <mergeCell ref="A96:A98"/>
    <mergeCell ref="B96:B98"/>
    <mergeCell ref="C96:C98"/>
    <mergeCell ref="D96:D98"/>
    <mergeCell ref="E96:E98"/>
    <mergeCell ref="O90:O92"/>
    <mergeCell ref="P90:P92"/>
    <mergeCell ref="A90:A92"/>
    <mergeCell ref="B90:B92"/>
    <mergeCell ref="C90:C92"/>
    <mergeCell ref="D90:D92"/>
    <mergeCell ref="E90:E92"/>
    <mergeCell ref="N90:N92"/>
    <mergeCell ref="O84:O86"/>
    <mergeCell ref="P84:P86"/>
    <mergeCell ref="A87:A89"/>
    <mergeCell ref="B87:F89"/>
    <mergeCell ref="N87:N89"/>
    <mergeCell ref="O87:O89"/>
    <mergeCell ref="A84:A86"/>
    <mergeCell ref="B84:B86"/>
    <mergeCell ref="C84:C86"/>
    <mergeCell ref="D84:D86"/>
    <mergeCell ref="E84:E86"/>
    <mergeCell ref="N84:N86"/>
    <mergeCell ref="O78:O80"/>
    <mergeCell ref="P78:P80"/>
    <mergeCell ref="A81:A83"/>
    <mergeCell ref="B81:F83"/>
    <mergeCell ref="N81:N83"/>
    <mergeCell ref="O81:O83"/>
    <mergeCell ref="A78:A80"/>
    <mergeCell ref="B78:B80"/>
    <mergeCell ref="C78:C80"/>
    <mergeCell ref="D78:D80"/>
    <mergeCell ref="E78:E80"/>
    <mergeCell ref="N78:N80"/>
    <mergeCell ref="O72:O74"/>
    <mergeCell ref="P72:P74"/>
    <mergeCell ref="A75:A77"/>
    <mergeCell ref="B75:F77"/>
    <mergeCell ref="N75:N77"/>
    <mergeCell ref="O75:O77"/>
    <mergeCell ref="A72:A74"/>
    <mergeCell ref="B72:B74"/>
    <mergeCell ref="C72:C74"/>
    <mergeCell ref="D72:D74"/>
    <mergeCell ref="E72:E74"/>
    <mergeCell ref="N72:N74"/>
    <mergeCell ref="O66:O68"/>
    <mergeCell ref="P66:P68"/>
    <mergeCell ref="A69:A71"/>
    <mergeCell ref="B69:F71"/>
    <mergeCell ref="N69:N71"/>
    <mergeCell ref="O69:O71"/>
    <mergeCell ref="A66:A68"/>
    <mergeCell ref="B66:B68"/>
    <mergeCell ref="C66:C68"/>
    <mergeCell ref="D66:D68"/>
    <mergeCell ref="E66:E68"/>
    <mergeCell ref="N66:N68"/>
    <mergeCell ref="O60:O62"/>
    <mergeCell ref="P60:P62"/>
    <mergeCell ref="A63:A65"/>
    <mergeCell ref="B63:F65"/>
    <mergeCell ref="N63:N65"/>
    <mergeCell ref="O63:O65"/>
    <mergeCell ref="A60:A62"/>
    <mergeCell ref="B60:B62"/>
    <mergeCell ref="C60:C62"/>
    <mergeCell ref="D60:D62"/>
    <mergeCell ref="E60:E62"/>
    <mergeCell ref="N60:N62"/>
    <mergeCell ref="A57:A59"/>
    <mergeCell ref="B57:F59"/>
    <mergeCell ref="N57:N59"/>
    <mergeCell ref="O57:O59"/>
    <mergeCell ref="A55:A56"/>
    <mergeCell ref="B55:B56"/>
    <mergeCell ref="C55:C56"/>
    <mergeCell ref="D55:D56"/>
    <mergeCell ref="E55:E56"/>
    <mergeCell ref="N55:N56"/>
    <mergeCell ref="O53:O54"/>
    <mergeCell ref="A53:A54"/>
    <mergeCell ref="B53:B54"/>
    <mergeCell ref="C53:C54"/>
    <mergeCell ref="D53:D54"/>
    <mergeCell ref="E53:E54"/>
    <mergeCell ref="N53:N54"/>
    <mergeCell ref="O55:O56"/>
    <mergeCell ref="P55:P56"/>
    <mergeCell ref="A50:A52"/>
    <mergeCell ref="B50:B52"/>
    <mergeCell ref="C50:C52"/>
    <mergeCell ref="D50:D52"/>
    <mergeCell ref="E50:E52"/>
    <mergeCell ref="O50:O52"/>
    <mergeCell ref="O44:O46"/>
    <mergeCell ref="P44:P46"/>
    <mergeCell ref="A47:A49"/>
    <mergeCell ref="B47:F49"/>
    <mergeCell ref="N47:N49"/>
    <mergeCell ref="O47:O49"/>
    <mergeCell ref="P47:P49"/>
    <mergeCell ref="A44:A46"/>
    <mergeCell ref="B44:B46"/>
    <mergeCell ref="C44:C46"/>
    <mergeCell ref="D44:D46"/>
    <mergeCell ref="E44:E46"/>
    <mergeCell ref="N44:N46"/>
    <mergeCell ref="P38:P40"/>
    <mergeCell ref="A41:A43"/>
    <mergeCell ref="B41:F43"/>
    <mergeCell ref="N41:N43"/>
    <mergeCell ref="O41:O43"/>
    <mergeCell ref="P41:P43"/>
    <mergeCell ref="A38:A40"/>
    <mergeCell ref="B38:B40"/>
    <mergeCell ref="C38:C40"/>
    <mergeCell ref="D38:D40"/>
    <mergeCell ref="E38:E40"/>
    <mergeCell ref="N38:N40"/>
    <mergeCell ref="O38:O40"/>
    <mergeCell ref="P32:P34"/>
    <mergeCell ref="A35:A37"/>
    <mergeCell ref="B35:F37"/>
    <mergeCell ref="N35:N37"/>
    <mergeCell ref="O35:O37"/>
    <mergeCell ref="P35:P37"/>
    <mergeCell ref="A29:A31"/>
    <mergeCell ref="B29:F31"/>
    <mergeCell ref="N29:N31"/>
    <mergeCell ref="O29:O31"/>
    <mergeCell ref="P29:P31"/>
    <mergeCell ref="A32:A34"/>
    <mergeCell ref="B32:B34"/>
    <mergeCell ref="C32:C34"/>
    <mergeCell ref="D32:D34"/>
    <mergeCell ref="E32:E34"/>
    <mergeCell ref="N32:N34"/>
    <mergeCell ref="O32:O34"/>
    <mergeCell ref="P26:P28"/>
    <mergeCell ref="A23:A28"/>
    <mergeCell ref="B23:B25"/>
    <mergeCell ref="C23:C25"/>
    <mergeCell ref="D23:D25"/>
    <mergeCell ref="E23:E25"/>
    <mergeCell ref="N23:N25"/>
    <mergeCell ref="N17:N19"/>
    <mergeCell ref="O17:O19"/>
    <mergeCell ref="O23:O28"/>
    <mergeCell ref="P17:P19"/>
    <mergeCell ref="A20:A22"/>
    <mergeCell ref="O11:O13"/>
    <mergeCell ref="P11:P13"/>
    <mergeCell ref="P14:P16"/>
    <mergeCell ref="A17:A19"/>
    <mergeCell ref="B17:B19"/>
    <mergeCell ref="C17:C19"/>
    <mergeCell ref="D17:D19"/>
    <mergeCell ref="E17:E19"/>
    <mergeCell ref="P23:P25"/>
    <mergeCell ref="O20:O22"/>
    <mergeCell ref="P20:P22"/>
    <mergeCell ref="A14:A16"/>
    <mergeCell ref="B14:F16"/>
    <mergeCell ref="N14:N16"/>
    <mergeCell ref="O14:O16"/>
    <mergeCell ref="A1:O1"/>
    <mergeCell ref="G5:G6"/>
    <mergeCell ref="H5:M5"/>
    <mergeCell ref="N5:N6"/>
    <mergeCell ref="O5:O6"/>
    <mergeCell ref="A8:A10"/>
    <mergeCell ref="B8:F10"/>
    <mergeCell ref="N8:N10"/>
    <mergeCell ref="O8:O10"/>
    <mergeCell ref="A2:O2"/>
    <mergeCell ref="A3:N3"/>
    <mergeCell ref="A4:N4"/>
    <mergeCell ref="A5:A6"/>
    <mergeCell ref="B5:B6"/>
    <mergeCell ref="C5:C6"/>
    <mergeCell ref="D5:D6"/>
    <mergeCell ref="P8:P10"/>
    <mergeCell ref="A11:A13"/>
    <mergeCell ref="I364:I365"/>
    <mergeCell ref="J364:J365"/>
    <mergeCell ref="K364:K365"/>
    <mergeCell ref="L364:L365"/>
    <mergeCell ref="M364:M365"/>
    <mergeCell ref="E5:E6"/>
    <mergeCell ref="F5:F6"/>
    <mergeCell ref="B20:F22"/>
    <mergeCell ref="N20:N22"/>
    <mergeCell ref="B11:B13"/>
    <mergeCell ref="C11:C13"/>
    <mergeCell ref="D11:D13"/>
    <mergeCell ref="E11:E13"/>
    <mergeCell ref="N11:N13"/>
    <mergeCell ref="B26:B28"/>
    <mergeCell ref="C26:C28"/>
    <mergeCell ref="D26:D28"/>
    <mergeCell ref="E26:E28"/>
    <mergeCell ref="N26:N28"/>
    <mergeCell ref="N96:N98"/>
    <mergeCell ref="A121:O121"/>
    <mergeCell ref="G113:G114"/>
  </mergeCells>
  <pageMargins left="0.11811023622047245" right="0.11811023622047245" top="0.74803149606299213" bottom="0.74803149606299213" header="0.31496062992125984" footer="0.31496062992125984"/>
  <pageSetup paperSize="8" fitToHeight="0" orientation="landscape" r:id="rId6"/>
  <rowBreaks count="16" manualBreakCount="16">
    <brk id="28" max="14" man="1"/>
    <brk id="46" max="14" man="1"/>
    <brk id="115" max="14" man="1"/>
    <brk id="140" max="14" man="1"/>
    <brk id="152" max="14" man="1"/>
    <brk id="177" max="14" man="1"/>
    <brk id="196" max="14" man="1"/>
    <brk id="214" max="14" man="1"/>
    <brk id="223" max="14" man="1"/>
    <brk id="249" max="14" man="1"/>
    <brk id="264" max="14" man="1"/>
    <brk id="279" max="14" man="1"/>
    <brk id="293" max="14" man="1"/>
    <brk id="312" max="14" man="1"/>
    <brk id="325" max="14" man="1"/>
    <brk id="345" max="14" man="1"/>
  </rowBreaks>
  <legacy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P23"/>
  <sheetViews>
    <sheetView view="pageBreakPreview" zoomScale="70" zoomScaleNormal="70" zoomScaleSheetLayoutView="70" workbookViewId="0">
      <selection activeCell="G14" sqref="G14"/>
    </sheetView>
  </sheetViews>
  <sheetFormatPr defaultRowHeight="14.4" x14ac:dyDescent="0.3"/>
  <cols>
    <col min="1" max="1" width="6.33203125" style="6" customWidth="1"/>
    <col min="2" max="2" width="7.44140625" style="6" customWidth="1"/>
    <col min="3" max="3" width="14.44140625" style="6" customWidth="1"/>
    <col min="4" max="4" width="29.33203125" style="6" customWidth="1"/>
    <col min="5" max="5" width="37.6640625" style="6" customWidth="1"/>
    <col min="6" max="6" width="16.5546875" style="6" customWidth="1"/>
    <col min="7" max="7" width="16.33203125" style="6" customWidth="1"/>
    <col min="8" max="8" width="18.6640625" style="6" customWidth="1"/>
    <col min="9" max="9" width="16.33203125" style="6" customWidth="1"/>
    <col min="10" max="10" width="17.109375" style="6" customWidth="1"/>
    <col min="11" max="11" width="22.33203125" style="6" customWidth="1"/>
    <col min="13" max="13" width="21" customWidth="1"/>
    <col min="14" max="14" width="24.44140625" customWidth="1"/>
    <col min="15" max="15" width="36.33203125" customWidth="1"/>
    <col min="16" max="16" width="22.44140625" customWidth="1"/>
  </cols>
  <sheetData>
    <row r="1" spans="1:16" s="45" customFormat="1" ht="30" customHeight="1" x14ac:dyDescent="0.3">
      <c r="A1" s="2227" t="s">
        <v>926</v>
      </c>
      <c r="B1" s="2227"/>
      <c r="C1" s="2227"/>
      <c r="D1" s="2227"/>
      <c r="E1" s="2227"/>
      <c r="F1" s="2227"/>
      <c r="G1" s="2227"/>
      <c r="H1" s="2227"/>
      <c r="I1" s="2227"/>
      <c r="J1" s="2227"/>
      <c r="K1" s="2227"/>
    </row>
    <row r="2" spans="1:16" ht="19.5" customHeight="1" x14ac:dyDescent="0.3">
      <c r="A2" s="1538" t="s">
        <v>0</v>
      </c>
      <c r="B2" s="1538"/>
      <c r="C2" s="1538"/>
      <c r="D2" s="1539" t="s">
        <v>1</v>
      </c>
      <c r="E2" s="1539"/>
      <c r="F2" s="1539"/>
      <c r="G2" s="1539"/>
      <c r="H2" s="1539"/>
      <c r="I2" s="1539"/>
      <c r="J2" s="1539"/>
      <c r="K2" s="1539"/>
    </row>
    <row r="3" spans="1:16" ht="18.75" customHeight="1" x14ac:dyDescent="0.3">
      <c r="A3" s="2228" t="s">
        <v>220</v>
      </c>
      <c r="B3" s="2228"/>
      <c r="C3" s="2228"/>
      <c r="D3" s="1728" t="s">
        <v>61</v>
      </c>
      <c r="E3" s="1728" t="s">
        <v>62</v>
      </c>
      <c r="F3" s="2229" t="s">
        <v>63</v>
      </c>
      <c r="G3" s="2229"/>
      <c r="H3" s="2229"/>
      <c r="I3" s="2229"/>
      <c r="J3" s="2229"/>
      <c r="K3" s="2229"/>
      <c r="N3" s="1436" t="s">
        <v>1679</v>
      </c>
    </row>
    <row r="4" spans="1:16" ht="20.25" customHeight="1" x14ac:dyDescent="0.3">
      <c r="A4" s="2228"/>
      <c r="B4" s="2228"/>
      <c r="C4" s="2228"/>
      <c r="D4" s="1728"/>
      <c r="E4" s="1728"/>
      <c r="F4" s="579" t="s">
        <v>4</v>
      </c>
      <c r="G4" s="579" t="s">
        <v>91</v>
      </c>
      <c r="H4" s="579" t="s">
        <v>90</v>
      </c>
      <c r="I4" s="579" t="s">
        <v>89</v>
      </c>
      <c r="J4" s="579" t="s">
        <v>221</v>
      </c>
      <c r="K4" s="579" t="s">
        <v>12</v>
      </c>
      <c r="M4" s="1430" t="s">
        <v>1678</v>
      </c>
      <c r="N4" s="1430" t="s">
        <v>1675</v>
      </c>
    </row>
    <row r="5" spans="1:16" ht="61.5" customHeight="1" x14ac:dyDescent="0.3">
      <c r="A5" s="2228"/>
      <c r="B5" s="2228"/>
      <c r="C5" s="2228"/>
      <c r="D5" s="580"/>
      <c r="E5" s="580" t="s">
        <v>222</v>
      </c>
      <c r="F5" s="581">
        <f>F6+F16+F17</f>
        <v>7139836.96</v>
      </c>
      <c r="G5" s="581">
        <f>G6+G16+G17</f>
        <v>3591515.97</v>
      </c>
      <c r="H5" s="581">
        <f>H6+H16+H17</f>
        <v>1295440.04</v>
      </c>
      <c r="I5" s="581">
        <f>I6+I16+I17</f>
        <v>18741</v>
      </c>
      <c r="J5" s="581">
        <f>J6+J16+J17</f>
        <v>18741</v>
      </c>
      <c r="K5" s="581">
        <f>F5+G5+H5+I5+J5</f>
        <v>12064274.970000001</v>
      </c>
      <c r="M5" s="1405">
        <f>M6+M17+M18+M16</f>
        <v>8748529.1500000004</v>
      </c>
      <c r="N5" s="1435">
        <f>N6+N17+N18+N16</f>
        <v>3315745.82</v>
      </c>
    </row>
    <row r="6" spans="1:16" ht="30.75" customHeight="1" x14ac:dyDescent="0.3">
      <c r="A6" s="1538"/>
      <c r="B6" s="1538"/>
      <c r="C6" s="1538"/>
      <c r="D6" s="148"/>
      <c r="E6" s="148" t="s">
        <v>223</v>
      </c>
      <c r="F6" s="196">
        <f>F7+F8+F9+F10+F11+F14+F15+F12+F13</f>
        <v>6278573.46</v>
      </c>
      <c r="G6" s="76">
        <f>G7+G8+G9+G10+G11+G14+G15+G12</f>
        <v>3382998.59</v>
      </c>
      <c r="H6" s="76">
        <f t="shared" ref="H6:J6" si="0">H7+H8+H9+H10+H11+H14+H15+H12</f>
        <v>1232431.58</v>
      </c>
      <c r="I6" s="76">
        <f t="shared" si="0"/>
        <v>18741</v>
      </c>
      <c r="J6" s="76">
        <f t="shared" si="0"/>
        <v>18741</v>
      </c>
      <c r="K6" s="76">
        <f>F6+G6+H6+I6+J6</f>
        <v>10931485.630000001</v>
      </c>
      <c r="M6" s="1424">
        <f>M7+M8+M9+M10+M11+M14+M15+M12+M13</f>
        <v>7889607</v>
      </c>
      <c r="N6" s="1437">
        <f>N7+N8+N9+N10+N11+N14+N15+N12+N13</f>
        <v>3041878.63</v>
      </c>
      <c r="O6" s="1403" t="s">
        <v>223</v>
      </c>
      <c r="P6" s="1403" t="s">
        <v>223</v>
      </c>
    </row>
    <row r="7" spans="1:16" ht="44.25" customHeight="1" x14ac:dyDescent="0.3">
      <c r="A7" s="1538"/>
      <c r="B7" s="1538"/>
      <c r="C7" s="1538"/>
      <c r="D7" s="148" t="s">
        <v>16</v>
      </c>
      <c r="E7" s="148" t="s">
        <v>13</v>
      </c>
      <c r="F7" s="196">
        <f>'ПМ П 3'!G17+'ПМ П 3'!G24+'ПМ П 3'!G27+'ПМ П 3'!G45+'ПМ П 3'!G55+'ПМ П 3'!G38</f>
        <v>4438756</v>
      </c>
      <c r="G7" s="76">
        <f>'ПМ П 3'!H17+'ПМ П 3'!H24+'ПМ П 3'!H27+'ПМ П 3'!H45+'ПМ П 3'!H55</f>
        <v>1959645</v>
      </c>
      <c r="H7" s="76">
        <f>'ПМ П 3'!I17+'ПМ П 3'!I24+'ПМ П 3'!I27+'ПМ П 3'!I45+'ПМ П 3'!I55</f>
        <v>939495</v>
      </c>
      <c r="I7" s="76">
        <f>'ПМ П 3'!J17+'ПМ П 3'!J24+'ПМ П 3'!J27+'ПМ П 3'!J45+'ПМ П 3'!J55</f>
        <v>0</v>
      </c>
      <c r="J7" s="76">
        <f>'ПМ П 3'!K17+'ПМ П 3'!K24+'ПМ П 3'!K27+'ПМ П 3'!K45+'ПМ П 3'!K55</f>
        <v>0</v>
      </c>
      <c r="K7" s="76">
        <f t="shared" ref="K7:K17" si="1">F7+G7+H7+I7+J7</f>
        <v>7337896</v>
      </c>
      <c r="M7" s="304">
        <v>5315619</v>
      </c>
      <c r="N7" s="1434">
        <f>K7-M7</f>
        <v>2022277</v>
      </c>
      <c r="O7" s="1403" t="s">
        <v>16</v>
      </c>
      <c r="P7" s="1403" t="s">
        <v>13</v>
      </c>
    </row>
    <row r="8" spans="1:16" ht="39" customHeight="1" x14ac:dyDescent="0.3">
      <c r="A8" s="1538"/>
      <c r="B8" s="1538"/>
      <c r="C8" s="1538"/>
      <c r="D8" s="148" t="s">
        <v>47</v>
      </c>
      <c r="E8" s="148" t="s">
        <v>13</v>
      </c>
      <c r="F8" s="76">
        <f>'ПМ П 3'!G20+'ПМ П 3'!G56</f>
        <v>592621</v>
      </c>
      <c r="G8" s="76">
        <f>'ПМ П 3'!H20+'ПМ П 3'!H56</f>
        <v>793256</v>
      </c>
      <c r="H8" s="76">
        <f>'ПМ П 3'!I20+'ПМ П 3'!I56</f>
        <v>47500</v>
      </c>
      <c r="I8" s="76">
        <f>'ПМ П 3'!J20+'ПМ П 3'!J56</f>
        <v>0</v>
      </c>
      <c r="J8" s="76">
        <f>'ПМ П 3'!K20+'ПМ П 3'!K56</f>
        <v>0</v>
      </c>
      <c r="K8" s="76">
        <f t="shared" si="1"/>
        <v>1433377</v>
      </c>
      <c r="M8" s="304">
        <v>787000</v>
      </c>
      <c r="N8" s="1434">
        <f t="shared" ref="N8:N17" si="2">K8-M8</f>
        <v>646377</v>
      </c>
      <c r="O8" s="1403" t="s">
        <v>47</v>
      </c>
      <c r="P8" s="1403" t="s">
        <v>13</v>
      </c>
    </row>
    <row r="9" spans="1:16" ht="33" customHeight="1" x14ac:dyDescent="0.3">
      <c r="A9" s="1538"/>
      <c r="B9" s="1538"/>
      <c r="C9" s="1538"/>
      <c r="D9" s="148" t="s">
        <v>371</v>
      </c>
      <c r="E9" s="148" t="s">
        <v>13</v>
      </c>
      <c r="F9" s="76">
        <f>'ПМ П 3'!G46</f>
        <v>369717</v>
      </c>
      <c r="G9" s="76">
        <f>'ПМ П 3'!H46</f>
        <v>281595</v>
      </c>
      <c r="H9" s="76">
        <f>'ПМ П 3'!I46</f>
        <v>208264</v>
      </c>
      <c r="I9" s="76">
        <f>'ПМ П 3'!J46</f>
        <v>0</v>
      </c>
      <c r="J9" s="76">
        <f>'ПМ П 3'!K46</f>
        <v>0</v>
      </c>
      <c r="K9" s="76">
        <f t="shared" si="1"/>
        <v>859576</v>
      </c>
      <c r="M9" s="304">
        <v>859576</v>
      </c>
      <c r="N9" s="1434">
        <f t="shared" si="2"/>
        <v>0</v>
      </c>
      <c r="O9" s="1403" t="s">
        <v>371</v>
      </c>
      <c r="P9" s="1403" t="s">
        <v>13</v>
      </c>
    </row>
    <row r="10" spans="1:16" ht="51" customHeight="1" x14ac:dyDescent="0.3">
      <c r="A10" s="1538"/>
      <c r="B10" s="1538"/>
      <c r="C10" s="1538"/>
      <c r="D10" s="148" t="s">
        <v>765</v>
      </c>
      <c r="E10" s="148" t="s">
        <v>13</v>
      </c>
      <c r="F10" s="76">
        <f>'ПМ П 3'!G47</f>
        <v>368534</v>
      </c>
      <c r="G10" s="76">
        <f>'ПМ П 3'!H47</f>
        <v>229386</v>
      </c>
      <c r="H10" s="76">
        <f>'ПМ П 3'!I47</f>
        <v>0</v>
      </c>
      <c r="I10" s="76">
        <f>'ПМ П 3'!J47</f>
        <v>0</v>
      </c>
      <c r="J10" s="76">
        <f>'ПМ П 3'!K47</f>
        <v>0</v>
      </c>
      <c r="K10" s="76">
        <f t="shared" si="1"/>
        <v>597920</v>
      </c>
      <c r="M10" s="304">
        <v>444416</v>
      </c>
      <c r="N10" s="1434">
        <f t="shared" si="2"/>
        <v>153504</v>
      </c>
      <c r="O10" s="1403" t="s">
        <v>765</v>
      </c>
      <c r="P10" s="1403" t="s">
        <v>13</v>
      </c>
    </row>
    <row r="11" spans="1:16" ht="28.5" customHeight="1" x14ac:dyDescent="0.3">
      <c r="A11" s="1538"/>
      <c r="B11" s="1538"/>
      <c r="C11" s="1538"/>
      <c r="D11" s="148" t="s">
        <v>434</v>
      </c>
      <c r="E11" s="148" t="s">
        <v>13</v>
      </c>
      <c r="F11" s="76">
        <f>'ПМ П 3'!G48</f>
        <v>134703</v>
      </c>
      <c r="G11" s="76">
        <f>'ПМ П 3'!H48</f>
        <v>0</v>
      </c>
      <c r="H11" s="76">
        <f>'ПМ П 3'!I48</f>
        <v>0</v>
      </c>
      <c r="I11" s="76">
        <f>'ПМ П 3'!J48</f>
        <v>0</v>
      </c>
      <c r="J11" s="76">
        <f>'ПМ П 3'!K48</f>
        <v>0</v>
      </c>
      <c r="K11" s="76">
        <f t="shared" si="1"/>
        <v>134703</v>
      </c>
      <c r="M11" s="304">
        <v>90094</v>
      </c>
      <c r="N11" s="1434">
        <f t="shared" si="2"/>
        <v>44609</v>
      </c>
      <c r="O11" s="1403" t="s">
        <v>434</v>
      </c>
      <c r="P11" s="1403" t="s">
        <v>13</v>
      </c>
    </row>
    <row r="12" spans="1:16" ht="31.5" customHeight="1" x14ac:dyDescent="0.3">
      <c r="A12" s="1538"/>
      <c r="B12" s="1538"/>
      <c r="C12" s="1538"/>
      <c r="D12" s="148" t="s">
        <v>766</v>
      </c>
      <c r="E12" s="148" t="s">
        <v>13</v>
      </c>
      <c r="F12" s="76">
        <f>'ПМ П 3'!G52</f>
        <v>221536</v>
      </c>
      <c r="G12" s="76">
        <f>'ПМ П 3'!H52</f>
        <v>63154</v>
      </c>
      <c r="H12" s="76">
        <f>'ПМ П 3'!I52</f>
        <v>0</v>
      </c>
      <c r="I12" s="76">
        <f>'ПМ П 3'!J52</f>
        <v>0</v>
      </c>
      <c r="J12" s="76">
        <f>'ПМ П 3'!K52</f>
        <v>0</v>
      </c>
      <c r="K12" s="76">
        <f t="shared" si="1"/>
        <v>284690</v>
      </c>
      <c r="M12" s="304">
        <v>140952</v>
      </c>
      <c r="N12" s="1434">
        <f t="shared" si="2"/>
        <v>143738</v>
      </c>
      <c r="O12" s="1403" t="s">
        <v>766</v>
      </c>
      <c r="P12" s="1403" t="s">
        <v>13</v>
      </c>
    </row>
    <row r="13" spans="1:16" ht="31.5" customHeight="1" x14ac:dyDescent="0.3">
      <c r="A13" s="1538"/>
      <c r="B13" s="1538"/>
      <c r="C13" s="1538"/>
      <c r="D13" s="1331" t="s">
        <v>1640</v>
      </c>
      <c r="E13" s="1331" t="s">
        <v>13</v>
      </c>
      <c r="F13" s="196">
        <f>'ПМ П 3'!G49</f>
        <v>19570.95</v>
      </c>
      <c r="G13" s="196">
        <f>'ПМ П 3'!H49</f>
        <v>0</v>
      </c>
      <c r="H13" s="196">
        <f>'ПМ П 3'!I49</f>
        <v>0</v>
      </c>
      <c r="I13" s="196">
        <f>'ПМ П 3'!J49</f>
        <v>0</v>
      </c>
      <c r="J13" s="196">
        <f>'ПМ П 3'!K49</f>
        <v>0</v>
      </c>
      <c r="K13" s="196">
        <f t="shared" si="1"/>
        <v>19570.95</v>
      </c>
      <c r="M13" s="1431">
        <v>0</v>
      </c>
      <c r="N13" s="1434">
        <f t="shared" si="2"/>
        <v>19570.95</v>
      </c>
      <c r="O13" s="1331" t="s">
        <v>1640</v>
      </c>
      <c r="P13" s="1331" t="s">
        <v>13</v>
      </c>
    </row>
    <row r="14" spans="1:16" ht="34.5" customHeight="1" x14ac:dyDescent="0.3">
      <c r="A14" s="1538"/>
      <c r="B14" s="1538"/>
      <c r="C14" s="1538"/>
      <c r="D14" s="148" t="s">
        <v>360</v>
      </c>
      <c r="E14" s="148" t="s">
        <v>13</v>
      </c>
      <c r="F14" s="76">
        <f>'ПМ П 3'!G63</f>
        <v>0</v>
      </c>
      <c r="G14" s="76">
        <f>'ПМ П 3'!H63</f>
        <v>0</v>
      </c>
      <c r="H14" s="76">
        <f>'ПМ П 3'!I63</f>
        <v>0</v>
      </c>
      <c r="I14" s="76">
        <f>'ПМ П 3'!J63</f>
        <v>0</v>
      </c>
      <c r="J14" s="76">
        <f>'ПМ П 3'!K63</f>
        <v>0</v>
      </c>
      <c r="K14" s="76">
        <f t="shared" si="1"/>
        <v>0</v>
      </c>
      <c r="M14" s="304">
        <v>4874</v>
      </c>
      <c r="N14" s="1434">
        <f t="shared" si="2"/>
        <v>-4874</v>
      </c>
      <c r="O14" s="1403" t="s">
        <v>360</v>
      </c>
      <c r="P14" s="1403" t="s">
        <v>13</v>
      </c>
    </row>
    <row r="15" spans="1:16" ht="35.25" customHeight="1" x14ac:dyDescent="0.3">
      <c r="A15" s="1538"/>
      <c r="B15" s="1538"/>
      <c r="C15" s="1538"/>
      <c r="D15" s="148" t="s">
        <v>60</v>
      </c>
      <c r="E15" s="148" t="s">
        <v>13</v>
      </c>
      <c r="F15" s="76">
        <f>'ПМ П 3'!G61</f>
        <v>133135.51</v>
      </c>
      <c r="G15" s="76">
        <f>'ПМ П 3'!H61</f>
        <v>55962.59</v>
      </c>
      <c r="H15" s="76">
        <f>'ПМ П 3'!I61</f>
        <v>37172.58</v>
      </c>
      <c r="I15" s="76">
        <f>'ПМ П 3'!J61</f>
        <v>18741</v>
      </c>
      <c r="J15" s="76">
        <f>'ПМ П 3'!K61</f>
        <v>18741</v>
      </c>
      <c r="K15" s="76">
        <f t="shared" si="1"/>
        <v>263752.68</v>
      </c>
      <c r="M15" s="304">
        <v>247076</v>
      </c>
      <c r="N15" s="1434">
        <f t="shared" si="2"/>
        <v>16676.68</v>
      </c>
      <c r="O15" s="1403" t="s">
        <v>60</v>
      </c>
      <c r="P15" s="1403" t="s">
        <v>14</v>
      </c>
    </row>
    <row r="16" spans="1:16" ht="36" customHeight="1" x14ac:dyDescent="0.3">
      <c r="A16" s="1538"/>
      <c r="B16" s="1538"/>
      <c r="C16" s="1538"/>
      <c r="D16" s="148"/>
      <c r="E16" s="148" t="s">
        <v>14</v>
      </c>
      <c r="F16" s="76">
        <f>'ПМ П 3'!G14+'ПМ П 3'!G42</f>
        <v>414380.46</v>
      </c>
      <c r="G16" s="76">
        <f>'ПМ П 3'!H14+'ПМ П 3'!H42</f>
        <v>183029.38</v>
      </c>
      <c r="H16" s="76">
        <f>'ПМ П 3'!I14+'ПМ П 3'!I42</f>
        <v>63008.46</v>
      </c>
      <c r="I16" s="76">
        <f>'ПМ П 3'!J14+'ПМ П 3'!J42</f>
        <v>0</v>
      </c>
      <c r="J16" s="76">
        <f>'ПМ П 3'!K14+'ПМ П 3'!K42</f>
        <v>0</v>
      </c>
      <c r="K16" s="76">
        <f t="shared" si="1"/>
        <v>660418.30000000005</v>
      </c>
      <c r="M16" s="304">
        <v>390231.55</v>
      </c>
      <c r="N16" s="1434">
        <f t="shared" si="2"/>
        <v>270186.75</v>
      </c>
      <c r="O16" s="1403" t="s">
        <v>14</v>
      </c>
      <c r="P16" s="1403" t="s">
        <v>231</v>
      </c>
    </row>
    <row r="17" spans="1:16" ht="30.75" customHeight="1" x14ac:dyDescent="0.3">
      <c r="A17" s="1538"/>
      <c r="B17" s="1538"/>
      <c r="C17" s="1538"/>
      <c r="D17" s="148"/>
      <c r="E17" s="148" t="s">
        <v>231</v>
      </c>
      <c r="F17" s="76">
        <f>'ПМ П 3'!G15</f>
        <v>446883.04</v>
      </c>
      <c r="G17" s="76">
        <f>'ПМ П 3'!H15</f>
        <v>25488</v>
      </c>
      <c r="H17" s="76">
        <f>'ПМ П 3'!I15</f>
        <v>0</v>
      </c>
      <c r="I17" s="76">
        <f>'ПМ П 3'!J15</f>
        <v>0</v>
      </c>
      <c r="J17" s="76">
        <f>'ПМ П 3'!K15</f>
        <v>0</v>
      </c>
      <c r="K17" s="76">
        <f t="shared" si="1"/>
        <v>472371.04</v>
      </c>
      <c r="M17" s="304">
        <v>468690.6</v>
      </c>
      <c r="N17" s="1434">
        <f t="shared" si="2"/>
        <v>3680.44</v>
      </c>
      <c r="O17" s="1403" t="s">
        <v>231</v>
      </c>
      <c r="P17" s="1403" t="s">
        <v>231</v>
      </c>
    </row>
    <row r="18" spans="1:16" x14ac:dyDescent="0.3">
      <c r="M18" s="304"/>
      <c r="N18" s="304"/>
    </row>
    <row r="20" spans="1:16" x14ac:dyDescent="0.3">
      <c r="F20" s="92"/>
    </row>
    <row r="22" spans="1:16" x14ac:dyDescent="0.3">
      <c r="M22">
        <v>5813258.46</v>
      </c>
    </row>
    <row r="23" spans="1:16" x14ac:dyDescent="0.3">
      <c r="M23" s="103">
        <f>M5-M22</f>
        <v>2935270.69</v>
      </c>
    </row>
  </sheetData>
  <customSheetViews>
    <customSheetView guid="{7DDEA387-EEC9-4633-99BE-C0D9299FB093}" scale="70" showPageBreaks="1" printArea="1" view="pageBreakPreview">
      <selection activeCell="G14" sqref="G14"/>
      <pageMargins left="0.70866141732283472" right="0.70866141732283472" top="0.74803149606299213" bottom="0.74803149606299213" header="0.31496062992125984" footer="0.31496062992125984"/>
      <pageSetup paperSize="9" scale="60" orientation="landscape" r:id="rId1"/>
    </customSheetView>
    <customSheetView guid="{6592EBC0-D945-4F6F-93D1-49FCB588A4A0}" scale="70" showPageBreaks="1" printArea="1" view="pageBreakPreview">
      <selection activeCell="G8" sqref="G8"/>
      <pageMargins left="0.70866141732283472" right="0.70866141732283472" top="0.74803149606299213" bottom="0.74803149606299213" header="0.31496062992125984" footer="0.31496062992125984"/>
      <pageSetup paperSize="9" scale="60" orientation="landscape" r:id="rId2"/>
    </customSheetView>
    <customSheetView guid="{001F394D-7E32-49E0-9108-A9790B233A9D}" scale="70" showPageBreaks="1" printArea="1" view="pageBreakPreview" topLeftCell="B1">
      <selection activeCell="F7" sqref="F7"/>
      <pageMargins left="0.70866141732283472" right="0.70866141732283472" top="0.74803149606299213" bottom="0.74803149606299213" header="0.31496062992125984" footer="0.31496062992125984"/>
      <pageSetup paperSize="9" scale="60" orientation="landscape" r:id="rId3"/>
    </customSheetView>
    <customSheetView guid="{F08E63B0-D6C4-4E18-B2B6-E1E751FE7DF2}" scale="70" showPageBreaks="1" printArea="1" view="pageBreakPreview" topLeftCell="B1">
      <selection activeCell="F7" sqref="F7"/>
      <pageMargins left="0.70866141732283472" right="0.70866141732283472" top="0.74803149606299213" bottom="0.74803149606299213" header="0.31496062992125984" footer="0.31496062992125984"/>
      <pageSetup paperSize="9" scale="60" orientation="landscape" r:id="rId4"/>
    </customSheetView>
    <customSheetView guid="{D32E4BC6-6FD7-4441-855E-C6B8F80A132E}" scale="70" showPageBreaks="1" printArea="1" view="pageBreakPreview">
      <selection activeCell="G14" sqref="G14"/>
      <pageMargins left="0.70866141732283472" right="0.70866141732283472" top="0.74803149606299213" bottom="0.74803149606299213" header="0.31496062992125984" footer="0.31496062992125984"/>
      <pageSetup paperSize="9" scale="60" orientation="landscape" r:id="rId5"/>
    </customSheetView>
  </customSheetViews>
  <mergeCells count="9">
    <mergeCell ref="A6:B17"/>
    <mergeCell ref="C6:C17"/>
    <mergeCell ref="A1:K1"/>
    <mergeCell ref="A2:C2"/>
    <mergeCell ref="D2:K2"/>
    <mergeCell ref="A3:C5"/>
    <mergeCell ref="D3:D4"/>
    <mergeCell ref="E3:E4"/>
    <mergeCell ref="F3:K3"/>
  </mergeCells>
  <pageMargins left="0.70866141732283472" right="0.70866141732283472" top="0.74803149606299213" bottom="0.74803149606299213" header="0.31496062992125984" footer="0.31496062992125984"/>
  <pageSetup paperSize="9" scale="60" orientation="landscape"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282"/>
  <sheetViews>
    <sheetView view="pageBreakPreview" zoomScale="70" zoomScaleNormal="70" zoomScaleSheetLayoutView="80" workbookViewId="0">
      <pane ySplit="4" topLeftCell="A5" activePane="bottomLeft" state="frozen"/>
      <selection pane="bottomLeft" activeCell="A11" sqref="A11:XFD11"/>
    </sheetView>
  </sheetViews>
  <sheetFormatPr defaultRowHeight="14.4" x14ac:dyDescent="0.3"/>
  <cols>
    <col min="1" max="1" width="5.44140625" style="20" customWidth="1"/>
    <col min="2" max="2" width="38.6640625" style="20" customWidth="1"/>
    <col min="3" max="3" width="10.33203125" style="20" customWidth="1"/>
    <col min="4" max="4" width="16.6640625" style="20" customWidth="1"/>
    <col min="5" max="5" width="12.6640625" style="20" customWidth="1"/>
    <col min="6" max="6" width="13.109375" style="20" customWidth="1"/>
    <col min="7" max="7" width="12.88671875" style="20" customWidth="1"/>
    <col min="8" max="8" width="17" style="20" customWidth="1"/>
    <col min="9" max="9" width="16.6640625" style="20" customWidth="1"/>
    <col min="10" max="10" width="18.88671875" style="20" customWidth="1"/>
    <col min="11" max="11" width="23.44140625" style="20" customWidth="1"/>
    <col min="12" max="12" width="21.5546875" style="20" customWidth="1"/>
    <col min="13" max="13" width="36.88671875" style="20" customWidth="1"/>
    <col min="14" max="14" width="12.88671875" customWidth="1"/>
    <col min="17" max="17" width="26.6640625" customWidth="1"/>
    <col min="18" max="18" width="12" bestFit="1" customWidth="1"/>
    <col min="21" max="21" width="5.88671875" customWidth="1"/>
    <col min="22" max="22" width="32" customWidth="1"/>
    <col min="23" max="24" width="22.44140625" customWidth="1"/>
    <col min="26" max="26" width="15.5546875" customWidth="1"/>
    <col min="28" max="28" width="18.109375" customWidth="1"/>
    <col min="29" max="29" width="25.5546875" customWidth="1"/>
    <col min="30" max="30" width="21.33203125" customWidth="1"/>
  </cols>
  <sheetData>
    <row r="1" spans="1:18" s="1" customFormat="1" ht="43.5" customHeight="1" x14ac:dyDescent="0.3">
      <c r="A1" s="2263" t="s">
        <v>1403</v>
      </c>
      <c r="B1" s="2263"/>
      <c r="C1" s="2263"/>
      <c r="D1" s="2263"/>
      <c r="E1" s="2263"/>
      <c r="F1" s="2263"/>
      <c r="G1" s="2263"/>
      <c r="H1" s="2263"/>
      <c r="I1" s="2263"/>
      <c r="J1" s="2263"/>
      <c r="K1" s="2263"/>
      <c r="L1" s="2263"/>
      <c r="M1" s="2263"/>
    </row>
    <row r="2" spans="1:18" s="1" customFormat="1" ht="48" customHeight="1" x14ac:dyDescent="0.3">
      <c r="A2" s="2264" t="s">
        <v>46</v>
      </c>
      <c r="B2" s="2264" t="s">
        <v>224</v>
      </c>
      <c r="C2" s="2264" t="s">
        <v>48</v>
      </c>
      <c r="D2" s="2264" t="s">
        <v>6</v>
      </c>
      <c r="E2" s="2264" t="s">
        <v>225</v>
      </c>
      <c r="F2" s="2265" t="s">
        <v>8</v>
      </c>
      <c r="G2" s="2266" t="s">
        <v>9</v>
      </c>
      <c r="H2" s="2267"/>
      <c r="I2" s="2267"/>
      <c r="J2" s="2267"/>
      <c r="K2" s="2267"/>
      <c r="L2" s="2268" t="s">
        <v>102</v>
      </c>
      <c r="M2" s="2268" t="s">
        <v>11</v>
      </c>
    </row>
    <row r="3" spans="1:18" s="1" customFormat="1" ht="35.25" customHeight="1" x14ac:dyDescent="0.3">
      <c r="A3" s="2264"/>
      <c r="B3" s="2264"/>
      <c r="C3" s="2264"/>
      <c r="D3" s="2264"/>
      <c r="E3" s="2264"/>
      <c r="F3" s="2265"/>
      <c r="G3" s="617" t="s">
        <v>4</v>
      </c>
      <c r="H3" s="618" t="s">
        <v>91</v>
      </c>
      <c r="I3" s="618" t="s">
        <v>90</v>
      </c>
      <c r="J3" s="618" t="s">
        <v>89</v>
      </c>
      <c r="K3" s="618" t="s">
        <v>221</v>
      </c>
      <c r="L3" s="2269"/>
      <c r="M3" s="2269"/>
    </row>
    <row r="4" spans="1:18" s="11" customFormat="1" ht="15" customHeight="1" x14ac:dyDescent="0.3">
      <c r="A4" s="619">
        <v>1</v>
      </c>
      <c r="B4" s="619">
        <v>2</v>
      </c>
      <c r="C4" s="619">
        <v>3</v>
      </c>
      <c r="D4" s="619">
        <v>4</v>
      </c>
      <c r="E4" s="619">
        <v>5</v>
      </c>
      <c r="F4" s="620">
        <v>6</v>
      </c>
      <c r="G4" s="620">
        <v>7</v>
      </c>
      <c r="H4" s="620">
        <v>8</v>
      </c>
      <c r="I4" s="620">
        <v>9</v>
      </c>
      <c r="J4" s="620">
        <v>10</v>
      </c>
      <c r="K4" s="620">
        <v>11</v>
      </c>
      <c r="L4" s="619">
        <v>12</v>
      </c>
      <c r="M4" s="619">
        <v>13</v>
      </c>
    </row>
    <row r="5" spans="1:18" s="248" customFormat="1" ht="19.5" customHeight="1" x14ac:dyDescent="0.3">
      <c r="A5" s="2245">
        <v>1</v>
      </c>
      <c r="B5" s="2247" t="s">
        <v>1530</v>
      </c>
      <c r="C5" s="2247" t="s">
        <v>227</v>
      </c>
      <c r="D5" s="2254"/>
      <c r="E5" s="2255"/>
      <c r="F5" s="2255"/>
      <c r="G5" s="2255"/>
      <c r="H5" s="2255"/>
      <c r="I5" s="2255"/>
      <c r="J5" s="2255"/>
      <c r="K5" s="2256"/>
      <c r="L5" s="2270"/>
      <c r="M5" s="2272"/>
    </row>
    <row r="6" spans="1:18" s="248" customFormat="1" ht="27" customHeight="1" x14ac:dyDescent="0.3">
      <c r="A6" s="2246"/>
      <c r="B6" s="2248"/>
      <c r="C6" s="2248"/>
      <c r="D6" s="2257"/>
      <c r="E6" s="2258"/>
      <c r="F6" s="2258"/>
      <c r="G6" s="2258"/>
      <c r="H6" s="2258"/>
      <c r="I6" s="2258"/>
      <c r="J6" s="2258"/>
      <c r="K6" s="2259"/>
      <c r="L6" s="2271"/>
      <c r="M6" s="2273"/>
    </row>
    <row r="7" spans="1:18" s="248" customFormat="1" ht="57" customHeight="1" x14ac:dyDescent="0.3">
      <c r="A7" s="2246"/>
      <c r="B7" s="2248"/>
      <c r="C7" s="2248"/>
      <c r="D7" s="2260"/>
      <c r="E7" s="2261"/>
      <c r="F7" s="2261"/>
      <c r="G7" s="2261"/>
      <c r="H7" s="2261"/>
      <c r="I7" s="2261"/>
      <c r="J7" s="2261"/>
      <c r="K7" s="2262"/>
      <c r="L7" s="2271"/>
      <c r="M7" s="2273"/>
    </row>
    <row r="8" spans="1:18" s="4" customFormat="1" ht="21" customHeight="1" x14ac:dyDescent="0.3">
      <c r="A8" s="2275" t="s">
        <v>115</v>
      </c>
      <c r="B8" s="1513" t="s">
        <v>1529</v>
      </c>
      <c r="C8" s="1157" t="s">
        <v>227</v>
      </c>
      <c r="D8" s="2249" t="s">
        <v>365</v>
      </c>
      <c r="E8" s="2250"/>
      <c r="F8" s="2250"/>
      <c r="G8" s="2250"/>
      <c r="H8" s="2250"/>
      <c r="I8" s="2250"/>
      <c r="J8" s="2250"/>
      <c r="K8" s="2251"/>
      <c r="L8" s="1513" t="s">
        <v>16</v>
      </c>
      <c r="M8" s="1513" t="s">
        <v>1531</v>
      </c>
      <c r="N8" s="29"/>
    </row>
    <row r="9" spans="1:18" s="4" customFormat="1" ht="30" customHeight="1" x14ac:dyDescent="0.3">
      <c r="A9" s="2276"/>
      <c r="B9" s="2244"/>
      <c r="C9" s="1158"/>
      <c r="D9" s="1517"/>
      <c r="E9" s="2252"/>
      <c r="F9" s="2252"/>
      <c r="G9" s="2252"/>
      <c r="H9" s="2252"/>
      <c r="I9" s="2252"/>
      <c r="J9" s="2252"/>
      <c r="K9" s="1518"/>
      <c r="L9" s="2244"/>
      <c r="M9" s="2244"/>
      <c r="R9" s="30"/>
    </row>
    <row r="10" spans="1:18" s="4" customFormat="1" ht="40.5" customHeight="1" x14ac:dyDescent="0.3">
      <c r="A10" s="2277"/>
      <c r="B10" s="1514"/>
      <c r="C10" s="1159"/>
      <c r="D10" s="1519"/>
      <c r="E10" s="2253"/>
      <c r="F10" s="2253"/>
      <c r="G10" s="2253"/>
      <c r="H10" s="2253"/>
      <c r="I10" s="2253"/>
      <c r="J10" s="2253"/>
      <c r="K10" s="1520"/>
      <c r="L10" s="1514"/>
      <c r="M10" s="1514"/>
    </row>
    <row r="11" spans="1:18" s="4" customFormat="1" ht="71.25" customHeight="1" x14ac:dyDescent="0.3">
      <c r="A11" s="1111" t="s">
        <v>116</v>
      </c>
      <c r="B11" s="1112" t="s">
        <v>1532</v>
      </c>
      <c r="C11" s="1157" t="s">
        <v>227</v>
      </c>
      <c r="D11" s="1113"/>
      <c r="E11" s="1114"/>
      <c r="F11" s="1114"/>
      <c r="G11" s="1114"/>
      <c r="H11" s="1114"/>
      <c r="I11" s="1114"/>
      <c r="J11" s="1114"/>
      <c r="K11" s="1115"/>
      <c r="L11" s="1112" t="s">
        <v>16</v>
      </c>
      <c r="M11" s="1112" t="s">
        <v>1533</v>
      </c>
    </row>
    <row r="12" spans="1:18" s="4" customFormat="1" ht="30" customHeight="1" x14ac:dyDescent="0.3">
      <c r="A12" s="2231" t="s">
        <v>621</v>
      </c>
      <c r="B12" s="1513" t="s">
        <v>850</v>
      </c>
      <c r="C12" s="150" t="s">
        <v>227</v>
      </c>
      <c r="D12" s="845" t="s">
        <v>12</v>
      </c>
      <c r="E12" s="848"/>
      <c r="F12" s="848">
        <f>F13+F14+F15</f>
        <v>5692167.46</v>
      </c>
      <c r="G12" s="848">
        <f t="shared" ref="G12:K12" si="0">G13+G14+G15</f>
        <v>3995610.46</v>
      </c>
      <c r="H12" s="848">
        <f t="shared" si="0"/>
        <v>1202983</v>
      </c>
      <c r="I12" s="848">
        <f t="shared" si="0"/>
        <v>493574</v>
      </c>
      <c r="J12" s="848">
        <f t="shared" si="0"/>
        <v>0</v>
      </c>
      <c r="K12" s="848">
        <f t="shared" si="0"/>
        <v>0</v>
      </c>
      <c r="L12" s="1513"/>
      <c r="M12" s="1513"/>
      <c r="N12" s="29">
        <v>2018</v>
      </c>
      <c r="O12" s="4">
        <v>2019</v>
      </c>
      <c r="P12" s="4">
        <v>2020</v>
      </c>
    </row>
    <row r="13" spans="1:18" s="4" customFormat="1" ht="36" customHeight="1" x14ac:dyDescent="0.3">
      <c r="A13" s="2274"/>
      <c r="B13" s="2244"/>
      <c r="C13" s="150" t="s">
        <v>227</v>
      </c>
      <c r="D13" s="845" t="s">
        <v>13</v>
      </c>
      <c r="E13" s="848"/>
      <c r="F13" s="848">
        <f>G13+H13+I13+J13+K13</f>
        <v>4984315</v>
      </c>
      <c r="G13" s="916">
        <f>G17+G20+G24+G27+G38</f>
        <v>3351600</v>
      </c>
      <c r="H13" s="848">
        <f>H17+H20+H24+H27</f>
        <v>1139141</v>
      </c>
      <c r="I13" s="848">
        <f t="shared" ref="I13:K13" si="1">I17+I20+I24+I27</f>
        <v>493574</v>
      </c>
      <c r="J13" s="848">
        <f t="shared" si="1"/>
        <v>0</v>
      </c>
      <c r="K13" s="848">
        <f t="shared" si="1"/>
        <v>0</v>
      </c>
      <c r="L13" s="2244"/>
      <c r="M13" s="2244"/>
      <c r="N13" s="4" t="e">
        <f>N18+N20+N27+N30+N33+N35</f>
        <v>#VALUE!</v>
      </c>
      <c r="O13" s="4">
        <f>O18+O20+O27+O30+O33+O35</f>
        <v>3</v>
      </c>
      <c r="P13" s="4">
        <f>P18+P20+P27+P30+P33+P35</f>
        <v>0</v>
      </c>
      <c r="R13" s="30"/>
    </row>
    <row r="14" spans="1:18" s="4" customFormat="1" ht="53.25" customHeight="1" x14ac:dyDescent="0.3">
      <c r="A14" s="2274"/>
      <c r="B14" s="2244"/>
      <c r="C14" s="150" t="s">
        <v>227</v>
      </c>
      <c r="D14" s="845" t="s">
        <v>14</v>
      </c>
      <c r="E14" s="848"/>
      <c r="F14" s="848">
        <f>G14+H14+I14+J14+K14</f>
        <v>235481.42</v>
      </c>
      <c r="G14" s="848">
        <f>G18+G25+G28+G31+G39</f>
        <v>197127.42</v>
      </c>
      <c r="H14" s="848">
        <f t="shared" ref="H14:K14" si="2">H18+H25+H28+H31</f>
        <v>38354</v>
      </c>
      <c r="I14" s="848">
        <f t="shared" si="2"/>
        <v>0</v>
      </c>
      <c r="J14" s="848">
        <f t="shared" si="2"/>
        <v>0</v>
      </c>
      <c r="K14" s="848">
        <f t="shared" si="2"/>
        <v>0</v>
      </c>
      <c r="L14" s="2244"/>
      <c r="M14" s="2244"/>
      <c r="R14" s="30">
        <f>G17+G27+G20</f>
        <v>2720174</v>
      </c>
    </row>
    <row r="15" spans="1:18" s="4" customFormat="1" ht="43.5" customHeight="1" x14ac:dyDescent="0.3">
      <c r="A15" s="2232"/>
      <c r="B15" s="1514"/>
      <c r="C15" s="150" t="s">
        <v>227</v>
      </c>
      <c r="D15" s="845" t="s">
        <v>15</v>
      </c>
      <c r="E15" s="848"/>
      <c r="F15" s="848">
        <f>G15+H15+I15+J15+K15</f>
        <v>472371.04</v>
      </c>
      <c r="G15" s="848">
        <f>G30+G33</f>
        <v>446883.04</v>
      </c>
      <c r="H15" s="848">
        <f t="shared" ref="H15:K15" si="3">H30+H33</f>
        <v>25488</v>
      </c>
      <c r="I15" s="848">
        <f t="shared" si="3"/>
        <v>0</v>
      </c>
      <c r="J15" s="848">
        <f t="shared" si="3"/>
        <v>0</v>
      </c>
      <c r="K15" s="848">
        <f t="shared" si="3"/>
        <v>0</v>
      </c>
      <c r="L15" s="1514"/>
      <c r="M15" s="1514"/>
      <c r="R15" s="30">
        <f>G12-G24</f>
        <v>3434184.46</v>
      </c>
    </row>
    <row r="16" spans="1:18" s="4" customFormat="1" ht="39" customHeight="1" x14ac:dyDescent="0.3">
      <c r="A16" s="1784" t="s">
        <v>149</v>
      </c>
      <c r="B16" s="1781" t="s">
        <v>622</v>
      </c>
      <c r="C16" s="829">
        <v>2018</v>
      </c>
      <c r="D16" s="845" t="s">
        <v>12</v>
      </c>
      <c r="E16" s="847"/>
      <c r="F16" s="847">
        <f>F17+F18</f>
        <v>2462188.2400000002</v>
      </c>
      <c r="G16" s="847">
        <f t="shared" ref="G16:K16" si="4">G17+G18</f>
        <v>2412188.2400000002</v>
      </c>
      <c r="H16" s="847">
        <f t="shared" si="4"/>
        <v>50000</v>
      </c>
      <c r="I16" s="847">
        <f t="shared" si="4"/>
        <v>0</v>
      </c>
      <c r="J16" s="847">
        <f t="shared" si="4"/>
        <v>0</v>
      </c>
      <c r="K16" s="847">
        <f t="shared" si="4"/>
        <v>0</v>
      </c>
      <c r="L16" s="1781" t="s">
        <v>570</v>
      </c>
      <c r="M16" s="1785" t="s">
        <v>1461</v>
      </c>
      <c r="N16" s="29">
        <v>2018</v>
      </c>
      <c r="O16" s="29">
        <v>2019</v>
      </c>
      <c r="P16" s="29">
        <v>2020</v>
      </c>
      <c r="Q16" s="603" t="s">
        <v>927</v>
      </c>
    </row>
    <row r="17" spans="1:23" s="4" customFormat="1" ht="39" customHeight="1" x14ac:dyDescent="0.45">
      <c r="A17" s="1784"/>
      <c r="B17" s="1781"/>
      <c r="C17" s="829">
        <v>2018</v>
      </c>
      <c r="D17" s="828" t="s">
        <v>13</v>
      </c>
      <c r="E17" s="889"/>
      <c r="F17" s="889">
        <f>G17+H17+I17+J17+K17</f>
        <v>2317261</v>
      </c>
      <c r="G17" s="917">
        <f>'А П 3'!I161</f>
        <v>2275561</v>
      </c>
      <c r="H17" s="889">
        <f>'А П 3'!J161</f>
        <v>41700</v>
      </c>
      <c r="I17" s="889">
        <f>'А П 3'!K161</f>
        <v>0</v>
      </c>
      <c r="J17" s="889">
        <f>'А П 3'!L161</f>
        <v>0</v>
      </c>
      <c r="K17" s="847">
        <f>'А П 3'!M161</f>
        <v>0</v>
      </c>
      <c r="L17" s="1781"/>
      <c r="M17" s="1785"/>
      <c r="N17" s="602" t="s">
        <v>1396</v>
      </c>
      <c r="O17" s="29"/>
      <c r="P17" s="29"/>
      <c r="Q17" s="603"/>
      <c r="R17" s="30"/>
    </row>
    <row r="18" spans="1:23" s="4" customFormat="1" ht="39" customHeight="1" x14ac:dyDescent="0.3">
      <c r="A18" s="1784"/>
      <c r="B18" s="1781"/>
      <c r="C18" s="829">
        <v>2018</v>
      </c>
      <c r="D18" s="845" t="s">
        <v>14</v>
      </c>
      <c r="E18" s="847"/>
      <c r="F18" s="847">
        <f>G18+H18+I18+J18+K18</f>
        <v>144927.24</v>
      </c>
      <c r="G18" s="847">
        <f>'А П 3'!I162</f>
        <v>136627.24</v>
      </c>
      <c r="H18" s="847">
        <f>'А П 3'!J162</f>
        <v>8300</v>
      </c>
      <c r="I18" s="847">
        <f>'А П 3'!K162</f>
        <v>0</v>
      </c>
      <c r="J18" s="847">
        <f>'А П 3'!L162</f>
        <v>0</v>
      </c>
      <c r="K18" s="847">
        <f>'А П 3'!M162</f>
        <v>0</v>
      </c>
      <c r="L18" s="1781"/>
      <c r="M18" s="1785"/>
      <c r="N18" s="29">
        <v>20</v>
      </c>
      <c r="O18" s="29"/>
      <c r="P18" s="29"/>
      <c r="Q18" s="603"/>
      <c r="R18" s="4" t="s">
        <v>701</v>
      </c>
    </row>
    <row r="19" spans="1:23" s="4" customFormat="1" ht="37.5" customHeight="1" x14ac:dyDescent="0.3">
      <c r="A19" s="1784" t="s">
        <v>160</v>
      </c>
      <c r="B19" s="1781" t="s">
        <v>1400</v>
      </c>
      <c r="C19" s="1538" t="s">
        <v>148</v>
      </c>
      <c r="D19" s="845" t="s">
        <v>12</v>
      </c>
      <c r="E19" s="76">
        <f>E20</f>
        <v>160762.26999999999</v>
      </c>
      <c r="F19" s="76">
        <f>F20</f>
        <v>632062</v>
      </c>
      <c r="G19" s="76">
        <f t="shared" ref="G19:K19" si="5">G20</f>
        <v>298567</v>
      </c>
      <c r="H19" s="76">
        <f t="shared" si="5"/>
        <v>333495</v>
      </c>
      <c r="I19" s="76">
        <f t="shared" si="5"/>
        <v>0</v>
      </c>
      <c r="J19" s="76">
        <f t="shared" si="5"/>
        <v>0</v>
      </c>
      <c r="K19" s="76">
        <f t="shared" si="5"/>
        <v>0</v>
      </c>
      <c r="L19" s="1781" t="s">
        <v>1318</v>
      </c>
      <c r="M19" s="1785" t="s">
        <v>1462</v>
      </c>
      <c r="N19" s="29">
        <v>2018</v>
      </c>
      <c r="O19" s="29"/>
      <c r="P19" s="29"/>
    </row>
    <row r="20" spans="1:23" s="4" customFormat="1" ht="60" customHeight="1" x14ac:dyDescent="0.3">
      <c r="A20" s="1784"/>
      <c r="B20" s="1781"/>
      <c r="C20" s="1538"/>
      <c r="D20" s="845" t="s">
        <v>617</v>
      </c>
      <c r="E20" s="76">
        <f>'А П 3'!F211</f>
        <v>160762.26999999999</v>
      </c>
      <c r="F20" s="76">
        <f>G20+H20+I20+J20+K20</f>
        <v>632062</v>
      </c>
      <c r="G20" s="76">
        <f>'А П 3'!I211</f>
        <v>298567</v>
      </c>
      <c r="H20" s="76">
        <f>'А П 3'!J210</f>
        <v>333495</v>
      </c>
      <c r="I20" s="76">
        <f>'[2]адресный перечень модернизации'!K25</f>
        <v>0</v>
      </c>
      <c r="J20" s="76">
        <f>'[2]адресный перечень модернизации'!L25</f>
        <v>0</v>
      </c>
      <c r="K20" s="76">
        <f>'[2]адресный перечень модернизации'!M25</f>
        <v>0</v>
      </c>
      <c r="L20" s="1781"/>
      <c r="M20" s="1785"/>
      <c r="N20" s="29">
        <v>3</v>
      </c>
      <c r="O20" s="29"/>
      <c r="P20" s="29"/>
    </row>
    <row r="21" spans="1:23" s="4" customFormat="1" ht="72" customHeight="1" x14ac:dyDescent="0.3">
      <c r="A21" s="1232"/>
      <c r="B21" s="1235"/>
      <c r="C21" s="1228"/>
      <c r="D21" s="1234" t="s">
        <v>13</v>
      </c>
      <c r="E21" s="76"/>
      <c r="F21" s="76">
        <f>G21+H21</f>
        <v>539358</v>
      </c>
      <c r="G21" s="196">
        <f>'А П 3'!I213</f>
        <v>205863</v>
      </c>
      <c r="H21" s="196">
        <f>'А П 3'!J213</f>
        <v>333495</v>
      </c>
      <c r="I21" s="76">
        <v>0</v>
      </c>
      <c r="J21" s="76">
        <v>0</v>
      </c>
      <c r="K21" s="76">
        <v>0</v>
      </c>
      <c r="L21" s="1234" t="s">
        <v>16</v>
      </c>
      <c r="M21" s="1233"/>
      <c r="N21" s="29"/>
      <c r="O21" s="29"/>
      <c r="P21" s="29"/>
    </row>
    <row r="22" spans="1:23" s="4" customFormat="1" ht="64.5" customHeight="1" x14ac:dyDescent="0.3">
      <c r="A22" s="1232"/>
      <c r="B22" s="1227"/>
      <c r="C22" s="1228"/>
      <c r="D22" s="1234" t="s">
        <v>13</v>
      </c>
      <c r="E22" s="76"/>
      <c r="F22" s="76">
        <f>G22+H22</f>
        <v>92704</v>
      </c>
      <c r="G22" s="196">
        <f>'А П 3'!H214</f>
        <v>92704</v>
      </c>
      <c r="H22" s="196">
        <v>0</v>
      </c>
      <c r="I22" s="76">
        <v>0</v>
      </c>
      <c r="J22" s="76">
        <v>0</v>
      </c>
      <c r="K22" s="76">
        <v>0</v>
      </c>
      <c r="L22" s="1234" t="s">
        <v>642</v>
      </c>
      <c r="M22" s="1233"/>
      <c r="N22" s="29"/>
      <c r="O22" s="29"/>
      <c r="P22" s="29"/>
    </row>
    <row r="23" spans="1:23" s="4" customFormat="1" ht="27.75" customHeight="1" x14ac:dyDescent="0.3">
      <c r="A23" s="1784" t="s">
        <v>596</v>
      </c>
      <c r="B23" s="1781" t="s">
        <v>1404</v>
      </c>
      <c r="C23" s="829" t="s">
        <v>334</v>
      </c>
      <c r="D23" s="845" t="s">
        <v>12</v>
      </c>
      <c r="E23" s="847"/>
      <c r="F23" s="847">
        <f>F24+F25</f>
        <v>1725000</v>
      </c>
      <c r="G23" s="847">
        <f>G24+G25</f>
        <v>561426</v>
      </c>
      <c r="H23" s="847">
        <f t="shared" ref="H23:K23" si="6">H24+H25</f>
        <v>670000</v>
      </c>
      <c r="I23" s="847">
        <f t="shared" si="6"/>
        <v>493574</v>
      </c>
      <c r="J23" s="847">
        <f t="shared" si="6"/>
        <v>0</v>
      </c>
      <c r="K23" s="847">
        <f t="shared" si="6"/>
        <v>0</v>
      </c>
      <c r="L23" s="1781" t="s">
        <v>863</v>
      </c>
      <c r="M23" s="1781"/>
    </row>
    <row r="24" spans="1:23" s="4" customFormat="1" ht="32.25" customHeight="1" x14ac:dyDescent="0.3">
      <c r="A24" s="1784"/>
      <c r="B24" s="1781"/>
      <c r="C24" s="829" t="s">
        <v>334</v>
      </c>
      <c r="D24" s="845" t="s">
        <v>13</v>
      </c>
      <c r="E24" s="847"/>
      <c r="F24" s="847">
        <f>G24+H24+I24+J24+K24</f>
        <v>1725000</v>
      </c>
      <c r="G24" s="920">
        <f>'А П 3'!I321</f>
        <v>561426</v>
      </c>
      <c r="H24" s="847">
        <f>'А П 3'!J321</f>
        <v>670000</v>
      </c>
      <c r="I24" s="847">
        <f>'А П 3'!K321</f>
        <v>493574</v>
      </c>
      <c r="J24" s="847">
        <f>'А П 3'!L321</f>
        <v>0</v>
      </c>
      <c r="K24" s="847">
        <f>'А П 3'!M321</f>
        <v>0</v>
      </c>
      <c r="L24" s="1781"/>
      <c r="M24" s="1781"/>
    </row>
    <row r="25" spans="1:23" s="4" customFormat="1" ht="52.5" customHeight="1" x14ac:dyDescent="0.3">
      <c r="A25" s="1784"/>
      <c r="B25" s="1781"/>
      <c r="C25" s="829" t="s">
        <v>334</v>
      </c>
      <c r="D25" s="845" t="s">
        <v>14</v>
      </c>
      <c r="E25" s="847"/>
      <c r="F25" s="847">
        <f>G25+H25+I25+J25+K25</f>
        <v>0</v>
      </c>
      <c r="G25" s="847">
        <v>0</v>
      </c>
      <c r="H25" s="847">
        <v>0</v>
      </c>
      <c r="I25" s="847">
        <v>0</v>
      </c>
      <c r="J25" s="847">
        <f>'А П 3'!L322</f>
        <v>0</v>
      </c>
      <c r="K25" s="847">
        <f>'А П 3'!M322</f>
        <v>0</v>
      </c>
      <c r="L25" s="1781"/>
      <c r="M25" s="1781"/>
    </row>
    <row r="26" spans="1:23" s="4" customFormat="1" ht="37.5" customHeight="1" x14ac:dyDescent="0.3">
      <c r="A26" s="1784" t="s">
        <v>606</v>
      </c>
      <c r="B26" s="1781" t="s">
        <v>647</v>
      </c>
      <c r="C26" s="829" t="s">
        <v>208</v>
      </c>
      <c r="D26" s="845" t="s">
        <v>12</v>
      </c>
      <c r="E26" s="847"/>
      <c r="F26" s="847">
        <f>F27+F28</f>
        <v>304786.95</v>
      </c>
      <c r="G26" s="847">
        <f t="shared" ref="G26:K26" si="7">G27+G28</f>
        <v>180786.95</v>
      </c>
      <c r="H26" s="847">
        <f t="shared" si="7"/>
        <v>124000</v>
      </c>
      <c r="I26" s="847">
        <f t="shared" si="7"/>
        <v>0</v>
      </c>
      <c r="J26" s="847">
        <f t="shared" si="7"/>
        <v>0</v>
      </c>
      <c r="K26" s="847">
        <f t="shared" si="7"/>
        <v>0</v>
      </c>
      <c r="L26" s="1781" t="s">
        <v>570</v>
      </c>
      <c r="M26" s="1781" t="s">
        <v>980</v>
      </c>
      <c r="N26" s="29">
        <v>2018</v>
      </c>
      <c r="O26" s="29">
        <v>2019</v>
      </c>
      <c r="P26" s="29"/>
      <c r="Q26" s="2293" t="s">
        <v>332</v>
      </c>
    </row>
    <row r="27" spans="1:23" s="4" customFormat="1" ht="57" customHeight="1" x14ac:dyDescent="0.3">
      <c r="A27" s="1784"/>
      <c r="B27" s="1781"/>
      <c r="C27" s="829" t="s">
        <v>208</v>
      </c>
      <c r="D27" s="845" t="s">
        <v>13</v>
      </c>
      <c r="E27" s="847"/>
      <c r="F27" s="847">
        <f>G27+H27+I27+J27+K27</f>
        <v>239992</v>
      </c>
      <c r="G27" s="920">
        <f>'А П 3'!I297</f>
        <v>146046</v>
      </c>
      <c r="H27" s="1365">
        <f>'А П 3'!J297</f>
        <v>93946</v>
      </c>
      <c r="I27" s="847">
        <f>'А П 3'!K297</f>
        <v>0</v>
      </c>
      <c r="J27" s="847">
        <f>'А П 3'!L297</f>
        <v>0</v>
      </c>
      <c r="K27" s="847">
        <f>'А П 3'!M297</f>
        <v>0</v>
      </c>
      <c r="L27" s="1781"/>
      <c r="M27" s="1781"/>
      <c r="N27" s="29">
        <v>2</v>
      </c>
      <c r="O27" s="29">
        <v>3</v>
      </c>
      <c r="P27" s="29"/>
      <c r="Q27" s="2293"/>
    </row>
    <row r="28" spans="1:23" s="4" customFormat="1" ht="55.5" customHeight="1" x14ac:dyDescent="0.3">
      <c r="A28" s="1784"/>
      <c r="B28" s="1781"/>
      <c r="C28" s="829" t="s">
        <v>208</v>
      </c>
      <c r="D28" s="845" t="s">
        <v>14</v>
      </c>
      <c r="E28" s="847"/>
      <c r="F28" s="847">
        <f>G28+H28+I28+J28+K28</f>
        <v>64794.95</v>
      </c>
      <c r="G28" s="847">
        <f>'А П 3'!I298</f>
        <v>34740.949999999997</v>
      </c>
      <c r="H28" s="847">
        <f>'А П 3'!J298</f>
        <v>30054</v>
      </c>
      <c r="I28" s="847">
        <f>'А П 3'!K298</f>
        <v>0</v>
      </c>
      <c r="J28" s="847">
        <f>'А П 3'!L298</f>
        <v>0</v>
      </c>
      <c r="K28" s="847">
        <f>'А П 3'!M298</f>
        <v>0</v>
      </c>
      <c r="L28" s="1781"/>
      <c r="M28" s="1781"/>
      <c r="N28" s="29"/>
      <c r="O28" s="29"/>
      <c r="P28" s="29"/>
      <c r="Q28" s="2293"/>
    </row>
    <row r="29" spans="1:23" s="4" customFormat="1" ht="25.5" customHeight="1" x14ac:dyDescent="0.3">
      <c r="A29" s="1784" t="s">
        <v>649</v>
      </c>
      <c r="B29" s="1781" t="s">
        <v>648</v>
      </c>
      <c r="C29" s="895" t="s">
        <v>82</v>
      </c>
      <c r="D29" s="845" t="s">
        <v>42</v>
      </c>
      <c r="E29" s="891">
        <f>E30+E31</f>
        <v>659115.82999999996</v>
      </c>
      <c r="F29" s="848">
        <f>F30+F31</f>
        <v>98085.04</v>
      </c>
      <c r="G29" s="848">
        <f>G30+G31</f>
        <v>98085.04</v>
      </c>
      <c r="H29" s="848">
        <f t="shared" ref="H29:K29" si="8">H30+H31</f>
        <v>0</v>
      </c>
      <c r="I29" s="848">
        <f t="shared" si="8"/>
        <v>0</v>
      </c>
      <c r="J29" s="848">
        <f t="shared" si="8"/>
        <v>0</v>
      </c>
      <c r="K29" s="848">
        <f t="shared" si="8"/>
        <v>0</v>
      </c>
      <c r="L29" s="1781" t="s">
        <v>652</v>
      </c>
      <c r="M29" s="1781" t="s">
        <v>981</v>
      </c>
      <c r="N29" s="29">
        <v>2018</v>
      </c>
      <c r="O29" s="29">
        <v>2019</v>
      </c>
      <c r="P29" s="29"/>
    </row>
    <row r="30" spans="1:23" s="4" customFormat="1" ht="33" customHeight="1" x14ac:dyDescent="0.3">
      <c r="A30" s="1784"/>
      <c r="B30" s="1781"/>
      <c r="C30" s="895" t="s">
        <v>82</v>
      </c>
      <c r="D30" s="845" t="s">
        <v>15</v>
      </c>
      <c r="E30" s="891">
        <v>565149.85</v>
      </c>
      <c r="F30" s="848">
        <f>G30+H30+I30+J30+K30</f>
        <v>98085.04</v>
      </c>
      <c r="G30" s="848">
        <f>'А П 3'!I1036</f>
        <v>98085.04</v>
      </c>
      <c r="H30" s="848">
        <f>'А П 3'!J1036</f>
        <v>0</v>
      </c>
      <c r="I30" s="848">
        <f>'А П 3'!K1036</f>
        <v>0</v>
      </c>
      <c r="J30" s="848">
        <f>'А П 3'!L1036</f>
        <v>0</v>
      </c>
      <c r="K30" s="848">
        <f>'А П 3'!M1036</f>
        <v>0</v>
      </c>
      <c r="L30" s="1781"/>
      <c r="M30" s="1781"/>
      <c r="N30" s="29">
        <v>1</v>
      </c>
      <c r="O30" s="29"/>
      <c r="P30" s="29"/>
      <c r="Q30" s="4" t="s">
        <v>653</v>
      </c>
    </row>
    <row r="31" spans="1:23" s="4" customFormat="1" ht="63" customHeight="1" x14ac:dyDescent="0.3">
      <c r="A31" s="1784"/>
      <c r="B31" s="1781"/>
      <c r="C31" s="830" t="s">
        <v>82</v>
      </c>
      <c r="D31" s="845" t="s">
        <v>14</v>
      </c>
      <c r="E31" s="891">
        <v>93965.98</v>
      </c>
      <c r="F31" s="848">
        <f>G31+H31+I31+J31+K31</f>
        <v>0</v>
      </c>
      <c r="G31" s="848">
        <v>0</v>
      </c>
      <c r="H31" s="848">
        <v>0</v>
      </c>
      <c r="I31" s="848">
        <v>0</v>
      </c>
      <c r="J31" s="848">
        <v>0</v>
      </c>
      <c r="K31" s="848">
        <v>0</v>
      </c>
      <c r="L31" s="1781"/>
      <c r="M31" s="1781"/>
      <c r="N31" s="29"/>
      <c r="O31" s="29"/>
      <c r="P31" s="29"/>
      <c r="V31" s="4" t="s">
        <v>33</v>
      </c>
      <c r="W31" s="30">
        <f>G12+G40+G58</f>
        <v>7139836.96</v>
      </c>
    </row>
    <row r="32" spans="1:23" s="4" customFormat="1" ht="46.5" customHeight="1" x14ac:dyDescent="0.3">
      <c r="A32" s="2283" t="s">
        <v>659</v>
      </c>
      <c r="B32" s="1781" t="s">
        <v>660</v>
      </c>
      <c r="C32" s="2284" t="s">
        <v>148</v>
      </c>
      <c r="D32" s="845" t="s">
        <v>12</v>
      </c>
      <c r="E32" s="891">
        <f>E33</f>
        <v>463928</v>
      </c>
      <c r="F32" s="891">
        <f t="shared" ref="F32" si="9">SUM(G32:K32)</f>
        <v>374286</v>
      </c>
      <c r="G32" s="891">
        <f>G33</f>
        <v>348798</v>
      </c>
      <c r="H32" s="891">
        <f>H33</f>
        <v>25488</v>
      </c>
      <c r="I32" s="891">
        <f>I33</f>
        <v>0</v>
      </c>
      <c r="J32" s="891">
        <f>J33</f>
        <v>0</v>
      </c>
      <c r="K32" s="891">
        <f>K33</f>
        <v>0</v>
      </c>
      <c r="L32" s="150" t="s">
        <v>654</v>
      </c>
      <c r="M32" s="2233"/>
      <c r="N32" s="29">
        <v>2018</v>
      </c>
      <c r="O32" s="29"/>
      <c r="P32" s="29"/>
      <c r="V32" s="4" t="s">
        <v>563</v>
      </c>
      <c r="W32" s="30">
        <f>G13+G41+G59</f>
        <v>6278573.46</v>
      </c>
    </row>
    <row r="33" spans="1:30" s="4" customFormat="1" ht="60" customHeight="1" x14ac:dyDescent="0.7">
      <c r="A33" s="2283"/>
      <c r="B33" s="1781"/>
      <c r="C33" s="2285"/>
      <c r="D33" s="845" t="s">
        <v>15</v>
      </c>
      <c r="E33" s="891">
        <f>E34+E35+E36</f>
        <v>463928</v>
      </c>
      <c r="F33" s="891">
        <f>SUM(G33:K33)</f>
        <v>374286</v>
      </c>
      <c r="G33" s="891">
        <f>G34+G35+G36</f>
        <v>348798</v>
      </c>
      <c r="H33" s="891">
        <f>H34+H35+H36</f>
        <v>25488</v>
      </c>
      <c r="I33" s="891">
        <f t="shared" ref="I33:K33" si="10">I34+I35+I36</f>
        <v>0</v>
      </c>
      <c r="J33" s="891">
        <f t="shared" si="10"/>
        <v>0</v>
      </c>
      <c r="K33" s="891">
        <f t="shared" si="10"/>
        <v>0</v>
      </c>
      <c r="L33" s="150" t="s">
        <v>655</v>
      </c>
      <c r="M33" s="1522"/>
      <c r="N33" s="918" t="s">
        <v>1428</v>
      </c>
      <c r="O33" s="29"/>
      <c r="P33" s="29"/>
      <c r="W33" s="30">
        <f>G14+G42</f>
        <v>414380.46</v>
      </c>
    </row>
    <row r="34" spans="1:30" s="4" customFormat="1" ht="57.75" customHeight="1" x14ac:dyDescent="0.3">
      <c r="A34" s="919" t="s">
        <v>661</v>
      </c>
      <c r="B34" s="845" t="s">
        <v>656</v>
      </c>
      <c r="C34" s="830" t="s">
        <v>82</v>
      </c>
      <c r="D34" s="845" t="s">
        <v>15</v>
      </c>
      <c r="E34" s="891">
        <v>18280</v>
      </c>
      <c r="F34" s="891">
        <f>G34+H34+I34+J34+K34</f>
        <v>58500</v>
      </c>
      <c r="G34" s="848">
        <v>58500</v>
      </c>
      <c r="H34" s="848"/>
      <c r="I34" s="848"/>
      <c r="J34" s="848"/>
      <c r="K34" s="848"/>
      <c r="L34" s="845" t="s">
        <v>655</v>
      </c>
      <c r="M34" s="845" t="s">
        <v>979</v>
      </c>
      <c r="N34" s="29"/>
      <c r="O34" s="29"/>
      <c r="P34" s="29"/>
      <c r="Q34" s="4" t="s">
        <v>664</v>
      </c>
      <c r="W34" s="30">
        <f>G15</f>
        <v>446883.04</v>
      </c>
    </row>
    <row r="35" spans="1:30" s="4" customFormat="1" ht="68.25" customHeight="1" x14ac:dyDescent="0.3">
      <c r="A35" s="919" t="s">
        <v>662</v>
      </c>
      <c r="B35" s="845" t="s">
        <v>657</v>
      </c>
      <c r="C35" s="830" t="s">
        <v>82</v>
      </c>
      <c r="D35" s="845" t="s">
        <v>15</v>
      </c>
      <c r="E35" s="891">
        <v>414410</v>
      </c>
      <c r="F35" s="891">
        <f>G35+H35+I35+J35+K35</f>
        <v>264810</v>
      </c>
      <c r="G35" s="848">
        <v>264810</v>
      </c>
      <c r="H35" s="848"/>
      <c r="I35" s="848"/>
      <c r="J35" s="848"/>
      <c r="K35" s="848"/>
      <c r="L35" s="845" t="s">
        <v>655</v>
      </c>
      <c r="M35" s="845" t="s">
        <v>982</v>
      </c>
      <c r="N35" s="29">
        <v>20</v>
      </c>
      <c r="O35" s="29"/>
      <c r="P35" s="29"/>
      <c r="Q35" s="4" t="s">
        <v>665</v>
      </c>
      <c r="Z35" s="30">
        <f>W32-X39</f>
        <v>-19570.95</v>
      </c>
    </row>
    <row r="36" spans="1:30" s="4" customFormat="1" ht="62.25" customHeight="1" x14ac:dyDescent="0.3">
      <c r="A36" s="919" t="s">
        <v>663</v>
      </c>
      <c r="B36" s="845" t="s">
        <v>658</v>
      </c>
      <c r="C36" s="830" t="s">
        <v>148</v>
      </c>
      <c r="D36" s="845" t="s">
        <v>15</v>
      </c>
      <c r="E36" s="891">
        <v>31238</v>
      </c>
      <c r="F36" s="891">
        <f>G36+H36+I36+J36+K36</f>
        <v>50976</v>
      </c>
      <c r="G36" s="848">
        <v>25488</v>
      </c>
      <c r="H36" s="848">
        <v>25488</v>
      </c>
      <c r="I36" s="848"/>
      <c r="J36" s="848"/>
      <c r="K36" s="848"/>
      <c r="L36" s="845" t="s">
        <v>655</v>
      </c>
      <c r="M36" s="845" t="s">
        <v>1426</v>
      </c>
    </row>
    <row r="37" spans="1:30" s="4" customFormat="1" ht="24" customHeight="1" x14ac:dyDescent="0.3">
      <c r="A37" s="2286" t="s">
        <v>1344</v>
      </c>
      <c r="B37" s="2289" t="s">
        <v>1345</v>
      </c>
      <c r="C37" s="2245">
        <v>2018</v>
      </c>
      <c r="D37" s="845" t="s">
        <v>12</v>
      </c>
      <c r="F37" s="69">
        <f>F38+F39</f>
        <v>95759.23</v>
      </c>
      <c r="G37" s="69">
        <f>G38/0.731</f>
        <v>95759.23</v>
      </c>
      <c r="H37" s="837">
        <v>0</v>
      </c>
      <c r="I37" s="837">
        <v>0</v>
      </c>
      <c r="J37" s="837">
        <v>0</v>
      </c>
      <c r="K37" s="837">
        <v>0</v>
      </c>
      <c r="L37" s="827"/>
      <c r="M37" s="827"/>
    </row>
    <row r="38" spans="1:30" s="4" customFormat="1" ht="45.75" customHeight="1" x14ac:dyDescent="0.3">
      <c r="A38" s="2287"/>
      <c r="B38" s="2290"/>
      <c r="C38" s="2246"/>
      <c r="D38" s="845" t="s">
        <v>13</v>
      </c>
      <c r="F38" s="69">
        <f>G38</f>
        <v>70000</v>
      </c>
      <c r="G38" s="922">
        <v>70000</v>
      </c>
      <c r="H38" s="837">
        <v>0</v>
      </c>
      <c r="I38" s="837">
        <v>0</v>
      </c>
      <c r="J38" s="837">
        <v>0</v>
      </c>
      <c r="K38" s="837">
        <v>0</v>
      </c>
      <c r="L38" s="827"/>
      <c r="M38" s="890">
        <f>M39-F43</f>
        <v>-32473.25</v>
      </c>
      <c r="X38" s="1329">
        <v>2018</v>
      </c>
    </row>
    <row r="39" spans="1:30" s="4" customFormat="1" ht="102.75" customHeight="1" x14ac:dyDescent="0.3">
      <c r="A39" s="2288"/>
      <c r="B39" s="2291"/>
      <c r="C39" s="2292"/>
      <c r="D39" s="845" t="s">
        <v>14</v>
      </c>
      <c r="F39" s="69">
        <f>G39</f>
        <v>25759.23</v>
      </c>
      <c r="G39" s="837">
        <f>G37*0.269</f>
        <v>25759.23</v>
      </c>
      <c r="H39" s="837">
        <v>0</v>
      </c>
      <c r="I39" s="837">
        <v>0</v>
      </c>
      <c r="J39" s="837">
        <v>0</v>
      </c>
      <c r="K39" s="837">
        <v>0</v>
      </c>
      <c r="L39" s="827"/>
      <c r="M39" s="827">
        <v>3677325.83</v>
      </c>
      <c r="V39" s="1323"/>
      <c r="W39" s="1323" t="s">
        <v>222</v>
      </c>
      <c r="X39" s="581">
        <f>X40+X49+X50</f>
        <v>6298144.4100000001</v>
      </c>
    </row>
    <row r="40" spans="1:30" s="4" customFormat="1" ht="35.25" customHeight="1" x14ac:dyDescent="0.3">
      <c r="A40" s="2231" t="s">
        <v>503</v>
      </c>
      <c r="B40" s="2280" t="s">
        <v>851</v>
      </c>
      <c r="C40" s="150" t="s">
        <v>334</v>
      </c>
      <c r="D40" s="845" t="s">
        <v>12</v>
      </c>
      <c r="E40" s="891"/>
      <c r="F40" s="891">
        <f>F41+F42</f>
        <v>6108354.8300000001</v>
      </c>
      <c r="G40" s="891">
        <f>G41+G42</f>
        <v>3011090.99</v>
      </c>
      <c r="H40" s="891">
        <f t="shared" ref="H40:K40" si="11">H41+H42</f>
        <v>2332570.38</v>
      </c>
      <c r="I40" s="891">
        <f t="shared" si="11"/>
        <v>764693.46</v>
      </c>
      <c r="J40" s="891">
        <f t="shared" si="11"/>
        <v>0</v>
      </c>
      <c r="K40" s="891">
        <f t="shared" si="11"/>
        <v>0</v>
      </c>
      <c r="L40" s="2233"/>
      <c r="M40" s="2233"/>
      <c r="N40" s="4">
        <v>2018</v>
      </c>
      <c r="O40" s="4">
        <v>2019</v>
      </c>
      <c r="P40" s="4">
        <v>2020</v>
      </c>
      <c r="V40" s="1322"/>
      <c r="W40" s="1322" t="s">
        <v>223</v>
      </c>
      <c r="X40" s="196">
        <f>X41+X42+X43+X44+X45+X46+X47+X48+X49</f>
        <v>6278573.46</v>
      </c>
    </row>
    <row r="41" spans="1:30" s="4" customFormat="1" ht="72.75" customHeight="1" x14ac:dyDescent="0.3">
      <c r="A41" s="2274"/>
      <c r="B41" s="2281"/>
      <c r="C41" s="845"/>
      <c r="D41" s="845" t="s">
        <v>13</v>
      </c>
      <c r="E41" s="891"/>
      <c r="F41" s="891">
        <f>G41+H41+I41+J41+K41</f>
        <v>5683417.9500000002</v>
      </c>
      <c r="G41" s="924">
        <f>G44+G52+G54</f>
        <v>2793837.95</v>
      </c>
      <c r="H41" s="891">
        <f>H44+H52+H54</f>
        <v>2187895</v>
      </c>
      <c r="I41" s="891">
        <f>I44+I52+I54</f>
        <v>701685</v>
      </c>
      <c r="J41" s="891">
        <f t="shared" ref="J41:K41" si="12">J44+J52+J54</f>
        <v>0</v>
      </c>
      <c r="K41" s="891">
        <f t="shared" si="12"/>
        <v>0</v>
      </c>
      <c r="L41" s="1521"/>
      <c r="M41" s="1521"/>
      <c r="N41" s="4">
        <f>N45+N46+N47+N48+N52+N55+N56</f>
        <v>53</v>
      </c>
      <c r="O41" s="4">
        <f t="shared" ref="O41:P41" si="13">O45+O46+O47+O48+O52+O55+O56</f>
        <v>11</v>
      </c>
      <c r="P41" s="4">
        <f t="shared" si="13"/>
        <v>4</v>
      </c>
      <c r="V41" s="1328" t="s">
        <v>16</v>
      </c>
      <c r="W41" s="1322" t="s">
        <v>13</v>
      </c>
      <c r="X41" s="304">
        <f>G17+G21+G24+G27+G38+G45+G55</f>
        <v>4644619</v>
      </c>
    </row>
    <row r="42" spans="1:30" s="4" customFormat="1" ht="110.25" customHeight="1" x14ac:dyDescent="0.3">
      <c r="A42" s="2232"/>
      <c r="B42" s="2282"/>
      <c r="C42" s="845"/>
      <c r="D42" s="845" t="s">
        <v>14</v>
      </c>
      <c r="E42" s="891"/>
      <c r="F42" s="891">
        <f>G42+H42+I42+J42+K42</f>
        <v>424936.88</v>
      </c>
      <c r="G42" s="891">
        <f>G50+G57</f>
        <v>217253.04</v>
      </c>
      <c r="H42" s="891">
        <f t="shared" ref="H42:K42" si="14">H50+H57</f>
        <v>144675.38</v>
      </c>
      <c r="I42" s="891">
        <f t="shared" si="14"/>
        <v>63008.46</v>
      </c>
      <c r="J42" s="891">
        <f t="shared" si="14"/>
        <v>0</v>
      </c>
      <c r="K42" s="891">
        <f t="shared" si="14"/>
        <v>0</v>
      </c>
      <c r="L42" s="1522"/>
      <c r="M42" s="1522"/>
      <c r="V42" s="1328" t="s">
        <v>47</v>
      </c>
      <c r="W42" s="1322" t="s">
        <v>13</v>
      </c>
      <c r="X42" s="304">
        <f>G22+G56</f>
        <v>386758</v>
      </c>
    </row>
    <row r="43" spans="1:30" s="4" customFormat="1" ht="33.75" customHeight="1" x14ac:dyDescent="0.3">
      <c r="A43" s="2275" t="s">
        <v>486</v>
      </c>
      <c r="B43" s="2278" t="s">
        <v>1615</v>
      </c>
      <c r="C43" s="150" t="s">
        <v>334</v>
      </c>
      <c r="D43" s="845" t="s">
        <v>12</v>
      </c>
      <c r="E43" s="848"/>
      <c r="F43" s="848">
        <f>F44+F50</f>
        <v>3709799.08</v>
      </c>
      <c r="G43" s="848">
        <f>G44+G50</f>
        <v>2019929.68</v>
      </c>
      <c r="H43" s="848">
        <f t="shared" ref="H43:K43" si="15">H44+H50</f>
        <v>1164064.83</v>
      </c>
      <c r="I43" s="848">
        <f t="shared" si="15"/>
        <v>525804.56999999995</v>
      </c>
      <c r="J43" s="848">
        <f t="shared" si="15"/>
        <v>0</v>
      </c>
      <c r="K43" s="848">
        <f t="shared" si="15"/>
        <v>0</v>
      </c>
      <c r="L43" s="921"/>
      <c r="M43" s="150"/>
      <c r="V43" s="1328" t="s">
        <v>371</v>
      </c>
      <c r="W43" s="1322" t="s">
        <v>13</v>
      </c>
      <c r="X43" s="304">
        <f>G46</f>
        <v>369717</v>
      </c>
    </row>
    <row r="44" spans="1:30" s="4" customFormat="1" ht="63.75" customHeight="1" x14ac:dyDescent="0.3">
      <c r="A44" s="2276"/>
      <c r="B44" s="2279"/>
      <c r="C44" s="150"/>
      <c r="D44" s="845" t="s">
        <v>617</v>
      </c>
      <c r="E44" s="848"/>
      <c r="F44" s="848">
        <f>F45+F46+F47+F48+F49</f>
        <v>3441126.95</v>
      </c>
      <c r="G44" s="916">
        <f>G45+G46+G47+G48+G49</f>
        <v>1871638.95</v>
      </c>
      <c r="H44" s="848">
        <f>H45+H46+H47+H48</f>
        <v>1085303</v>
      </c>
      <c r="I44" s="848">
        <f t="shared" ref="I44:K44" si="16">I45+I46+I47+I48</f>
        <v>484185</v>
      </c>
      <c r="J44" s="848">
        <f t="shared" si="16"/>
        <v>0</v>
      </c>
      <c r="K44" s="848">
        <f t="shared" si="16"/>
        <v>0</v>
      </c>
      <c r="L44" s="150"/>
      <c r="M44" s="150"/>
      <c r="V44" s="1328" t="s">
        <v>765</v>
      </c>
      <c r="W44" s="1322" t="s">
        <v>13</v>
      </c>
      <c r="X44" s="304">
        <f>G47</f>
        <v>368534</v>
      </c>
      <c r="AB44" s="5"/>
      <c r="AD44" s="30"/>
    </row>
    <row r="45" spans="1:30" s="4" customFormat="1" ht="82.8" x14ac:dyDescent="0.3">
      <c r="A45" s="2276"/>
      <c r="B45" s="2279"/>
      <c r="C45" s="150"/>
      <c r="D45" s="845" t="s">
        <v>13</v>
      </c>
      <c r="E45" s="848"/>
      <c r="F45" s="848">
        <f>G45+H45+I45+J45+K45</f>
        <v>1829357</v>
      </c>
      <c r="G45" s="916">
        <f>'А П 3'!H468</f>
        <v>979114</v>
      </c>
      <c r="H45" s="848">
        <f>'А П 3'!I468</f>
        <v>574322</v>
      </c>
      <c r="I45" s="848">
        <f>'А П 3'!J468</f>
        <v>275921</v>
      </c>
      <c r="J45" s="848">
        <f>'А П 3'!K468</f>
        <v>0</v>
      </c>
      <c r="K45" s="848">
        <f>'А П 3'!L468</f>
        <v>0</v>
      </c>
      <c r="L45" s="150" t="s">
        <v>625</v>
      </c>
      <c r="M45" s="278" t="s">
        <v>985</v>
      </c>
      <c r="N45" s="4">
        <v>27</v>
      </c>
      <c r="O45" s="4">
        <v>1</v>
      </c>
      <c r="V45" s="1328" t="s">
        <v>434</v>
      </c>
      <c r="W45" s="1322" t="s">
        <v>13</v>
      </c>
      <c r="X45" s="304">
        <f>G48</f>
        <v>134703</v>
      </c>
      <c r="AB45" s="30"/>
      <c r="AC45" s="134"/>
      <c r="AD45" s="30"/>
    </row>
    <row r="46" spans="1:30" s="4" customFormat="1" ht="58.5" customHeight="1" x14ac:dyDescent="0.3">
      <c r="A46" s="2276"/>
      <c r="B46" s="2279"/>
      <c r="C46" s="150"/>
      <c r="D46" s="845" t="s">
        <v>13</v>
      </c>
      <c r="E46" s="848"/>
      <c r="F46" s="848">
        <f t="shared" ref="F46:F50" si="17">G46+H46+I46+J46+K46</f>
        <v>859576</v>
      </c>
      <c r="G46" s="916">
        <f>'А П 3'!H745</f>
        <v>369717</v>
      </c>
      <c r="H46" s="848">
        <f>'А П 3'!I745</f>
        <v>281595</v>
      </c>
      <c r="I46" s="848">
        <f>'А П 3'!J745</f>
        <v>208264</v>
      </c>
      <c r="J46" s="848">
        <f>'А П 3'!K745</f>
        <v>0</v>
      </c>
      <c r="K46" s="848">
        <f>'А П 3'!L745</f>
        <v>0</v>
      </c>
      <c r="L46" s="150" t="s">
        <v>623</v>
      </c>
      <c r="M46" s="150" t="s">
        <v>983</v>
      </c>
      <c r="N46" s="4">
        <v>5</v>
      </c>
      <c r="O46" s="4">
        <v>6</v>
      </c>
      <c r="P46" s="4">
        <v>4</v>
      </c>
      <c r="V46" s="1328" t="s">
        <v>766</v>
      </c>
      <c r="W46" s="1322" t="s">
        <v>13</v>
      </c>
      <c r="X46" s="76">
        <f>G52</f>
        <v>221536</v>
      </c>
    </row>
    <row r="47" spans="1:30" s="4" customFormat="1" ht="46.5" customHeight="1" x14ac:dyDescent="0.3">
      <c r="A47" s="2276"/>
      <c r="B47" s="2279"/>
      <c r="C47" s="845"/>
      <c r="D47" s="845" t="s">
        <v>13</v>
      </c>
      <c r="E47" s="848"/>
      <c r="F47" s="848">
        <f t="shared" si="17"/>
        <v>597920</v>
      </c>
      <c r="G47" s="916">
        <f>'А П 3'!H836</f>
        <v>368534</v>
      </c>
      <c r="H47" s="848">
        <f>'А П 3'!I836</f>
        <v>229386</v>
      </c>
      <c r="I47" s="848">
        <f>'А П 3'!J836</f>
        <v>0</v>
      </c>
      <c r="J47" s="848">
        <f>'А П 3'!K836</f>
        <v>0</v>
      </c>
      <c r="K47" s="848">
        <f>'А П 3'!L836</f>
        <v>0</v>
      </c>
      <c r="L47" s="150" t="s">
        <v>624</v>
      </c>
      <c r="M47" s="150" t="s">
        <v>1652</v>
      </c>
      <c r="N47" s="4">
        <v>9</v>
      </c>
      <c r="O47" s="4">
        <v>4</v>
      </c>
      <c r="Q47" s="4" t="s">
        <v>1653</v>
      </c>
      <c r="V47" s="1328" t="s">
        <v>360</v>
      </c>
      <c r="W47" s="1322" t="s">
        <v>13</v>
      </c>
      <c r="X47" s="76">
        <f>G63</f>
        <v>0</v>
      </c>
    </row>
    <row r="48" spans="1:30" s="4" customFormat="1" ht="43.5" customHeight="1" x14ac:dyDescent="0.3">
      <c r="A48" s="2276"/>
      <c r="B48" s="2279"/>
      <c r="C48" s="845"/>
      <c r="D48" s="845" t="s">
        <v>13</v>
      </c>
      <c r="E48" s="848"/>
      <c r="F48" s="848">
        <f>G48+H48+I48+J48+K48</f>
        <v>134703</v>
      </c>
      <c r="G48" s="916">
        <f>'А П 3'!H903</f>
        <v>134703</v>
      </c>
      <c r="H48" s="848">
        <f>'А П 3'!I903</f>
        <v>0</v>
      </c>
      <c r="I48" s="848">
        <f>'А П 3'!J903</f>
        <v>0</v>
      </c>
      <c r="J48" s="848">
        <f>'А П 3'!K903</f>
        <v>0</v>
      </c>
      <c r="K48" s="848">
        <f>'А П 3'!L903</f>
        <v>0</v>
      </c>
      <c r="L48" s="150" t="s">
        <v>637</v>
      </c>
      <c r="M48" s="150" t="s">
        <v>640</v>
      </c>
      <c r="N48" s="4">
        <v>12</v>
      </c>
      <c r="V48" s="1328" t="s">
        <v>60</v>
      </c>
      <c r="W48" s="1322" t="s">
        <v>13</v>
      </c>
      <c r="X48" s="76">
        <f>G61</f>
        <v>133135.51</v>
      </c>
    </row>
    <row r="49" spans="1:24" s="4" customFormat="1" ht="43.5" customHeight="1" x14ac:dyDescent="0.3">
      <c r="A49" s="2276"/>
      <c r="B49" s="2279"/>
      <c r="C49" s="1234"/>
      <c r="D49" s="1233" t="s">
        <v>13</v>
      </c>
      <c r="E49" s="1236"/>
      <c r="F49" s="1237">
        <f>G49+H49+I49+J49+K49</f>
        <v>19570.95</v>
      </c>
      <c r="G49" s="1236">
        <f>'А П 3'!G975</f>
        <v>19570.95</v>
      </c>
      <c r="H49" s="1236">
        <v>0</v>
      </c>
      <c r="I49" s="1236">
        <v>0</v>
      </c>
      <c r="J49" s="1236">
        <v>0</v>
      </c>
      <c r="K49" s="1236">
        <v>0</v>
      </c>
      <c r="L49" s="1298" t="s">
        <v>1640</v>
      </c>
      <c r="M49" s="1298" t="s">
        <v>1641</v>
      </c>
      <c r="V49" s="1330" t="s">
        <v>1640</v>
      </c>
      <c r="W49" s="1324" t="s">
        <v>13</v>
      </c>
      <c r="X49" s="126">
        <f>G49</f>
        <v>19570.95</v>
      </c>
    </row>
    <row r="50" spans="1:24" s="4" customFormat="1" ht="93.75" customHeight="1" x14ac:dyDescent="0.3">
      <c r="A50" s="2276"/>
      <c r="B50" s="2279"/>
      <c r="C50" s="845"/>
      <c r="D50" s="845" t="s">
        <v>14</v>
      </c>
      <c r="E50" s="848"/>
      <c r="F50" s="848">
        <f t="shared" si="17"/>
        <v>268672.13</v>
      </c>
      <c r="G50" s="848">
        <f>'А П 3'!H469+'А П 3'!H746+'А П 3'!H837+'А П 3'!H904+'А П 3'!H976</f>
        <v>148290.73000000001</v>
      </c>
      <c r="H50" s="848">
        <f>'А П 3'!I469+'А П 3'!I746+'А П 3'!I837+'А П 3'!I904</f>
        <v>78761.83</v>
      </c>
      <c r="I50" s="848">
        <f>'А П 3'!J469+'А П 3'!J746+'А П 3'!J837+'А П 3'!J904</f>
        <v>41619.57</v>
      </c>
      <c r="J50" s="848">
        <f>'А П 3'!K469+'А П 3'!K746+'А П 3'!K837+'А П 3'!K904</f>
        <v>0</v>
      </c>
      <c r="K50" s="848">
        <f>'А П 3'!L469+'А П 3'!L746+'А П 3'!L837+'А П 3'!L904</f>
        <v>0</v>
      </c>
      <c r="L50" s="150" t="s">
        <v>569</v>
      </c>
      <c r="M50" s="150"/>
    </row>
    <row r="51" spans="1:24" s="4" customFormat="1" ht="28.5" customHeight="1" x14ac:dyDescent="0.3">
      <c r="A51" s="2231" t="s">
        <v>627</v>
      </c>
      <c r="B51" s="1513" t="s">
        <v>626</v>
      </c>
      <c r="C51" s="150" t="s">
        <v>208</v>
      </c>
      <c r="D51" s="845" t="s">
        <v>12</v>
      </c>
      <c r="E51" s="891">
        <f>E52</f>
        <v>244242</v>
      </c>
      <c r="F51" s="891">
        <f t="shared" ref="F51:K51" si="18">F52</f>
        <v>284690</v>
      </c>
      <c r="G51" s="891">
        <f t="shared" si="18"/>
        <v>221536</v>
      </c>
      <c r="H51" s="891">
        <f t="shared" si="18"/>
        <v>63154</v>
      </c>
      <c r="I51" s="891">
        <f t="shared" si="18"/>
        <v>0</v>
      </c>
      <c r="J51" s="891">
        <f t="shared" si="18"/>
        <v>0</v>
      </c>
      <c r="K51" s="891">
        <f t="shared" si="18"/>
        <v>0</v>
      </c>
      <c r="L51" s="1513" t="s">
        <v>628</v>
      </c>
      <c r="M51" s="1513" t="s">
        <v>984</v>
      </c>
    </row>
    <row r="52" spans="1:24" s="4" customFormat="1" ht="53.25" customHeight="1" x14ac:dyDescent="0.3">
      <c r="A52" s="2232"/>
      <c r="B52" s="1514"/>
      <c r="C52" s="845"/>
      <c r="D52" s="845" t="s">
        <v>13</v>
      </c>
      <c r="E52" s="891">
        <v>244242</v>
      </c>
      <c r="F52" s="1055">
        <f>G52+H52+I52+J52+K52</f>
        <v>284690</v>
      </c>
      <c r="G52" s="1055">
        <f>'А П 3'!H987</f>
        <v>221536</v>
      </c>
      <c r="H52" s="891">
        <f>'А П 3'!I987</f>
        <v>63154</v>
      </c>
      <c r="I52" s="891">
        <f>'А П 3'!J987</f>
        <v>0</v>
      </c>
      <c r="J52" s="891">
        <f>'А П 3'!K987</f>
        <v>0</v>
      </c>
      <c r="K52" s="891">
        <f>'А П 3'!L987</f>
        <v>0</v>
      </c>
      <c r="L52" s="1514"/>
      <c r="M52" s="1514"/>
    </row>
    <row r="53" spans="1:24" s="4" customFormat="1" ht="27" customHeight="1" x14ac:dyDescent="0.3">
      <c r="A53" s="2275" t="s">
        <v>641</v>
      </c>
      <c r="B53" s="2278" t="s">
        <v>1620</v>
      </c>
      <c r="C53" s="150"/>
      <c r="D53" s="845" t="s">
        <v>12</v>
      </c>
      <c r="E53" s="848"/>
      <c r="F53" s="848">
        <f t="shared" ref="F53:K53" si="19">F54+F57</f>
        <v>2113865.75</v>
      </c>
      <c r="G53" s="848">
        <f>G54+G57</f>
        <v>769625.31</v>
      </c>
      <c r="H53" s="848">
        <f t="shared" si="19"/>
        <v>1105351.55</v>
      </c>
      <c r="I53" s="848">
        <f t="shared" si="19"/>
        <v>238888.89</v>
      </c>
      <c r="J53" s="848">
        <f t="shared" si="19"/>
        <v>0</v>
      </c>
      <c r="K53" s="848">
        <f t="shared" si="19"/>
        <v>0</v>
      </c>
      <c r="L53" s="921"/>
      <c r="M53" s="150"/>
    </row>
    <row r="54" spans="1:24" s="4" customFormat="1" ht="48" customHeight="1" x14ac:dyDescent="0.3">
      <c r="A54" s="2276"/>
      <c r="B54" s="2279"/>
      <c r="C54" s="150"/>
      <c r="D54" s="845" t="s">
        <v>617</v>
      </c>
      <c r="E54" s="848"/>
      <c r="F54" s="848">
        <f>F55+F56</f>
        <v>1957601</v>
      </c>
      <c r="G54" s="848">
        <f>G55+G56</f>
        <v>700663</v>
      </c>
      <c r="H54" s="848">
        <f t="shared" ref="H54:K54" si="20">H55+H56</f>
        <v>1039438</v>
      </c>
      <c r="I54" s="848">
        <f t="shared" si="20"/>
        <v>217500</v>
      </c>
      <c r="J54" s="848">
        <f t="shared" si="20"/>
        <v>0</v>
      </c>
      <c r="K54" s="848">
        <f t="shared" si="20"/>
        <v>0</v>
      </c>
      <c r="L54" s="150"/>
      <c r="M54" s="150"/>
    </row>
    <row r="55" spans="1:24" s="4" customFormat="1" ht="82.8" x14ac:dyDescent="0.3">
      <c r="A55" s="2276"/>
      <c r="B55" s="2279"/>
      <c r="C55" s="150"/>
      <c r="D55" s="845" t="s">
        <v>13</v>
      </c>
      <c r="E55" s="848"/>
      <c r="F55" s="848">
        <f>G55+H55+I55+J55+K55</f>
        <v>1156286</v>
      </c>
      <c r="G55" s="916">
        <f>'А П 3'!I454</f>
        <v>406609</v>
      </c>
      <c r="H55" s="848">
        <f>'А П 3'!J454</f>
        <v>579677</v>
      </c>
      <c r="I55" s="848">
        <f>'А П 3'!K454</f>
        <v>170000</v>
      </c>
      <c r="J55" s="848">
        <f>'А П 3'!L454</f>
        <v>0</v>
      </c>
      <c r="K55" s="848">
        <f>'А П 3'!M454</f>
        <v>0</v>
      </c>
      <c r="L55" s="150" t="s">
        <v>625</v>
      </c>
      <c r="M55" s="150" t="s">
        <v>1130</v>
      </c>
      <c r="Q55" s="923"/>
    </row>
    <row r="56" spans="1:24" s="4" customFormat="1" ht="66" customHeight="1" x14ac:dyDescent="0.3">
      <c r="A56" s="2276"/>
      <c r="B56" s="2279"/>
      <c r="C56" s="150"/>
      <c r="D56" s="845" t="s">
        <v>13</v>
      </c>
      <c r="E56" s="848"/>
      <c r="F56" s="848">
        <f>G56+H56+I56+J56+K56</f>
        <v>801315</v>
      </c>
      <c r="G56" s="916">
        <f>'А П 3'!I455</f>
        <v>294054</v>
      </c>
      <c r="H56" s="848">
        <f>'А П 3'!J455</f>
        <v>459761</v>
      </c>
      <c r="I56" s="848">
        <f>'А П 3'!K455</f>
        <v>47500</v>
      </c>
      <c r="J56" s="848">
        <f>'А П 3'!L455</f>
        <v>0</v>
      </c>
      <c r="K56" s="848">
        <f>'А П 3'!M455</f>
        <v>0</v>
      </c>
      <c r="L56" s="150" t="s">
        <v>642</v>
      </c>
      <c r="M56" s="150" t="s">
        <v>1129</v>
      </c>
    </row>
    <row r="57" spans="1:24" s="4" customFormat="1" ht="79.5" customHeight="1" x14ac:dyDescent="0.3">
      <c r="A57" s="2276"/>
      <c r="B57" s="2279"/>
      <c r="C57" s="845"/>
      <c r="D57" s="845" t="s">
        <v>14</v>
      </c>
      <c r="E57" s="848"/>
      <c r="F57" s="848">
        <f t="shared" ref="F57" si="21">G57+H57+I57+J57+K57</f>
        <v>156264.75</v>
      </c>
      <c r="G57" s="848">
        <f>'А П 3'!I452</f>
        <v>68962.31</v>
      </c>
      <c r="H57" s="848">
        <f>'А П 3'!J452</f>
        <v>65913.55</v>
      </c>
      <c r="I57" s="848">
        <f>'А П 3'!K452</f>
        <v>21388.89</v>
      </c>
      <c r="J57" s="848">
        <f>'А П 3'!L452</f>
        <v>0</v>
      </c>
      <c r="K57" s="848">
        <f>'А П 3'!M452</f>
        <v>0</v>
      </c>
      <c r="L57" s="150" t="s">
        <v>569</v>
      </c>
      <c r="M57" s="150"/>
    </row>
    <row r="58" spans="1:24" s="41" customFormat="1" ht="18" customHeight="1" x14ac:dyDescent="0.3">
      <c r="A58" s="1784" t="s">
        <v>685</v>
      </c>
      <c r="B58" s="2230" t="s">
        <v>852</v>
      </c>
      <c r="C58" s="1781" t="s">
        <v>227</v>
      </c>
      <c r="D58" s="845" t="s">
        <v>12</v>
      </c>
      <c r="E58" s="848">
        <f>E59</f>
        <v>99811.1</v>
      </c>
      <c r="F58" s="848">
        <f t="shared" ref="F58:K58" si="22">F59</f>
        <v>263752.68</v>
      </c>
      <c r="G58" s="848">
        <f t="shared" si="22"/>
        <v>133135.51</v>
      </c>
      <c r="H58" s="848">
        <f t="shared" si="22"/>
        <v>55962.59</v>
      </c>
      <c r="I58" s="848">
        <f t="shared" si="22"/>
        <v>37172.58</v>
      </c>
      <c r="J58" s="848">
        <f t="shared" si="22"/>
        <v>18741</v>
      </c>
      <c r="K58" s="848">
        <f t="shared" si="22"/>
        <v>18741</v>
      </c>
      <c r="L58" s="1781"/>
      <c r="M58" s="1781"/>
    </row>
    <row r="59" spans="1:24" s="41" customFormat="1" ht="71.25" customHeight="1" x14ac:dyDescent="0.3">
      <c r="A59" s="1784"/>
      <c r="B59" s="2230"/>
      <c r="C59" s="1781"/>
      <c r="D59" s="845" t="s">
        <v>13</v>
      </c>
      <c r="E59" s="848">
        <f>E63+E61</f>
        <v>99811.1</v>
      </c>
      <c r="F59" s="848">
        <f>G59+H59+I59+J59+K59</f>
        <v>263752.68</v>
      </c>
      <c r="G59" s="848">
        <f>G61+G63</f>
        <v>133135.51</v>
      </c>
      <c r="H59" s="848">
        <f t="shared" ref="H59:K59" si="23">H61+H63</f>
        <v>55962.59</v>
      </c>
      <c r="I59" s="848">
        <f t="shared" si="23"/>
        <v>37172.58</v>
      </c>
      <c r="J59" s="848">
        <f t="shared" si="23"/>
        <v>18741</v>
      </c>
      <c r="K59" s="848">
        <f t="shared" si="23"/>
        <v>18741</v>
      </c>
      <c r="L59" s="1781"/>
      <c r="M59" s="1781"/>
    </row>
    <row r="60" spans="1:24" s="41" customFormat="1" ht="53.25" customHeight="1" x14ac:dyDescent="0.3">
      <c r="A60" s="1784" t="s">
        <v>482</v>
      </c>
      <c r="B60" s="1781" t="s">
        <v>361</v>
      </c>
      <c r="C60" s="1781" t="s">
        <v>227</v>
      </c>
      <c r="D60" s="845" t="s">
        <v>12</v>
      </c>
      <c r="E60" s="848">
        <f>E61</f>
        <v>98828</v>
      </c>
      <c r="F60" s="848">
        <f t="shared" ref="F60:K60" si="24">F61</f>
        <v>263752.68</v>
      </c>
      <c r="G60" s="848">
        <f t="shared" si="24"/>
        <v>133135.51</v>
      </c>
      <c r="H60" s="848">
        <f t="shared" si="24"/>
        <v>55962.59</v>
      </c>
      <c r="I60" s="848">
        <f t="shared" si="24"/>
        <v>37172.58</v>
      </c>
      <c r="J60" s="848">
        <f t="shared" si="24"/>
        <v>18741</v>
      </c>
      <c r="K60" s="848">
        <f t="shared" si="24"/>
        <v>18741</v>
      </c>
      <c r="L60" s="2234" t="s">
        <v>60</v>
      </c>
      <c r="M60" s="2236" t="s">
        <v>362</v>
      </c>
    </row>
    <row r="61" spans="1:24" s="41" customFormat="1" ht="68.25" customHeight="1" x14ac:dyDescent="0.3">
      <c r="A61" s="1784"/>
      <c r="B61" s="1781"/>
      <c r="C61" s="1781"/>
      <c r="D61" s="845" t="s">
        <v>13</v>
      </c>
      <c r="E61" s="848">
        <v>98828</v>
      </c>
      <c r="F61" s="848">
        <f>G61+H61+I61+J61+K61</f>
        <v>263752.68</v>
      </c>
      <c r="G61" s="848">
        <v>133135.51</v>
      </c>
      <c r="H61" s="848">
        <v>55962.59</v>
      </c>
      <c r="I61" s="848">
        <v>37172.58</v>
      </c>
      <c r="J61" s="848">
        <v>18741</v>
      </c>
      <c r="K61" s="848">
        <v>18741</v>
      </c>
      <c r="L61" s="2241"/>
      <c r="M61" s="2242"/>
    </row>
    <row r="62" spans="1:24" s="41" customFormat="1" ht="80.25" customHeight="1" x14ac:dyDescent="0.3">
      <c r="A62" s="2231" t="s">
        <v>686</v>
      </c>
      <c r="B62" s="2233" t="s">
        <v>363</v>
      </c>
      <c r="C62" s="2233" t="s">
        <v>227</v>
      </c>
      <c r="D62" s="827" t="s">
        <v>12</v>
      </c>
      <c r="E62" s="892">
        <f>E63</f>
        <v>983.1</v>
      </c>
      <c r="F62" s="890">
        <f>F63</f>
        <v>0</v>
      </c>
      <c r="G62" s="890">
        <v>0</v>
      </c>
      <c r="H62" s="890">
        <v>0</v>
      </c>
      <c r="I62" s="890">
        <v>0</v>
      </c>
      <c r="J62" s="890">
        <f t="shared" ref="J62" si="25">J63</f>
        <v>0</v>
      </c>
      <c r="K62" s="890">
        <v>0</v>
      </c>
      <c r="L62" s="2234" t="s">
        <v>360</v>
      </c>
      <c r="M62" s="2236" t="s">
        <v>364</v>
      </c>
    </row>
    <row r="63" spans="1:24" s="41" customFormat="1" ht="15" customHeight="1" x14ac:dyDescent="0.3">
      <c r="A63" s="2232"/>
      <c r="B63" s="1522"/>
      <c r="C63" s="1522"/>
      <c r="D63" s="845" t="s">
        <v>13</v>
      </c>
      <c r="E63" s="892">
        <v>983.1</v>
      </c>
      <c r="F63" s="848">
        <f>G63+H63+I63+J63+K63</f>
        <v>0</v>
      </c>
      <c r="G63" s="848">
        <v>0</v>
      </c>
      <c r="H63" s="848">
        <v>0</v>
      </c>
      <c r="I63" s="848">
        <v>0</v>
      </c>
      <c r="J63" s="848">
        <v>0</v>
      </c>
      <c r="K63" s="848">
        <v>0</v>
      </c>
      <c r="L63" s="2235"/>
      <c r="M63" s="2237"/>
    </row>
    <row r="64" spans="1:24" s="41" customFormat="1" ht="177.75" customHeight="1" x14ac:dyDescent="0.3">
      <c r="A64" s="894" t="s">
        <v>1501</v>
      </c>
      <c r="B64" s="844" t="s">
        <v>767</v>
      </c>
      <c r="C64" s="893"/>
      <c r="D64" s="2238" t="s">
        <v>365</v>
      </c>
      <c r="E64" s="2239"/>
      <c r="F64" s="2239"/>
      <c r="G64" s="2239"/>
      <c r="H64" s="2239"/>
      <c r="I64" s="2239"/>
      <c r="J64" s="2239"/>
      <c r="K64" s="2240"/>
      <c r="L64" s="844" t="s">
        <v>16</v>
      </c>
      <c r="M64" s="844"/>
    </row>
    <row r="65" spans="1:13" s="41" customFormat="1" ht="198.75" customHeight="1" x14ac:dyDescent="0.3">
      <c r="A65" s="894" t="s">
        <v>1502</v>
      </c>
      <c r="B65" s="844" t="s">
        <v>1503</v>
      </c>
      <c r="C65" s="893" t="s">
        <v>227</v>
      </c>
      <c r="D65" s="829"/>
      <c r="E65" s="829"/>
      <c r="F65" s="829"/>
      <c r="G65" s="829"/>
      <c r="H65" s="829"/>
      <c r="I65" s="829"/>
      <c r="J65" s="829"/>
      <c r="K65" s="829"/>
      <c r="L65" s="844" t="s">
        <v>16</v>
      </c>
      <c r="M65" s="844" t="s">
        <v>1534</v>
      </c>
    </row>
    <row r="66" spans="1:13" s="4" customFormat="1" ht="46.5" customHeight="1" x14ac:dyDescent="0.3">
      <c r="A66" s="2243" t="s">
        <v>861</v>
      </c>
      <c r="B66" s="2243"/>
      <c r="C66" s="2243"/>
      <c r="D66" s="2243"/>
      <c r="E66" s="2243"/>
      <c r="F66" s="2243"/>
      <c r="G66" s="2243"/>
      <c r="H66" s="2243"/>
      <c r="I66" s="2243"/>
      <c r="J66" s="2243"/>
      <c r="K66" s="2243"/>
      <c r="L66" s="2243"/>
      <c r="M66" s="2243"/>
    </row>
    <row r="67" spans="1:13" s="4" customFormat="1" ht="27.6" customHeight="1" x14ac:dyDescent="0.3">
      <c r="A67" s="51"/>
      <c r="B67" s="49"/>
      <c r="C67" s="1790" t="s">
        <v>618</v>
      </c>
      <c r="D67" s="123" t="s">
        <v>12</v>
      </c>
      <c r="E67" s="117"/>
      <c r="F67" s="125">
        <f>F68+F69+F70</f>
        <v>12064274.970000001</v>
      </c>
      <c r="G67" s="125">
        <f>G68+G69+G70</f>
        <v>7139836.96</v>
      </c>
      <c r="H67" s="125">
        <f t="shared" ref="H67:K67" si="26">H68+H69+H70</f>
        <v>3591515.97</v>
      </c>
      <c r="I67" s="125">
        <f t="shared" si="26"/>
        <v>1295440.04</v>
      </c>
      <c r="J67" s="125">
        <f t="shared" si="26"/>
        <v>18741</v>
      </c>
      <c r="K67" s="125">
        <f t="shared" si="26"/>
        <v>18741</v>
      </c>
      <c r="L67" s="122"/>
      <c r="M67" s="50"/>
    </row>
    <row r="68" spans="1:13" s="4" customFormat="1" ht="42" customHeight="1" x14ac:dyDescent="0.3">
      <c r="A68" s="1791"/>
      <c r="B68" s="1792"/>
      <c r="C68" s="1790"/>
      <c r="D68" s="116" t="s">
        <v>13</v>
      </c>
      <c r="E68" s="125"/>
      <c r="F68" s="125">
        <f t="shared" ref="F68:F79" si="27">G68+H68+I68+J68+K68</f>
        <v>10931485.630000001</v>
      </c>
      <c r="G68" s="125">
        <f>G13+G41+G59</f>
        <v>6278573.46</v>
      </c>
      <c r="H68" s="125">
        <f>H13+H41+H59</f>
        <v>3382998.59</v>
      </c>
      <c r="I68" s="125">
        <f>I13+I41+I59</f>
        <v>1232431.58</v>
      </c>
      <c r="J68" s="125">
        <f>J13+J41+J59</f>
        <v>18741</v>
      </c>
      <c r="K68" s="125">
        <f>K13+K41+K59</f>
        <v>18741</v>
      </c>
      <c r="L68" s="1792"/>
      <c r="M68" s="1792"/>
    </row>
    <row r="69" spans="1:13" s="4" customFormat="1" ht="79.2" x14ac:dyDescent="0.3">
      <c r="A69" s="1791"/>
      <c r="B69" s="1792"/>
      <c r="C69" s="1790"/>
      <c r="D69" s="116" t="s">
        <v>14</v>
      </c>
      <c r="E69" s="125"/>
      <c r="F69" s="125">
        <f t="shared" si="27"/>
        <v>660418.30000000005</v>
      </c>
      <c r="G69" s="125">
        <f>G14+G42</f>
        <v>414380.46</v>
      </c>
      <c r="H69" s="125">
        <f>H14+H42</f>
        <v>183029.38</v>
      </c>
      <c r="I69" s="125">
        <f>I14+I42</f>
        <v>63008.46</v>
      </c>
      <c r="J69" s="125">
        <f>J14+J42</f>
        <v>0</v>
      </c>
      <c r="K69" s="125">
        <f>K14+K42</f>
        <v>0</v>
      </c>
      <c r="L69" s="1793"/>
      <c r="M69" s="1793"/>
    </row>
    <row r="70" spans="1:13" s="4" customFormat="1" ht="26.25" customHeight="1" x14ac:dyDescent="0.3">
      <c r="A70" s="1791"/>
      <c r="B70" s="1792"/>
      <c r="C70" s="1790"/>
      <c r="D70" s="116" t="s">
        <v>231</v>
      </c>
      <c r="E70" s="125"/>
      <c r="F70" s="125">
        <f t="shared" si="27"/>
        <v>472371.04</v>
      </c>
      <c r="G70" s="125">
        <f>G15</f>
        <v>446883.04</v>
      </c>
      <c r="H70" s="125">
        <f>H15</f>
        <v>25488</v>
      </c>
      <c r="I70" s="125">
        <f>I15</f>
        <v>0</v>
      </c>
      <c r="J70" s="125">
        <f>J15</f>
        <v>0</v>
      </c>
      <c r="K70" s="125">
        <f>K15</f>
        <v>0</v>
      </c>
      <c r="L70" s="1793"/>
      <c r="M70" s="1793"/>
    </row>
    <row r="71" spans="1:13" s="4" customFormat="1" ht="26.4" customHeight="1" x14ac:dyDescent="0.3">
      <c r="A71" s="1791"/>
      <c r="B71" s="1792"/>
      <c r="C71" s="1791"/>
      <c r="D71" s="70" t="s">
        <v>687</v>
      </c>
      <c r="E71" s="106"/>
      <c r="F71" s="124">
        <f t="shared" si="27"/>
        <v>7267896</v>
      </c>
      <c r="G71" s="69">
        <f>G55+G45+G27+G24+G17</f>
        <v>4368756</v>
      </c>
      <c r="H71" s="69">
        <f>H55+H45+H27+H24+H17</f>
        <v>1959645</v>
      </c>
      <c r="I71" s="69">
        <f>I55+I45+I27+I24+I17</f>
        <v>939495</v>
      </c>
      <c r="J71" s="69">
        <f>J55+J45+J27+J24+J17</f>
        <v>0</v>
      </c>
      <c r="K71" s="69">
        <f>K55+K45+K27+K24+K17</f>
        <v>0</v>
      </c>
      <c r="L71" s="1759"/>
      <c r="M71" s="1792"/>
    </row>
    <row r="72" spans="1:13" s="4" customFormat="1" ht="22.5" customHeight="1" x14ac:dyDescent="0.3">
      <c r="A72" s="1791"/>
      <c r="B72" s="1792"/>
      <c r="C72" s="1791"/>
      <c r="D72" s="70" t="s">
        <v>688</v>
      </c>
      <c r="E72" s="106"/>
      <c r="F72" s="124">
        <f t="shared" si="27"/>
        <v>1433377</v>
      </c>
      <c r="G72" s="69">
        <f>G20+G56</f>
        <v>592621</v>
      </c>
      <c r="H72" s="69">
        <f>H20+H56</f>
        <v>793256</v>
      </c>
      <c r="I72" s="69">
        <f>I20+I56</f>
        <v>47500</v>
      </c>
      <c r="J72" s="69">
        <f>J20+J56</f>
        <v>0</v>
      </c>
      <c r="K72" s="69">
        <f>K20+K56</f>
        <v>0</v>
      </c>
      <c r="L72" s="1759"/>
      <c r="M72" s="1792"/>
    </row>
    <row r="73" spans="1:13" s="4" customFormat="1" ht="26.4" customHeight="1" x14ac:dyDescent="0.3">
      <c r="A73" s="1791"/>
      <c r="B73" s="1709"/>
      <c r="C73" s="1791"/>
      <c r="D73" s="70" t="s">
        <v>689</v>
      </c>
      <c r="E73" s="70"/>
      <c r="F73" s="124">
        <f t="shared" si="27"/>
        <v>859576</v>
      </c>
      <c r="G73" s="124">
        <f>G46</f>
        <v>369717</v>
      </c>
      <c r="H73" s="124">
        <f t="shared" ref="H73:K73" si="28">H46</f>
        <v>281595</v>
      </c>
      <c r="I73" s="124">
        <f t="shared" si="28"/>
        <v>208264</v>
      </c>
      <c r="J73" s="124">
        <f t="shared" si="28"/>
        <v>0</v>
      </c>
      <c r="K73" s="124">
        <f t="shared" si="28"/>
        <v>0</v>
      </c>
      <c r="L73" s="1759"/>
      <c r="M73" s="1792"/>
    </row>
    <row r="74" spans="1:13" s="4" customFormat="1" ht="24.75" customHeight="1" x14ac:dyDescent="0.3">
      <c r="A74" s="1791"/>
      <c r="B74" s="1709"/>
      <c r="C74" s="1791"/>
      <c r="D74" s="70" t="s">
        <v>690</v>
      </c>
      <c r="E74" s="70"/>
      <c r="F74" s="124">
        <f t="shared" si="27"/>
        <v>597920</v>
      </c>
      <c r="G74" s="124">
        <f>G47</f>
        <v>368534</v>
      </c>
      <c r="H74" s="124">
        <f t="shared" ref="H74:K74" si="29">H47</f>
        <v>229386</v>
      </c>
      <c r="I74" s="124">
        <f t="shared" si="29"/>
        <v>0</v>
      </c>
      <c r="J74" s="124">
        <f t="shared" si="29"/>
        <v>0</v>
      </c>
      <c r="K74" s="124">
        <f t="shared" si="29"/>
        <v>0</v>
      </c>
      <c r="L74" s="1759"/>
      <c r="M74" s="1792"/>
    </row>
    <row r="75" spans="1:13" s="4" customFormat="1" ht="24.75" customHeight="1" x14ac:dyDescent="0.3">
      <c r="A75" s="118"/>
      <c r="B75" s="119"/>
      <c r="C75" s="118"/>
      <c r="D75" s="70" t="s">
        <v>692</v>
      </c>
      <c r="E75" s="70"/>
      <c r="F75" s="124">
        <f t="shared" si="27"/>
        <v>134703</v>
      </c>
      <c r="G75" s="124">
        <f>G48</f>
        <v>134703</v>
      </c>
      <c r="H75" s="124">
        <f t="shared" ref="H75:K75" si="30">H48</f>
        <v>0</v>
      </c>
      <c r="I75" s="124">
        <f t="shared" si="30"/>
        <v>0</v>
      </c>
      <c r="J75" s="124">
        <f t="shared" si="30"/>
        <v>0</v>
      </c>
      <c r="K75" s="124">
        <f t="shared" si="30"/>
        <v>0</v>
      </c>
      <c r="L75" s="120"/>
      <c r="M75" s="121"/>
    </row>
    <row r="76" spans="1:13" s="4" customFormat="1" ht="26.25" customHeight="1" x14ac:dyDescent="0.3">
      <c r="A76" s="1791"/>
      <c r="B76" s="1709"/>
      <c r="C76" s="1791"/>
      <c r="D76" s="70" t="s">
        <v>691</v>
      </c>
      <c r="E76" s="70"/>
      <c r="F76" s="124">
        <f t="shared" si="27"/>
        <v>0</v>
      </c>
      <c r="G76" s="124">
        <f>G63</f>
        <v>0</v>
      </c>
      <c r="H76" s="124">
        <f t="shared" ref="H76:K76" si="31">H63</f>
        <v>0</v>
      </c>
      <c r="I76" s="124">
        <f t="shared" si="31"/>
        <v>0</v>
      </c>
      <c r="J76" s="124">
        <f t="shared" si="31"/>
        <v>0</v>
      </c>
      <c r="K76" s="124">
        <f t="shared" si="31"/>
        <v>0</v>
      </c>
      <c r="L76" s="1759"/>
      <c r="M76" s="1792"/>
    </row>
    <row r="77" spans="1:13" s="4" customFormat="1" ht="24.75" customHeight="1" x14ac:dyDescent="0.3">
      <c r="A77" s="1791"/>
      <c r="B77" s="1709"/>
      <c r="C77" s="1791"/>
      <c r="D77" s="70" t="s">
        <v>693</v>
      </c>
      <c r="E77" s="70"/>
      <c r="F77" s="124">
        <f t="shared" si="27"/>
        <v>263752.68</v>
      </c>
      <c r="G77" s="124">
        <f>G61</f>
        <v>133135.51</v>
      </c>
      <c r="H77" s="124">
        <f t="shared" ref="H77:K77" si="32">H61</f>
        <v>55962.59</v>
      </c>
      <c r="I77" s="124">
        <f t="shared" si="32"/>
        <v>37172.58</v>
      </c>
      <c r="J77" s="124">
        <f t="shared" si="32"/>
        <v>18741</v>
      </c>
      <c r="K77" s="124">
        <f t="shared" si="32"/>
        <v>18741</v>
      </c>
      <c r="L77" s="1759"/>
      <c r="M77" s="1792"/>
    </row>
    <row r="78" spans="1:13" s="4" customFormat="1" ht="24.75" customHeight="1" x14ac:dyDescent="0.3">
      <c r="A78" s="118"/>
      <c r="B78" s="119"/>
      <c r="C78" s="118"/>
      <c r="D78" s="70" t="s">
        <v>694</v>
      </c>
      <c r="E78" s="70"/>
      <c r="F78" s="124">
        <f t="shared" si="27"/>
        <v>284690</v>
      </c>
      <c r="G78" s="124">
        <f>G52</f>
        <v>221536</v>
      </c>
      <c r="H78" s="124">
        <f t="shared" ref="H78:K78" si="33">H52</f>
        <v>63154</v>
      </c>
      <c r="I78" s="124">
        <f t="shared" si="33"/>
        <v>0</v>
      </c>
      <c r="J78" s="124">
        <f t="shared" si="33"/>
        <v>0</v>
      </c>
      <c r="K78" s="124">
        <f t="shared" si="33"/>
        <v>0</v>
      </c>
      <c r="L78" s="120"/>
      <c r="M78" s="121"/>
    </row>
    <row r="79" spans="1:13" s="4" customFormat="1" ht="23.25" customHeight="1" x14ac:dyDescent="0.3">
      <c r="A79" s="10"/>
      <c r="B79" s="120"/>
      <c r="C79" s="10"/>
      <c r="D79" s="116" t="s">
        <v>33</v>
      </c>
      <c r="E79" s="116"/>
      <c r="F79" s="124">
        <f t="shared" si="27"/>
        <v>10841914.68</v>
      </c>
      <c r="G79" s="131">
        <f>G71+G72+G73+G74+G75+G76+G77+G78</f>
        <v>6189002.5099999998</v>
      </c>
      <c r="H79" s="131">
        <f t="shared" ref="H79:K79" si="34">H71+H72+H73+H74+H75+H76+H77+H78</f>
        <v>3382998.59</v>
      </c>
      <c r="I79" s="131">
        <f t="shared" si="34"/>
        <v>1232431.58</v>
      </c>
      <c r="J79" s="131">
        <f t="shared" si="34"/>
        <v>18741</v>
      </c>
      <c r="K79" s="131">
        <f t="shared" si="34"/>
        <v>18741</v>
      </c>
      <c r="L79" s="120"/>
      <c r="M79" s="120"/>
    </row>
    <row r="80" spans="1:13" s="4" customFormat="1" ht="18.75" customHeight="1" x14ac:dyDescent="0.3">
      <c r="A80" s="10"/>
      <c r="B80" s="120"/>
      <c r="C80" s="10"/>
      <c r="D80" s="120"/>
      <c r="E80" s="120"/>
      <c r="F80" s="120"/>
      <c r="G80" s="120"/>
      <c r="H80" s="120"/>
      <c r="I80" s="120"/>
      <c r="J80" s="120"/>
      <c r="K80" s="120"/>
      <c r="L80" s="120"/>
      <c r="M80" s="120"/>
    </row>
    <row r="81" spans="1:13" s="4" customFormat="1" ht="51.75" customHeight="1" x14ac:dyDescent="0.3">
      <c r="A81" s="10"/>
      <c r="B81" s="120"/>
      <c r="C81" s="10"/>
      <c r="D81" s="120"/>
      <c r="E81" s="120"/>
      <c r="F81" s="120"/>
      <c r="G81" s="12">
        <f>G68-G79</f>
        <v>89570.95</v>
      </c>
      <c r="H81" s="12">
        <f t="shared" ref="H81:K81" si="35">H68-H79</f>
        <v>0</v>
      </c>
      <c r="I81" s="12">
        <f t="shared" si="35"/>
        <v>0</v>
      </c>
      <c r="J81" s="12">
        <f t="shared" si="35"/>
        <v>0</v>
      </c>
      <c r="K81" s="12">
        <f t="shared" si="35"/>
        <v>0</v>
      </c>
      <c r="L81" s="120"/>
      <c r="M81" s="120"/>
    </row>
    <row r="82" spans="1:13" s="4" customFormat="1" ht="180.6" customHeight="1" x14ac:dyDescent="0.3">
      <c r="A82" s="1796"/>
      <c r="B82" s="1796"/>
      <c r="C82" s="1796"/>
      <c r="D82" s="1796"/>
      <c r="E82" s="1796"/>
      <c r="F82" s="1796"/>
      <c r="G82" s="1796"/>
      <c r="H82" s="1796"/>
      <c r="I82" s="1796"/>
      <c r="J82" s="1796"/>
      <c r="K82" s="1796"/>
      <c r="L82" s="1796"/>
      <c r="M82" s="1796"/>
    </row>
    <row r="83" spans="1:13" s="4" customFormat="1" ht="45.75" customHeight="1" x14ac:dyDescent="0.3">
      <c r="A83" s="1797"/>
      <c r="B83" s="1798"/>
      <c r="C83" s="1798"/>
      <c r="D83" s="1798"/>
      <c r="E83" s="1798"/>
      <c r="F83" s="1798"/>
      <c r="G83" s="1798"/>
      <c r="H83" s="1798"/>
      <c r="I83" s="1798"/>
      <c r="J83" s="1798"/>
      <c r="K83" s="1798"/>
      <c r="L83" s="1798"/>
      <c r="M83" s="1798"/>
    </row>
    <row r="84" spans="1:13" s="4" customFormat="1" ht="84.6" customHeight="1" x14ac:dyDescent="0.3">
      <c r="A84" s="8"/>
      <c r="B84" s="22"/>
      <c r="C84" s="22"/>
      <c r="D84" s="23"/>
      <c r="E84" s="23"/>
      <c r="F84" s="24"/>
      <c r="G84" s="24"/>
      <c r="H84" s="24"/>
      <c r="I84" s="24"/>
      <c r="J84" s="24"/>
      <c r="K84" s="24"/>
      <c r="L84" s="22"/>
      <c r="M84" s="23"/>
    </row>
    <row r="85" spans="1:13" s="4" customFormat="1" ht="51.75" customHeight="1" x14ac:dyDescent="0.3">
      <c r="A85" s="8"/>
      <c r="B85" s="22"/>
      <c r="C85" s="25"/>
      <c r="D85" s="25"/>
      <c r="E85" s="25"/>
      <c r="F85" s="26"/>
      <c r="G85" s="26"/>
      <c r="H85" s="26"/>
      <c r="I85" s="26"/>
      <c r="J85" s="26"/>
      <c r="K85" s="26"/>
      <c r="L85" s="23"/>
      <c r="M85" s="23"/>
    </row>
    <row r="86" spans="1:13" s="4" customFormat="1" ht="49.5" customHeight="1" x14ac:dyDescent="0.3">
      <c r="A86" s="8"/>
      <c r="B86" s="22"/>
      <c r="C86" s="27"/>
      <c r="D86" s="23"/>
      <c r="E86" s="25"/>
      <c r="F86" s="26"/>
      <c r="G86" s="26"/>
      <c r="H86" s="26"/>
      <c r="I86" s="26"/>
      <c r="J86" s="26"/>
      <c r="K86" s="26"/>
      <c r="L86" s="25"/>
      <c r="M86" s="25"/>
    </row>
    <row r="87" spans="1:13" s="4" customFormat="1" ht="100.95" customHeight="1" x14ac:dyDescent="0.3">
      <c r="A87" s="8"/>
      <c r="B87" s="22"/>
      <c r="C87" s="25"/>
      <c r="D87" s="23"/>
      <c r="E87" s="25"/>
      <c r="F87" s="26"/>
      <c r="G87" s="26"/>
      <c r="H87" s="26"/>
      <c r="I87" s="26"/>
      <c r="J87" s="26"/>
      <c r="K87" s="26"/>
      <c r="L87" s="25"/>
      <c r="M87" s="25"/>
    </row>
    <row r="88" spans="1:13" s="4" customFormat="1" ht="15" customHeight="1" x14ac:dyDescent="0.3">
      <c r="A88" s="9"/>
      <c r="B88" s="23"/>
      <c r="C88" s="25"/>
      <c r="D88" s="25"/>
      <c r="E88" s="25"/>
      <c r="F88" s="26"/>
      <c r="G88" s="26"/>
      <c r="H88" s="26"/>
      <c r="I88" s="26"/>
      <c r="J88" s="26"/>
      <c r="K88" s="26"/>
      <c r="L88" s="23"/>
      <c r="M88" s="23"/>
    </row>
    <row r="89" spans="1:13" s="4" customFormat="1" ht="142.94999999999999" customHeight="1" x14ac:dyDescent="0.3">
      <c r="A89" s="9"/>
      <c r="B89" s="23"/>
      <c r="C89" s="27"/>
      <c r="D89" s="23"/>
      <c r="E89" s="25"/>
      <c r="F89" s="26"/>
      <c r="G89" s="26"/>
      <c r="H89" s="26"/>
      <c r="I89" s="26"/>
      <c r="J89" s="26"/>
      <c r="K89" s="26"/>
      <c r="L89" s="23"/>
      <c r="M89" s="23"/>
    </row>
    <row r="90" spans="1:13" s="4" customFormat="1" ht="55.2" customHeight="1" x14ac:dyDescent="0.3">
      <c r="A90" s="9"/>
      <c r="B90" s="23"/>
      <c r="C90" s="28"/>
      <c r="D90" s="23"/>
      <c r="E90" s="25"/>
      <c r="F90" s="26"/>
      <c r="G90" s="26"/>
      <c r="H90" s="26"/>
      <c r="I90" s="26"/>
      <c r="J90" s="26"/>
      <c r="K90" s="26"/>
      <c r="L90" s="23"/>
      <c r="M90" s="23"/>
    </row>
    <row r="91" spans="1:13" s="4" customFormat="1" ht="57" customHeight="1" x14ac:dyDescent="0.3">
      <c r="A91" s="9"/>
      <c r="B91" s="23"/>
      <c r="C91" s="28"/>
      <c r="D91" s="23"/>
      <c r="E91" s="25"/>
      <c r="F91" s="26"/>
      <c r="G91" s="26"/>
      <c r="H91" s="26"/>
      <c r="I91" s="26"/>
      <c r="J91" s="26"/>
      <c r="K91" s="26"/>
      <c r="L91" s="23"/>
      <c r="M91" s="23"/>
    </row>
    <row r="92" spans="1:13" s="4" customFormat="1" x14ac:dyDescent="0.3">
      <c r="A92" s="8"/>
      <c r="B92" s="23"/>
      <c r="C92" s="25"/>
      <c r="D92" s="25"/>
      <c r="E92" s="25"/>
      <c r="F92" s="26"/>
      <c r="G92" s="26"/>
      <c r="H92" s="26"/>
      <c r="I92" s="26"/>
      <c r="J92" s="26"/>
      <c r="K92" s="26"/>
      <c r="L92" s="23"/>
      <c r="M92" s="23"/>
    </row>
    <row r="93" spans="1:13" s="4" customFormat="1" ht="41.4" customHeight="1" x14ac:dyDescent="0.3">
      <c r="A93" s="8"/>
      <c r="B93" s="23"/>
      <c r="C93" s="25"/>
      <c r="D93" s="23"/>
      <c r="E93" s="25"/>
      <c r="F93" s="26"/>
      <c r="G93" s="26"/>
      <c r="H93" s="26"/>
      <c r="I93" s="26"/>
      <c r="J93" s="26"/>
      <c r="K93" s="26"/>
      <c r="L93" s="23"/>
      <c r="M93" s="23"/>
    </row>
    <row r="94" spans="1:13" s="4" customFormat="1" ht="99.75" customHeight="1" x14ac:dyDescent="0.3">
      <c r="A94" s="8"/>
      <c r="B94" s="23"/>
      <c r="C94" s="25"/>
      <c r="D94" s="23"/>
      <c r="E94" s="25"/>
      <c r="F94" s="26"/>
      <c r="G94" s="26"/>
      <c r="H94" s="26"/>
      <c r="I94" s="26"/>
      <c r="J94" s="26"/>
      <c r="K94" s="26"/>
      <c r="L94" s="23"/>
      <c r="M94" s="23"/>
    </row>
    <row r="95" spans="1:13" s="4" customFormat="1" ht="27" customHeight="1" x14ac:dyDescent="0.3">
      <c r="A95" s="8"/>
      <c r="B95" s="23"/>
      <c r="C95" s="28"/>
      <c r="D95" s="25"/>
      <c r="E95" s="25"/>
      <c r="F95" s="26"/>
      <c r="G95" s="26"/>
      <c r="H95" s="26"/>
      <c r="I95" s="26"/>
      <c r="J95" s="26"/>
      <c r="K95" s="26"/>
      <c r="L95" s="23"/>
      <c r="M95" s="23"/>
    </row>
    <row r="96" spans="1:13" s="4" customFormat="1" ht="79.5" customHeight="1" x14ac:dyDescent="0.3">
      <c r="A96" s="8"/>
      <c r="B96" s="25"/>
      <c r="C96" s="28"/>
      <c r="D96" s="23"/>
      <c r="E96" s="25"/>
      <c r="F96" s="26"/>
      <c r="G96" s="26"/>
      <c r="H96" s="26"/>
      <c r="I96" s="26"/>
      <c r="J96" s="26"/>
      <c r="K96" s="26"/>
      <c r="L96" s="25"/>
      <c r="M96" s="25"/>
    </row>
    <row r="97" spans="1:13" s="4" customFormat="1" ht="96" hidden="1" customHeight="1" x14ac:dyDescent="0.3">
      <c r="A97" s="8"/>
      <c r="B97" s="25"/>
      <c r="C97" s="25"/>
      <c r="D97" s="25"/>
      <c r="E97" s="25"/>
      <c r="F97" s="26"/>
      <c r="G97" s="26"/>
      <c r="H97" s="26"/>
      <c r="I97" s="26"/>
      <c r="J97" s="26"/>
      <c r="K97" s="26"/>
      <c r="L97" s="25"/>
      <c r="M97" s="25"/>
    </row>
    <row r="98" spans="1:13" s="4" customFormat="1" ht="96" hidden="1" customHeight="1" x14ac:dyDescent="0.3">
      <c r="A98" s="8"/>
      <c r="B98" s="25"/>
      <c r="C98" s="25"/>
      <c r="D98" s="25"/>
      <c r="E98" s="25"/>
      <c r="F98" s="26"/>
      <c r="G98" s="26"/>
      <c r="H98" s="26"/>
      <c r="I98" s="26"/>
      <c r="J98" s="26"/>
      <c r="K98" s="26"/>
      <c r="L98" s="25"/>
      <c r="M98" s="25"/>
    </row>
    <row r="99" spans="1:13" s="4" customFormat="1" ht="96" hidden="1" customHeight="1" x14ac:dyDescent="0.3">
      <c r="A99" s="8"/>
      <c r="B99" s="25"/>
      <c r="C99" s="25"/>
      <c r="D99" s="25"/>
      <c r="E99" s="25"/>
      <c r="F99" s="26"/>
      <c r="G99" s="26"/>
      <c r="H99" s="26"/>
      <c r="I99" s="26"/>
      <c r="J99" s="26"/>
      <c r="K99" s="26"/>
      <c r="L99" s="25"/>
      <c r="M99" s="25"/>
    </row>
    <row r="100" spans="1:13" s="4" customFormat="1" ht="96" hidden="1" customHeight="1" x14ac:dyDescent="0.3">
      <c r="A100" s="8"/>
      <c r="B100" s="25"/>
      <c r="C100" s="25"/>
      <c r="D100" s="25"/>
      <c r="E100" s="25"/>
      <c r="F100" s="26"/>
      <c r="G100" s="26"/>
      <c r="H100" s="26"/>
      <c r="I100" s="26"/>
      <c r="J100" s="26"/>
      <c r="K100" s="26"/>
      <c r="L100" s="25"/>
      <c r="M100" s="25"/>
    </row>
    <row r="101" spans="1:13" s="4" customFormat="1" ht="96" hidden="1" customHeight="1" x14ac:dyDescent="0.3">
      <c r="A101" s="8"/>
      <c r="B101" s="25"/>
      <c r="C101" s="25"/>
      <c r="D101" s="25"/>
      <c r="E101" s="25"/>
      <c r="F101" s="26"/>
      <c r="G101" s="26"/>
      <c r="H101" s="26"/>
      <c r="I101" s="26"/>
      <c r="J101" s="26"/>
      <c r="K101" s="26"/>
      <c r="L101" s="25"/>
      <c r="M101" s="25"/>
    </row>
    <row r="102" spans="1:13" s="4" customFormat="1" ht="96" hidden="1" customHeight="1" x14ac:dyDescent="0.3">
      <c r="A102" s="8"/>
      <c r="B102" s="25"/>
      <c r="C102" s="25"/>
      <c r="D102" s="25"/>
      <c r="E102" s="25"/>
      <c r="F102" s="26"/>
      <c r="G102" s="26"/>
      <c r="H102" s="26"/>
      <c r="I102" s="26"/>
      <c r="J102" s="26"/>
      <c r="K102" s="26"/>
      <c r="L102" s="25"/>
      <c r="M102" s="25"/>
    </row>
    <row r="103" spans="1:13" s="4" customFormat="1" ht="96" hidden="1" customHeight="1" x14ac:dyDescent="0.3">
      <c r="A103" s="8"/>
      <c r="B103" s="25"/>
      <c r="C103" s="25"/>
      <c r="D103" s="25"/>
      <c r="E103" s="25"/>
      <c r="F103" s="26"/>
      <c r="G103" s="26"/>
      <c r="H103" s="26"/>
      <c r="I103" s="26"/>
      <c r="J103" s="26"/>
      <c r="K103" s="26"/>
      <c r="L103" s="25"/>
      <c r="M103" s="25"/>
    </row>
    <row r="104" spans="1:13" s="4" customFormat="1" ht="96" hidden="1" customHeight="1" x14ac:dyDescent="0.3">
      <c r="A104" s="8"/>
      <c r="B104" s="25"/>
      <c r="C104" s="25"/>
      <c r="D104" s="25"/>
      <c r="E104" s="25"/>
      <c r="F104" s="26"/>
      <c r="G104" s="26"/>
      <c r="H104" s="26"/>
      <c r="I104" s="26"/>
      <c r="J104" s="26"/>
      <c r="K104" s="26"/>
      <c r="L104" s="25"/>
      <c r="M104" s="25"/>
    </row>
    <row r="105" spans="1:13" s="4" customFormat="1" ht="15" customHeight="1" x14ac:dyDescent="0.3">
      <c r="A105" s="8"/>
      <c r="B105" s="23"/>
      <c r="C105" s="25"/>
      <c r="D105" s="23"/>
      <c r="E105" s="25"/>
      <c r="F105" s="26"/>
      <c r="G105" s="26"/>
      <c r="H105" s="26"/>
      <c r="I105" s="26"/>
      <c r="J105" s="26"/>
      <c r="K105" s="26"/>
      <c r="L105" s="23"/>
      <c r="M105" s="23"/>
    </row>
    <row r="106" spans="1:13" s="4" customFormat="1" ht="106.95" customHeight="1" x14ac:dyDescent="0.3">
      <c r="A106" s="8"/>
      <c r="B106" s="23"/>
      <c r="C106" s="25"/>
      <c r="D106" s="23"/>
      <c r="E106" s="25"/>
      <c r="F106" s="26"/>
      <c r="G106" s="26"/>
      <c r="H106" s="26"/>
      <c r="I106" s="26"/>
      <c r="J106" s="26"/>
      <c r="K106" s="26"/>
      <c r="L106" s="23"/>
      <c r="M106" s="23"/>
    </row>
    <row r="107" spans="1:13" s="4" customFormat="1" ht="274.2" customHeight="1" x14ac:dyDescent="0.3">
      <c r="A107" s="8"/>
      <c r="B107" s="23"/>
      <c r="C107" s="27"/>
      <c r="D107" s="23"/>
      <c r="E107" s="23"/>
      <c r="F107" s="26"/>
      <c r="G107" s="26"/>
      <c r="H107" s="26"/>
      <c r="I107" s="26"/>
      <c r="J107" s="26"/>
      <c r="K107" s="26"/>
      <c r="L107" s="23"/>
      <c r="M107" s="23"/>
    </row>
    <row r="108" spans="1:13" s="4" customFormat="1" ht="147.6" customHeight="1" x14ac:dyDescent="0.3">
      <c r="A108" s="8"/>
      <c r="B108" s="23"/>
      <c r="C108" s="25"/>
      <c r="D108" s="23"/>
      <c r="E108" s="23"/>
      <c r="F108" s="24"/>
      <c r="G108" s="24"/>
      <c r="H108" s="24"/>
      <c r="I108" s="24"/>
      <c r="J108" s="24"/>
      <c r="K108" s="24"/>
      <c r="L108" s="23"/>
      <c r="M108" s="23"/>
    </row>
    <row r="109" spans="1:13" s="4" customFormat="1" ht="18" customHeight="1" x14ac:dyDescent="0.3">
      <c r="A109" s="8"/>
      <c r="B109" s="23"/>
      <c r="C109" s="25"/>
      <c r="D109" s="23"/>
      <c r="E109" s="23"/>
      <c r="F109" s="24"/>
      <c r="G109" s="24"/>
      <c r="H109" s="24"/>
      <c r="I109" s="24"/>
      <c r="J109" s="24"/>
      <c r="K109" s="24"/>
      <c r="L109" s="23"/>
      <c r="M109" s="23"/>
    </row>
    <row r="110" spans="1:13" s="4" customFormat="1" ht="84" customHeight="1" x14ac:dyDescent="0.3">
      <c r="A110" s="8"/>
      <c r="B110" s="23"/>
      <c r="C110" s="25"/>
      <c r="D110" s="23"/>
      <c r="E110" s="25"/>
      <c r="F110" s="26"/>
      <c r="G110" s="26"/>
      <c r="H110" s="26"/>
      <c r="I110" s="26"/>
      <c r="J110" s="26"/>
      <c r="K110" s="26"/>
      <c r="L110" s="23"/>
      <c r="M110" s="23"/>
    </row>
    <row r="111" spans="1:13" s="4" customFormat="1" ht="42" customHeight="1" x14ac:dyDescent="0.3">
      <c r="A111" s="8"/>
      <c r="B111" s="23"/>
      <c r="C111" s="25"/>
      <c r="D111" s="23"/>
      <c r="E111" s="25"/>
      <c r="F111" s="26"/>
      <c r="G111" s="26"/>
      <c r="H111" s="26"/>
      <c r="I111" s="26"/>
      <c r="J111" s="26"/>
      <c r="K111" s="26"/>
      <c r="L111" s="23"/>
      <c r="M111" s="23"/>
    </row>
    <row r="112" spans="1:13" s="4" customFormat="1" x14ac:dyDescent="0.3">
      <c r="A112" s="8"/>
      <c r="B112" s="23"/>
      <c r="C112" s="27"/>
      <c r="D112" s="23"/>
      <c r="E112" s="25"/>
      <c r="F112" s="26"/>
      <c r="G112" s="26"/>
      <c r="H112" s="26"/>
      <c r="I112" s="26"/>
      <c r="J112" s="26"/>
      <c r="K112" s="26"/>
      <c r="L112" s="23"/>
      <c r="M112" s="23"/>
    </row>
    <row r="113" spans="1:13" s="4" customFormat="1" ht="74.25" customHeight="1" x14ac:dyDescent="0.3">
      <c r="A113" s="8"/>
      <c r="B113" s="23"/>
      <c r="C113" s="27"/>
      <c r="D113" s="23"/>
      <c r="E113" s="25"/>
      <c r="F113" s="26"/>
      <c r="G113" s="26"/>
      <c r="H113" s="26"/>
      <c r="I113" s="26"/>
      <c r="J113" s="26"/>
      <c r="K113" s="26"/>
      <c r="L113" s="23"/>
      <c r="M113" s="25"/>
    </row>
    <row r="114" spans="1:13" s="4" customFormat="1" ht="17.25" customHeight="1" x14ac:dyDescent="0.3">
      <c r="A114" s="8"/>
      <c r="B114" s="23"/>
      <c r="C114" s="27"/>
      <c r="D114" s="25"/>
      <c r="E114" s="25"/>
      <c r="F114" s="26"/>
      <c r="G114" s="26"/>
      <c r="H114" s="26"/>
      <c r="I114" s="26"/>
      <c r="J114" s="26"/>
      <c r="K114" s="26"/>
      <c r="L114" s="23"/>
      <c r="M114" s="23"/>
    </row>
    <row r="115" spans="1:13" s="4" customFormat="1" ht="74.25" customHeight="1" x14ac:dyDescent="0.3">
      <c r="A115" s="8"/>
      <c r="B115" s="23"/>
      <c r="C115" s="27"/>
      <c r="D115" s="23"/>
      <c r="E115" s="25"/>
      <c r="F115" s="26"/>
      <c r="G115" s="26"/>
      <c r="H115" s="26"/>
      <c r="I115" s="26"/>
      <c r="J115" s="26"/>
      <c r="K115" s="26"/>
      <c r="L115" s="25"/>
      <c r="M115" s="25"/>
    </row>
    <row r="116" spans="1:13" s="4" customFormat="1" ht="19.5" customHeight="1" x14ac:dyDescent="0.3">
      <c r="A116" s="8"/>
      <c r="B116" s="23"/>
      <c r="C116" s="27"/>
      <c r="D116" s="23"/>
      <c r="E116" s="25"/>
      <c r="F116" s="26"/>
      <c r="G116" s="26"/>
      <c r="H116" s="26"/>
      <c r="I116" s="26"/>
      <c r="J116" s="26"/>
      <c r="K116" s="26"/>
      <c r="L116" s="23"/>
      <c r="M116" s="23"/>
    </row>
    <row r="117" spans="1:13" s="5" customFormat="1" ht="72.75" customHeight="1" x14ac:dyDescent="0.3">
      <c r="A117" s="8"/>
      <c r="B117" s="23"/>
      <c r="C117" s="27"/>
      <c r="D117" s="23"/>
      <c r="E117" s="25"/>
      <c r="F117" s="26"/>
      <c r="G117" s="26"/>
      <c r="H117" s="26"/>
      <c r="I117" s="26"/>
      <c r="J117" s="26"/>
      <c r="K117" s="26"/>
      <c r="L117" s="25"/>
      <c r="M117" s="25"/>
    </row>
    <row r="118" spans="1:13" s="5" customFormat="1" x14ac:dyDescent="0.3">
      <c r="A118" s="43"/>
      <c r="B118" s="43"/>
      <c r="C118" s="43"/>
      <c r="D118" s="43"/>
      <c r="E118" s="43"/>
      <c r="F118" s="43"/>
      <c r="G118" s="43"/>
      <c r="H118" s="43"/>
      <c r="I118" s="43"/>
      <c r="J118" s="43"/>
      <c r="K118" s="43"/>
      <c r="L118" s="43"/>
      <c r="M118" s="43"/>
    </row>
    <row r="119" spans="1:13" s="5" customFormat="1" ht="72.75" customHeight="1" x14ac:dyDescent="0.3">
      <c r="A119" s="43"/>
      <c r="B119" s="43"/>
      <c r="C119" s="43"/>
      <c r="D119" s="43"/>
      <c r="E119" s="43"/>
      <c r="F119" s="43"/>
      <c r="G119" s="43"/>
      <c r="H119" s="43"/>
      <c r="I119" s="43"/>
      <c r="J119" s="43"/>
      <c r="K119" s="43"/>
      <c r="L119" s="43"/>
      <c r="M119" s="43"/>
    </row>
    <row r="120" spans="1:13" s="5" customFormat="1" ht="30.75" customHeight="1" x14ac:dyDescent="0.3">
      <c r="A120" s="43"/>
      <c r="B120" s="43"/>
      <c r="C120" s="43"/>
      <c r="D120" s="43"/>
      <c r="E120" s="43"/>
      <c r="F120" s="43"/>
      <c r="G120" s="43"/>
      <c r="H120" s="43"/>
      <c r="I120" s="43"/>
      <c r="J120" s="43"/>
      <c r="K120" s="43"/>
      <c r="L120" s="43"/>
      <c r="M120" s="43"/>
    </row>
    <row r="121" spans="1:13" s="4" customFormat="1" ht="79.2" customHeight="1" x14ac:dyDescent="0.3">
      <c r="A121" s="44"/>
      <c r="B121" s="44"/>
      <c r="C121" s="44"/>
      <c r="D121" s="44"/>
      <c r="E121" s="44"/>
      <c r="F121" s="44"/>
      <c r="G121" s="44"/>
      <c r="H121" s="44"/>
      <c r="I121" s="44"/>
      <c r="J121" s="44"/>
      <c r="K121" s="44"/>
      <c r="L121" s="44"/>
      <c r="M121" s="44"/>
    </row>
    <row r="122" spans="1:13" s="4" customFormat="1" ht="15" customHeight="1" x14ac:dyDescent="0.3">
      <c r="A122" s="44"/>
      <c r="B122" s="44"/>
      <c r="C122" s="44"/>
      <c r="D122" s="44"/>
      <c r="E122" s="44"/>
      <c r="F122" s="44"/>
      <c r="G122" s="44"/>
      <c r="H122" s="44"/>
      <c r="I122" s="44"/>
      <c r="J122" s="44"/>
      <c r="K122" s="44"/>
      <c r="L122" s="44"/>
      <c r="M122" s="44"/>
    </row>
    <row r="123" spans="1:13" s="4" customFormat="1" ht="80.25" customHeight="1" x14ac:dyDescent="0.3">
      <c r="A123" s="44"/>
      <c r="B123" s="44"/>
      <c r="C123" s="44"/>
      <c r="D123" s="44"/>
      <c r="E123" s="44"/>
      <c r="F123" s="44"/>
      <c r="G123" s="44"/>
      <c r="H123" s="44"/>
      <c r="I123" s="44"/>
      <c r="J123" s="44"/>
      <c r="K123" s="44"/>
      <c r="L123" s="44"/>
      <c r="M123" s="44"/>
    </row>
    <row r="124" spans="1:13" s="4" customFormat="1" ht="15" customHeight="1" x14ac:dyDescent="0.3">
      <c r="A124" s="44"/>
      <c r="B124" s="44"/>
      <c r="C124" s="44"/>
      <c r="D124" s="44"/>
      <c r="E124" s="44"/>
      <c r="F124" s="44"/>
      <c r="G124" s="44"/>
      <c r="H124" s="44"/>
      <c r="I124" s="44"/>
      <c r="J124" s="44"/>
      <c r="K124" s="44"/>
      <c r="L124" s="44"/>
      <c r="M124" s="44"/>
    </row>
    <row r="125" spans="1:13" s="4" customFormat="1" ht="118.2" customHeight="1" x14ac:dyDescent="0.3">
      <c r="A125" s="44"/>
      <c r="B125" s="44"/>
      <c r="C125" s="44"/>
      <c r="D125" s="44"/>
      <c r="E125" s="44"/>
      <c r="F125" s="44"/>
      <c r="G125" s="44"/>
      <c r="H125" s="44"/>
      <c r="I125" s="44"/>
      <c r="J125" s="44"/>
      <c r="K125" s="44"/>
      <c r="L125" s="44"/>
      <c r="M125" s="44"/>
    </row>
    <row r="126" spans="1:13" s="4" customFormat="1" ht="15" customHeight="1" x14ac:dyDescent="0.3">
      <c r="A126" s="44"/>
      <c r="B126" s="44"/>
      <c r="C126" s="44"/>
      <c r="D126" s="44"/>
      <c r="E126" s="44"/>
      <c r="F126" s="44"/>
      <c r="G126" s="44"/>
      <c r="H126" s="44"/>
      <c r="I126" s="44"/>
      <c r="J126" s="44"/>
      <c r="K126" s="44"/>
      <c r="L126" s="44"/>
      <c r="M126" s="44"/>
    </row>
    <row r="127" spans="1:13" s="4" customFormat="1" ht="79.5" customHeight="1" x14ac:dyDescent="0.3">
      <c r="A127" s="44"/>
      <c r="B127" s="44"/>
      <c r="C127" s="44"/>
      <c r="D127" s="44"/>
      <c r="E127" s="44"/>
      <c r="F127" s="44"/>
      <c r="G127" s="44"/>
      <c r="H127" s="44"/>
      <c r="I127" s="44"/>
      <c r="J127" s="44"/>
      <c r="K127" s="44"/>
      <c r="L127" s="44"/>
      <c r="M127" s="44"/>
    </row>
    <row r="128" spans="1:13" s="4" customFormat="1" ht="15" customHeight="1" x14ac:dyDescent="0.3">
      <c r="A128" s="44"/>
      <c r="B128" s="44"/>
      <c r="C128" s="44"/>
      <c r="D128" s="44"/>
      <c r="E128" s="44"/>
      <c r="F128" s="44"/>
      <c r="G128" s="44"/>
      <c r="H128" s="44"/>
      <c r="I128" s="44"/>
      <c r="J128" s="44"/>
      <c r="K128" s="44"/>
      <c r="L128" s="44"/>
      <c r="M128" s="44"/>
    </row>
    <row r="129" spans="1:13" s="4" customFormat="1" ht="81" customHeight="1" x14ac:dyDescent="0.3">
      <c r="A129" s="44"/>
      <c r="B129" s="44"/>
      <c r="C129" s="44"/>
      <c r="D129" s="44"/>
      <c r="E129" s="44"/>
      <c r="F129" s="44"/>
      <c r="G129" s="44"/>
      <c r="H129" s="44"/>
      <c r="I129" s="44"/>
      <c r="J129" s="44"/>
      <c r="K129" s="44"/>
      <c r="L129" s="44"/>
      <c r="M129" s="44"/>
    </row>
    <row r="130" spans="1:13" s="4" customFormat="1" ht="14.4" customHeight="1" x14ac:dyDescent="0.3">
      <c r="A130" s="44"/>
      <c r="B130" s="44"/>
      <c r="C130" s="44"/>
      <c r="D130" s="44"/>
      <c r="E130" s="44"/>
      <c r="F130" s="44"/>
      <c r="G130" s="44"/>
      <c r="H130" s="44"/>
      <c r="I130" s="44"/>
      <c r="J130" s="44"/>
      <c r="K130" s="44"/>
      <c r="L130" s="44"/>
      <c r="M130" s="44"/>
    </row>
    <row r="131" spans="1:13" s="4" customFormat="1" ht="81" customHeight="1" x14ac:dyDescent="0.3">
      <c r="A131" s="44"/>
      <c r="B131" s="44"/>
      <c r="C131" s="44"/>
      <c r="D131" s="44"/>
      <c r="E131" s="44"/>
      <c r="F131" s="44"/>
      <c r="G131" s="44"/>
      <c r="H131" s="44"/>
      <c r="I131" s="44"/>
      <c r="J131" s="44"/>
      <c r="K131" s="44"/>
      <c r="L131" s="44"/>
      <c r="M131" s="44"/>
    </row>
    <row r="132" spans="1:13" s="4" customFormat="1" ht="14.4" customHeight="1" x14ac:dyDescent="0.3">
      <c r="A132" s="44"/>
      <c r="B132" s="44"/>
      <c r="C132" s="44"/>
      <c r="D132" s="44"/>
      <c r="E132" s="44"/>
      <c r="F132" s="44"/>
      <c r="G132" s="44"/>
      <c r="H132" s="44"/>
      <c r="I132" s="44"/>
      <c r="J132" s="44"/>
      <c r="K132" s="44"/>
      <c r="L132" s="44"/>
      <c r="M132" s="44"/>
    </row>
    <row r="133" spans="1:13" s="4" customFormat="1" ht="81" customHeight="1" x14ac:dyDescent="0.3">
      <c r="A133" s="44"/>
      <c r="B133" s="44"/>
      <c r="C133" s="44"/>
      <c r="D133" s="44"/>
      <c r="E133" s="44"/>
      <c r="F133" s="44"/>
      <c r="G133" s="44"/>
      <c r="H133" s="44"/>
      <c r="I133" s="44"/>
      <c r="J133" s="44"/>
      <c r="K133" s="44"/>
      <c r="L133" s="44"/>
      <c r="M133" s="44"/>
    </row>
    <row r="134" spans="1:13" s="4" customFormat="1" ht="14.4" customHeight="1" x14ac:dyDescent="0.3">
      <c r="A134" s="44"/>
      <c r="B134" s="44"/>
      <c r="C134" s="44"/>
      <c r="D134" s="44"/>
      <c r="E134" s="44"/>
      <c r="F134" s="44"/>
      <c r="G134" s="44"/>
      <c r="H134" s="44"/>
      <c r="I134" s="44"/>
      <c r="J134" s="44"/>
      <c r="K134" s="44"/>
      <c r="L134" s="44"/>
      <c r="M134" s="44"/>
    </row>
    <row r="135" spans="1:13" s="4" customFormat="1" ht="81" customHeight="1" x14ac:dyDescent="0.3">
      <c r="A135" s="44"/>
      <c r="B135" s="44"/>
      <c r="C135" s="44"/>
      <c r="D135" s="44"/>
      <c r="E135" s="44"/>
      <c r="F135" s="44"/>
      <c r="G135" s="44"/>
      <c r="H135" s="44"/>
      <c r="I135" s="44"/>
      <c r="J135" s="44"/>
      <c r="K135" s="44"/>
      <c r="L135" s="44"/>
      <c r="M135" s="44"/>
    </row>
    <row r="136" spans="1:13" s="4" customFormat="1" ht="14.4" customHeight="1" x14ac:dyDescent="0.3">
      <c r="A136" s="44"/>
      <c r="B136" s="44"/>
      <c r="C136" s="44"/>
      <c r="D136" s="44"/>
      <c r="E136" s="44"/>
      <c r="F136" s="44"/>
      <c r="G136" s="44"/>
      <c r="H136" s="44"/>
      <c r="I136" s="44"/>
      <c r="J136" s="44"/>
      <c r="K136" s="44"/>
      <c r="L136" s="44"/>
      <c r="M136" s="44"/>
    </row>
    <row r="137" spans="1:13" s="4" customFormat="1" ht="81" customHeight="1" x14ac:dyDescent="0.3">
      <c r="A137" s="44"/>
      <c r="B137" s="44"/>
      <c r="C137" s="44"/>
      <c r="D137" s="44"/>
      <c r="E137" s="44"/>
      <c r="F137" s="44"/>
      <c r="G137" s="44"/>
      <c r="H137" s="44"/>
      <c r="I137" s="44"/>
      <c r="J137" s="44"/>
      <c r="K137" s="44"/>
      <c r="L137" s="44"/>
      <c r="M137" s="44"/>
    </row>
    <row r="138" spans="1:13" s="4" customFormat="1" ht="14.4" customHeight="1" x14ac:dyDescent="0.3">
      <c r="A138" s="44"/>
      <c r="B138" s="44"/>
      <c r="C138" s="44"/>
      <c r="D138" s="44"/>
      <c r="E138" s="44"/>
      <c r="F138" s="44"/>
      <c r="G138" s="44"/>
      <c r="H138" s="44"/>
      <c r="I138" s="44"/>
      <c r="J138" s="44"/>
      <c r="K138" s="44"/>
      <c r="L138" s="44"/>
      <c r="M138" s="44"/>
    </row>
    <row r="139" spans="1:13" s="4" customFormat="1" ht="81" customHeight="1" x14ac:dyDescent="0.3">
      <c r="A139" s="44"/>
      <c r="B139" s="44"/>
      <c r="C139" s="44"/>
      <c r="D139" s="44"/>
      <c r="E139" s="44"/>
      <c r="F139" s="44"/>
      <c r="G139" s="44"/>
      <c r="H139" s="44"/>
      <c r="I139" s="44"/>
      <c r="J139" s="44"/>
      <c r="K139" s="44"/>
      <c r="L139" s="44"/>
      <c r="M139" s="44"/>
    </row>
    <row r="140" spans="1:13" s="4" customFormat="1" ht="14.4" customHeight="1" x14ac:dyDescent="0.3">
      <c r="A140" s="44"/>
      <c r="B140" s="44"/>
      <c r="C140" s="44"/>
      <c r="D140" s="44"/>
      <c r="E140" s="44"/>
      <c r="F140" s="44"/>
      <c r="G140" s="44"/>
      <c r="H140" s="44"/>
      <c r="I140" s="44"/>
      <c r="J140" s="44"/>
      <c r="K140" s="44"/>
      <c r="L140" s="44"/>
      <c r="M140" s="44"/>
    </row>
    <row r="141" spans="1:13" s="4" customFormat="1" ht="81" customHeight="1" x14ac:dyDescent="0.3">
      <c r="A141" s="44"/>
      <c r="B141" s="44"/>
      <c r="C141" s="44"/>
      <c r="D141" s="44"/>
      <c r="E141" s="44"/>
      <c r="F141" s="44"/>
      <c r="G141" s="44"/>
      <c r="H141" s="44"/>
      <c r="I141" s="44"/>
      <c r="J141" s="44"/>
      <c r="K141" s="44"/>
      <c r="L141" s="44"/>
      <c r="M141" s="44"/>
    </row>
    <row r="142" spans="1:13" s="4" customFormat="1" x14ac:dyDescent="0.3">
      <c r="A142" s="44"/>
      <c r="B142" s="44"/>
      <c r="C142" s="44"/>
      <c r="D142" s="44"/>
      <c r="E142" s="44"/>
      <c r="F142" s="44"/>
      <c r="G142" s="44"/>
      <c r="H142" s="44"/>
      <c r="I142" s="44"/>
      <c r="J142" s="44"/>
      <c r="K142" s="44"/>
      <c r="L142" s="44"/>
      <c r="M142" s="44"/>
    </row>
    <row r="143" spans="1:13" s="4" customFormat="1" ht="81" customHeight="1" x14ac:dyDescent="0.3">
      <c r="A143" s="44"/>
      <c r="B143" s="44"/>
      <c r="C143" s="44"/>
      <c r="D143" s="44"/>
      <c r="E143" s="44"/>
      <c r="F143" s="44"/>
      <c r="G143" s="44"/>
      <c r="H143" s="44"/>
      <c r="I143" s="44"/>
      <c r="J143" s="44"/>
      <c r="K143" s="44"/>
      <c r="L143" s="44"/>
      <c r="M143" s="44"/>
    </row>
    <row r="144" spans="1:13" s="4" customFormat="1" x14ac:dyDescent="0.3">
      <c r="A144" s="44"/>
      <c r="B144" s="44"/>
      <c r="C144" s="44"/>
      <c r="D144" s="44"/>
      <c r="E144" s="44"/>
      <c r="F144" s="44"/>
      <c r="G144" s="44"/>
      <c r="H144" s="44"/>
      <c r="I144" s="44"/>
      <c r="J144" s="44"/>
      <c r="K144" s="44"/>
      <c r="L144" s="44"/>
      <c r="M144" s="44"/>
    </row>
    <row r="145" spans="1:13" s="4" customFormat="1" ht="81" customHeight="1" x14ac:dyDescent="0.3">
      <c r="A145" s="44"/>
      <c r="B145" s="44"/>
      <c r="C145" s="44"/>
      <c r="D145" s="44"/>
      <c r="E145" s="44"/>
      <c r="F145" s="44"/>
      <c r="G145" s="44"/>
      <c r="H145" s="44"/>
      <c r="I145" s="44"/>
      <c r="J145" s="44"/>
      <c r="K145" s="44"/>
      <c r="L145" s="44"/>
      <c r="M145" s="44"/>
    </row>
    <row r="146" spans="1:13" s="4" customFormat="1" ht="58.5" customHeight="1" x14ac:dyDescent="0.3">
      <c r="A146" s="44"/>
      <c r="B146" s="44"/>
      <c r="C146" s="44"/>
      <c r="D146" s="44"/>
      <c r="E146" s="44"/>
      <c r="F146" s="44"/>
      <c r="G146" s="44"/>
      <c r="H146" s="44"/>
      <c r="I146" s="44"/>
      <c r="J146" s="44"/>
      <c r="K146" s="44"/>
      <c r="L146" s="44"/>
      <c r="M146" s="44"/>
    </row>
    <row r="147" spans="1:13" s="4" customFormat="1" x14ac:dyDescent="0.3">
      <c r="A147" s="44"/>
      <c r="B147" s="44"/>
      <c r="C147" s="44"/>
      <c r="D147" s="44"/>
      <c r="E147" s="44"/>
      <c r="F147" s="44"/>
      <c r="G147" s="44"/>
      <c r="H147" s="44"/>
      <c r="I147" s="44"/>
      <c r="J147" s="44"/>
      <c r="K147" s="44"/>
      <c r="L147" s="44"/>
      <c r="M147" s="44"/>
    </row>
    <row r="148" spans="1:13" s="4" customFormat="1" ht="91.95" customHeight="1" x14ac:dyDescent="0.3">
      <c r="A148" s="44"/>
      <c r="B148" s="44"/>
      <c r="C148" s="44"/>
      <c r="D148" s="44"/>
      <c r="E148" s="44"/>
      <c r="F148" s="44"/>
      <c r="G148" s="44"/>
      <c r="H148" s="44"/>
      <c r="I148" s="44"/>
      <c r="J148" s="44"/>
      <c r="K148" s="44"/>
      <c r="L148" s="44"/>
      <c r="M148" s="44"/>
    </row>
    <row r="149" spans="1:13" s="4" customFormat="1" x14ac:dyDescent="0.3">
      <c r="A149" s="44"/>
      <c r="B149" s="44"/>
      <c r="C149" s="44"/>
      <c r="D149" s="44"/>
      <c r="E149" s="44"/>
      <c r="F149" s="44"/>
      <c r="G149" s="44"/>
      <c r="H149" s="44"/>
      <c r="I149" s="44"/>
      <c r="J149" s="44"/>
      <c r="K149" s="44"/>
      <c r="L149" s="44"/>
      <c r="M149" s="44"/>
    </row>
    <row r="150" spans="1:13" s="4" customFormat="1" ht="91.95" customHeight="1" x14ac:dyDescent="0.3">
      <c r="A150" s="44"/>
      <c r="B150" s="44"/>
      <c r="C150" s="44"/>
      <c r="D150" s="44"/>
      <c r="E150" s="44"/>
      <c r="F150" s="44"/>
      <c r="G150" s="44"/>
      <c r="H150" s="44"/>
      <c r="I150" s="44"/>
      <c r="J150" s="44"/>
      <c r="K150" s="44"/>
      <c r="L150" s="44"/>
      <c r="M150" s="44"/>
    </row>
    <row r="151" spans="1:13" s="4" customFormat="1" x14ac:dyDescent="0.3">
      <c r="A151" s="44"/>
      <c r="B151" s="44"/>
      <c r="C151" s="44"/>
      <c r="D151" s="44"/>
      <c r="E151" s="44"/>
      <c r="F151" s="44"/>
      <c r="G151" s="44"/>
      <c r="H151" s="44"/>
      <c r="I151" s="44"/>
      <c r="J151" s="44"/>
      <c r="K151" s="44"/>
      <c r="L151" s="44"/>
      <c r="M151" s="44"/>
    </row>
    <row r="152" spans="1:13" s="4" customFormat="1" ht="91.95" customHeight="1" x14ac:dyDescent="0.3">
      <c r="A152" s="44"/>
      <c r="B152" s="44"/>
      <c r="C152" s="44"/>
      <c r="D152" s="44"/>
      <c r="E152" s="44"/>
      <c r="F152" s="44"/>
      <c r="G152" s="44"/>
      <c r="H152" s="44"/>
      <c r="I152" s="44"/>
      <c r="J152" s="44"/>
      <c r="K152" s="44"/>
      <c r="L152" s="44"/>
      <c r="M152" s="44"/>
    </row>
    <row r="153" spans="1:13" s="4" customFormat="1" x14ac:dyDescent="0.3">
      <c r="A153" s="44"/>
      <c r="B153" s="44"/>
      <c r="C153" s="44"/>
      <c r="D153" s="44"/>
      <c r="E153" s="44"/>
      <c r="F153" s="44"/>
      <c r="G153" s="44"/>
      <c r="H153" s="44"/>
      <c r="I153" s="44"/>
      <c r="J153" s="44"/>
      <c r="K153" s="44"/>
      <c r="L153" s="44"/>
      <c r="M153" s="44"/>
    </row>
    <row r="154" spans="1:13" s="4" customFormat="1" ht="90" customHeight="1" x14ac:dyDescent="0.3">
      <c r="A154" s="44"/>
      <c r="B154" s="44"/>
      <c r="C154" s="44"/>
      <c r="D154" s="44"/>
      <c r="E154" s="44"/>
      <c r="F154" s="44"/>
      <c r="G154" s="44"/>
      <c r="H154" s="44"/>
      <c r="I154" s="44"/>
      <c r="J154" s="44"/>
      <c r="K154" s="44"/>
      <c r="L154" s="44"/>
      <c r="M154" s="44"/>
    </row>
    <row r="155" spans="1:13" s="4" customFormat="1" x14ac:dyDescent="0.3">
      <c r="A155" s="44"/>
      <c r="B155" s="44"/>
      <c r="C155" s="44"/>
      <c r="D155" s="44"/>
      <c r="E155" s="44"/>
      <c r="F155" s="44"/>
      <c r="G155" s="44"/>
      <c r="H155" s="44"/>
      <c r="I155" s="44"/>
      <c r="J155" s="44"/>
      <c r="K155" s="44"/>
      <c r="L155" s="44"/>
      <c r="M155" s="44"/>
    </row>
    <row r="156" spans="1:13" s="4" customFormat="1" ht="90" customHeight="1" x14ac:dyDescent="0.3">
      <c r="A156" s="44"/>
      <c r="B156" s="44"/>
      <c r="C156" s="44"/>
      <c r="D156" s="44"/>
      <c r="E156" s="44"/>
      <c r="F156" s="44"/>
      <c r="G156" s="44"/>
      <c r="H156" s="44"/>
      <c r="I156" s="44"/>
      <c r="J156" s="44"/>
      <c r="K156" s="44"/>
      <c r="L156" s="44"/>
      <c r="M156" s="44"/>
    </row>
    <row r="157" spans="1:13" s="4" customFormat="1" x14ac:dyDescent="0.3">
      <c r="A157" s="44"/>
      <c r="B157" s="44"/>
      <c r="C157" s="44"/>
      <c r="D157" s="44"/>
      <c r="E157" s="44"/>
      <c r="F157" s="44"/>
      <c r="G157" s="44"/>
      <c r="H157" s="44"/>
      <c r="I157" s="44"/>
      <c r="J157" s="44"/>
      <c r="K157" s="44"/>
      <c r="L157" s="44"/>
      <c r="M157" s="44"/>
    </row>
    <row r="158" spans="1:13" s="4" customFormat="1" ht="164.25" customHeight="1" x14ac:dyDescent="0.3">
      <c r="A158" s="44"/>
      <c r="B158" s="44"/>
      <c r="C158" s="44"/>
      <c r="D158" s="44"/>
      <c r="E158" s="44"/>
      <c r="F158" s="44"/>
      <c r="G158" s="44"/>
      <c r="H158" s="44"/>
      <c r="I158" s="44"/>
      <c r="J158" s="44"/>
      <c r="K158" s="44"/>
      <c r="L158" s="44"/>
      <c r="M158" s="44"/>
    </row>
    <row r="159" spans="1:13" s="4" customFormat="1" ht="14.4" customHeight="1" x14ac:dyDescent="0.3">
      <c r="A159" s="44"/>
      <c r="B159" s="44"/>
      <c r="C159" s="44"/>
      <c r="D159" s="44"/>
      <c r="E159" s="44"/>
      <c r="F159" s="44"/>
      <c r="G159" s="44"/>
      <c r="H159" s="44"/>
      <c r="I159" s="44"/>
      <c r="J159" s="44"/>
      <c r="K159" s="44"/>
      <c r="L159" s="44"/>
      <c r="M159" s="44"/>
    </row>
    <row r="160" spans="1:13" s="4" customFormat="1" ht="117.6" customHeight="1" x14ac:dyDescent="0.3">
      <c r="A160" s="44"/>
      <c r="B160" s="44"/>
      <c r="C160" s="44"/>
      <c r="D160" s="44"/>
      <c r="E160" s="44"/>
      <c r="F160" s="44"/>
      <c r="G160" s="44"/>
      <c r="H160" s="44"/>
      <c r="I160" s="44"/>
      <c r="J160" s="44"/>
      <c r="K160" s="44"/>
      <c r="L160" s="44"/>
      <c r="M160" s="44"/>
    </row>
    <row r="161" spans="1:13" s="4" customFormat="1" ht="14.4" customHeight="1" x14ac:dyDescent="0.3">
      <c r="A161" s="44"/>
      <c r="B161" s="44"/>
      <c r="C161" s="44"/>
      <c r="D161" s="44"/>
      <c r="E161" s="44"/>
      <c r="F161" s="44"/>
      <c r="G161" s="44"/>
      <c r="H161" s="44"/>
      <c r="I161" s="44"/>
      <c r="J161" s="44"/>
      <c r="K161" s="44"/>
      <c r="L161" s="44"/>
      <c r="M161" s="44"/>
    </row>
    <row r="162" spans="1:13" s="4" customFormat="1" ht="132.75" customHeight="1" x14ac:dyDescent="0.3">
      <c r="A162" s="44"/>
      <c r="B162" s="44"/>
      <c r="C162" s="44"/>
      <c r="D162" s="44"/>
      <c r="E162" s="44"/>
      <c r="F162" s="44"/>
      <c r="G162" s="44"/>
      <c r="H162" s="44"/>
      <c r="I162" s="44"/>
      <c r="J162" s="44"/>
      <c r="K162" s="44"/>
      <c r="L162" s="44"/>
      <c r="M162" s="44"/>
    </row>
    <row r="163" spans="1:13" s="4" customFormat="1" ht="29.4" customHeight="1" x14ac:dyDescent="0.3">
      <c r="A163" s="44"/>
      <c r="B163" s="44"/>
      <c r="C163" s="44"/>
      <c r="D163" s="44"/>
      <c r="E163" s="44"/>
      <c r="F163" s="44"/>
      <c r="G163" s="44"/>
      <c r="H163" s="44"/>
      <c r="I163" s="44"/>
      <c r="J163" s="44"/>
      <c r="K163" s="44"/>
      <c r="L163" s="44"/>
      <c r="M163" s="44"/>
    </row>
    <row r="164" spans="1:13" s="4" customFormat="1" ht="109.2" customHeight="1" x14ac:dyDescent="0.3">
      <c r="A164" s="44"/>
      <c r="B164" s="44"/>
      <c r="C164" s="44"/>
      <c r="D164" s="44"/>
      <c r="E164" s="44"/>
      <c r="F164" s="44"/>
      <c r="G164" s="44"/>
      <c r="H164" s="44"/>
      <c r="I164" s="44"/>
      <c r="J164" s="44"/>
      <c r="K164" s="44"/>
      <c r="L164" s="44"/>
      <c r="M164" s="44"/>
    </row>
    <row r="165" spans="1:13" s="4" customFormat="1" x14ac:dyDescent="0.3">
      <c r="A165" s="44"/>
      <c r="B165" s="44"/>
      <c r="C165" s="44"/>
      <c r="D165" s="44"/>
      <c r="E165" s="44"/>
      <c r="F165" s="44"/>
      <c r="G165" s="44"/>
      <c r="H165" s="44"/>
      <c r="I165" s="44"/>
      <c r="J165" s="44"/>
      <c r="K165" s="44"/>
      <c r="L165" s="44"/>
      <c r="M165" s="44"/>
    </row>
    <row r="166" spans="1:13" s="4" customFormat="1" ht="63" customHeight="1" x14ac:dyDescent="0.3">
      <c r="A166" s="44"/>
      <c r="B166" s="44"/>
      <c r="C166" s="44"/>
      <c r="D166" s="44"/>
      <c r="E166" s="44"/>
      <c r="F166" s="44"/>
      <c r="G166" s="44"/>
      <c r="H166" s="44"/>
      <c r="I166" s="44"/>
      <c r="J166" s="44"/>
      <c r="K166" s="44"/>
      <c r="L166" s="44"/>
      <c r="M166" s="44"/>
    </row>
    <row r="167" spans="1:13" s="4" customFormat="1" x14ac:dyDescent="0.3">
      <c r="A167" s="44"/>
      <c r="B167" s="44"/>
      <c r="C167" s="44"/>
      <c r="D167" s="44"/>
      <c r="E167" s="44"/>
      <c r="F167" s="44"/>
      <c r="G167" s="44"/>
      <c r="H167" s="44"/>
      <c r="I167" s="44"/>
      <c r="J167" s="44"/>
      <c r="K167" s="44"/>
      <c r="L167" s="44"/>
      <c r="M167" s="44"/>
    </row>
    <row r="168" spans="1:13" s="4" customFormat="1" ht="82.5" customHeight="1" x14ac:dyDescent="0.3">
      <c r="A168" s="44"/>
      <c r="B168" s="44"/>
      <c r="C168" s="44"/>
      <c r="D168" s="44"/>
      <c r="E168" s="44"/>
      <c r="F168" s="44"/>
      <c r="G168" s="44"/>
      <c r="H168" s="44"/>
      <c r="I168" s="44"/>
      <c r="J168" s="44"/>
      <c r="K168" s="44"/>
      <c r="L168" s="44"/>
      <c r="M168" s="44"/>
    </row>
    <row r="169" spans="1:13" s="4" customFormat="1" x14ac:dyDescent="0.3">
      <c r="A169" s="44"/>
      <c r="B169" s="44"/>
      <c r="C169" s="44"/>
      <c r="D169" s="44"/>
      <c r="E169" s="44"/>
      <c r="F169" s="44"/>
      <c r="G169" s="44"/>
      <c r="H169" s="44"/>
      <c r="I169" s="44"/>
      <c r="J169" s="44"/>
      <c r="K169" s="44"/>
      <c r="L169" s="44"/>
      <c r="M169" s="44"/>
    </row>
    <row r="170" spans="1:13" s="4" customFormat="1" ht="72" customHeight="1" x14ac:dyDescent="0.3">
      <c r="A170" s="44"/>
      <c r="B170" s="44"/>
      <c r="C170" s="44"/>
      <c r="D170" s="44"/>
      <c r="E170" s="44"/>
      <c r="F170" s="44"/>
      <c r="G170" s="44"/>
      <c r="H170" s="44"/>
      <c r="I170" s="44"/>
      <c r="J170" s="44"/>
      <c r="K170" s="44"/>
      <c r="L170" s="44"/>
      <c r="M170" s="44"/>
    </row>
    <row r="171" spans="1:13" s="4" customFormat="1" ht="15" customHeight="1" x14ac:dyDescent="0.3">
      <c r="A171" s="44"/>
      <c r="B171" s="44"/>
      <c r="C171" s="44"/>
      <c r="D171" s="44"/>
      <c r="E171" s="44"/>
      <c r="F171" s="44"/>
      <c r="G171" s="44"/>
      <c r="H171" s="44"/>
      <c r="I171" s="44"/>
      <c r="J171" s="44"/>
      <c r="K171" s="44"/>
      <c r="L171" s="44"/>
      <c r="M171" s="44"/>
    </row>
    <row r="172" spans="1:13" s="4" customFormat="1" ht="62.4" customHeight="1" x14ac:dyDescent="0.3">
      <c r="A172" s="44"/>
      <c r="B172" s="44"/>
      <c r="C172" s="44"/>
      <c r="D172" s="44"/>
      <c r="E172" s="44"/>
      <c r="F172" s="44"/>
      <c r="G172" s="44"/>
      <c r="H172" s="44"/>
      <c r="I172" s="44"/>
      <c r="J172" s="44"/>
      <c r="K172" s="44"/>
      <c r="L172" s="44"/>
      <c r="M172" s="44"/>
    </row>
    <row r="173" spans="1:13" s="4" customFormat="1" x14ac:dyDescent="0.3">
      <c r="A173" s="44"/>
      <c r="B173" s="44"/>
      <c r="C173" s="44"/>
      <c r="D173" s="44"/>
      <c r="E173" s="44"/>
      <c r="F173" s="44"/>
      <c r="G173" s="44"/>
      <c r="H173" s="44"/>
      <c r="I173" s="44"/>
      <c r="J173" s="44"/>
      <c r="K173" s="44"/>
      <c r="L173" s="44"/>
      <c r="M173" s="44"/>
    </row>
    <row r="174" spans="1:13" s="4" customFormat="1" ht="66" customHeight="1" x14ac:dyDescent="0.3">
      <c r="A174" s="44"/>
      <c r="B174" s="44"/>
      <c r="C174" s="44"/>
      <c r="D174" s="44"/>
      <c r="E174" s="44"/>
      <c r="F174" s="44"/>
      <c r="G174" s="44"/>
      <c r="H174" s="44"/>
      <c r="I174" s="44"/>
      <c r="J174" s="44"/>
      <c r="K174" s="44"/>
      <c r="L174" s="44"/>
      <c r="M174" s="44"/>
    </row>
    <row r="175" spans="1:13" s="4" customFormat="1" ht="14.4" customHeight="1" x14ac:dyDescent="0.3">
      <c r="A175" s="44"/>
      <c r="B175" s="44"/>
      <c r="C175" s="44"/>
      <c r="D175" s="44"/>
      <c r="E175" s="44"/>
      <c r="F175" s="44"/>
      <c r="G175" s="44"/>
      <c r="H175" s="44"/>
      <c r="I175" s="44"/>
      <c r="J175" s="44"/>
      <c r="K175" s="44"/>
      <c r="L175" s="44"/>
      <c r="M175" s="44"/>
    </row>
    <row r="176" spans="1:13" s="4" customFormat="1" ht="74.25" customHeight="1" x14ac:dyDescent="0.3">
      <c r="A176" s="44"/>
      <c r="B176" s="44"/>
      <c r="C176" s="44"/>
      <c r="D176" s="44"/>
      <c r="E176" s="44"/>
      <c r="F176" s="44"/>
      <c r="G176" s="44"/>
      <c r="H176" s="44"/>
      <c r="I176" s="44"/>
      <c r="J176" s="44"/>
      <c r="K176" s="44"/>
      <c r="L176" s="44"/>
      <c r="M176" s="44"/>
    </row>
    <row r="177" spans="1:13" s="4" customFormat="1" ht="15" customHeight="1" x14ac:dyDescent="0.3">
      <c r="A177" s="44"/>
      <c r="B177" s="44"/>
      <c r="C177" s="44"/>
      <c r="D177" s="44"/>
      <c r="E177" s="44"/>
      <c r="F177" s="44"/>
      <c r="G177" s="44"/>
      <c r="H177" s="44"/>
      <c r="I177" s="44"/>
      <c r="J177" s="44"/>
      <c r="K177" s="44"/>
      <c r="L177" s="44"/>
      <c r="M177" s="44"/>
    </row>
    <row r="178" spans="1:13" s="4" customFormat="1" ht="130.19999999999999" customHeight="1" x14ac:dyDescent="0.3">
      <c r="A178" s="44"/>
      <c r="B178" s="44"/>
      <c r="C178" s="44"/>
      <c r="D178" s="44"/>
      <c r="E178" s="44"/>
      <c r="F178" s="44"/>
      <c r="G178" s="44"/>
      <c r="H178" s="44"/>
      <c r="I178" s="44"/>
      <c r="J178" s="44"/>
      <c r="K178" s="44"/>
      <c r="L178" s="44"/>
      <c r="M178" s="44"/>
    </row>
    <row r="179" spans="1:13" s="4" customFormat="1" ht="41.4" customHeight="1" x14ac:dyDescent="0.3">
      <c r="A179" s="44"/>
      <c r="B179" s="44"/>
      <c r="C179" s="44"/>
      <c r="D179" s="44"/>
      <c r="E179" s="44"/>
      <c r="F179" s="44"/>
      <c r="G179" s="44"/>
      <c r="H179" s="44"/>
      <c r="I179" s="44"/>
      <c r="J179" s="44"/>
      <c r="K179" s="44"/>
      <c r="L179" s="44"/>
      <c r="M179" s="44"/>
    </row>
    <row r="180" spans="1:13" s="4" customFormat="1" ht="123.6" customHeight="1" x14ac:dyDescent="0.3">
      <c r="A180" s="44"/>
      <c r="B180" s="44"/>
      <c r="C180" s="44"/>
      <c r="D180" s="44"/>
      <c r="E180" s="44"/>
      <c r="F180" s="44"/>
      <c r="G180" s="44"/>
      <c r="H180" s="44"/>
      <c r="I180" s="44"/>
      <c r="J180" s="44"/>
      <c r="K180" s="44"/>
      <c r="L180" s="44"/>
      <c r="M180" s="44"/>
    </row>
    <row r="181" spans="1:13" s="4" customFormat="1" ht="32.4" customHeight="1" x14ac:dyDescent="0.3">
      <c r="A181" s="44"/>
      <c r="B181" s="44"/>
      <c r="C181" s="44"/>
      <c r="D181" s="44"/>
      <c r="E181" s="44"/>
      <c r="F181" s="44"/>
      <c r="G181" s="44"/>
      <c r="H181" s="44"/>
      <c r="I181" s="44"/>
      <c r="J181" s="44"/>
      <c r="K181" s="44"/>
      <c r="L181" s="44"/>
      <c r="M181" s="44"/>
    </row>
    <row r="182" spans="1:13" s="4" customFormat="1" ht="128.4" customHeight="1" x14ac:dyDescent="0.3">
      <c r="A182" s="44"/>
      <c r="B182" s="44"/>
      <c r="C182" s="44"/>
      <c r="D182" s="44"/>
      <c r="E182" s="44"/>
      <c r="F182" s="44"/>
      <c r="G182" s="44"/>
      <c r="H182" s="44"/>
      <c r="I182" s="44"/>
      <c r="J182" s="44"/>
      <c r="K182" s="44"/>
      <c r="L182" s="44"/>
      <c r="M182" s="44"/>
    </row>
    <row r="183" spans="1:13" s="4" customFormat="1" x14ac:dyDescent="0.3">
      <c r="A183" s="44"/>
      <c r="B183" s="44"/>
      <c r="C183" s="44"/>
      <c r="D183" s="44"/>
      <c r="E183" s="44"/>
      <c r="F183" s="44"/>
      <c r="G183" s="44"/>
      <c r="H183" s="44"/>
      <c r="I183" s="44"/>
      <c r="J183" s="44"/>
      <c r="K183" s="44"/>
      <c r="L183" s="44"/>
      <c r="M183" s="44"/>
    </row>
    <row r="184" spans="1:13" s="4" customFormat="1" ht="131.4" customHeight="1" x14ac:dyDescent="0.3">
      <c r="A184" s="44"/>
      <c r="B184" s="44"/>
      <c r="C184" s="44"/>
      <c r="D184" s="44"/>
      <c r="E184" s="44"/>
      <c r="F184" s="44"/>
      <c r="G184" s="44"/>
      <c r="H184" s="44"/>
      <c r="I184" s="44"/>
      <c r="J184" s="44"/>
      <c r="K184" s="44"/>
      <c r="L184" s="44"/>
      <c r="M184" s="44"/>
    </row>
    <row r="185" spans="1:13" s="4" customFormat="1" x14ac:dyDescent="0.3">
      <c r="A185" s="44"/>
      <c r="B185" s="44"/>
      <c r="C185" s="44"/>
      <c r="D185" s="44"/>
      <c r="E185" s="44"/>
      <c r="F185" s="44"/>
      <c r="G185" s="44"/>
      <c r="H185" s="44"/>
      <c r="I185" s="44"/>
      <c r="J185" s="44"/>
      <c r="K185" s="44"/>
      <c r="L185" s="44"/>
      <c r="M185" s="44"/>
    </row>
    <row r="186" spans="1:13" s="4" customFormat="1" ht="105" customHeight="1" x14ac:dyDescent="0.3">
      <c r="A186" s="44"/>
      <c r="B186" s="44"/>
      <c r="C186" s="44"/>
      <c r="D186" s="44"/>
      <c r="E186" s="44"/>
      <c r="F186" s="44"/>
      <c r="G186" s="44"/>
      <c r="H186" s="44"/>
      <c r="I186" s="44"/>
      <c r="J186" s="44"/>
      <c r="K186" s="44"/>
      <c r="L186" s="44"/>
      <c r="M186" s="44"/>
    </row>
    <row r="187" spans="1:13" s="4" customFormat="1" x14ac:dyDescent="0.3">
      <c r="A187" s="44"/>
      <c r="B187" s="44"/>
      <c r="C187" s="44"/>
      <c r="D187" s="44"/>
      <c r="E187" s="44"/>
      <c r="F187" s="44"/>
      <c r="G187" s="44"/>
      <c r="H187" s="44"/>
      <c r="I187" s="44"/>
      <c r="J187" s="44"/>
      <c r="K187" s="44"/>
      <c r="L187" s="44"/>
      <c r="M187" s="44"/>
    </row>
    <row r="188" spans="1:13" s="4" customFormat="1" ht="94.5" customHeight="1" x14ac:dyDescent="0.3">
      <c r="A188" s="44"/>
      <c r="B188" s="44"/>
      <c r="C188" s="44"/>
      <c r="D188" s="44"/>
      <c r="E188" s="44"/>
      <c r="F188" s="44"/>
      <c r="G188" s="44"/>
      <c r="H188" s="44"/>
      <c r="I188" s="44"/>
      <c r="J188" s="44"/>
      <c r="K188" s="44"/>
      <c r="L188" s="44"/>
      <c r="M188" s="44"/>
    </row>
    <row r="189" spans="1:13" s="4" customFormat="1" ht="14.4" customHeight="1" x14ac:dyDescent="0.3">
      <c r="A189" s="44"/>
      <c r="B189" s="44"/>
      <c r="C189" s="44"/>
      <c r="D189" s="44"/>
      <c r="E189" s="44"/>
      <c r="F189" s="44"/>
      <c r="G189" s="44"/>
      <c r="H189" s="44"/>
      <c r="I189" s="44"/>
      <c r="J189" s="44"/>
      <c r="K189" s="44"/>
      <c r="L189" s="44"/>
      <c r="M189" s="44"/>
    </row>
    <row r="190" spans="1:13" s="4" customFormat="1" ht="120" customHeight="1" x14ac:dyDescent="0.3">
      <c r="A190" s="44"/>
      <c r="B190" s="44"/>
      <c r="C190" s="44"/>
      <c r="D190" s="44"/>
      <c r="E190" s="44"/>
      <c r="F190" s="44"/>
      <c r="G190" s="44"/>
      <c r="H190" s="44"/>
      <c r="I190" s="44"/>
      <c r="J190" s="44"/>
      <c r="K190" s="44"/>
      <c r="L190" s="44"/>
      <c r="M190" s="44"/>
    </row>
    <row r="191" spans="1:13" s="4" customFormat="1" ht="40.950000000000003" customHeight="1" x14ac:dyDescent="0.3">
      <c r="A191" s="44"/>
      <c r="B191" s="44"/>
      <c r="C191" s="44"/>
      <c r="D191" s="44"/>
      <c r="E191" s="44"/>
      <c r="F191" s="44"/>
      <c r="G191" s="44"/>
      <c r="H191" s="44"/>
      <c r="I191" s="44"/>
      <c r="J191" s="44"/>
      <c r="K191" s="44"/>
      <c r="L191" s="44"/>
      <c r="M191" s="44"/>
    </row>
    <row r="192" spans="1:13" s="4" customFormat="1" ht="103.95" customHeight="1" x14ac:dyDescent="0.3">
      <c r="A192" s="44"/>
      <c r="B192" s="44"/>
      <c r="C192" s="44"/>
      <c r="D192" s="44"/>
      <c r="E192" s="44"/>
      <c r="F192" s="44"/>
      <c r="G192" s="44"/>
      <c r="H192" s="44"/>
      <c r="I192" s="44"/>
      <c r="J192" s="44"/>
      <c r="K192" s="44"/>
      <c r="L192" s="44"/>
      <c r="M192" s="44"/>
    </row>
    <row r="193" spans="1:13" s="4" customFormat="1" ht="75" customHeight="1" x14ac:dyDescent="0.3">
      <c r="A193" s="44"/>
      <c r="B193" s="44"/>
      <c r="C193" s="44"/>
      <c r="D193" s="44"/>
      <c r="E193" s="44"/>
      <c r="F193" s="44"/>
      <c r="G193" s="44"/>
      <c r="H193" s="44"/>
      <c r="I193" s="44"/>
      <c r="J193" s="44"/>
      <c r="K193" s="44"/>
      <c r="L193" s="44"/>
      <c r="M193" s="44"/>
    </row>
    <row r="194" spans="1:13" s="4" customFormat="1" x14ac:dyDescent="0.3">
      <c r="A194" s="44"/>
      <c r="B194" s="44"/>
      <c r="C194" s="44"/>
      <c r="D194" s="44"/>
      <c r="E194" s="44"/>
      <c r="F194" s="44"/>
      <c r="G194" s="44"/>
      <c r="H194" s="44"/>
      <c r="I194" s="44"/>
      <c r="J194" s="44"/>
      <c r="K194" s="44"/>
      <c r="L194" s="44"/>
      <c r="M194" s="44"/>
    </row>
    <row r="195" spans="1:13" s="4" customFormat="1" ht="78.75" customHeight="1" x14ac:dyDescent="0.3">
      <c r="A195" s="44"/>
      <c r="B195" s="44"/>
      <c r="C195" s="44"/>
      <c r="D195" s="44"/>
      <c r="E195" s="44"/>
      <c r="F195" s="44"/>
      <c r="G195" s="44"/>
      <c r="H195" s="44"/>
      <c r="I195" s="44"/>
      <c r="J195" s="44"/>
      <c r="K195" s="44"/>
      <c r="L195" s="44"/>
      <c r="M195" s="44"/>
    </row>
    <row r="196" spans="1:13" s="4" customFormat="1" x14ac:dyDescent="0.3">
      <c r="A196" s="44"/>
      <c r="B196" s="44"/>
      <c r="C196" s="44"/>
      <c r="D196" s="44"/>
      <c r="E196" s="44"/>
      <c r="F196" s="44"/>
      <c r="G196" s="44"/>
      <c r="H196" s="44"/>
      <c r="I196" s="44"/>
      <c r="J196" s="44"/>
      <c r="K196" s="44"/>
      <c r="L196" s="44"/>
      <c r="M196" s="44"/>
    </row>
    <row r="197" spans="1:13" s="4" customFormat="1" x14ac:dyDescent="0.3">
      <c r="A197" s="44"/>
      <c r="B197" s="44"/>
      <c r="C197" s="44"/>
      <c r="D197" s="44"/>
      <c r="E197" s="44"/>
      <c r="F197" s="44"/>
      <c r="G197" s="44"/>
      <c r="H197" s="44"/>
      <c r="I197" s="44"/>
      <c r="J197" s="44"/>
      <c r="K197" s="44"/>
      <c r="L197" s="44"/>
      <c r="M197" s="44"/>
    </row>
    <row r="198" spans="1:13" s="4" customFormat="1" x14ac:dyDescent="0.3">
      <c r="A198" s="44"/>
      <c r="B198" s="44"/>
      <c r="C198" s="44"/>
      <c r="D198" s="44"/>
      <c r="E198" s="44"/>
      <c r="F198" s="44"/>
      <c r="G198" s="44"/>
      <c r="H198" s="44"/>
      <c r="I198" s="44"/>
      <c r="J198" s="44"/>
      <c r="K198" s="44"/>
      <c r="L198" s="44"/>
      <c r="M198" s="44"/>
    </row>
    <row r="199" spans="1:13" s="4" customFormat="1" x14ac:dyDescent="0.3">
      <c r="A199" s="44"/>
      <c r="B199" s="44"/>
      <c r="C199" s="44"/>
      <c r="D199" s="44"/>
      <c r="E199" s="44"/>
      <c r="F199" s="44"/>
      <c r="G199" s="44"/>
      <c r="H199" s="44"/>
      <c r="I199" s="44"/>
      <c r="J199" s="44"/>
      <c r="K199" s="44"/>
      <c r="L199" s="44"/>
      <c r="M199" s="44"/>
    </row>
    <row r="200" spans="1:13" s="4" customFormat="1" x14ac:dyDescent="0.3">
      <c r="A200" s="44"/>
      <c r="B200" s="44"/>
      <c r="C200" s="44"/>
      <c r="D200" s="44"/>
      <c r="E200" s="44"/>
      <c r="F200" s="44"/>
      <c r="G200" s="44"/>
      <c r="H200" s="44"/>
      <c r="I200" s="44"/>
      <c r="J200" s="44"/>
      <c r="K200" s="44"/>
      <c r="L200" s="44"/>
      <c r="M200" s="44"/>
    </row>
    <row r="201" spans="1:13" s="4" customFormat="1" x14ac:dyDescent="0.3">
      <c r="A201" s="44"/>
      <c r="B201" s="44"/>
      <c r="C201" s="44"/>
      <c r="D201" s="44"/>
      <c r="E201" s="44"/>
      <c r="F201" s="44"/>
      <c r="G201" s="44"/>
      <c r="H201" s="44"/>
      <c r="I201" s="44"/>
      <c r="J201" s="44"/>
      <c r="K201" s="44"/>
      <c r="L201" s="44"/>
      <c r="M201" s="44"/>
    </row>
    <row r="202" spans="1:13" s="4" customFormat="1" x14ac:dyDescent="0.3">
      <c r="A202" s="44"/>
      <c r="B202" s="44"/>
      <c r="C202" s="44"/>
      <c r="D202" s="44"/>
      <c r="E202" s="44"/>
      <c r="F202" s="44"/>
      <c r="G202" s="44"/>
      <c r="H202" s="44"/>
      <c r="I202" s="44"/>
      <c r="J202" s="44"/>
      <c r="K202" s="44"/>
      <c r="L202" s="44"/>
      <c r="M202" s="44"/>
    </row>
    <row r="203" spans="1:13" s="4" customFormat="1" x14ac:dyDescent="0.3">
      <c r="A203" s="44"/>
      <c r="B203" s="44"/>
      <c r="C203" s="44"/>
      <c r="D203" s="44"/>
      <c r="E203" s="44"/>
      <c r="F203" s="44"/>
      <c r="G203" s="44"/>
      <c r="H203" s="44"/>
      <c r="I203" s="44"/>
      <c r="J203" s="44"/>
      <c r="K203" s="44"/>
      <c r="L203" s="44"/>
      <c r="M203" s="44"/>
    </row>
    <row r="204" spans="1:13" s="4" customFormat="1" x14ac:dyDescent="0.3">
      <c r="A204" s="44"/>
      <c r="B204" s="44"/>
      <c r="C204" s="44"/>
      <c r="D204" s="44"/>
      <c r="E204" s="44"/>
      <c r="F204" s="44"/>
      <c r="G204" s="44"/>
      <c r="H204" s="44"/>
      <c r="I204" s="44"/>
      <c r="J204" s="44"/>
      <c r="K204" s="44"/>
      <c r="L204" s="44"/>
      <c r="M204" s="44"/>
    </row>
    <row r="205" spans="1:13" s="4" customFormat="1" x14ac:dyDescent="0.3">
      <c r="A205" s="44"/>
      <c r="B205" s="44"/>
      <c r="C205" s="44"/>
      <c r="D205" s="44"/>
      <c r="E205" s="44"/>
      <c r="F205" s="44"/>
      <c r="G205" s="44"/>
      <c r="H205" s="44"/>
      <c r="I205" s="44"/>
      <c r="J205" s="44"/>
      <c r="K205" s="44"/>
      <c r="L205" s="44"/>
      <c r="M205" s="44"/>
    </row>
    <row r="206" spans="1:13" s="4" customFormat="1" x14ac:dyDescent="0.3">
      <c r="A206" s="44"/>
      <c r="B206" s="44"/>
      <c r="C206" s="44"/>
      <c r="D206" s="44"/>
      <c r="E206" s="44"/>
      <c r="F206" s="44"/>
      <c r="G206" s="44"/>
      <c r="H206" s="44"/>
      <c r="I206" s="44"/>
      <c r="J206" s="44"/>
      <c r="K206" s="44"/>
      <c r="L206" s="44"/>
      <c r="M206" s="44"/>
    </row>
    <row r="207" spans="1:13" s="4" customFormat="1" x14ac:dyDescent="0.3">
      <c r="A207" s="44"/>
      <c r="B207" s="44"/>
      <c r="C207" s="44"/>
      <c r="D207" s="44"/>
      <c r="E207" s="44"/>
      <c r="F207" s="44"/>
      <c r="G207" s="44"/>
      <c r="H207" s="44"/>
      <c r="I207" s="44"/>
      <c r="J207" s="44"/>
      <c r="K207" s="44"/>
      <c r="L207" s="44"/>
      <c r="M207" s="44"/>
    </row>
    <row r="208" spans="1:13" s="4" customFormat="1" x14ac:dyDescent="0.3">
      <c r="A208" s="44"/>
      <c r="B208" s="44"/>
      <c r="C208" s="44"/>
      <c r="D208" s="44"/>
      <c r="E208" s="44"/>
      <c r="F208" s="44"/>
      <c r="G208" s="44"/>
      <c r="H208" s="44"/>
      <c r="I208" s="44"/>
      <c r="J208" s="44"/>
      <c r="K208" s="44"/>
      <c r="L208" s="44"/>
      <c r="M208" s="44"/>
    </row>
    <row r="209" spans="1:13" s="4" customFormat="1" x14ac:dyDescent="0.3">
      <c r="A209" s="44"/>
      <c r="B209" s="44"/>
      <c r="C209" s="44"/>
      <c r="D209" s="44"/>
      <c r="E209" s="44"/>
      <c r="F209" s="44"/>
      <c r="G209" s="44"/>
      <c r="H209" s="44"/>
      <c r="I209" s="44"/>
      <c r="J209" s="44"/>
      <c r="K209" s="44"/>
      <c r="L209" s="44"/>
      <c r="M209" s="44"/>
    </row>
    <row r="210" spans="1:13" s="4" customFormat="1" x14ac:dyDescent="0.3">
      <c r="A210" s="44"/>
      <c r="B210" s="44"/>
      <c r="C210" s="44"/>
      <c r="D210" s="44"/>
      <c r="E210" s="44"/>
      <c r="F210" s="44"/>
      <c r="G210" s="44"/>
      <c r="H210" s="44"/>
      <c r="I210" s="44"/>
      <c r="J210" s="44"/>
      <c r="K210" s="44"/>
      <c r="L210" s="44"/>
      <c r="M210" s="44"/>
    </row>
    <row r="211" spans="1:13" s="4" customFormat="1" x14ac:dyDescent="0.3">
      <c r="A211" s="44"/>
      <c r="B211" s="44"/>
      <c r="C211" s="44"/>
      <c r="D211" s="44"/>
      <c r="E211" s="44"/>
      <c r="F211" s="44"/>
      <c r="G211" s="44"/>
      <c r="H211" s="44"/>
      <c r="I211" s="44"/>
      <c r="J211" s="44"/>
      <c r="K211" s="44"/>
      <c r="L211" s="44"/>
      <c r="M211" s="44"/>
    </row>
    <row r="212" spans="1:13" s="4" customFormat="1" x14ac:dyDescent="0.3">
      <c r="A212" s="44"/>
      <c r="B212" s="44"/>
      <c r="C212" s="44"/>
      <c r="D212" s="44"/>
      <c r="E212" s="44"/>
      <c r="F212" s="44"/>
      <c r="G212" s="44"/>
      <c r="H212" s="44"/>
      <c r="I212" s="44"/>
      <c r="J212" s="44"/>
      <c r="K212" s="44"/>
      <c r="L212" s="44"/>
      <c r="M212" s="44"/>
    </row>
    <row r="213" spans="1:13" s="4" customFormat="1" x14ac:dyDescent="0.3">
      <c r="A213" s="44"/>
      <c r="B213" s="44"/>
      <c r="C213" s="44"/>
      <c r="D213" s="44"/>
      <c r="E213" s="44"/>
      <c r="F213" s="44"/>
      <c r="G213" s="44"/>
      <c r="H213" s="44"/>
      <c r="I213" s="44"/>
      <c r="J213" s="44"/>
      <c r="K213" s="44"/>
      <c r="L213" s="44"/>
      <c r="M213" s="44"/>
    </row>
    <row r="214" spans="1:13" s="4" customFormat="1" x14ac:dyDescent="0.3">
      <c r="A214" s="44"/>
      <c r="B214" s="44"/>
      <c r="C214" s="44"/>
      <c r="D214" s="44"/>
      <c r="E214" s="44"/>
      <c r="F214" s="44"/>
      <c r="G214" s="44"/>
      <c r="H214" s="44"/>
      <c r="I214" s="44"/>
      <c r="J214" s="44"/>
      <c r="K214" s="44"/>
      <c r="L214" s="44"/>
      <c r="M214" s="44"/>
    </row>
    <row r="215" spans="1:13" s="4" customFormat="1" x14ac:dyDescent="0.3">
      <c r="A215" s="44"/>
      <c r="B215" s="44"/>
      <c r="C215" s="44"/>
      <c r="D215" s="44"/>
      <c r="E215" s="44"/>
      <c r="F215" s="44"/>
      <c r="G215" s="44"/>
      <c r="H215" s="44"/>
      <c r="I215" s="44"/>
      <c r="J215" s="44"/>
      <c r="K215" s="44"/>
      <c r="L215" s="44"/>
      <c r="M215" s="44"/>
    </row>
    <row r="216" spans="1:13" s="4" customFormat="1" x14ac:dyDescent="0.3">
      <c r="A216" s="44"/>
      <c r="B216" s="44"/>
      <c r="C216" s="44"/>
      <c r="D216" s="44"/>
      <c r="E216" s="44"/>
      <c r="F216" s="44"/>
      <c r="G216" s="44"/>
      <c r="H216" s="44"/>
      <c r="I216" s="44"/>
      <c r="J216" s="44"/>
      <c r="K216" s="44"/>
      <c r="L216" s="44"/>
      <c r="M216" s="44"/>
    </row>
    <row r="217" spans="1:13" s="4" customFormat="1" x14ac:dyDescent="0.3">
      <c r="A217" s="44"/>
      <c r="B217" s="44"/>
      <c r="C217" s="44"/>
      <c r="D217" s="44"/>
      <c r="E217" s="44"/>
      <c r="F217" s="44"/>
      <c r="G217" s="44"/>
      <c r="H217" s="44"/>
      <c r="I217" s="44"/>
      <c r="J217" s="44"/>
      <c r="K217" s="44"/>
      <c r="L217" s="44"/>
      <c r="M217" s="44"/>
    </row>
    <row r="218" spans="1:13" s="4" customFormat="1" x14ac:dyDescent="0.3">
      <c r="A218" s="44"/>
      <c r="B218" s="44"/>
      <c r="C218" s="44"/>
      <c r="D218" s="44"/>
      <c r="E218" s="44"/>
      <c r="F218" s="44"/>
      <c r="G218" s="44"/>
      <c r="H218" s="44"/>
      <c r="I218" s="44"/>
      <c r="J218" s="44"/>
      <c r="K218" s="44"/>
      <c r="L218" s="44"/>
      <c r="M218" s="44"/>
    </row>
    <row r="219" spans="1:13" s="4" customFormat="1" x14ac:dyDescent="0.3">
      <c r="A219" s="44"/>
      <c r="B219" s="44"/>
      <c r="C219" s="44"/>
      <c r="D219" s="44"/>
      <c r="E219" s="44"/>
      <c r="F219" s="44"/>
      <c r="G219" s="44"/>
      <c r="H219" s="44"/>
      <c r="I219" s="44"/>
      <c r="J219" s="44"/>
      <c r="K219" s="44"/>
      <c r="L219" s="44"/>
      <c r="M219" s="44"/>
    </row>
    <row r="220" spans="1:13" s="4" customFormat="1" x14ac:dyDescent="0.3">
      <c r="A220" s="44"/>
      <c r="B220" s="44"/>
      <c r="C220" s="44"/>
      <c r="D220" s="44"/>
      <c r="E220" s="44"/>
      <c r="F220" s="44"/>
      <c r="G220" s="44"/>
      <c r="H220" s="44"/>
      <c r="I220" s="44"/>
      <c r="J220" s="44"/>
      <c r="K220" s="44"/>
      <c r="L220" s="44"/>
      <c r="M220" s="44"/>
    </row>
    <row r="221" spans="1:13" s="4" customFormat="1" x14ac:dyDescent="0.3">
      <c r="A221" s="44"/>
      <c r="B221" s="44"/>
      <c r="C221" s="44"/>
      <c r="D221" s="44"/>
      <c r="E221" s="44"/>
      <c r="F221" s="44"/>
      <c r="G221" s="44"/>
      <c r="H221" s="44"/>
      <c r="I221" s="44"/>
      <c r="J221" s="44"/>
      <c r="K221" s="44"/>
      <c r="L221" s="44"/>
      <c r="M221" s="44"/>
    </row>
    <row r="222" spans="1:13" s="4" customFormat="1" x14ac:dyDescent="0.3">
      <c r="A222" s="44"/>
      <c r="B222" s="44"/>
      <c r="C222" s="44"/>
      <c r="D222" s="44"/>
      <c r="E222" s="44"/>
      <c r="F222" s="44"/>
      <c r="G222" s="44"/>
      <c r="H222" s="44"/>
      <c r="I222" s="44"/>
      <c r="J222" s="44"/>
      <c r="K222" s="44"/>
      <c r="L222" s="44"/>
      <c r="M222" s="44"/>
    </row>
    <row r="223" spans="1:13" s="4" customFormat="1" x14ac:dyDescent="0.3">
      <c r="A223" s="44"/>
      <c r="B223" s="44"/>
      <c r="C223" s="44"/>
      <c r="D223" s="44"/>
      <c r="E223" s="44"/>
      <c r="F223" s="44"/>
      <c r="G223" s="44"/>
      <c r="H223" s="44"/>
      <c r="I223" s="44"/>
      <c r="J223" s="44"/>
      <c r="K223" s="44"/>
      <c r="L223" s="44"/>
      <c r="M223" s="44"/>
    </row>
    <row r="224" spans="1:13" s="4" customFormat="1" x14ac:dyDescent="0.3">
      <c r="A224" s="44"/>
      <c r="B224" s="44"/>
      <c r="C224" s="44"/>
      <c r="D224" s="44"/>
      <c r="E224" s="44"/>
      <c r="F224" s="44"/>
      <c r="G224" s="44"/>
      <c r="H224" s="44"/>
      <c r="I224" s="44"/>
      <c r="J224" s="44"/>
      <c r="K224" s="44"/>
      <c r="L224" s="44"/>
      <c r="M224" s="44"/>
    </row>
    <row r="225" spans="1:13" s="4" customFormat="1" x14ac:dyDescent="0.3">
      <c r="A225" s="44"/>
      <c r="B225" s="44"/>
      <c r="C225" s="44"/>
      <c r="D225" s="44"/>
      <c r="E225" s="44"/>
      <c r="F225" s="44"/>
      <c r="G225" s="44"/>
      <c r="H225" s="44"/>
      <c r="I225" s="44"/>
      <c r="J225" s="44"/>
      <c r="K225" s="44"/>
      <c r="L225" s="44"/>
      <c r="M225" s="44"/>
    </row>
    <row r="226" spans="1:13" s="4" customFormat="1" x14ac:dyDescent="0.3">
      <c r="A226" s="44"/>
      <c r="B226" s="44"/>
      <c r="C226" s="44"/>
      <c r="D226" s="44"/>
      <c r="E226" s="44"/>
      <c r="F226" s="44"/>
      <c r="G226" s="44"/>
      <c r="H226" s="44"/>
      <c r="I226" s="44"/>
      <c r="J226" s="44"/>
      <c r="K226" s="44"/>
      <c r="L226" s="44"/>
      <c r="M226" s="44"/>
    </row>
    <row r="227" spans="1:13" s="4" customFormat="1" x14ac:dyDescent="0.3">
      <c r="A227" s="44"/>
      <c r="B227" s="44"/>
      <c r="C227" s="44"/>
      <c r="D227" s="44"/>
      <c r="E227" s="44"/>
      <c r="F227" s="44"/>
      <c r="G227" s="44"/>
      <c r="H227" s="44"/>
      <c r="I227" s="44"/>
      <c r="J227" s="44"/>
      <c r="K227" s="44"/>
      <c r="L227" s="44"/>
      <c r="M227" s="44"/>
    </row>
    <row r="228" spans="1:13" s="4" customFormat="1" x14ac:dyDescent="0.3">
      <c r="A228" s="44"/>
      <c r="B228" s="44"/>
      <c r="C228" s="44"/>
      <c r="D228" s="44"/>
      <c r="E228" s="44"/>
      <c r="F228" s="44"/>
      <c r="G228" s="44"/>
      <c r="H228" s="44"/>
      <c r="I228" s="44"/>
      <c r="J228" s="44"/>
      <c r="K228" s="44"/>
      <c r="L228" s="44"/>
      <c r="M228" s="44"/>
    </row>
    <row r="229" spans="1:13" s="4" customFormat="1" x14ac:dyDescent="0.3">
      <c r="A229" s="44"/>
      <c r="B229" s="44"/>
      <c r="C229" s="44"/>
      <c r="D229" s="44"/>
      <c r="E229" s="44"/>
      <c r="F229" s="44"/>
      <c r="G229" s="44"/>
      <c r="H229" s="44"/>
      <c r="I229" s="44"/>
      <c r="J229" s="44"/>
      <c r="K229" s="44"/>
      <c r="L229" s="44"/>
      <c r="M229" s="44"/>
    </row>
    <row r="230" spans="1:13" s="4" customFormat="1" x14ac:dyDescent="0.3">
      <c r="A230" s="44"/>
      <c r="B230" s="44"/>
      <c r="C230" s="44"/>
      <c r="D230" s="44"/>
      <c r="E230" s="44"/>
      <c r="F230" s="44"/>
      <c r="G230" s="44"/>
      <c r="H230" s="44"/>
      <c r="I230" s="44"/>
      <c r="J230" s="44"/>
      <c r="K230" s="44"/>
      <c r="L230" s="44"/>
      <c r="M230" s="44"/>
    </row>
    <row r="231" spans="1:13" s="4" customFormat="1" x14ac:dyDescent="0.3">
      <c r="A231" s="44"/>
      <c r="B231" s="44"/>
      <c r="C231" s="44"/>
      <c r="D231" s="44"/>
      <c r="E231" s="44"/>
      <c r="F231" s="44"/>
      <c r="G231" s="44"/>
      <c r="H231" s="44"/>
      <c r="I231" s="44"/>
      <c r="J231" s="44"/>
      <c r="K231" s="44"/>
      <c r="L231" s="44"/>
      <c r="M231" s="44"/>
    </row>
    <row r="232" spans="1:13" s="4" customFormat="1" x14ac:dyDescent="0.3">
      <c r="A232" s="44"/>
      <c r="B232" s="44"/>
      <c r="C232" s="44"/>
      <c r="D232" s="44"/>
      <c r="E232" s="44"/>
      <c r="F232" s="44"/>
      <c r="G232" s="44"/>
      <c r="H232" s="44"/>
      <c r="I232" s="44"/>
      <c r="J232" s="44"/>
      <c r="K232" s="44"/>
      <c r="L232" s="44"/>
      <c r="M232" s="44"/>
    </row>
    <row r="233" spans="1:13" s="4" customFormat="1" x14ac:dyDescent="0.3">
      <c r="A233" s="44"/>
      <c r="B233" s="44"/>
      <c r="C233" s="44"/>
      <c r="D233" s="44"/>
      <c r="E233" s="44"/>
      <c r="F233" s="44"/>
      <c r="G233" s="44"/>
      <c r="H233" s="44"/>
      <c r="I233" s="44"/>
      <c r="J233" s="44"/>
      <c r="K233" s="44"/>
      <c r="L233" s="44"/>
      <c r="M233" s="44"/>
    </row>
    <row r="234" spans="1:13" s="4" customFormat="1" x14ac:dyDescent="0.3">
      <c r="A234" s="44"/>
      <c r="B234" s="44"/>
      <c r="C234" s="44"/>
      <c r="D234" s="44"/>
      <c r="E234" s="44"/>
      <c r="F234" s="44"/>
      <c r="G234" s="44"/>
      <c r="H234" s="44"/>
      <c r="I234" s="44"/>
      <c r="J234" s="44"/>
      <c r="K234" s="44"/>
      <c r="L234" s="44"/>
      <c r="M234" s="44"/>
    </row>
    <row r="235" spans="1:13" s="4" customFormat="1" x14ac:dyDescent="0.3">
      <c r="A235" s="44"/>
      <c r="B235" s="44"/>
      <c r="C235" s="44"/>
      <c r="D235" s="44"/>
      <c r="E235" s="44"/>
      <c r="F235" s="44"/>
      <c r="G235" s="44"/>
      <c r="H235" s="44"/>
      <c r="I235" s="44"/>
      <c r="J235" s="44"/>
      <c r="K235" s="44"/>
      <c r="L235" s="44"/>
      <c r="M235" s="44"/>
    </row>
    <row r="236" spans="1:13" s="4" customFormat="1" x14ac:dyDescent="0.3">
      <c r="A236" s="44"/>
      <c r="B236" s="44"/>
      <c r="C236" s="44"/>
      <c r="D236" s="44"/>
      <c r="E236" s="44"/>
      <c r="F236" s="44"/>
      <c r="G236" s="44"/>
      <c r="H236" s="44"/>
      <c r="I236" s="44"/>
      <c r="J236" s="44"/>
      <c r="K236" s="44"/>
      <c r="L236" s="44"/>
      <c r="M236" s="44"/>
    </row>
    <row r="237" spans="1:13" s="4" customFormat="1" x14ac:dyDescent="0.3">
      <c r="A237" s="44"/>
      <c r="B237" s="44"/>
      <c r="C237" s="44"/>
      <c r="D237" s="44"/>
      <c r="E237" s="44"/>
      <c r="F237" s="44"/>
      <c r="G237" s="44"/>
      <c r="H237" s="44"/>
      <c r="I237" s="44"/>
      <c r="J237" s="44"/>
      <c r="K237" s="44"/>
      <c r="L237" s="44"/>
      <c r="M237" s="44"/>
    </row>
    <row r="238" spans="1:13" s="4" customFormat="1" x14ac:dyDescent="0.3">
      <c r="A238" s="44"/>
      <c r="B238" s="44"/>
      <c r="C238" s="44"/>
      <c r="D238" s="44"/>
      <c r="E238" s="44"/>
      <c r="F238" s="44"/>
      <c r="G238" s="44"/>
      <c r="H238" s="44"/>
      <c r="I238" s="44"/>
      <c r="J238" s="44"/>
      <c r="K238" s="44"/>
      <c r="L238" s="44"/>
      <c r="M238" s="44"/>
    </row>
    <row r="239" spans="1:13" s="4" customFormat="1" x14ac:dyDescent="0.3">
      <c r="A239" s="44"/>
      <c r="B239" s="44"/>
      <c r="C239" s="44"/>
      <c r="D239" s="44"/>
      <c r="E239" s="44"/>
      <c r="F239" s="44"/>
      <c r="G239" s="44"/>
      <c r="H239" s="44"/>
      <c r="I239" s="44"/>
      <c r="J239" s="44"/>
      <c r="K239" s="44"/>
      <c r="L239" s="44"/>
      <c r="M239" s="44"/>
    </row>
    <row r="240" spans="1:13" s="4" customFormat="1" x14ac:dyDescent="0.3">
      <c r="A240" s="44"/>
      <c r="B240" s="44"/>
      <c r="C240" s="44"/>
      <c r="D240" s="44"/>
      <c r="E240" s="44"/>
      <c r="F240" s="44"/>
      <c r="G240" s="44"/>
      <c r="H240" s="44"/>
      <c r="I240" s="44"/>
      <c r="J240" s="44"/>
      <c r="K240" s="44"/>
      <c r="L240" s="44"/>
      <c r="M240" s="44"/>
    </row>
    <row r="241" spans="1:13" s="4" customFormat="1" x14ac:dyDescent="0.3">
      <c r="A241" s="44"/>
      <c r="B241" s="44"/>
      <c r="C241" s="44"/>
      <c r="D241" s="44"/>
      <c r="E241" s="44"/>
      <c r="F241" s="44"/>
      <c r="G241" s="44"/>
      <c r="H241" s="44"/>
      <c r="I241" s="44"/>
      <c r="J241" s="44"/>
      <c r="K241" s="44"/>
      <c r="L241" s="44"/>
      <c r="M241" s="44"/>
    </row>
    <row r="242" spans="1:13" s="4" customFormat="1" x14ac:dyDescent="0.3">
      <c r="A242" s="44"/>
      <c r="B242" s="44"/>
      <c r="C242" s="44"/>
      <c r="D242" s="44"/>
      <c r="E242" s="44"/>
      <c r="F242" s="44"/>
      <c r="G242" s="44"/>
      <c r="H242" s="44"/>
      <c r="I242" s="44"/>
      <c r="J242" s="44"/>
      <c r="K242" s="44"/>
      <c r="L242" s="44"/>
      <c r="M242" s="44"/>
    </row>
    <row r="243" spans="1:13" s="4" customFormat="1" x14ac:dyDescent="0.3">
      <c r="A243" s="44"/>
      <c r="B243" s="44"/>
      <c r="C243" s="44"/>
      <c r="D243" s="44"/>
      <c r="E243" s="44"/>
      <c r="F243" s="44"/>
      <c r="G243" s="44"/>
      <c r="H243" s="44"/>
      <c r="I243" s="44"/>
      <c r="J243" s="44"/>
      <c r="K243" s="44"/>
      <c r="L243" s="44"/>
      <c r="M243" s="44"/>
    </row>
    <row r="244" spans="1:13" s="4" customFormat="1" x14ac:dyDescent="0.3">
      <c r="A244" s="44"/>
      <c r="B244" s="44"/>
      <c r="C244" s="44"/>
      <c r="D244" s="44"/>
      <c r="E244" s="44"/>
      <c r="F244" s="44"/>
      <c r="G244" s="44"/>
      <c r="H244" s="44"/>
      <c r="I244" s="44"/>
      <c r="J244" s="44"/>
      <c r="K244" s="44"/>
      <c r="L244" s="44"/>
      <c r="M244" s="44"/>
    </row>
    <row r="245" spans="1:13" s="4" customFormat="1" x14ac:dyDescent="0.3">
      <c r="A245" s="44"/>
      <c r="B245" s="44"/>
      <c r="C245" s="44"/>
      <c r="D245" s="44"/>
      <c r="E245" s="44"/>
      <c r="F245" s="44"/>
      <c r="G245" s="44"/>
      <c r="H245" s="44"/>
      <c r="I245" s="44"/>
      <c r="J245" s="44"/>
      <c r="K245" s="44"/>
      <c r="L245" s="44"/>
      <c r="M245" s="44"/>
    </row>
    <row r="246" spans="1:13" s="4" customFormat="1" x14ac:dyDescent="0.3">
      <c r="A246" s="44"/>
      <c r="B246" s="44"/>
      <c r="C246" s="44"/>
      <c r="D246" s="44"/>
      <c r="E246" s="44"/>
      <c r="F246" s="44"/>
      <c r="G246" s="44"/>
      <c r="H246" s="44"/>
      <c r="I246" s="44"/>
      <c r="J246" s="44"/>
      <c r="K246" s="44"/>
      <c r="L246" s="44"/>
      <c r="M246" s="44"/>
    </row>
    <row r="247" spans="1:13" s="4" customFormat="1" x14ac:dyDescent="0.3">
      <c r="A247" s="44"/>
      <c r="B247" s="44"/>
      <c r="C247" s="44"/>
      <c r="D247" s="44"/>
      <c r="E247" s="44"/>
      <c r="F247" s="44"/>
      <c r="G247" s="44"/>
      <c r="H247" s="44"/>
      <c r="I247" s="44"/>
      <c r="J247" s="44"/>
      <c r="K247" s="44"/>
      <c r="L247" s="44"/>
      <c r="M247" s="44"/>
    </row>
    <row r="248" spans="1:13" s="4" customFormat="1" x14ac:dyDescent="0.3">
      <c r="A248" s="44"/>
      <c r="B248" s="44"/>
      <c r="C248" s="44"/>
      <c r="D248" s="44"/>
      <c r="E248" s="44"/>
      <c r="F248" s="44"/>
      <c r="G248" s="44"/>
      <c r="H248" s="44"/>
      <c r="I248" s="44"/>
      <c r="J248" s="44"/>
      <c r="K248" s="44"/>
      <c r="L248" s="44"/>
      <c r="M248" s="44"/>
    </row>
    <row r="249" spans="1:13" s="4" customFormat="1" x14ac:dyDescent="0.3">
      <c r="A249" s="44"/>
      <c r="B249" s="44"/>
      <c r="C249" s="44"/>
      <c r="D249" s="44"/>
      <c r="E249" s="44"/>
      <c r="F249" s="44"/>
      <c r="G249" s="44"/>
      <c r="H249" s="44"/>
      <c r="I249" s="44"/>
      <c r="J249" s="44"/>
      <c r="K249" s="44"/>
      <c r="L249" s="44"/>
      <c r="M249" s="44"/>
    </row>
    <row r="250" spans="1:13" s="4" customFormat="1" x14ac:dyDescent="0.3">
      <c r="A250" s="44"/>
      <c r="B250" s="44"/>
      <c r="C250" s="44"/>
      <c r="D250" s="44"/>
      <c r="E250" s="44"/>
      <c r="F250" s="44"/>
      <c r="G250" s="44"/>
      <c r="H250" s="44"/>
      <c r="I250" s="44"/>
      <c r="J250" s="44"/>
      <c r="K250" s="44"/>
      <c r="L250" s="44"/>
      <c r="M250" s="44"/>
    </row>
    <row r="251" spans="1:13" s="4" customFormat="1" x14ac:dyDescent="0.3">
      <c r="A251" s="44"/>
      <c r="B251" s="44"/>
      <c r="C251" s="44"/>
      <c r="D251" s="44"/>
      <c r="E251" s="44"/>
      <c r="F251" s="44"/>
      <c r="G251" s="44"/>
      <c r="H251" s="44"/>
      <c r="I251" s="44"/>
      <c r="J251" s="44"/>
      <c r="K251" s="44"/>
      <c r="L251" s="44"/>
      <c r="M251" s="44"/>
    </row>
    <row r="252" spans="1:13" s="4" customFormat="1" x14ac:dyDescent="0.3">
      <c r="A252" s="44"/>
      <c r="B252" s="44"/>
      <c r="C252" s="44"/>
      <c r="D252" s="44"/>
      <c r="E252" s="44"/>
      <c r="F252" s="44"/>
      <c r="G252" s="44"/>
      <c r="H252" s="44"/>
      <c r="I252" s="44"/>
      <c r="J252" s="44"/>
      <c r="K252" s="44"/>
      <c r="L252" s="44"/>
      <c r="M252" s="44"/>
    </row>
    <row r="253" spans="1:13" s="4" customFormat="1" x14ac:dyDescent="0.3">
      <c r="A253" s="44"/>
      <c r="B253" s="44"/>
      <c r="C253" s="44"/>
      <c r="D253" s="44"/>
      <c r="E253" s="44"/>
      <c r="F253" s="44"/>
      <c r="G253" s="44"/>
      <c r="H253" s="44"/>
      <c r="I253" s="44"/>
      <c r="J253" s="44"/>
      <c r="K253" s="44"/>
      <c r="L253" s="44"/>
      <c r="M253" s="44"/>
    </row>
    <row r="254" spans="1:13" s="4" customFormat="1" x14ac:dyDescent="0.3">
      <c r="A254" s="44"/>
      <c r="B254" s="44"/>
      <c r="C254" s="44"/>
      <c r="D254" s="44"/>
      <c r="E254" s="44"/>
      <c r="F254" s="44"/>
      <c r="G254" s="44"/>
      <c r="H254" s="44"/>
      <c r="I254" s="44"/>
      <c r="J254" s="44"/>
      <c r="K254" s="44"/>
      <c r="L254" s="44"/>
      <c r="M254" s="44"/>
    </row>
    <row r="255" spans="1:13" s="4" customFormat="1" x14ac:dyDescent="0.3">
      <c r="A255" s="44"/>
      <c r="B255" s="44"/>
      <c r="C255" s="44"/>
      <c r="D255" s="44"/>
      <c r="E255" s="44"/>
      <c r="F255" s="44"/>
      <c r="G255" s="44"/>
      <c r="H255" s="44"/>
      <c r="I255" s="44"/>
      <c r="J255" s="44"/>
      <c r="K255" s="44"/>
      <c r="L255" s="44"/>
      <c r="M255" s="44"/>
    </row>
    <row r="256" spans="1:13" s="4" customFormat="1" x14ac:dyDescent="0.3">
      <c r="A256" s="44"/>
      <c r="B256" s="44"/>
      <c r="C256" s="44"/>
      <c r="D256" s="44"/>
      <c r="E256" s="44"/>
      <c r="F256" s="44"/>
      <c r="G256" s="44"/>
      <c r="H256" s="44"/>
      <c r="I256" s="44"/>
      <c r="J256" s="44"/>
      <c r="K256" s="44"/>
      <c r="L256" s="44"/>
      <c r="M256" s="44"/>
    </row>
    <row r="257" spans="1:13" s="4" customFormat="1" x14ac:dyDescent="0.3">
      <c r="A257" s="44"/>
      <c r="B257" s="44"/>
      <c r="C257" s="44"/>
      <c r="D257" s="44"/>
      <c r="E257" s="44"/>
      <c r="F257" s="44"/>
      <c r="G257" s="44"/>
      <c r="H257" s="44"/>
      <c r="I257" s="44"/>
      <c r="J257" s="44"/>
      <c r="K257" s="44"/>
      <c r="L257" s="44"/>
      <c r="M257" s="44"/>
    </row>
    <row r="258" spans="1:13" s="4" customFormat="1" x14ac:dyDescent="0.3">
      <c r="A258" s="44"/>
      <c r="B258" s="44"/>
      <c r="C258" s="44"/>
      <c r="D258" s="44"/>
      <c r="E258" s="44"/>
      <c r="F258" s="44"/>
      <c r="G258" s="44"/>
      <c r="H258" s="44"/>
      <c r="I258" s="44"/>
      <c r="J258" s="44"/>
      <c r="K258" s="44"/>
      <c r="L258" s="44"/>
      <c r="M258" s="44"/>
    </row>
    <row r="259" spans="1:13" s="4" customFormat="1" x14ac:dyDescent="0.3">
      <c r="A259" s="44"/>
      <c r="B259" s="44"/>
      <c r="C259" s="44"/>
      <c r="D259" s="44"/>
      <c r="E259" s="44"/>
      <c r="F259" s="44"/>
      <c r="G259" s="44"/>
      <c r="H259" s="44"/>
      <c r="I259" s="44"/>
      <c r="J259" s="44"/>
      <c r="K259" s="44"/>
      <c r="L259" s="44"/>
      <c r="M259" s="44"/>
    </row>
    <row r="260" spans="1:13" s="4" customFormat="1" x14ac:dyDescent="0.3">
      <c r="A260" s="44"/>
      <c r="B260" s="44"/>
      <c r="C260" s="44"/>
      <c r="D260" s="44"/>
      <c r="E260" s="44"/>
      <c r="F260" s="44"/>
      <c r="G260" s="44"/>
      <c r="H260" s="44"/>
      <c r="I260" s="44"/>
      <c r="J260" s="44"/>
      <c r="K260" s="44"/>
      <c r="L260" s="44"/>
      <c r="M260" s="44"/>
    </row>
    <row r="261" spans="1:13" s="4" customFormat="1" x14ac:dyDescent="0.3">
      <c r="A261" s="44"/>
      <c r="B261" s="44"/>
      <c r="C261" s="44"/>
      <c r="D261" s="44"/>
      <c r="E261" s="44"/>
      <c r="F261" s="44"/>
      <c r="G261" s="44"/>
      <c r="H261" s="44"/>
      <c r="I261" s="44"/>
      <c r="J261" s="44"/>
      <c r="K261" s="44"/>
      <c r="L261" s="44"/>
      <c r="M261" s="44"/>
    </row>
    <row r="262" spans="1:13" s="4" customFormat="1" x14ac:dyDescent="0.3">
      <c r="A262" s="44"/>
      <c r="B262" s="44"/>
      <c r="C262" s="44"/>
      <c r="D262" s="44"/>
      <c r="E262" s="44"/>
      <c r="F262" s="44"/>
      <c r="G262" s="44"/>
      <c r="H262" s="44"/>
      <c r="I262" s="44"/>
      <c r="J262" s="44"/>
      <c r="K262" s="44"/>
      <c r="L262" s="44"/>
      <c r="M262" s="44"/>
    </row>
    <row r="263" spans="1:13" s="4" customFormat="1" x14ac:dyDescent="0.3">
      <c r="A263" s="44"/>
      <c r="B263" s="44"/>
      <c r="C263" s="44"/>
      <c r="D263" s="44"/>
      <c r="E263" s="44"/>
      <c r="F263" s="44"/>
      <c r="G263" s="44"/>
      <c r="H263" s="44"/>
      <c r="I263" s="44"/>
      <c r="J263" s="44"/>
      <c r="K263" s="44"/>
      <c r="L263" s="44"/>
      <c r="M263" s="44"/>
    </row>
    <row r="264" spans="1:13" s="4" customFormat="1" x14ac:dyDescent="0.3">
      <c r="A264" s="44"/>
      <c r="B264" s="44"/>
      <c r="C264" s="44"/>
      <c r="D264" s="44"/>
      <c r="E264" s="44"/>
      <c r="F264" s="44"/>
      <c r="G264" s="44"/>
      <c r="H264" s="44"/>
      <c r="I264" s="44"/>
      <c r="J264" s="44"/>
      <c r="K264" s="44"/>
      <c r="L264" s="44"/>
      <c r="M264" s="44"/>
    </row>
    <row r="265" spans="1:13" s="4" customFormat="1" x14ac:dyDescent="0.3">
      <c r="A265" s="44"/>
      <c r="B265" s="44"/>
      <c r="C265" s="44"/>
      <c r="D265" s="44"/>
      <c r="E265" s="44"/>
      <c r="F265" s="44"/>
      <c r="G265" s="44"/>
      <c r="H265" s="44"/>
      <c r="I265" s="44"/>
      <c r="J265" s="44"/>
      <c r="K265" s="44"/>
      <c r="L265" s="44"/>
      <c r="M265" s="44"/>
    </row>
    <row r="266" spans="1:13" s="4" customFormat="1" x14ac:dyDescent="0.3">
      <c r="A266" s="44"/>
      <c r="B266" s="44"/>
      <c r="C266" s="44"/>
      <c r="D266" s="44"/>
      <c r="E266" s="44"/>
      <c r="F266" s="44"/>
      <c r="G266" s="44"/>
      <c r="H266" s="44"/>
      <c r="I266" s="44"/>
      <c r="J266" s="44"/>
      <c r="K266" s="44"/>
      <c r="L266" s="44"/>
      <c r="M266" s="44"/>
    </row>
    <row r="267" spans="1:13" s="4" customFormat="1" x14ac:dyDescent="0.3">
      <c r="A267" s="44"/>
      <c r="B267" s="44"/>
      <c r="C267" s="44"/>
      <c r="D267" s="44"/>
      <c r="E267" s="44"/>
      <c r="F267" s="44"/>
      <c r="G267" s="44"/>
      <c r="H267" s="44"/>
      <c r="I267" s="44"/>
      <c r="J267" s="44"/>
      <c r="K267" s="44"/>
      <c r="L267" s="44"/>
      <c r="M267" s="44"/>
    </row>
    <row r="268" spans="1:13" s="4" customFormat="1" x14ac:dyDescent="0.3">
      <c r="A268" s="44"/>
      <c r="B268" s="44"/>
      <c r="C268" s="44"/>
      <c r="D268" s="44"/>
      <c r="E268" s="44"/>
      <c r="F268" s="44"/>
      <c r="G268" s="44"/>
      <c r="H268" s="44"/>
      <c r="I268" s="44"/>
      <c r="J268" s="44"/>
      <c r="K268" s="44"/>
      <c r="L268" s="44"/>
      <c r="M268" s="44"/>
    </row>
    <row r="269" spans="1:13" s="4" customFormat="1" x14ac:dyDescent="0.3">
      <c r="A269" s="44"/>
      <c r="B269" s="44"/>
      <c r="C269" s="44"/>
      <c r="D269" s="44"/>
      <c r="E269" s="44"/>
      <c r="F269" s="44"/>
      <c r="G269" s="44"/>
      <c r="H269" s="44"/>
      <c r="I269" s="44"/>
      <c r="J269" s="44"/>
      <c r="K269" s="44"/>
      <c r="L269" s="44"/>
      <c r="M269" s="44"/>
    </row>
    <row r="270" spans="1:13" s="4" customFormat="1" x14ac:dyDescent="0.3">
      <c r="A270" s="44"/>
      <c r="B270" s="44"/>
      <c r="C270" s="44"/>
      <c r="D270" s="44"/>
      <c r="E270" s="44"/>
      <c r="F270" s="44"/>
      <c r="G270" s="44"/>
      <c r="H270" s="44"/>
      <c r="I270" s="44"/>
      <c r="J270" s="44"/>
      <c r="K270" s="44"/>
      <c r="L270" s="44"/>
      <c r="M270" s="44"/>
    </row>
    <row r="271" spans="1:13" s="4" customFormat="1" x14ac:dyDescent="0.3">
      <c r="A271" s="44"/>
      <c r="B271" s="44"/>
      <c r="C271" s="44"/>
      <c r="D271" s="44"/>
      <c r="E271" s="44"/>
      <c r="F271" s="44"/>
      <c r="G271" s="44"/>
      <c r="H271" s="44"/>
      <c r="I271" s="44"/>
      <c r="J271" s="44"/>
      <c r="K271" s="44"/>
      <c r="L271" s="44"/>
      <c r="M271" s="44"/>
    </row>
    <row r="272" spans="1:13" s="4" customFormat="1" x14ac:dyDescent="0.3">
      <c r="A272" s="44"/>
      <c r="B272" s="44"/>
      <c r="C272" s="44"/>
      <c r="D272" s="44"/>
      <c r="E272" s="44"/>
      <c r="F272" s="44"/>
      <c r="G272" s="44"/>
      <c r="H272" s="44"/>
      <c r="I272" s="44"/>
      <c r="J272" s="44"/>
      <c r="K272" s="44"/>
      <c r="L272" s="44"/>
      <c r="M272" s="44"/>
    </row>
    <row r="273" spans="1:13" s="4" customFormat="1" x14ac:dyDescent="0.3">
      <c r="A273" s="44"/>
      <c r="B273" s="44"/>
      <c r="C273" s="44"/>
      <c r="D273" s="44"/>
      <c r="E273" s="44"/>
      <c r="F273" s="44"/>
      <c r="G273" s="44"/>
      <c r="H273" s="44"/>
      <c r="I273" s="44"/>
      <c r="J273" s="44"/>
      <c r="K273" s="44"/>
      <c r="L273" s="44"/>
      <c r="M273" s="44"/>
    </row>
    <row r="274" spans="1:13" s="4" customFormat="1" x14ac:dyDescent="0.3">
      <c r="A274" s="44"/>
      <c r="B274" s="44"/>
      <c r="C274" s="44"/>
      <c r="D274" s="44"/>
      <c r="E274" s="44"/>
      <c r="F274" s="44"/>
      <c r="G274" s="44"/>
      <c r="H274" s="44"/>
      <c r="I274" s="44"/>
      <c r="J274" s="44"/>
      <c r="K274" s="44"/>
      <c r="L274" s="44"/>
      <c r="M274" s="44"/>
    </row>
    <row r="275" spans="1:13" s="4" customFormat="1" x14ac:dyDescent="0.3">
      <c r="A275" s="44"/>
      <c r="B275" s="44"/>
      <c r="C275" s="44"/>
      <c r="D275" s="44"/>
      <c r="E275" s="44"/>
      <c r="F275" s="44"/>
      <c r="G275" s="44"/>
      <c r="H275" s="44"/>
      <c r="I275" s="44"/>
      <c r="J275" s="44"/>
      <c r="K275" s="44"/>
      <c r="L275" s="44"/>
      <c r="M275" s="44"/>
    </row>
    <row r="276" spans="1:13" s="4" customFormat="1" x14ac:dyDescent="0.3">
      <c r="A276" s="44"/>
      <c r="B276" s="44"/>
      <c r="C276" s="44"/>
      <c r="D276" s="44"/>
      <c r="E276" s="44"/>
      <c r="F276" s="44"/>
      <c r="G276" s="44"/>
      <c r="H276" s="44"/>
      <c r="I276" s="44"/>
      <c r="J276" s="44"/>
      <c r="K276" s="44"/>
      <c r="L276" s="44"/>
      <c r="M276" s="44"/>
    </row>
    <row r="277" spans="1:13" s="4" customFormat="1" x14ac:dyDescent="0.3">
      <c r="A277" s="44"/>
      <c r="B277" s="44"/>
      <c r="C277" s="44"/>
      <c r="D277" s="44"/>
      <c r="E277" s="44"/>
      <c r="F277" s="44"/>
      <c r="G277" s="44"/>
      <c r="H277" s="44"/>
      <c r="I277" s="44"/>
      <c r="J277" s="44"/>
      <c r="K277" s="44"/>
      <c r="L277" s="44"/>
      <c r="M277" s="44"/>
    </row>
    <row r="278" spans="1:13" s="4" customFormat="1" x14ac:dyDescent="0.3">
      <c r="A278" s="44"/>
      <c r="B278" s="44"/>
      <c r="C278" s="44"/>
      <c r="D278" s="44"/>
      <c r="E278" s="44"/>
      <c r="F278" s="44"/>
      <c r="G278" s="44"/>
      <c r="H278" s="44"/>
      <c r="I278" s="44"/>
      <c r="J278" s="44"/>
      <c r="K278" s="44"/>
      <c r="L278" s="44"/>
      <c r="M278" s="44"/>
    </row>
    <row r="279" spans="1:13" s="4" customFormat="1" x14ac:dyDescent="0.3">
      <c r="A279" s="44"/>
      <c r="B279" s="44"/>
      <c r="C279" s="44"/>
      <c r="D279" s="44"/>
      <c r="E279" s="44"/>
      <c r="F279" s="44"/>
      <c r="G279" s="44"/>
      <c r="H279" s="44"/>
      <c r="I279" s="44"/>
      <c r="J279" s="44"/>
      <c r="K279" s="44"/>
      <c r="L279" s="44"/>
      <c r="M279" s="44"/>
    </row>
    <row r="280" spans="1:13" s="4" customFormat="1" x14ac:dyDescent="0.3">
      <c r="A280" s="44"/>
      <c r="B280" s="44"/>
      <c r="C280" s="44"/>
      <c r="D280" s="44"/>
      <c r="E280" s="44"/>
      <c r="F280" s="44"/>
      <c r="G280" s="44"/>
      <c r="H280" s="44"/>
      <c r="I280" s="44"/>
      <c r="J280" s="44"/>
      <c r="K280" s="44"/>
      <c r="L280" s="44"/>
      <c r="M280" s="44"/>
    </row>
    <row r="281" spans="1:13" s="4" customFormat="1" x14ac:dyDescent="0.3">
      <c r="A281" s="44"/>
      <c r="B281" s="44"/>
      <c r="C281" s="44"/>
      <c r="D281" s="44"/>
      <c r="E281" s="44"/>
      <c r="F281" s="44"/>
      <c r="G281" s="44"/>
      <c r="H281" s="44"/>
      <c r="I281" s="44"/>
      <c r="J281" s="44"/>
      <c r="K281" s="44"/>
      <c r="L281" s="44"/>
      <c r="M281" s="44"/>
    </row>
    <row r="282" spans="1:13" s="4" customFormat="1" x14ac:dyDescent="0.3">
      <c r="A282" s="44"/>
      <c r="B282" s="44"/>
      <c r="C282" s="44"/>
      <c r="D282" s="44"/>
      <c r="E282" s="44"/>
      <c r="F282" s="44"/>
      <c r="G282" s="44"/>
      <c r="H282" s="44"/>
      <c r="I282" s="44"/>
      <c r="J282" s="44"/>
      <c r="K282" s="44"/>
      <c r="L282" s="44"/>
      <c r="M282" s="44"/>
    </row>
  </sheetData>
  <customSheetViews>
    <customSheetView guid="{7DDEA387-EEC9-4633-99BE-C0D9299FB093}" scale="70" showPageBreaks="1" printArea="1" hiddenRows="1" view="pageBreakPreview">
      <pane ySplit="4" topLeftCell="A5" activePane="bottomLeft" state="frozen"/>
      <selection pane="bottomLeft" activeCell="A11" sqref="A11:XFD11"/>
      <rowBreaks count="1" manualBreakCount="1">
        <brk id="67" max="12" man="1"/>
      </rowBreaks>
      <pageMargins left="0.19685039370078741" right="0.19685039370078741" top="0.23622047244094491" bottom="0.19685039370078741" header="0" footer="0"/>
      <pageSetup paperSize="9" scale="58" orientation="landscape" r:id="rId1"/>
    </customSheetView>
    <customSheetView guid="{6592EBC0-D945-4F6F-93D1-49FCB588A4A0}" scale="70" showPageBreaks="1" printArea="1" hiddenRows="1" view="pageBreakPreview">
      <pane ySplit="4" topLeftCell="A5" activePane="bottomLeft" state="frozen"/>
      <selection pane="bottomLeft" activeCell="Q7" sqref="Q7"/>
      <rowBreaks count="1" manualBreakCount="1">
        <brk id="66" max="12" man="1"/>
      </rowBreaks>
      <pageMargins left="0.19685039370078741" right="0.19685039370078741" top="0.23622047244094491" bottom="0.19685039370078741" header="0" footer="0"/>
      <pageSetup paperSize="9" scale="58" orientation="landscape" r:id="rId2"/>
    </customSheetView>
    <customSheetView guid="{001F394D-7E32-49E0-9108-A9790B233A9D}" scale="80" showPageBreaks="1" printArea="1" hiddenRows="1" view="pageBreakPreview">
      <pane ySplit="4" topLeftCell="A44" activePane="bottomLeft" state="frozen"/>
      <selection pane="bottomLeft" activeCell="L49" sqref="L49"/>
      <rowBreaks count="1" manualBreakCount="1">
        <brk id="66" max="12" man="1"/>
      </rowBreaks>
      <pageMargins left="0.19685039370078741" right="0.19685039370078741" top="0.23622047244094491" bottom="0.19685039370078741" header="0" footer="0"/>
      <pageSetup paperSize="9" scale="58" orientation="landscape" r:id="rId3"/>
    </customSheetView>
    <customSheetView guid="{F08E63B0-D6C4-4E18-B2B6-E1E751FE7DF2}" scale="80" showPageBreaks="1" printArea="1" hiddenRows="1" view="pageBreakPreview">
      <pane ySplit="4" topLeftCell="A44" activePane="bottomLeft" state="frozen"/>
      <selection pane="bottomLeft" activeCell="L49" sqref="L49"/>
      <rowBreaks count="1" manualBreakCount="1">
        <brk id="66" max="12" man="1"/>
      </rowBreaks>
      <pageMargins left="0.19685039370078741" right="0.19685039370078741" top="0.23622047244094491" bottom="0.19685039370078741" header="0" footer="0"/>
      <pageSetup paperSize="9" scale="58" orientation="landscape" r:id="rId4"/>
    </customSheetView>
    <customSheetView guid="{D32E4BC6-6FD7-4441-855E-C6B8F80A132E}" scale="80" showPageBreaks="1" printArea="1" hiddenRows="1" view="pageBreakPreview">
      <pane ySplit="4" topLeftCell="A62" activePane="bottomLeft" state="frozen"/>
      <selection pane="bottomLeft" activeCell="H27" sqref="H27"/>
      <rowBreaks count="1" manualBreakCount="1">
        <brk id="67" max="12" man="1"/>
      </rowBreaks>
      <pageMargins left="0.19685039370078741" right="0.19685039370078741" top="0.23622047244094491" bottom="0.19685039370078741" header="0" footer="0"/>
      <pageSetup paperSize="9" scale="90" orientation="landscape" r:id="rId5"/>
    </customSheetView>
  </customSheetViews>
  <mergeCells count="105">
    <mergeCell ref="Q26:Q28"/>
    <mergeCell ref="A29:A31"/>
    <mergeCell ref="B29:B31"/>
    <mergeCell ref="L29:L31"/>
    <mergeCell ref="M29:M31"/>
    <mergeCell ref="M23:M25"/>
    <mergeCell ref="A26:A28"/>
    <mergeCell ref="B26:B28"/>
    <mergeCell ref="L26:L28"/>
    <mergeCell ref="M26:M28"/>
    <mergeCell ref="A53:A57"/>
    <mergeCell ref="B53:B57"/>
    <mergeCell ref="A23:A25"/>
    <mergeCell ref="B23:B25"/>
    <mergeCell ref="L23:L25"/>
    <mergeCell ref="L40:L42"/>
    <mergeCell ref="M51:M52"/>
    <mergeCell ref="A43:A50"/>
    <mergeCell ref="B43:B50"/>
    <mergeCell ref="B40:B42"/>
    <mergeCell ref="A40:A42"/>
    <mergeCell ref="L51:L52"/>
    <mergeCell ref="A51:A52"/>
    <mergeCell ref="B51:B52"/>
    <mergeCell ref="M40:M42"/>
    <mergeCell ref="A32:A33"/>
    <mergeCell ref="B32:B33"/>
    <mergeCell ref="C32:C33"/>
    <mergeCell ref="M32:M33"/>
    <mergeCell ref="A37:A39"/>
    <mergeCell ref="B37:B39"/>
    <mergeCell ref="C37:C39"/>
    <mergeCell ref="A19:A20"/>
    <mergeCell ref="B19:B20"/>
    <mergeCell ref="C19:C20"/>
    <mergeCell ref="L19:L20"/>
    <mergeCell ref="M19:M20"/>
    <mergeCell ref="A1:M1"/>
    <mergeCell ref="A2:A3"/>
    <mergeCell ref="B2:B3"/>
    <mergeCell ref="C2:C3"/>
    <mergeCell ref="D2:D3"/>
    <mergeCell ref="E2:E3"/>
    <mergeCell ref="F2:F3"/>
    <mergeCell ref="G2:K2"/>
    <mergeCell ref="L2:L3"/>
    <mergeCell ref="M2:M3"/>
    <mergeCell ref="C5:C7"/>
    <mergeCell ref="L5:L7"/>
    <mergeCell ref="M5:M7"/>
    <mergeCell ref="A12:A15"/>
    <mergeCell ref="B12:B15"/>
    <mergeCell ref="L12:L15"/>
    <mergeCell ref="M12:M15"/>
    <mergeCell ref="A8:A10"/>
    <mergeCell ref="B8:B10"/>
    <mergeCell ref="L8:L10"/>
    <mergeCell ref="M8:M10"/>
    <mergeCell ref="A5:A7"/>
    <mergeCell ref="B5:B7"/>
    <mergeCell ref="D8:K10"/>
    <mergeCell ref="D5:K7"/>
    <mergeCell ref="A16:A18"/>
    <mergeCell ref="B16:B18"/>
    <mergeCell ref="L16:L18"/>
    <mergeCell ref="M16:M18"/>
    <mergeCell ref="L68:L70"/>
    <mergeCell ref="M68:M70"/>
    <mergeCell ref="M60:M61"/>
    <mergeCell ref="A73:A74"/>
    <mergeCell ref="B73:B74"/>
    <mergeCell ref="C73:C74"/>
    <mergeCell ref="L73:L74"/>
    <mergeCell ref="M73:M74"/>
    <mergeCell ref="A71:A72"/>
    <mergeCell ref="B71:B72"/>
    <mergeCell ref="C71:C72"/>
    <mergeCell ref="L71:L72"/>
    <mergeCell ref="M71:M72"/>
    <mergeCell ref="C67:C70"/>
    <mergeCell ref="A66:M66"/>
    <mergeCell ref="A82:M82"/>
    <mergeCell ref="A83:M83"/>
    <mergeCell ref="A58:A59"/>
    <mergeCell ref="B58:B59"/>
    <mergeCell ref="C58:C59"/>
    <mergeCell ref="L58:L59"/>
    <mergeCell ref="M58:M59"/>
    <mergeCell ref="A62:A63"/>
    <mergeCell ref="B62:B63"/>
    <mergeCell ref="A76:A77"/>
    <mergeCell ref="B76:B77"/>
    <mergeCell ref="C76:C77"/>
    <mergeCell ref="L76:L77"/>
    <mergeCell ref="M76:M77"/>
    <mergeCell ref="C62:C63"/>
    <mergeCell ref="L62:L63"/>
    <mergeCell ref="M62:M63"/>
    <mergeCell ref="D64:K64"/>
    <mergeCell ref="A60:A61"/>
    <mergeCell ref="B60:B61"/>
    <mergeCell ref="C60:C61"/>
    <mergeCell ref="L60:L61"/>
    <mergeCell ref="A68:A70"/>
    <mergeCell ref="B68:B70"/>
  </mergeCells>
  <pageMargins left="0.19685039370078741" right="0.19685039370078741" top="0.23622047244094491" bottom="0.19685039370078741" header="0" footer="0"/>
  <pageSetup paperSize="9" scale="58" orientation="landscape" r:id="rId6"/>
  <rowBreaks count="1" manualBreakCount="1">
    <brk id="67" max="12"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zoomScale="90" zoomScaleNormal="90" workbookViewId="0"/>
  </sheetViews>
  <sheetFormatPr defaultRowHeight="14.4" x14ac:dyDescent="0.3"/>
  <sheetData/>
  <customSheetViews>
    <customSheetView guid="{7DDEA387-EEC9-4633-99BE-C0D9299FB093}" scale="90" state="hidden">
      <pageMargins left="0.7" right="0.7" top="0.75" bottom="0.75" header="0.3" footer="0.3"/>
    </customSheetView>
    <customSheetView guid="{6592EBC0-D945-4F6F-93D1-49FCB588A4A0}" scale="90" state="hidden">
      <pageMargins left="0.7" right="0.7" top="0.75" bottom="0.75" header="0.3" footer="0.3"/>
    </customSheetView>
    <customSheetView guid="{001F394D-7E32-49E0-9108-A9790B233A9D}" scale="90" state="hidden">
      <pageMargins left="0.7" right="0.7" top="0.75" bottom="0.75" header="0.3" footer="0.3"/>
    </customSheetView>
    <customSheetView guid="{F08E63B0-D6C4-4E18-B2B6-E1E751FE7DF2}" scale="90" state="hidden">
      <pageMargins left="0.7" right="0.7" top="0.75" bottom="0.75" header="0.3" footer="0.3"/>
    </customSheetView>
    <customSheetView guid="{D32E4BC6-6FD7-4441-855E-C6B8F80A132E}" scale="90" state="hidden">
      <pageMargins left="0.7" right="0.7" top="0.75" bottom="0.75" header="0.3" footer="0.3"/>
    </customSheetView>
  </customSheetView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8" sqref="N28"/>
    </sheetView>
  </sheetViews>
  <sheetFormatPr defaultRowHeight="14.4" x14ac:dyDescent="0.3"/>
  <sheetData/>
  <customSheetViews>
    <customSheetView guid="{7DDEA387-EEC9-4633-99BE-C0D9299FB093}">
      <selection activeCell="N28" sqref="N28"/>
      <pageMargins left="0.7" right="0.7" top="0.75" bottom="0.75" header="0.3" footer="0.3"/>
    </customSheetView>
    <customSheetView guid="{6592EBC0-D945-4F6F-93D1-49FCB588A4A0}">
      <selection activeCell="N28" sqref="N28"/>
      <pageMargins left="0.7" right="0.7" top="0.75" bottom="0.75" header="0.3" footer="0.3"/>
    </customSheetView>
    <customSheetView guid="{F08E63B0-D6C4-4E18-B2B6-E1E751FE7DF2}" state="hidden">
      <pageMargins left="0.7" right="0.7" top="0.75" bottom="0.75" header="0.3" footer="0.3"/>
    </customSheetView>
    <customSheetView guid="{D32E4BC6-6FD7-4441-855E-C6B8F80A132E}">
      <selection activeCell="N28" sqref="N28"/>
      <pageMargins left="0.7" right="0.7" top="0.75" bottom="0.75" header="0.3" footer="0.3"/>
    </customSheetView>
  </customSheetView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XFD1036"/>
  <sheetViews>
    <sheetView tabSelected="1" view="pageBreakPreview" zoomScale="70" zoomScaleNormal="70" zoomScaleSheetLayoutView="100" workbookViewId="0">
      <pane xSplit="16" topLeftCell="Q1" activePane="topRight" state="frozen"/>
      <selection activeCell="A311" sqref="A311"/>
      <selection pane="topRight" activeCell="F9" sqref="F9"/>
    </sheetView>
  </sheetViews>
  <sheetFormatPr defaultRowHeight="14.4" outlineLevelRow="1" x14ac:dyDescent="0.3"/>
  <cols>
    <col min="1" max="1" width="9.109375" style="83" customWidth="1"/>
    <col min="2" max="2" width="30.109375" style="42" customWidth="1"/>
    <col min="3" max="3" width="11.44140625" style="42" customWidth="1"/>
    <col min="4" max="4" width="10" style="42" customWidth="1"/>
    <col min="5" max="5" width="13.33203125" style="21" customWidth="1"/>
    <col min="6" max="6" width="22" style="21" customWidth="1"/>
    <col min="7" max="7" width="20.88671875" style="21" customWidth="1"/>
    <col min="8" max="8" width="15.33203125" style="21" customWidth="1"/>
    <col min="9" max="9" width="16.44140625" style="21" customWidth="1"/>
    <col min="10" max="10" width="14.88671875" style="21" customWidth="1"/>
    <col min="11" max="11" width="11.88671875" style="21" customWidth="1"/>
    <col min="12" max="12" width="8.33203125" style="21" customWidth="1"/>
    <col min="13" max="13" width="10.33203125" style="21" customWidth="1"/>
    <col min="14" max="14" width="20.109375" style="21" customWidth="1"/>
    <col min="15" max="15" width="15.88671875" style="21" customWidth="1"/>
    <col min="16" max="16" width="31.44140625" style="72" customWidth="1"/>
    <col min="17" max="17" width="34" style="1" customWidth="1"/>
    <col min="18" max="18" width="10.88671875" style="1" customWidth="1"/>
    <col min="19" max="19" width="10.109375" style="1" customWidth="1"/>
    <col min="20" max="20" width="12.88671875" style="1" customWidth="1"/>
    <col min="21" max="21" width="15.88671875" style="1" customWidth="1"/>
    <col min="22" max="28" width="9.109375" style="1"/>
  </cols>
  <sheetData>
    <row r="1" spans="1:27" s="1" customFormat="1" ht="65.25" customHeight="1" x14ac:dyDescent="0.3">
      <c r="A1" s="2320" t="s">
        <v>954</v>
      </c>
      <c r="B1" s="2320"/>
      <c r="C1" s="2320"/>
      <c r="D1" s="2320"/>
      <c r="E1" s="2320"/>
      <c r="F1" s="2320"/>
      <c r="G1" s="2320"/>
      <c r="H1" s="2320"/>
      <c r="I1" s="2320"/>
      <c r="J1" s="2320"/>
      <c r="K1" s="2320"/>
      <c r="L1" s="2320"/>
      <c r="M1" s="2320"/>
      <c r="N1" s="2320"/>
      <c r="O1" s="2320"/>
      <c r="P1" s="72"/>
      <c r="Q1" s="2503" t="s">
        <v>258</v>
      </c>
    </row>
    <row r="2" spans="1:27" s="1" customFormat="1" ht="90.75" customHeight="1" x14ac:dyDescent="0.3">
      <c r="A2" s="2321" t="s">
        <v>1621</v>
      </c>
      <c r="B2" s="2321"/>
      <c r="C2" s="2321"/>
      <c r="D2" s="2321"/>
      <c r="E2" s="2321"/>
      <c r="F2" s="2321"/>
      <c r="G2" s="2321"/>
      <c r="H2" s="2321"/>
      <c r="I2" s="2321"/>
      <c r="J2" s="2321"/>
      <c r="K2" s="2321"/>
      <c r="L2" s="2321"/>
      <c r="M2" s="2321"/>
      <c r="N2" s="2321"/>
      <c r="O2" s="2321"/>
      <c r="P2" s="72"/>
      <c r="Q2" s="2504"/>
    </row>
    <row r="3" spans="1:27" s="508" customFormat="1" ht="40.5" customHeight="1" outlineLevel="1" x14ac:dyDescent="0.3">
      <c r="A3" s="2368" t="s">
        <v>46</v>
      </c>
      <c r="B3" s="1913" t="s">
        <v>55</v>
      </c>
      <c r="C3" s="1913" t="s">
        <v>939</v>
      </c>
      <c r="D3" s="1913" t="s">
        <v>940</v>
      </c>
      <c r="E3" s="1913" t="s">
        <v>52</v>
      </c>
      <c r="F3" s="1913" t="s">
        <v>545</v>
      </c>
      <c r="G3" s="1913" t="s">
        <v>59</v>
      </c>
      <c r="H3" s="1914" t="s">
        <v>106</v>
      </c>
      <c r="I3" s="1914"/>
      <c r="J3" s="1914"/>
      <c r="K3" s="1914"/>
      <c r="L3" s="1914"/>
      <c r="M3" s="1914"/>
      <c r="N3" s="2442" t="s">
        <v>50</v>
      </c>
      <c r="O3" s="2325" t="s">
        <v>820</v>
      </c>
      <c r="P3" s="505"/>
      <c r="Q3" s="2505"/>
    </row>
    <row r="4" spans="1:27" s="508" customFormat="1" ht="25.5" customHeight="1" outlineLevel="1" x14ac:dyDescent="0.5">
      <c r="A4" s="2368"/>
      <c r="B4" s="1913"/>
      <c r="C4" s="1913"/>
      <c r="D4" s="1913"/>
      <c r="E4" s="1913"/>
      <c r="F4" s="1913"/>
      <c r="G4" s="1913"/>
      <c r="H4" s="478" t="s">
        <v>33</v>
      </c>
      <c r="I4" s="478" t="s">
        <v>4</v>
      </c>
      <c r="J4" s="478" t="s">
        <v>91</v>
      </c>
      <c r="K4" s="478" t="s">
        <v>90</v>
      </c>
      <c r="L4" s="478" t="s">
        <v>89</v>
      </c>
      <c r="M4" s="478" t="s">
        <v>221</v>
      </c>
      <c r="N4" s="2442"/>
      <c r="O4" s="2325"/>
      <c r="P4" s="605" t="s">
        <v>1398</v>
      </c>
    </row>
    <row r="5" spans="1:27" s="588" customFormat="1" ht="24.75" customHeight="1" outlineLevel="1" x14ac:dyDescent="0.3">
      <c r="A5" s="464">
        <v>1</v>
      </c>
      <c r="B5" s="509">
        <v>2</v>
      </c>
      <c r="C5" s="509">
        <v>3</v>
      </c>
      <c r="D5" s="509">
        <v>4</v>
      </c>
      <c r="E5" s="509">
        <v>5</v>
      </c>
      <c r="F5" s="509">
        <v>6</v>
      </c>
      <c r="G5" s="509">
        <v>7</v>
      </c>
      <c r="H5" s="509">
        <v>8</v>
      </c>
      <c r="I5" s="509">
        <v>9</v>
      </c>
      <c r="J5" s="509">
        <v>10</v>
      </c>
      <c r="K5" s="509">
        <v>11</v>
      </c>
      <c r="L5" s="509">
        <v>12</v>
      </c>
      <c r="M5" s="509">
        <v>13</v>
      </c>
      <c r="N5" s="585">
        <v>14</v>
      </c>
      <c r="O5" s="586">
        <v>15</v>
      </c>
      <c r="P5" s="587"/>
    </row>
    <row r="6" spans="1:27" s="1" customFormat="1" ht="24.75" customHeight="1" outlineLevel="1" x14ac:dyDescent="0.3">
      <c r="A6" s="2443" t="s">
        <v>702</v>
      </c>
      <c r="B6" s="1781" t="s">
        <v>70</v>
      </c>
      <c r="C6" s="1781"/>
      <c r="D6" s="1781"/>
      <c r="E6" s="1781"/>
      <c r="F6" s="1781"/>
      <c r="G6" s="385" t="s">
        <v>12</v>
      </c>
      <c r="H6" s="589">
        <f>H7+H8</f>
        <v>34221.85</v>
      </c>
      <c r="I6" s="589">
        <f t="shared" ref="I6:M6" si="0">I7+I8</f>
        <v>34221.85</v>
      </c>
      <c r="J6" s="589">
        <f t="shared" si="0"/>
        <v>0</v>
      </c>
      <c r="K6" s="589">
        <f t="shared" si="0"/>
        <v>0</v>
      </c>
      <c r="L6" s="589">
        <f t="shared" si="0"/>
        <v>0</v>
      </c>
      <c r="M6" s="589">
        <f t="shared" si="0"/>
        <v>0</v>
      </c>
      <c r="N6" s="1781"/>
      <c r="O6" s="1538"/>
      <c r="P6" s="1785" t="s">
        <v>326</v>
      </c>
      <c r="W6" s="1">
        <v>2018</v>
      </c>
      <c r="X6" s="1">
        <v>2019</v>
      </c>
      <c r="Y6" s="1">
        <v>2020</v>
      </c>
      <c r="Z6" s="1">
        <v>2021</v>
      </c>
      <c r="AA6" s="1">
        <v>2022</v>
      </c>
    </row>
    <row r="7" spans="1:27" s="1" customFormat="1" ht="35.25" customHeight="1" outlineLevel="1" x14ac:dyDescent="0.3">
      <c r="A7" s="2443"/>
      <c r="B7" s="1781"/>
      <c r="C7" s="1781"/>
      <c r="D7" s="1781"/>
      <c r="E7" s="1781"/>
      <c r="F7" s="1781"/>
      <c r="G7" s="385" t="s">
        <v>13</v>
      </c>
      <c r="H7" s="589">
        <f>I7+J7+K7+L7+M7</f>
        <v>30799.67</v>
      </c>
      <c r="I7" s="589">
        <f>I10+I13</f>
        <v>30799.67</v>
      </c>
      <c r="J7" s="589">
        <f t="shared" ref="J7:M7" si="1">J10+J13</f>
        <v>0</v>
      </c>
      <c r="K7" s="589">
        <f t="shared" si="1"/>
        <v>0</v>
      </c>
      <c r="L7" s="589">
        <f t="shared" si="1"/>
        <v>0</v>
      </c>
      <c r="M7" s="589">
        <f t="shared" si="1"/>
        <v>0</v>
      </c>
      <c r="N7" s="1781"/>
      <c r="O7" s="1538"/>
      <c r="P7" s="1785"/>
    </row>
    <row r="8" spans="1:27" s="1" customFormat="1" ht="33.75" customHeight="1" outlineLevel="1" x14ac:dyDescent="0.3">
      <c r="A8" s="2443"/>
      <c r="B8" s="1781"/>
      <c r="C8" s="1781"/>
      <c r="D8" s="1781"/>
      <c r="E8" s="1781"/>
      <c r="F8" s="1781"/>
      <c r="G8" s="390" t="s">
        <v>14</v>
      </c>
      <c r="H8" s="589">
        <f>I8+J8+K8+L8+M8</f>
        <v>3422.18</v>
      </c>
      <c r="I8" s="589">
        <f>I11+I14</f>
        <v>3422.18</v>
      </c>
      <c r="J8" s="589">
        <f t="shared" ref="J8:M8" si="2">J11+J14</f>
        <v>0</v>
      </c>
      <c r="K8" s="589">
        <f t="shared" si="2"/>
        <v>0</v>
      </c>
      <c r="L8" s="589">
        <f t="shared" si="2"/>
        <v>0</v>
      </c>
      <c r="M8" s="589">
        <f t="shared" si="2"/>
        <v>0</v>
      </c>
      <c r="N8" s="1781"/>
      <c r="O8" s="1538"/>
      <c r="P8" s="1785"/>
      <c r="Q8" s="11"/>
    </row>
    <row r="9" spans="1:27" s="1" customFormat="1" ht="32.25" customHeight="1" outlineLevel="1" x14ac:dyDescent="0.3">
      <c r="A9" s="2443" t="s">
        <v>115</v>
      </c>
      <c r="B9" s="1781" t="s">
        <v>247</v>
      </c>
      <c r="C9" s="1781">
        <v>2018</v>
      </c>
      <c r="D9" s="1781" t="s">
        <v>256</v>
      </c>
      <c r="E9" s="2444">
        <v>26848.85</v>
      </c>
      <c r="F9" s="404">
        <f>F10+F11</f>
        <v>0</v>
      </c>
      <c r="G9" s="385" t="s">
        <v>12</v>
      </c>
      <c r="H9" s="589">
        <f>H10+H11</f>
        <v>26848.85</v>
      </c>
      <c r="I9" s="589">
        <f t="shared" ref="I9:M9" si="3">I10+I11</f>
        <v>26848.85</v>
      </c>
      <c r="J9" s="589">
        <f t="shared" si="3"/>
        <v>0</v>
      </c>
      <c r="K9" s="589">
        <f t="shared" si="3"/>
        <v>0</v>
      </c>
      <c r="L9" s="589">
        <f t="shared" si="3"/>
        <v>0</v>
      </c>
      <c r="M9" s="589">
        <f t="shared" si="3"/>
        <v>0</v>
      </c>
      <c r="N9" s="2444"/>
      <c r="O9" s="1781" t="s">
        <v>16</v>
      </c>
      <c r="P9" s="2509" t="s">
        <v>1521</v>
      </c>
    </row>
    <row r="10" spans="1:27" s="1" customFormat="1" ht="39.75" customHeight="1" outlineLevel="1" x14ac:dyDescent="0.3">
      <c r="A10" s="2443"/>
      <c r="B10" s="1781"/>
      <c r="C10" s="1781"/>
      <c r="D10" s="1781"/>
      <c r="E10" s="2444"/>
      <c r="F10" s="404">
        <v>0</v>
      </c>
      <c r="G10" s="385" t="s">
        <v>13</v>
      </c>
      <c r="H10" s="589">
        <f>I10+J10+K10+L10+M10</f>
        <v>24163.97</v>
      </c>
      <c r="I10" s="589">
        <v>24163.97</v>
      </c>
      <c r="J10" s="589">
        <v>0</v>
      </c>
      <c r="K10" s="589">
        <v>0</v>
      </c>
      <c r="L10" s="589">
        <v>0</v>
      </c>
      <c r="M10" s="589">
        <v>0</v>
      </c>
      <c r="N10" s="2444"/>
      <c r="O10" s="1781"/>
      <c r="P10" s="2509"/>
      <c r="W10" s="1">
        <v>1</v>
      </c>
    </row>
    <row r="11" spans="1:27" s="1" customFormat="1" ht="33.75" customHeight="1" outlineLevel="1" x14ac:dyDescent="0.3">
      <c r="A11" s="2443"/>
      <c r="B11" s="1781"/>
      <c r="C11" s="1781"/>
      <c r="D11" s="1781"/>
      <c r="E11" s="2444"/>
      <c r="F11" s="404">
        <v>0</v>
      </c>
      <c r="G11" s="390" t="s">
        <v>14</v>
      </c>
      <c r="H11" s="589">
        <f>I11+J11+K11+L11+M11</f>
        <v>2684.88</v>
      </c>
      <c r="I11" s="589">
        <v>2684.88</v>
      </c>
      <c r="J11" s="589">
        <v>0</v>
      </c>
      <c r="K11" s="589">
        <v>0</v>
      </c>
      <c r="L11" s="589">
        <v>0</v>
      </c>
      <c r="M11" s="589">
        <v>0</v>
      </c>
      <c r="N11" s="2444"/>
      <c r="O11" s="1781"/>
      <c r="P11" s="2509"/>
    </row>
    <row r="12" spans="1:27" s="6" customFormat="1" ht="30" customHeight="1" outlineLevel="1" x14ac:dyDescent="0.3">
      <c r="A12" s="2333" t="s">
        <v>116</v>
      </c>
      <c r="B12" s="1781" t="s">
        <v>248</v>
      </c>
      <c r="C12" s="1781">
        <v>2018</v>
      </c>
      <c r="D12" s="1781"/>
      <c r="E12" s="2444">
        <v>7373</v>
      </c>
      <c r="F12" s="404">
        <f>F13+F14</f>
        <v>0</v>
      </c>
      <c r="G12" s="385" t="s">
        <v>12</v>
      </c>
      <c r="H12" s="589">
        <f>H13+H14</f>
        <v>7373</v>
      </c>
      <c r="I12" s="589">
        <f t="shared" ref="I12:M12" si="4">I13+I14</f>
        <v>7373</v>
      </c>
      <c r="J12" s="589">
        <f t="shared" si="4"/>
        <v>0</v>
      </c>
      <c r="K12" s="589">
        <f t="shared" si="4"/>
        <v>0</v>
      </c>
      <c r="L12" s="589">
        <f t="shared" si="4"/>
        <v>0</v>
      </c>
      <c r="M12" s="589">
        <f t="shared" si="4"/>
        <v>0</v>
      </c>
      <c r="N12" s="1719"/>
      <c r="O12" s="1781" t="s">
        <v>16</v>
      </c>
      <c r="P12" s="2446" t="s">
        <v>1521</v>
      </c>
      <c r="Q12" s="1"/>
    </row>
    <row r="13" spans="1:27" s="6" customFormat="1" ht="42.75" customHeight="1" outlineLevel="1" x14ac:dyDescent="0.3">
      <c r="A13" s="2333"/>
      <c r="B13" s="1781"/>
      <c r="C13" s="1781"/>
      <c r="D13" s="1781"/>
      <c r="E13" s="1781"/>
      <c r="F13" s="404">
        <v>0</v>
      </c>
      <c r="G13" s="385" t="s">
        <v>13</v>
      </c>
      <c r="H13" s="590">
        <f>I13+J13+K13+L13+M13</f>
        <v>6635.7</v>
      </c>
      <c r="I13" s="589">
        <v>6635.7</v>
      </c>
      <c r="J13" s="589">
        <v>0</v>
      </c>
      <c r="K13" s="589">
        <v>0</v>
      </c>
      <c r="L13" s="589">
        <v>0</v>
      </c>
      <c r="M13" s="589">
        <v>0</v>
      </c>
      <c r="N13" s="1719"/>
      <c r="O13" s="1781"/>
      <c r="P13" s="2446"/>
      <c r="Q13" s="1"/>
      <c r="W13" s="6">
        <v>1</v>
      </c>
    </row>
    <row r="14" spans="1:27" s="6" customFormat="1" ht="65.25" customHeight="1" outlineLevel="1" x14ac:dyDescent="0.3">
      <c r="A14" s="2333"/>
      <c r="B14" s="1781"/>
      <c r="C14" s="1781"/>
      <c r="D14" s="1781"/>
      <c r="E14" s="1781"/>
      <c r="F14" s="404">
        <v>0</v>
      </c>
      <c r="G14" s="390" t="s">
        <v>14</v>
      </c>
      <c r="H14" s="590">
        <f>I14+J14+K14+L14+M14</f>
        <v>737.3</v>
      </c>
      <c r="I14" s="589">
        <v>737.3</v>
      </c>
      <c r="J14" s="589">
        <v>0</v>
      </c>
      <c r="K14" s="589">
        <v>0</v>
      </c>
      <c r="L14" s="589">
        <v>0</v>
      </c>
      <c r="M14" s="589">
        <v>0</v>
      </c>
      <c r="N14" s="1719"/>
      <c r="O14" s="1781"/>
      <c r="P14" s="2446"/>
      <c r="Q14" s="1"/>
    </row>
    <row r="15" spans="1:27" s="1" customFormat="1" ht="24.75" customHeight="1" outlineLevel="1" x14ac:dyDescent="0.3">
      <c r="A15" s="2333" t="s">
        <v>621</v>
      </c>
      <c r="B15" s="1781" t="s">
        <v>136</v>
      </c>
      <c r="C15" s="1781"/>
      <c r="D15" s="1781"/>
      <c r="E15" s="1781"/>
      <c r="F15" s="1781"/>
      <c r="G15" s="385" t="s">
        <v>12</v>
      </c>
      <c r="H15" s="589">
        <f>H16+H17</f>
        <v>62647.02</v>
      </c>
      <c r="I15" s="589">
        <f t="shared" ref="I15" si="5">I16+I17</f>
        <v>62647.02</v>
      </c>
      <c r="J15" s="589">
        <f t="shared" ref="J15" si="6">J16+J17</f>
        <v>0</v>
      </c>
      <c r="K15" s="589">
        <f t="shared" ref="K15" si="7">K16+K17</f>
        <v>0</v>
      </c>
      <c r="L15" s="589">
        <f t="shared" ref="L15" si="8">L16+L17</f>
        <v>0</v>
      </c>
      <c r="M15" s="589">
        <f t="shared" ref="M15" si="9">M16+M17</f>
        <v>0</v>
      </c>
      <c r="N15" s="1781"/>
      <c r="O15" s="1538"/>
      <c r="P15" s="1785" t="s">
        <v>327</v>
      </c>
      <c r="Q15" s="6"/>
    </row>
    <row r="16" spans="1:27" s="1" customFormat="1" ht="35.25" customHeight="1" outlineLevel="1" x14ac:dyDescent="0.3">
      <c r="A16" s="2333"/>
      <c r="B16" s="1781"/>
      <c r="C16" s="1781"/>
      <c r="D16" s="1781"/>
      <c r="E16" s="1781"/>
      <c r="F16" s="1781"/>
      <c r="G16" s="385" t="s">
        <v>13</v>
      </c>
      <c r="H16" s="589">
        <f>I16+J16+K16+L16+M16</f>
        <v>56382.31</v>
      </c>
      <c r="I16" s="589">
        <f>I19</f>
        <v>56382.31</v>
      </c>
      <c r="J16" s="589">
        <f t="shared" ref="J16:M16" si="10">J19</f>
        <v>0</v>
      </c>
      <c r="K16" s="589">
        <f t="shared" si="10"/>
        <v>0</v>
      </c>
      <c r="L16" s="589">
        <f t="shared" si="10"/>
        <v>0</v>
      </c>
      <c r="M16" s="589">
        <f t="shared" si="10"/>
        <v>0</v>
      </c>
      <c r="N16" s="1781"/>
      <c r="O16" s="1538"/>
      <c r="P16" s="1785"/>
      <c r="Q16" s="6"/>
    </row>
    <row r="17" spans="1:23" s="1" customFormat="1" ht="36.75" customHeight="1" outlineLevel="1" x14ac:dyDescent="0.3">
      <c r="A17" s="2333"/>
      <c r="B17" s="1781"/>
      <c r="C17" s="1781"/>
      <c r="D17" s="1781"/>
      <c r="E17" s="1781"/>
      <c r="F17" s="1781"/>
      <c r="G17" s="390" t="s">
        <v>14</v>
      </c>
      <c r="H17" s="589">
        <f>I17+J17+K17+L17+M17</f>
        <v>6264.71</v>
      </c>
      <c r="I17" s="589">
        <f>I20</f>
        <v>6264.71</v>
      </c>
      <c r="J17" s="589">
        <f t="shared" ref="J17:M17" si="11">J20</f>
        <v>0</v>
      </c>
      <c r="K17" s="589">
        <f t="shared" si="11"/>
        <v>0</v>
      </c>
      <c r="L17" s="589">
        <f t="shared" si="11"/>
        <v>0</v>
      </c>
      <c r="M17" s="589">
        <f t="shared" si="11"/>
        <v>0</v>
      </c>
      <c r="N17" s="1781"/>
      <c r="O17" s="1538"/>
      <c r="P17" s="1785"/>
      <c r="Q17" s="6"/>
    </row>
    <row r="18" spans="1:23" s="6" customFormat="1" ht="27" customHeight="1" outlineLevel="1" x14ac:dyDescent="0.3">
      <c r="A18" s="2333" t="s">
        <v>149</v>
      </c>
      <c r="B18" s="1717" t="s">
        <v>561</v>
      </c>
      <c r="C18" s="2021">
        <v>2018</v>
      </c>
      <c r="D18" s="1718" t="s">
        <v>137</v>
      </c>
      <c r="E18" s="1719">
        <v>62647.02</v>
      </c>
      <c r="F18" s="389">
        <f>F19+F20</f>
        <v>0</v>
      </c>
      <c r="G18" s="385" t="s">
        <v>12</v>
      </c>
      <c r="H18" s="590">
        <f>H19+H20</f>
        <v>62647.02</v>
      </c>
      <c r="I18" s="590">
        <f t="shared" ref="I18:M18" si="12">I19+I20</f>
        <v>62647.02</v>
      </c>
      <c r="J18" s="590">
        <f t="shared" si="12"/>
        <v>0</v>
      </c>
      <c r="K18" s="590">
        <f t="shared" si="12"/>
        <v>0</v>
      </c>
      <c r="L18" s="590">
        <f t="shared" si="12"/>
        <v>0</v>
      </c>
      <c r="M18" s="590">
        <f t="shared" si="12"/>
        <v>0</v>
      </c>
      <c r="N18" s="1719"/>
      <c r="O18" s="1781" t="s">
        <v>16</v>
      </c>
      <c r="P18" s="2446" t="s">
        <v>1521</v>
      </c>
      <c r="Q18" s="1"/>
    </row>
    <row r="19" spans="1:23" s="6" customFormat="1" ht="34.5" customHeight="1" outlineLevel="1" x14ac:dyDescent="0.3">
      <c r="A19" s="2333"/>
      <c r="B19" s="1717"/>
      <c r="C19" s="2021"/>
      <c r="D19" s="1718"/>
      <c r="E19" s="1719"/>
      <c r="F19" s="389">
        <v>0</v>
      </c>
      <c r="G19" s="385" t="s">
        <v>13</v>
      </c>
      <c r="H19" s="590">
        <f>I19+J19+K19+L19+M19</f>
        <v>56382.31</v>
      </c>
      <c r="I19" s="589">
        <f>53697.6+2684.71</f>
        <v>56382.31</v>
      </c>
      <c r="J19" s="589">
        <v>0</v>
      </c>
      <c r="K19" s="589">
        <v>0</v>
      </c>
      <c r="L19" s="589">
        <v>0</v>
      </c>
      <c r="M19" s="589">
        <v>0</v>
      </c>
      <c r="N19" s="1719"/>
      <c r="O19" s="1781"/>
      <c r="P19" s="2446"/>
      <c r="Q19" s="1"/>
      <c r="W19" s="6">
        <v>1</v>
      </c>
    </row>
    <row r="20" spans="1:23" s="6" customFormat="1" ht="54" customHeight="1" outlineLevel="1" x14ac:dyDescent="0.3">
      <c r="A20" s="2333"/>
      <c r="B20" s="1717"/>
      <c r="C20" s="2021"/>
      <c r="D20" s="1718"/>
      <c r="E20" s="1719"/>
      <c r="F20" s="69">
        <v>0</v>
      </c>
      <c r="G20" s="390" t="s">
        <v>14</v>
      </c>
      <c r="H20" s="590">
        <f>I20+J20+K20+L20+M20</f>
        <v>6264.71</v>
      </c>
      <c r="I20" s="589">
        <f>5966.4+298.31</f>
        <v>6264.71</v>
      </c>
      <c r="J20" s="589">
        <v>0</v>
      </c>
      <c r="K20" s="589">
        <v>0</v>
      </c>
      <c r="L20" s="589">
        <v>0</v>
      </c>
      <c r="M20" s="589">
        <v>0</v>
      </c>
      <c r="N20" s="1719"/>
      <c r="O20" s="1781"/>
      <c r="P20" s="2446"/>
      <c r="Q20" s="1"/>
    </row>
    <row r="21" spans="1:23" s="6" customFormat="1" ht="27" customHeight="1" outlineLevel="1" x14ac:dyDescent="0.3">
      <c r="A21" s="2333" t="s">
        <v>503</v>
      </c>
      <c r="B21" s="1781" t="s">
        <v>1338</v>
      </c>
      <c r="C21" s="1781"/>
      <c r="D21" s="1781"/>
      <c r="E21" s="1781"/>
      <c r="F21" s="1781"/>
      <c r="G21" s="385" t="s">
        <v>12</v>
      </c>
      <c r="H21" s="589">
        <f>H22+H23</f>
        <v>45054.03</v>
      </c>
      <c r="I21" s="589">
        <f t="shared" ref="I21" si="13">I22+I23</f>
        <v>45054.03</v>
      </c>
      <c r="J21" s="589">
        <f t="shared" ref="J21" si="14">J22+J23</f>
        <v>0</v>
      </c>
      <c r="K21" s="589">
        <f t="shared" ref="K21" si="15">K22+K23</f>
        <v>0</v>
      </c>
      <c r="L21" s="589">
        <f t="shared" ref="L21" si="16">L22+L23</f>
        <v>0</v>
      </c>
      <c r="M21" s="589">
        <f t="shared" ref="M21" si="17">M22+M23</f>
        <v>0</v>
      </c>
      <c r="N21" s="1781"/>
      <c r="O21" s="1538"/>
      <c r="P21" s="1785" t="s">
        <v>327</v>
      </c>
    </row>
    <row r="22" spans="1:23" s="6" customFormat="1" ht="31.5" customHeight="1" outlineLevel="1" x14ac:dyDescent="0.3">
      <c r="A22" s="2333"/>
      <c r="B22" s="1781"/>
      <c r="C22" s="1781"/>
      <c r="D22" s="1781"/>
      <c r="E22" s="1781"/>
      <c r="F22" s="1781"/>
      <c r="G22" s="385" t="s">
        <v>13</v>
      </c>
      <c r="H22" s="589">
        <f>I22+J22+K22+L22+M22</f>
        <v>40548.629999999997</v>
      </c>
      <c r="I22" s="589">
        <f>I25</f>
        <v>40548.629999999997</v>
      </c>
      <c r="J22" s="589">
        <f t="shared" ref="J22:M22" si="18">J25</f>
        <v>0</v>
      </c>
      <c r="K22" s="589">
        <f t="shared" si="18"/>
        <v>0</v>
      </c>
      <c r="L22" s="589">
        <f t="shared" si="18"/>
        <v>0</v>
      </c>
      <c r="M22" s="589">
        <f t="shared" si="18"/>
        <v>0</v>
      </c>
      <c r="N22" s="1781"/>
      <c r="O22" s="1538"/>
      <c r="P22" s="1785"/>
    </row>
    <row r="23" spans="1:23" s="6" customFormat="1" ht="36" customHeight="1" outlineLevel="1" x14ac:dyDescent="0.3">
      <c r="A23" s="2333"/>
      <c r="B23" s="1781"/>
      <c r="C23" s="1781"/>
      <c r="D23" s="1781"/>
      <c r="E23" s="1781"/>
      <c r="F23" s="1781"/>
      <c r="G23" s="390" t="s">
        <v>14</v>
      </c>
      <c r="H23" s="589">
        <f>I23+J23+K23+L23+M23</f>
        <v>4505.3999999999996</v>
      </c>
      <c r="I23" s="589">
        <f>I26</f>
        <v>4505.3999999999996</v>
      </c>
      <c r="J23" s="589">
        <f t="shared" ref="J23:M23" si="19">J26</f>
        <v>0</v>
      </c>
      <c r="K23" s="589">
        <f t="shared" si="19"/>
        <v>0</v>
      </c>
      <c r="L23" s="589">
        <f t="shared" si="19"/>
        <v>0</v>
      </c>
      <c r="M23" s="589">
        <f t="shared" si="19"/>
        <v>0</v>
      </c>
      <c r="N23" s="1781"/>
      <c r="O23" s="1538"/>
      <c r="P23" s="1785"/>
    </row>
    <row r="24" spans="1:23" s="6" customFormat="1" ht="16.5" customHeight="1" outlineLevel="1" x14ac:dyDescent="0.3">
      <c r="A24" s="2333" t="s">
        <v>486</v>
      </c>
      <c r="B24" s="1717" t="s">
        <v>249</v>
      </c>
      <c r="C24" s="2445" t="s">
        <v>82</v>
      </c>
      <c r="D24" s="1718" t="s">
        <v>139</v>
      </c>
      <c r="E24" s="1719">
        <v>60161.19</v>
      </c>
      <c r="F24" s="1035">
        <f>F25+F26</f>
        <v>15107.16</v>
      </c>
      <c r="G24" s="385" t="s">
        <v>12</v>
      </c>
      <c r="H24" s="590">
        <f>H25+H26</f>
        <v>45054.03</v>
      </c>
      <c r="I24" s="590">
        <f t="shared" ref="I24" si="20">I25+I26</f>
        <v>45054.03</v>
      </c>
      <c r="J24" s="590">
        <f t="shared" ref="J24" si="21">J25+J26</f>
        <v>0</v>
      </c>
      <c r="K24" s="590">
        <f t="shared" ref="K24" si="22">K25+K26</f>
        <v>0</v>
      </c>
      <c r="L24" s="590">
        <f t="shared" ref="L24" si="23">L25+L26</f>
        <v>0</v>
      </c>
      <c r="M24" s="590">
        <f t="shared" ref="M24" si="24">M25+M26</f>
        <v>0</v>
      </c>
      <c r="N24" s="1719"/>
      <c r="O24" s="1781" t="s">
        <v>16</v>
      </c>
      <c r="P24" s="2446" t="s">
        <v>1521</v>
      </c>
    </row>
    <row r="25" spans="1:23" s="6" customFormat="1" ht="36.75" customHeight="1" outlineLevel="1" x14ac:dyDescent="0.3">
      <c r="A25" s="2333"/>
      <c r="B25" s="1717"/>
      <c r="C25" s="2445"/>
      <c r="D25" s="1718"/>
      <c r="E25" s="1719"/>
      <c r="F25" s="1035">
        <v>13596.44</v>
      </c>
      <c r="G25" s="385" t="s">
        <v>13</v>
      </c>
      <c r="H25" s="590">
        <f>I25+J25+K25+L25+M25</f>
        <v>40548.629999999997</v>
      </c>
      <c r="I25" s="589">
        <f>37193.67+3354.96</f>
        <v>40548.629999999997</v>
      </c>
      <c r="J25" s="589">
        <v>0</v>
      </c>
      <c r="K25" s="589">
        <v>0</v>
      </c>
      <c r="L25" s="589">
        <v>0</v>
      </c>
      <c r="M25" s="589">
        <v>0</v>
      </c>
      <c r="N25" s="1719"/>
      <c r="O25" s="1781"/>
      <c r="P25" s="2446"/>
      <c r="W25" s="6">
        <v>1</v>
      </c>
    </row>
    <row r="26" spans="1:23" s="1" customFormat="1" ht="32.25" customHeight="1" outlineLevel="1" x14ac:dyDescent="0.3">
      <c r="A26" s="2333"/>
      <c r="B26" s="1717"/>
      <c r="C26" s="2445"/>
      <c r="D26" s="1718"/>
      <c r="E26" s="1719"/>
      <c r="F26" s="952">
        <v>1510.72</v>
      </c>
      <c r="G26" s="390" t="s">
        <v>14</v>
      </c>
      <c r="H26" s="590">
        <f>I26+J26+K26+L26+M26</f>
        <v>4505.3999999999996</v>
      </c>
      <c r="I26" s="589">
        <f>4132.63+372.77</f>
        <v>4505.3999999999996</v>
      </c>
      <c r="J26" s="589"/>
      <c r="K26" s="589">
        <v>0</v>
      </c>
      <c r="L26" s="589">
        <v>0</v>
      </c>
      <c r="M26" s="589">
        <v>0</v>
      </c>
      <c r="N26" s="1719"/>
      <c r="O26" s="1781"/>
      <c r="P26" s="2446"/>
      <c r="Q26" s="6"/>
    </row>
    <row r="27" spans="1:23" s="1" customFormat="1" ht="21" customHeight="1" outlineLevel="1" x14ac:dyDescent="0.3">
      <c r="A27" s="2333" t="s">
        <v>685</v>
      </c>
      <c r="B27" s="1781" t="s">
        <v>112</v>
      </c>
      <c r="C27" s="1781"/>
      <c r="D27" s="1781"/>
      <c r="E27" s="1781"/>
      <c r="F27" s="1781"/>
      <c r="G27" s="385" t="s">
        <v>12</v>
      </c>
      <c r="H27" s="590">
        <f>H28+H29</f>
        <v>131633.62</v>
      </c>
      <c r="I27" s="590">
        <f t="shared" ref="I27:M27" si="25">I28+I29</f>
        <v>131633.62</v>
      </c>
      <c r="J27" s="590">
        <f t="shared" si="25"/>
        <v>0</v>
      </c>
      <c r="K27" s="590">
        <f t="shared" si="25"/>
        <v>0</v>
      </c>
      <c r="L27" s="590">
        <f t="shared" si="25"/>
        <v>0</v>
      </c>
      <c r="M27" s="590">
        <f t="shared" si="25"/>
        <v>0</v>
      </c>
      <c r="N27" s="1781"/>
      <c r="O27" s="1538"/>
      <c r="P27" s="1785" t="s">
        <v>326</v>
      </c>
      <c r="Q27" s="6"/>
    </row>
    <row r="28" spans="1:23" s="1" customFormat="1" ht="33.6" customHeight="1" outlineLevel="1" x14ac:dyDescent="0.3">
      <c r="A28" s="2333"/>
      <c r="B28" s="1781"/>
      <c r="C28" s="1781"/>
      <c r="D28" s="1781"/>
      <c r="E28" s="1781"/>
      <c r="F28" s="1781"/>
      <c r="G28" s="385" t="s">
        <v>13</v>
      </c>
      <c r="H28" s="590">
        <f>I28+J28+K28+L28+M28</f>
        <v>130317.28</v>
      </c>
      <c r="I28" s="589">
        <f>I31+I34</f>
        <v>130317.28</v>
      </c>
      <c r="J28" s="589">
        <f t="shared" ref="J28:M28" si="26">J31+J34</f>
        <v>0</v>
      </c>
      <c r="K28" s="589">
        <f t="shared" si="26"/>
        <v>0</v>
      </c>
      <c r="L28" s="589">
        <f t="shared" si="26"/>
        <v>0</v>
      </c>
      <c r="M28" s="589">
        <f t="shared" si="26"/>
        <v>0</v>
      </c>
      <c r="N28" s="1781"/>
      <c r="O28" s="1538"/>
      <c r="P28" s="1785"/>
      <c r="Q28" s="6"/>
    </row>
    <row r="29" spans="1:23" s="1" customFormat="1" ht="33.6" customHeight="1" outlineLevel="1" x14ac:dyDescent="0.3">
      <c r="A29" s="2333"/>
      <c r="B29" s="1781"/>
      <c r="C29" s="1781"/>
      <c r="D29" s="1781"/>
      <c r="E29" s="1781"/>
      <c r="F29" s="1781"/>
      <c r="G29" s="390" t="s">
        <v>14</v>
      </c>
      <c r="H29" s="590">
        <f>I29+J29+K29+L29+M29</f>
        <v>1316.34</v>
      </c>
      <c r="I29" s="589">
        <f>I32+I35</f>
        <v>1316.34</v>
      </c>
      <c r="J29" s="589">
        <f t="shared" ref="J29:M29" si="27">J32+J35</f>
        <v>0</v>
      </c>
      <c r="K29" s="589">
        <f t="shared" si="27"/>
        <v>0</v>
      </c>
      <c r="L29" s="589">
        <f t="shared" si="27"/>
        <v>0</v>
      </c>
      <c r="M29" s="589">
        <f t="shared" si="27"/>
        <v>0</v>
      </c>
      <c r="N29" s="1781"/>
      <c r="O29" s="1538"/>
      <c r="P29" s="1785"/>
    </row>
    <row r="30" spans="1:23" s="1" customFormat="1" ht="18.75" customHeight="1" outlineLevel="1" x14ac:dyDescent="0.3">
      <c r="A30" s="2333" t="s">
        <v>482</v>
      </c>
      <c r="B30" s="1717" t="s">
        <v>166</v>
      </c>
      <c r="C30" s="1718" t="s">
        <v>82</v>
      </c>
      <c r="D30" s="1718" t="s">
        <v>140</v>
      </c>
      <c r="E30" s="2446">
        <v>205062.73</v>
      </c>
      <c r="F30" s="389">
        <f>F31+F32</f>
        <v>125585.05</v>
      </c>
      <c r="G30" s="385" t="s">
        <v>12</v>
      </c>
      <c r="H30" s="590">
        <f>H31+H32</f>
        <v>79477.679999999993</v>
      </c>
      <c r="I30" s="590">
        <f t="shared" ref="I30" si="28">I31+I32</f>
        <v>79477.679999999993</v>
      </c>
      <c r="J30" s="590">
        <f t="shared" ref="J30" si="29">J31+J32</f>
        <v>0</v>
      </c>
      <c r="K30" s="590">
        <f t="shared" ref="K30" si="30">K31+K32</f>
        <v>0</v>
      </c>
      <c r="L30" s="590">
        <f t="shared" ref="L30" si="31">L31+L32</f>
        <v>0</v>
      </c>
      <c r="M30" s="590">
        <f t="shared" ref="M30" si="32">M31+M32</f>
        <v>0</v>
      </c>
      <c r="N30" s="1719"/>
      <c r="O30" s="1781" t="s">
        <v>16</v>
      </c>
      <c r="P30" s="2446" t="s">
        <v>1521</v>
      </c>
    </row>
    <row r="31" spans="1:23" s="1" customFormat="1" ht="33.6" customHeight="1" outlineLevel="1" x14ac:dyDescent="0.3">
      <c r="A31" s="2333"/>
      <c r="B31" s="1717"/>
      <c r="C31" s="1718"/>
      <c r="D31" s="1718"/>
      <c r="E31" s="2446"/>
      <c r="F31" s="389">
        <v>124329.2</v>
      </c>
      <c r="G31" s="385" t="s">
        <v>13</v>
      </c>
      <c r="H31" s="590">
        <f>I31+J31+K31+L31+M31</f>
        <v>78682.899999999994</v>
      </c>
      <c r="I31" s="589">
        <f>46075.53+32607.37</f>
        <v>78682.899999999994</v>
      </c>
      <c r="J31" s="589">
        <v>0</v>
      </c>
      <c r="K31" s="589">
        <v>0</v>
      </c>
      <c r="L31" s="589">
        <v>0</v>
      </c>
      <c r="M31" s="589">
        <v>0</v>
      </c>
      <c r="N31" s="1719"/>
      <c r="O31" s="1781"/>
      <c r="P31" s="2446"/>
      <c r="W31" s="1">
        <v>1</v>
      </c>
    </row>
    <row r="32" spans="1:23" s="1" customFormat="1" ht="39" customHeight="1" outlineLevel="1" x14ac:dyDescent="0.3">
      <c r="A32" s="2333"/>
      <c r="B32" s="1717"/>
      <c r="C32" s="1718"/>
      <c r="D32" s="1718"/>
      <c r="E32" s="2446"/>
      <c r="F32" s="69">
        <v>1255.8499999999999</v>
      </c>
      <c r="G32" s="390" t="s">
        <v>14</v>
      </c>
      <c r="H32" s="590">
        <f>I32+J32+K32+L32+M32</f>
        <v>794.78</v>
      </c>
      <c r="I32" s="589">
        <f>465.41+329.37</f>
        <v>794.78</v>
      </c>
      <c r="J32" s="589">
        <v>0</v>
      </c>
      <c r="K32" s="589">
        <v>0</v>
      </c>
      <c r="L32" s="589">
        <v>0</v>
      </c>
      <c r="M32" s="589">
        <v>0</v>
      </c>
      <c r="N32" s="1719"/>
      <c r="O32" s="1781"/>
      <c r="P32" s="2446"/>
    </row>
    <row r="33" spans="1:23" s="1" customFormat="1" ht="21" customHeight="1" outlineLevel="1" x14ac:dyDescent="0.3">
      <c r="A33" s="2333" t="s">
        <v>686</v>
      </c>
      <c r="B33" s="1717" t="s">
        <v>167</v>
      </c>
      <c r="C33" s="1718" t="s">
        <v>82</v>
      </c>
      <c r="D33" s="1718" t="s">
        <v>140</v>
      </c>
      <c r="E33" s="1719">
        <v>171537.24</v>
      </c>
      <c r="F33" s="389">
        <f>F34+F35</f>
        <v>119381.3</v>
      </c>
      <c r="G33" s="385" t="s">
        <v>12</v>
      </c>
      <c r="H33" s="590">
        <f>H34+H35</f>
        <v>52155.94</v>
      </c>
      <c r="I33" s="590">
        <f t="shared" ref="I33" si="33">I34+I35</f>
        <v>52155.94</v>
      </c>
      <c r="J33" s="590">
        <f t="shared" ref="J33" si="34">J34+J35</f>
        <v>0</v>
      </c>
      <c r="K33" s="590">
        <f t="shared" ref="K33" si="35">K34+K35</f>
        <v>0</v>
      </c>
      <c r="L33" s="590">
        <f t="shared" ref="L33" si="36">L34+L35</f>
        <v>0</v>
      </c>
      <c r="M33" s="590">
        <f t="shared" ref="M33" si="37">M34+M35</f>
        <v>0</v>
      </c>
      <c r="N33" s="1719"/>
      <c r="O33" s="1781" t="s">
        <v>16</v>
      </c>
      <c r="P33" s="2446" t="s">
        <v>1521</v>
      </c>
    </row>
    <row r="34" spans="1:23" s="1" customFormat="1" ht="30" customHeight="1" outlineLevel="1" x14ac:dyDescent="0.3">
      <c r="A34" s="2333"/>
      <c r="B34" s="1717"/>
      <c r="C34" s="1718"/>
      <c r="D34" s="1718"/>
      <c r="E34" s="1719"/>
      <c r="F34" s="389">
        <v>118187.49</v>
      </c>
      <c r="G34" s="385" t="s">
        <v>13</v>
      </c>
      <c r="H34" s="590">
        <f>I34+J34+K34+L34+M34</f>
        <v>51634.38</v>
      </c>
      <c r="I34" s="589">
        <f>46556.19+5078.19</f>
        <v>51634.38</v>
      </c>
      <c r="J34" s="589">
        <v>0</v>
      </c>
      <c r="K34" s="589">
        <v>0</v>
      </c>
      <c r="L34" s="589">
        <v>0</v>
      </c>
      <c r="M34" s="589">
        <v>0</v>
      </c>
      <c r="N34" s="1719"/>
      <c r="O34" s="1781"/>
      <c r="P34" s="2446"/>
      <c r="W34" s="1">
        <v>1</v>
      </c>
    </row>
    <row r="35" spans="1:23" s="1" customFormat="1" ht="41.25" customHeight="1" outlineLevel="1" x14ac:dyDescent="0.3">
      <c r="A35" s="2333"/>
      <c r="B35" s="1717"/>
      <c r="C35" s="1718"/>
      <c r="D35" s="1718"/>
      <c r="E35" s="1719"/>
      <c r="F35" s="69">
        <v>1193.81</v>
      </c>
      <c r="G35" s="390" t="s">
        <v>14</v>
      </c>
      <c r="H35" s="590">
        <f>I35+J35+K35+L35+M35</f>
        <v>521.55999999999995</v>
      </c>
      <c r="I35" s="589">
        <f>470.26+51.3</f>
        <v>521.55999999999995</v>
      </c>
      <c r="J35" s="589">
        <v>0</v>
      </c>
      <c r="K35" s="589">
        <v>0</v>
      </c>
      <c r="L35" s="589">
        <v>0</v>
      </c>
      <c r="M35" s="589">
        <v>0</v>
      </c>
      <c r="N35" s="1719"/>
      <c r="O35" s="1781"/>
      <c r="P35" s="2446"/>
    </row>
    <row r="36" spans="1:23" s="93" customFormat="1" ht="34.5" customHeight="1" outlineLevel="1" x14ac:dyDescent="0.3">
      <c r="A36" s="2333" t="s">
        <v>477</v>
      </c>
      <c r="B36" s="1781" t="s">
        <v>151</v>
      </c>
      <c r="C36" s="1781"/>
      <c r="D36" s="1781"/>
      <c r="E36" s="1781"/>
      <c r="F36" s="1781"/>
      <c r="G36" s="385" t="s">
        <v>12</v>
      </c>
      <c r="H36" s="590">
        <f>H37+H38</f>
        <v>155603.93</v>
      </c>
      <c r="I36" s="590">
        <f t="shared" ref="I36:M36" si="38">I37+I38</f>
        <v>155603.93</v>
      </c>
      <c r="J36" s="590">
        <f t="shared" si="38"/>
        <v>0</v>
      </c>
      <c r="K36" s="590">
        <f t="shared" si="38"/>
        <v>0</v>
      </c>
      <c r="L36" s="590">
        <f t="shared" si="38"/>
        <v>0</v>
      </c>
      <c r="M36" s="590">
        <f t="shared" si="38"/>
        <v>0</v>
      </c>
      <c r="N36" s="1781"/>
      <c r="O36" s="1538"/>
      <c r="P36" s="1785" t="s">
        <v>330</v>
      </c>
      <c r="Q36" s="1"/>
    </row>
    <row r="37" spans="1:23" s="93" customFormat="1" ht="33.6" customHeight="1" outlineLevel="1" x14ac:dyDescent="0.3">
      <c r="A37" s="2333"/>
      <c r="B37" s="1781"/>
      <c r="C37" s="1781"/>
      <c r="D37" s="1781"/>
      <c r="E37" s="1781"/>
      <c r="F37" s="1781"/>
      <c r="G37" s="385" t="s">
        <v>13</v>
      </c>
      <c r="H37" s="590">
        <f>I37+J37+K37+L37+M37</f>
        <v>140336.82</v>
      </c>
      <c r="I37" s="589">
        <f>I40+I46</f>
        <v>140336.82</v>
      </c>
      <c r="J37" s="589">
        <f t="shared" ref="J37:M37" si="39">J40+J46</f>
        <v>0</v>
      </c>
      <c r="K37" s="589">
        <f t="shared" si="39"/>
        <v>0</v>
      </c>
      <c r="L37" s="589">
        <f t="shared" si="39"/>
        <v>0</v>
      </c>
      <c r="M37" s="589">
        <f t="shared" si="39"/>
        <v>0</v>
      </c>
      <c r="N37" s="1781"/>
      <c r="O37" s="1538"/>
      <c r="P37" s="1785"/>
      <c r="Q37" s="1"/>
    </row>
    <row r="38" spans="1:23" s="93" customFormat="1" ht="63" customHeight="1" outlineLevel="1" x14ac:dyDescent="0.3">
      <c r="A38" s="2333"/>
      <c r="B38" s="1781"/>
      <c r="C38" s="1781"/>
      <c r="D38" s="1781"/>
      <c r="E38" s="1781"/>
      <c r="F38" s="1781"/>
      <c r="G38" s="390" t="s">
        <v>14</v>
      </c>
      <c r="H38" s="590">
        <f>I38+J38+K38+L38+M38</f>
        <v>15267.11</v>
      </c>
      <c r="I38" s="589">
        <f>I41+I47</f>
        <v>15267.11</v>
      </c>
      <c r="J38" s="589">
        <f t="shared" ref="J38:M38" si="40">J41+J47</f>
        <v>0</v>
      </c>
      <c r="K38" s="589">
        <f t="shared" si="40"/>
        <v>0</v>
      </c>
      <c r="L38" s="589">
        <f t="shared" si="40"/>
        <v>0</v>
      </c>
      <c r="M38" s="589">
        <f t="shared" si="40"/>
        <v>0</v>
      </c>
      <c r="N38" s="1781"/>
      <c r="O38" s="1538"/>
      <c r="P38" s="1785"/>
      <c r="Q38" s="1"/>
    </row>
    <row r="39" spans="1:23" s="1" customFormat="1" ht="18" customHeight="1" outlineLevel="1" x14ac:dyDescent="0.3">
      <c r="A39" s="2333" t="s">
        <v>476</v>
      </c>
      <c r="B39" s="1717" t="s">
        <v>250</v>
      </c>
      <c r="C39" s="2445">
        <v>2018</v>
      </c>
      <c r="D39" s="1718" t="s">
        <v>251</v>
      </c>
      <c r="E39" s="1719">
        <v>119974.1</v>
      </c>
      <c r="F39" s="389">
        <f>F40+F41</f>
        <v>0</v>
      </c>
      <c r="G39" s="390" t="s">
        <v>12</v>
      </c>
      <c r="H39" s="590">
        <f>H40+H41</f>
        <v>119974.1</v>
      </c>
      <c r="I39" s="590">
        <f t="shared" ref="I39" si="41">I40+I41</f>
        <v>119974.1</v>
      </c>
      <c r="J39" s="590">
        <f t="shared" ref="J39" si="42">J40+J41</f>
        <v>0</v>
      </c>
      <c r="K39" s="590">
        <f t="shared" ref="K39" si="43">K40+K41</f>
        <v>0</v>
      </c>
      <c r="L39" s="590">
        <f t="shared" ref="L39" si="44">L40+L41</f>
        <v>0</v>
      </c>
      <c r="M39" s="590">
        <f t="shared" ref="M39" si="45">M40+M41</f>
        <v>0</v>
      </c>
      <c r="N39" s="1719"/>
      <c r="O39" s="1781" t="s">
        <v>16</v>
      </c>
      <c r="P39" s="2446" t="s">
        <v>1521</v>
      </c>
      <c r="Q39" s="93"/>
    </row>
    <row r="40" spans="1:23" s="1" customFormat="1" ht="33.6" customHeight="1" outlineLevel="1" x14ac:dyDescent="0.3">
      <c r="A40" s="2333"/>
      <c r="B40" s="1717"/>
      <c r="C40" s="2445"/>
      <c r="D40" s="1718"/>
      <c r="E40" s="1719"/>
      <c r="F40" s="389">
        <v>0</v>
      </c>
      <c r="G40" s="390" t="s">
        <v>13</v>
      </c>
      <c r="H40" s="590">
        <f>I40+J40+K40+L40+M40</f>
        <v>107976.69</v>
      </c>
      <c r="I40" s="589">
        <v>107976.69</v>
      </c>
      <c r="J40" s="589">
        <v>0</v>
      </c>
      <c r="K40" s="589">
        <v>0</v>
      </c>
      <c r="L40" s="589">
        <v>0</v>
      </c>
      <c r="M40" s="589">
        <v>0</v>
      </c>
      <c r="N40" s="1719"/>
      <c r="O40" s="1781"/>
      <c r="P40" s="2446"/>
      <c r="Q40" s="93"/>
      <c r="W40" s="1">
        <v>1</v>
      </c>
    </row>
    <row r="41" spans="1:23" s="1" customFormat="1" ht="51.75" customHeight="1" outlineLevel="1" x14ac:dyDescent="0.3">
      <c r="A41" s="2333"/>
      <c r="B41" s="1717"/>
      <c r="C41" s="2445"/>
      <c r="D41" s="1718"/>
      <c r="E41" s="1719"/>
      <c r="F41" s="69">
        <v>0</v>
      </c>
      <c r="G41" s="390" t="s">
        <v>14</v>
      </c>
      <c r="H41" s="590">
        <f>I41+J41+K41+L41+M41</f>
        <v>11997.41</v>
      </c>
      <c r="I41" s="589">
        <v>11997.41</v>
      </c>
      <c r="J41" s="589">
        <v>0</v>
      </c>
      <c r="K41" s="589">
        <v>0</v>
      </c>
      <c r="L41" s="589">
        <v>0</v>
      </c>
      <c r="M41" s="589">
        <v>0</v>
      </c>
      <c r="N41" s="1719"/>
      <c r="O41" s="1781"/>
      <c r="P41" s="2446"/>
      <c r="Q41" s="93"/>
    </row>
    <row r="42" spans="1:23" s="1" customFormat="1" ht="33.6" customHeight="1" outlineLevel="1" x14ac:dyDescent="0.3">
      <c r="A42" s="2333"/>
      <c r="B42" s="1717" t="s">
        <v>240</v>
      </c>
      <c r="C42" s="2445"/>
      <c r="D42" s="1786"/>
      <c r="E42" s="1719">
        <v>19894.099999999999</v>
      </c>
      <c r="F42" s="69">
        <v>0</v>
      </c>
      <c r="G42" s="390" t="s">
        <v>12</v>
      </c>
      <c r="H42" s="590">
        <f>H43+H44</f>
        <v>19894.099999999999</v>
      </c>
      <c r="I42" s="590">
        <f t="shared" ref="I42" si="46">I43+I44</f>
        <v>19894.099999999999</v>
      </c>
      <c r="J42" s="590">
        <f t="shared" ref="J42" si="47">J43+J44</f>
        <v>0</v>
      </c>
      <c r="K42" s="590">
        <f t="shared" ref="K42" si="48">K43+K44</f>
        <v>0</v>
      </c>
      <c r="L42" s="590">
        <f t="shared" ref="L42" si="49">L43+L44</f>
        <v>0</v>
      </c>
      <c r="M42" s="590">
        <f t="shared" ref="M42" si="50">M43+M44</f>
        <v>0</v>
      </c>
      <c r="N42" s="1719"/>
      <c r="O42" s="1781"/>
      <c r="P42" s="2446"/>
    </row>
    <row r="43" spans="1:23" s="1" customFormat="1" ht="33.6" customHeight="1" outlineLevel="1" x14ac:dyDescent="0.3">
      <c r="A43" s="2333"/>
      <c r="B43" s="1717"/>
      <c r="C43" s="2445"/>
      <c r="D43" s="1786"/>
      <c r="E43" s="1719"/>
      <c r="F43" s="69">
        <v>0</v>
      </c>
      <c r="G43" s="390" t="s">
        <v>13</v>
      </c>
      <c r="H43" s="590">
        <f>I43+J43+K43+L43+M43</f>
        <v>17904.689999999999</v>
      </c>
      <c r="I43" s="589">
        <v>17904.689999999999</v>
      </c>
      <c r="J43" s="589">
        <v>0</v>
      </c>
      <c r="K43" s="589">
        <v>0</v>
      </c>
      <c r="L43" s="589">
        <v>0</v>
      </c>
      <c r="M43" s="589">
        <v>0</v>
      </c>
      <c r="N43" s="1719"/>
      <c r="O43" s="1781"/>
      <c r="P43" s="2446"/>
    </row>
    <row r="44" spans="1:23" s="1" customFormat="1" ht="45" customHeight="1" outlineLevel="1" x14ac:dyDescent="0.3">
      <c r="A44" s="2333"/>
      <c r="B44" s="1717"/>
      <c r="C44" s="2445"/>
      <c r="D44" s="1786"/>
      <c r="E44" s="1719"/>
      <c r="F44" s="69">
        <v>0</v>
      </c>
      <c r="G44" s="390" t="s">
        <v>14</v>
      </c>
      <c r="H44" s="590">
        <f>I44+J44+K44+L44+M44</f>
        <v>1989.41</v>
      </c>
      <c r="I44" s="589">
        <v>1989.41</v>
      </c>
      <c r="J44" s="589">
        <v>0</v>
      </c>
      <c r="K44" s="589">
        <v>0</v>
      </c>
      <c r="L44" s="589">
        <v>0</v>
      </c>
      <c r="M44" s="589">
        <v>0</v>
      </c>
      <c r="N44" s="1719"/>
      <c r="O44" s="1781"/>
      <c r="P44" s="2446"/>
    </row>
    <row r="45" spans="1:23" s="1" customFormat="1" ht="36" customHeight="1" outlineLevel="1" x14ac:dyDescent="0.3">
      <c r="A45" s="2333" t="s">
        <v>473</v>
      </c>
      <c r="B45" s="2449" t="s">
        <v>1711</v>
      </c>
      <c r="C45" s="2450" t="s">
        <v>82</v>
      </c>
      <c r="D45" s="1718" t="s">
        <v>157</v>
      </c>
      <c r="E45" s="1719">
        <v>35955.699999999997</v>
      </c>
      <c r="F45" s="1472">
        <f>F46+F47</f>
        <v>326.87</v>
      </c>
      <c r="G45" s="390" t="s">
        <v>12</v>
      </c>
      <c r="H45" s="590">
        <f>H46+H47</f>
        <v>35629.83</v>
      </c>
      <c r="I45" s="590">
        <f t="shared" ref="I45" si="51">I46+I47</f>
        <v>35629.83</v>
      </c>
      <c r="J45" s="590">
        <f t="shared" ref="J45" si="52">J46+J47</f>
        <v>0</v>
      </c>
      <c r="K45" s="590">
        <f t="shared" ref="K45" si="53">K46+K47</f>
        <v>0</v>
      </c>
      <c r="L45" s="590">
        <f t="shared" ref="L45" si="54">L46+L47</f>
        <v>0</v>
      </c>
      <c r="M45" s="590">
        <f t="shared" ref="M45" si="55">M46+M47</f>
        <v>0</v>
      </c>
      <c r="N45" s="1727"/>
      <c r="O45" s="1719" t="s">
        <v>16</v>
      </c>
      <c r="P45" s="2452" t="s">
        <v>1522</v>
      </c>
    </row>
    <row r="46" spans="1:23" s="1" customFormat="1" ht="38.25" customHeight="1" outlineLevel="1" x14ac:dyDescent="0.3">
      <c r="A46" s="2333"/>
      <c r="B46" s="2449"/>
      <c r="C46" s="2450"/>
      <c r="D46" s="1718"/>
      <c r="E46" s="1719"/>
      <c r="F46" s="389">
        <v>0</v>
      </c>
      <c r="G46" s="390" t="s">
        <v>13</v>
      </c>
      <c r="H46" s="590">
        <f>I46+J46+K46+L46+M46</f>
        <v>32360.13</v>
      </c>
      <c r="I46" s="589">
        <f>29418.3+I49</f>
        <v>32360.13</v>
      </c>
      <c r="J46" s="589">
        <v>0</v>
      </c>
      <c r="K46" s="589">
        <v>0</v>
      </c>
      <c r="L46" s="589">
        <v>0</v>
      </c>
      <c r="M46" s="589">
        <v>0</v>
      </c>
      <c r="N46" s="1727"/>
      <c r="O46" s="1719"/>
      <c r="P46" s="2453"/>
      <c r="W46" s="1">
        <v>1</v>
      </c>
    </row>
    <row r="47" spans="1:23" s="1" customFormat="1" ht="62.25" customHeight="1" outlineLevel="1" x14ac:dyDescent="0.3">
      <c r="A47" s="2333"/>
      <c r="B47" s="2449"/>
      <c r="C47" s="2450"/>
      <c r="D47" s="1718"/>
      <c r="E47" s="1719"/>
      <c r="F47" s="69">
        <v>326.87</v>
      </c>
      <c r="G47" s="390" t="s">
        <v>14</v>
      </c>
      <c r="H47" s="590">
        <f>I47+J47+K47+L47+M47</f>
        <v>3269.7</v>
      </c>
      <c r="I47" s="589">
        <f>3268.7+I50</f>
        <v>3269.7</v>
      </c>
      <c r="J47" s="589">
        <v>0</v>
      </c>
      <c r="K47" s="589">
        <v>0</v>
      </c>
      <c r="L47" s="589">
        <v>0</v>
      </c>
      <c r="M47" s="589">
        <v>0</v>
      </c>
      <c r="N47" s="1727"/>
      <c r="O47" s="1719"/>
      <c r="P47" s="2453"/>
    </row>
    <row r="48" spans="1:23" s="1" customFormat="1" ht="21" customHeight="1" outlineLevel="1" x14ac:dyDescent="0.3">
      <c r="A48" s="2333"/>
      <c r="B48" s="2451" t="s">
        <v>1710</v>
      </c>
      <c r="C48" s="2447" t="s">
        <v>1696</v>
      </c>
      <c r="D48" s="2448"/>
      <c r="E48" s="1719">
        <v>3268.7</v>
      </c>
      <c r="F48" s="1471">
        <f>F49+F50</f>
        <v>326.87</v>
      </c>
      <c r="G48" s="390" t="s">
        <v>12</v>
      </c>
      <c r="H48" s="590">
        <f>H49+H50</f>
        <v>2942.83</v>
      </c>
      <c r="I48" s="590">
        <f t="shared" ref="I48:M48" si="56">I49+I50</f>
        <v>2942.83</v>
      </c>
      <c r="J48" s="590">
        <f t="shared" si="56"/>
        <v>0</v>
      </c>
      <c r="K48" s="590">
        <f t="shared" si="56"/>
        <v>0</v>
      </c>
      <c r="L48" s="590">
        <f t="shared" si="56"/>
        <v>0</v>
      </c>
      <c r="M48" s="590">
        <f t="shared" si="56"/>
        <v>0</v>
      </c>
      <c r="N48" s="1727"/>
      <c r="O48" s="1719"/>
      <c r="P48" s="2453"/>
    </row>
    <row r="49" spans="1:23" s="1" customFormat="1" ht="39" customHeight="1" outlineLevel="1" x14ac:dyDescent="0.3">
      <c r="A49" s="2333"/>
      <c r="B49" s="2451"/>
      <c r="C49" s="2447"/>
      <c r="D49" s="2448"/>
      <c r="E49" s="1719"/>
      <c r="F49" s="69">
        <v>0</v>
      </c>
      <c r="G49" s="390" t="s">
        <v>13</v>
      </c>
      <c r="H49" s="590">
        <f t="shared" ref="H49" si="57">I49+J49+K49+L49+M49</f>
        <v>2941.83</v>
      </c>
      <c r="I49" s="590">
        <v>2941.83</v>
      </c>
      <c r="J49" s="590">
        <f t="shared" ref="J49" si="58">J50+J51</f>
        <v>0</v>
      </c>
      <c r="K49" s="590">
        <f t="shared" ref="K49" si="59">K50+K51</f>
        <v>0</v>
      </c>
      <c r="L49" s="590">
        <f t="shared" ref="L49" si="60">L50+L51</f>
        <v>0</v>
      </c>
      <c r="M49" s="590">
        <f t="shared" ref="M49" si="61">M50+M51</f>
        <v>0</v>
      </c>
      <c r="N49" s="1727"/>
      <c r="O49" s="1719"/>
      <c r="P49" s="2453"/>
    </row>
    <row r="50" spans="1:23" s="1" customFormat="1" ht="46.5" customHeight="1" outlineLevel="1" x14ac:dyDescent="0.3">
      <c r="A50" s="2333"/>
      <c r="B50" s="2451"/>
      <c r="C50" s="2447"/>
      <c r="D50" s="2448"/>
      <c r="E50" s="1719"/>
      <c r="F50" s="1478">
        <v>326.87</v>
      </c>
      <c r="G50" s="390" t="s">
        <v>14</v>
      </c>
      <c r="H50" s="1477">
        <f>I50+J50+K50+L50+M50</f>
        <v>1</v>
      </c>
      <c r="I50" s="1477">
        <f>(326.87*0)+1</f>
        <v>1</v>
      </c>
      <c r="J50" s="590">
        <f t="shared" ref="J50" si="62">J51+J52</f>
        <v>0</v>
      </c>
      <c r="K50" s="590">
        <f t="shared" ref="K50" si="63">K51+K52</f>
        <v>0</v>
      </c>
      <c r="L50" s="590">
        <f t="shared" ref="L50" si="64">L51+L52</f>
        <v>0</v>
      </c>
      <c r="M50" s="590">
        <f t="shared" ref="M50" si="65">M51+M52</f>
        <v>0</v>
      </c>
      <c r="N50" s="1727"/>
      <c r="O50" s="1719"/>
      <c r="P50" s="2454"/>
    </row>
    <row r="51" spans="1:23" s="1" customFormat="1" ht="21" customHeight="1" outlineLevel="1" x14ac:dyDescent="0.3">
      <c r="A51" s="2333" t="s">
        <v>444</v>
      </c>
      <c r="B51" s="1781" t="s">
        <v>164</v>
      </c>
      <c r="C51" s="1781"/>
      <c r="D51" s="1781"/>
      <c r="E51" s="1781"/>
      <c r="F51" s="1781"/>
      <c r="G51" s="390" t="s">
        <v>12</v>
      </c>
      <c r="H51" s="590">
        <f>H52+H53</f>
        <v>25066.42</v>
      </c>
      <c r="I51" s="590">
        <f t="shared" ref="I51:M51" si="66">I52+I53</f>
        <v>25066.42</v>
      </c>
      <c r="J51" s="590">
        <f t="shared" si="66"/>
        <v>0</v>
      </c>
      <c r="K51" s="590">
        <f t="shared" si="66"/>
        <v>0</v>
      </c>
      <c r="L51" s="590">
        <f t="shared" si="66"/>
        <v>0</v>
      </c>
      <c r="M51" s="590">
        <f t="shared" si="66"/>
        <v>0</v>
      </c>
      <c r="N51" s="1781"/>
      <c r="O51" s="1538"/>
      <c r="P51" s="1785" t="s">
        <v>1520</v>
      </c>
    </row>
    <row r="52" spans="1:23" s="1" customFormat="1" ht="33.6" customHeight="1" outlineLevel="1" x14ac:dyDescent="0.3">
      <c r="A52" s="2333"/>
      <c r="B52" s="1781"/>
      <c r="C52" s="1781"/>
      <c r="D52" s="1781"/>
      <c r="E52" s="1781"/>
      <c r="F52" s="1781"/>
      <c r="G52" s="390" t="s">
        <v>13</v>
      </c>
      <c r="H52" s="590">
        <f>I52+J52+K52+L52+M52</f>
        <v>16036.46</v>
      </c>
      <c r="I52" s="589">
        <f>I55</f>
        <v>16036.46</v>
      </c>
      <c r="J52" s="589">
        <f t="shared" ref="J52:M52" si="67">J55</f>
        <v>0</v>
      </c>
      <c r="K52" s="589">
        <f t="shared" si="67"/>
        <v>0</v>
      </c>
      <c r="L52" s="589">
        <f t="shared" si="67"/>
        <v>0</v>
      </c>
      <c r="M52" s="589">
        <f t="shared" si="67"/>
        <v>0</v>
      </c>
      <c r="N52" s="1781"/>
      <c r="O52" s="1538"/>
      <c r="P52" s="1785"/>
    </row>
    <row r="53" spans="1:23" s="1" customFormat="1" ht="35.25" customHeight="1" outlineLevel="1" x14ac:dyDescent="0.3">
      <c r="A53" s="2333"/>
      <c r="B53" s="1781"/>
      <c r="C53" s="1781"/>
      <c r="D53" s="1781"/>
      <c r="E53" s="1781"/>
      <c r="F53" s="1781"/>
      <c r="G53" s="390" t="s">
        <v>14</v>
      </c>
      <c r="H53" s="590">
        <f>I53+J53+K53+L53+M53</f>
        <v>9029.9599999999991</v>
      </c>
      <c r="I53" s="589">
        <f>I56+I59+I62+I65</f>
        <v>9029.9599999999991</v>
      </c>
      <c r="J53" s="589">
        <f t="shared" ref="J53:M53" si="68">J56</f>
        <v>0</v>
      </c>
      <c r="K53" s="589">
        <f t="shared" si="68"/>
        <v>0</v>
      </c>
      <c r="L53" s="589">
        <f t="shared" si="68"/>
        <v>0</v>
      </c>
      <c r="M53" s="589">
        <f t="shared" si="68"/>
        <v>0</v>
      </c>
      <c r="N53" s="1781"/>
      <c r="O53" s="1538"/>
      <c r="P53" s="1785"/>
    </row>
    <row r="54" spans="1:23" s="1" customFormat="1" ht="18" customHeight="1" outlineLevel="1" x14ac:dyDescent="0.3">
      <c r="A54" s="2333" t="s">
        <v>443</v>
      </c>
      <c r="B54" s="1717" t="s">
        <v>1002</v>
      </c>
      <c r="C54" s="2021">
        <v>2018</v>
      </c>
      <c r="D54" s="1718" t="s">
        <v>165</v>
      </c>
      <c r="E54" s="1727">
        <v>18866.419999999998</v>
      </c>
      <c r="F54" s="69">
        <f>F55+F56</f>
        <v>0</v>
      </c>
      <c r="G54" s="390" t="s">
        <v>12</v>
      </c>
      <c r="H54" s="590">
        <f>H55+H56</f>
        <v>18866.419999999998</v>
      </c>
      <c r="I54" s="590">
        <f t="shared" ref="I54" si="69">I55+I56</f>
        <v>18866.419999999998</v>
      </c>
      <c r="J54" s="590">
        <f t="shared" ref="J54" si="70">J55+J56</f>
        <v>0</v>
      </c>
      <c r="K54" s="590">
        <f t="shared" ref="K54" si="71">K55+K56</f>
        <v>0</v>
      </c>
      <c r="L54" s="590">
        <f t="shared" ref="L54" si="72">L55+L56</f>
        <v>0</v>
      </c>
      <c r="M54" s="590">
        <f t="shared" ref="M54" si="73">M55+M56</f>
        <v>0</v>
      </c>
      <c r="N54" s="1719"/>
      <c r="O54" s="1781" t="s">
        <v>16</v>
      </c>
      <c r="P54" s="2446" t="s">
        <v>1541</v>
      </c>
    </row>
    <row r="55" spans="1:23" s="1" customFormat="1" ht="33.6" customHeight="1" outlineLevel="1" x14ac:dyDescent="0.3">
      <c r="A55" s="2333"/>
      <c r="B55" s="1717"/>
      <c r="C55" s="2021"/>
      <c r="D55" s="1718"/>
      <c r="E55" s="1786"/>
      <c r="F55" s="69">
        <v>0</v>
      </c>
      <c r="G55" s="390" t="s">
        <v>13</v>
      </c>
      <c r="H55" s="590">
        <f>I55+J55+K55+L55+M55</f>
        <v>16036.46</v>
      </c>
      <c r="I55" s="589">
        <f>11225.52+4810.94</f>
        <v>16036.46</v>
      </c>
      <c r="J55" s="589">
        <v>0</v>
      </c>
      <c r="K55" s="589">
        <v>0</v>
      </c>
      <c r="L55" s="589">
        <v>0</v>
      </c>
      <c r="M55" s="589">
        <v>0</v>
      </c>
      <c r="N55" s="1719"/>
      <c r="O55" s="1781"/>
      <c r="P55" s="2446"/>
      <c r="W55" s="1">
        <v>1</v>
      </c>
    </row>
    <row r="56" spans="1:23" s="1" customFormat="1" ht="42" customHeight="1" outlineLevel="1" x14ac:dyDescent="0.3">
      <c r="A56" s="2333"/>
      <c r="B56" s="1717"/>
      <c r="C56" s="2021"/>
      <c r="D56" s="1718"/>
      <c r="E56" s="1786"/>
      <c r="F56" s="69">
        <v>0</v>
      </c>
      <c r="G56" s="390" t="s">
        <v>14</v>
      </c>
      <c r="H56" s="590">
        <f>I56+J56+K56+L56+M56</f>
        <v>2829.96</v>
      </c>
      <c r="I56" s="589">
        <f>1980.97+848.99</f>
        <v>2829.96</v>
      </c>
      <c r="J56" s="589">
        <v>0</v>
      </c>
      <c r="K56" s="589">
        <v>0</v>
      </c>
      <c r="L56" s="589">
        <v>0</v>
      </c>
      <c r="M56" s="589">
        <v>0</v>
      </c>
      <c r="N56" s="1719"/>
      <c r="O56" s="1781"/>
      <c r="P56" s="2446"/>
    </row>
    <row r="57" spans="1:23" s="1" customFormat="1" ht="18" customHeight="1" outlineLevel="1" x14ac:dyDescent="0.3">
      <c r="A57" s="2333" t="s">
        <v>956</v>
      </c>
      <c r="B57" s="1717" t="s">
        <v>259</v>
      </c>
      <c r="C57" s="1718">
        <v>2018</v>
      </c>
      <c r="D57" s="1718"/>
      <c r="E57" s="1727">
        <v>27500</v>
      </c>
      <c r="F57" s="69">
        <f>F58+F59</f>
        <v>0</v>
      </c>
      <c r="G57" s="390" t="s">
        <v>12</v>
      </c>
      <c r="H57" s="590">
        <f>H58+H59</f>
        <v>2500</v>
      </c>
      <c r="I57" s="590">
        <f t="shared" ref="I57" si="74">I58+I59</f>
        <v>2500</v>
      </c>
      <c r="J57" s="590">
        <f t="shared" ref="J57" si="75">J58+J59</f>
        <v>0</v>
      </c>
      <c r="K57" s="590">
        <f t="shared" ref="K57" si="76">K58+K59</f>
        <v>0</v>
      </c>
      <c r="L57" s="590">
        <f t="shared" ref="L57" si="77">L58+L59</f>
        <v>0</v>
      </c>
      <c r="M57" s="590">
        <f t="shared" ref="M57" si="78">M58+M59</f>
        <v>0</v>
      </c>
      <c r="N57" s="1719">
        <f>E57-H57</f>
        <v>25000</v>
      </c>
      <c r="O57" s="1781" t="s">
        <v>16</v>
      </c>
      <c r="P57" s="2446" t="s">
        <v>1525</v>
      </c>
    </row>
    <row r="58" spans="1:23" s="1" customFormat="1" ht="33.6" customHeight="1" outlineLevel="1" x14ac:dyDescent="0.3">
      <c r="A58" s="2333"/>
      <c r="B58" s="1717"/>
      <c r="C58" s="1718"/>
      <c r="D58" s="1718"/>
      <c r="E58" s="1786"/>
      <c r="F58" s="69">
        <v>0</v>
      </c>
      <c r="G58" s="390" t="s">
        <v>13</v>
      </c>
      <c r="H58" s="590">
        <f>I58+J58+K58+L58+M58</f>
        <v>0</v>
      </c>
      <c r="I58" s="589">
        <v>0</v>
      </c>
      <c r="J58" s="589">
        <v>0</v>
      </c>
      <c r="K58" s="589">
        <v>0</v>
      </c>
      <c r="L58" s="589">
        <v>0</v>
      </c>
      <c r="M58" s="589">
        <v>0</v>
      </c>
      <c r="N58" s="1719"/>
      <c r="O58" s="1781"/>
      <c r="P58" s="2446"/>
    </row>
    <row r="59" spans="1:23" s="1" customFormat="1" ht="35.25" customHeight="1" outlineLevel="1" x14ac:dyDescent="0.3">
      <c r="A59" s="2333"/>
      <c r="B59" s="1717"/>
      <c r="C59" s="1718"/>
      <c r="D59" s="1718"/>
      <c r="E59" s="1786"/>
      <c r="F59" s="69">
        <v>0</v>
      </c>
      <c r="G59" s="390" t="s">
        <v>14</v>
      </c>
      <c r="H59" s="590">
        <f>I59+J59+K59+L59+M59</f>
        <v>2500</v>
      </c>
      <c r="I59" s="589">
        <v>2500</v>
      </c>
      <c r="J59" s="589">
        <v>0</v>
      </c>
      <c r="K59" s="589">
        <v>0</v>
      </c>
      <c r="L59" s="589">
        <v>0</v>
      </c>
      <c r="M59" s="589">
        <v>0</v>
      </c>
      <c r="N59" s="1719"/>
      <c r="O59" s="1781"/>
      <c r="P59" s="2446"/>
    </row>
    <row r="60" spans="1:23" s="1" customFormat="1" ht="18" customHeight="1" outlineLevel="1" x14ac:dyDescent="0.3">
      <c r="A60" s="2333" t="s">
        <v>957</v>
      </c>
      <c r="B60" s="1717" t="s">
        <v>260</v>
      </c>
      <c r="C60" s="1718">
        <v>2018</v>
      </c>
      <c r="D60" s="1718"/>
      <c r="E60" s="1727">
        <v>33000</v>
      </c>
      <c r="F60" s="69">
        <f>F61+F62</f>
        <v>0</v>
      </c>
      <c r="G60" s="390" t="s">
        <v>12</v>
      </c>
      <c r="H60" s="590">
        <f>H61+H62</f>
        <v>3000</v>
      </c>
      <c r="I60" s="590">
        <f t="shared" ref="I60" si="79">I61+I62</f>
        <v>3000</v>
      </c>
      <c r="J60" s="590">
        <f t="shared" ref="J60" si="80">J61+J62</f>
        <v>0</v>
      </c>
      <c r="K60" s="590">
        <f t="shared" ref="K60" si="81">K61+K62</f>
        <v>0</v>
      </c>
      <c r="L60" s="590">
        <f t="shared" ref="L60" si="82">L61+L62</f>
        <v>0</v>
      </c>
      <c r="M60" s="590">
        <f t="shared" ref="M60" si="83">M61+M62</f>
        <v>0</v>
      </c>
      <c r="N60" s="1719">
        <f>E60-H60</f>
        <v>30000</v>
      </c>
      <c r="O60" s="1781" t="s">
        <v>16</v>
      </c>
      <c r="P60" s="2446" t="s">
        <v>1525</v>
      </c>
    </row>
    <row r="61" spans="1:23" s="1" customFormat="1" ht="33.6" customHeight="1" outlineLevel="1" x14ac:dyDescent="0.3">
      <c r="A61" s="2333"/>
      <c r="B61" s="1717"/>
      <c r="C61" s="1718"/>
      <c r="D61" s="1718"/>
      <c r="E61" s="1786"/>
      <c r="F61" s="69">
        <v>0</v>
      </c>
      <c r="G61" s="390" t="s">
        <v>13</v>
      </c>
      <c r="H61" s="590">
        <f>I61+J61+K61+L61+M61</f>
        <v>0</v>
      </c>
      <c r="I61" s="589">
        <v>0</v>
      </c>
      <c r="J61" s="589">
        <v>0</v>
      </c>
      <c r="K61" s="589">
        <v>0</v>
      </c>
      <c r="L61" s="589">
        <v>0</v>
      </c>
      <c r="M61" s="589">
        <v>0</v>
      </c>
      <c r="N61" s="1719"/>
      <c r="O61" s="1781"/>
      <c r="P61" s="2446"/>
    </row>
    <row r="62" spans="1:23" s="1" customFormat="1" ht="43.5" customHeight="1" outlineLevel="1" x14ac:dyDescent="0.3">
      <c r="A62" s="2333"/>
      <c r="B62" s="1717"/>
      <c r="C62" s="1718"/>
      <c r="D62" s="1718"/>
      <c r="E62" s="1786"/>
      <c r="F62" s="69">
        <v>0</v>
      </c>
      <c r="G62" s="390" t="s">
        <v>14</v>
      </c>
      <c r="H62" s="590">
        <f>I62+J62+K62+L62+M62</f>
        <v>3000</v>
      </c>
      <c r="I62" s="589">
        <v>3000</v>
      </c>
      <c r="J62" s="589">
        <v>0</v>
      </c>
      <c r="K62" s="589">
        <v>0</v>
      </c>
      <c r="L62" s="589">
        <v>0</v>
      </c>
      <c r="M62" s="589">
        <v>0</v>
      </c>
      <c r="N62" s="1719"/>
      <c r="O62" s="1781"/>
      <c r="P62" s="2446"/>
    </row>
    <row r="63" spans="1:23" s="1" customFormat="1" ht="18" customHeight="1" outlineLevel="1" x14ac:dyDescent="0.3">
      <c r="A63" s="2333" t="s">
        <v>958</v>
      </c>
      <c r="B63" s="1717" t="s">
        <v>261</v>
      </c>
      <c r="C63" s="1718">
        <v>2018</v>
      </c>
      <c r="D63" s="1718"/>
      <c r="E63" s="1727">
        <v>7700</v>
      </c>
      <c r="F63" s="69">
        <f>F64+F65</f>
        <v>0</v>
      </c>
      <c r="G63" s="390" t="s">
        <v>12</v>
      </c>
      <c r="H63" s="590">
        <f>H64+H65</f>
        <v>700</v>
      </c>
      <c r="I63" s="590">
        <f t="shared" ref="I63" si="84">I64+I65</f>
        <v>700</v>
      </c>
      <c r="J63" s="590">
        <f t="shared" ref="J63" si="85">J64+J65</f>
        <v>0</v>
      </c>
      <c r="K63" s="590">
        <f t="shared" ref="K63" si="86">K64+K65</f>
        <v>0</v>
      </c>
      <c r="L63" s="590">
        <f t="shared" ref="L63" si="87">L64+L65</f>
        <v>0</v>
      </c>
      <c r="M63" s="590">
        <f t="shared" ref="M63" si="88">M64+M65</f>
        <v>0</v>
      </c>
      <c r="N63" s="1719">
        <f>E63-H63</f>
        <v>7000</v>
      </c>
      <c r="O63" s="1781" t="s">
        <v>16</v>
      </c>
      <c r="P63" s="2446" t="s">
        <v>1525</v>
      </c>
    </row>
    <row r="64" spans="1:23" s="1" customFormat="1" ht="33.6" customHeight="1" outlineLevel="1" x14ac:dyDescent="0.3">
      <c r="A64" s="2333"/>
      <c r="B64" s="1717"/>
      <c r="C64" s="1718"/>
      <c r="D64" s="1718"/>
      <c r="E64" s="1786"/>
      <c r="F64" s="69">
        <v>0</v>
      </c>
      <c r="G64" s="390" t="s">
        <v>13</v>
      </c>
      <c r="H64" s="590">
        <f>I64+J64+K64+L64+M64</f>
        <v>0</v>
      </c>
      <c r="I64" s="589">
        <v>0</v>
      </c>
      <c r="J64" s="589">
        <v>0</v>
      </c>
      <c r="K64" s="589">
        <v>0</v>
      </c>
      <c r="L64" s="589">
        <v>0</v>
      </c>
      <c r="M64" s="589">
        <v>0</v>
      </c>
      <c r="N64" s="1719"/>
      <c r="O64" s="1781"/>
      <c r="P64" s="2446"/>
    </row>
    <row r="65" spans="1:23" s="1" customFormat="1" ht="57.75" customHeight="1" outlineLevel="1" x14ac:dyDescent="0.3">
      <c r="A65" s="2333"/>
      <c r="B65" s="1717"/>
      <c r="C65" s="1718"/>
      <c r="D65" s="1718"/>
      <c r="E65" s="1786"/>
      <c r="F65" s="69">
        <v>0</v>
      </c>
      <c r="G65" s="390" t="s">
        <v>14</v>
      </c>
      <c r="H65" s="590">
        <f>I65+J65+K65+L65+M65</f>
        <v>700</v>
      </c>
      <c r="I65" s="589">
        <v>700</v>
      </c>
      <c r="J65" s="589">
        <v>0</v>
      </c>
      <c r="K65" s="589">
        <v>0</v>
      </c>
      <c r="L65" s="589">
        <v>0</v>
      </c>
      <c r="M65" s="589">
        <v>0</v>
      </c>
      <c r="N65" s="1719"/>
      <c r="O65" s="1781"/>
      <c r="P65" s="2446"/>
    </row>
    <row r="66" spans="1:23" s="93" customFormat="1" ht="23.25" customHeight="1" outlineLevel="1" x14ac:dyDescent="0.3">
      <c r="A66" s="2333" t="s">
        <v>959</v>
      </c>
      <c r="B66" s="1781" t="s">
        <v>97</v>
      </c>
      <c r="C66" s="1781"/>
      <c r="D66" s="1781"/>
      <c r="E66" s="1781"/>
      <c r="F66" s="1781"/>
      <c r="G66" s="390" t="s">
        <v>12</v>
      </c>
      <c r="H66" s="590">
        <f>H67+H68</f>
        <v>36183.040000000001</v>
      </c>
      <c r="I66" s="590">
        <f t="shared" ref="I66" si="89">I67+I68</f>
        <v>36183.040000000001</v>
      </c>
      <c r="J66" s="590">
        <f t="shared" ref="J66" si="90">J67+J68</f>
        <v>0</v>
      </c>
      <c r="K66" s="590">
        <f t="shared" ref="K66" si="91">K67+K68</f>
        <v>0</v>
      </c>
      <c r="L66" s="590">
        <f t="shared" ref="L66" si="92">L67+L68</f>
        <v>0</v>
      </c>
      <c r="M66" s="590">
        <f t="shared" ref="M66" si="93">M67+M68</f>
        <v>0</v>
      </c>
      <c r="N66" s="1719"/>
      <c r="O66" s="1727"/>
      <c r="P66" s="2362" t="s">
        <v>328</v>
      </c>
      <c r="Q66" s="1"/>
    </row>
    <row r="67" spans="1:23" s="93" customFormat="1" ht="33.6" customHeight="1" outlineLevel="1" x14ac:dyDescent="0.3">
      <c r="A67" s="2333"/>
      <c r="B67" s="1781"/>
      <c r="C67" s="1781"/>
      <c r="D67" s="1781"/>
      <c r="E67" s="1781"/>
      <c r="F67" s="1781"/>
      <c r="G67" s="390" t="s">
        <v>13</v>
      </c>
      <c r="H67" s="590">
        <f>I67+J67+K67+L67+M67</f>
        <v>25793.85</v>
      </c>
      <c r="I67" s="589">
        <f>I70</f>
        <v>25793.85</v>
      </c>
      <c r="J67" s="589">
        <f t="shared" ref="J67:M67" si="94">J70</f>
        <v>0</v>
      </c>
      <c r="K67" s="589">
        <f t="shared" si="94"/>
        <v>0</v>
      </c>
      <c r="L67" s="589">
        <f t="shared" si="94"/>
        <v>0</v>
      </c>
      <c r="M67" s="589">
        <f t="shared" si="94"/>
        <v>0</v>
      </c>
      <c r="N67" s="1719"/>
      <c r="O67" s="1727"/>
      <c r="P67" s="2362"/>
      <c r="Q67" s="1"/>
    </row>
    <row r="68" spans="1:23" s="93" customFormat="1" ht="38.25" customHeight="1" outlineLevel="1" x14ac:dyDescent="0.35">
      <c r="A68" s="2333"/>
      <c r="B68" s="1781"/>
      <c r="C68" s="1781"/>
      <c r="D68" s="1781"/>
      <c r="E68" s="1781"/>
      <c r="F68" s="1781"/>
      <c r="G68" s="390" t="s">
        <v>14</v>
      </c>
      <c r="H68" s="590">
        <f>I68+J68+K68+L68+M68</f>
        <v>10389.19</v>
      </c>
      <c r="I68" s="589">
        <f>I71</f>
        <v>10389.19</v>
      </c>
      <c r="J68" s="589">
        <f t="shared" ref="J68:M68" si="95">J71</f>
        <v>0</v>
      </c>
      <c r="K68" s="589">
        <f t="shared" si="95"/>
        <v>0</v>
      </c>
      <c r="L68" s="589">
        <f t="shared" si="95"/>
        <v>0</v>
      </c>
      <c r="M68" s="589">
        <f t="shared" si="95"/>
        <v>0</v>
      </c>
      <c r="N68" s="1719"/>
      <c r="O68" s="1727"/>
      <c r="P68" s="2362"/>
      <c r="Q68" s="1"/>
      <c r="R68" s="259"/>
      <c r="S68" s="259"/>
      <c r="T68" s="259"/>
    </row>
    <row r="69" spans="1:23" s="93" customFormat="1" ht="15.75" customHeight="1" outlineLevel="1" x14ac:dyDescent="0.35">
      <c r="A69" s="2333" t="s">
        <v>960</v>
      </c>
      <c r="B69" s="1717" t="s">
        <v>258</v>
      </c>
      <c r="C69" s="1718">
        <v>2018</v>
      </c>
      <c r="D69" s="1718" t="s">
        <v>165</v>
      </c>
      <c r="E69" s="1727">
        <v>36183.040000000001</v>
      </c>
      <c r="F69" s="69"/>
      <c r="G69" s="390" t="s">
        <v>12</v>
      </c>
      <c r="H69" s="590">
        <f>H70+H71</f>
        <v>36183.040000000001</v>
      </c>
      <c r="I69" s="590">
        <f>I70+I71</f>
        <v>36183.040000000001</v>
      </c>
      <c r="J69" s="590">
        <f t="shared" ref="J69" si="96">J70+J71</f>
        <v>0</v>
      </c>
      <c r="K69" s="590">
        <f t="shared" ref="K69" si="97">K70+K71</f>
        <v>0</v>
      </c>
      <c r="L69" s="590">
        <f t="shared" ref="L69" si="98">L70+L71</f>
        <v>0</v>
      </c>
      <c r="M69" s="590">
        <f t="shared" ref="M69" si="99">M70+M71</f>
        <v>0</v>
      </c>
      <c r="N69" s="1719"/>
      <c r="O69" s="1781" t="s">
        <v>16</v>
      </c>
      <c r="P69" s="2485" t="s">
        <v>1542</v>
      </c>
      <c r="Q69" s="2506" t="s">
        <v>258</v>
      </c>
      <c r="R69" s="259">
        <v>35824.79</v>
      </c>
      <c r="S69" s="259"/>
      <c r="T69" s="259"/>
    </row>
    <row r="70" spans="1:23" s="93" customFormat="1" ht="33.6" customHeight="1" outlineLevel="1" x14ac:dyDescent="0.35">
      <c r="A70" s="2333"/>
      <c r="B70" s="1717"/>
      <c r="C70" s="1718"/>
      <c r="D70" s="1718"/>
      <c r="E70" s="1786"/>
      <c r="F70" s="69"/>
      <c r="G70" s="390" t="s">
        <v>13</v>
      </c>
      <c r="H70" s="590">
        <f>I70+J70+K70+L70+M70</f>
        <v>25793.85</v>
      </c>
      <c r="I70" s="590">
        <v>25793.85</v>
      </c>
      <c r="J70" s="589"/>
      <c r="K70" s="589">
        <v>0</v>
      </c>
      <c r="L70" s="589">
        <v>0</v>
      </c>
      <c r="M70" s="589">
        <v>0</v>
      </c>
      <c r="N70" s="1719"/>
      <c r="O70" s="1781"/>
      <c r="P70" s="2485"/>
      <c r="Q70" s="2507"/>
      <c r="R70" s="259">
        <f>R69*T70</f>
        <v>25614.724849999999</v>
      </c>
      <c r="S70" s="259"/>
      <c r="T70" s="259">
        <v>0.71499999999999997</v>
      </c>
      <c r="U70" s="2502" t="s">
        <v>951</v>
      </c>
      <c r="V70" s="263">
        <f>I70/I69</f>
        <v>0.71289999999999998</v>
      </c>
      <c r="W70" s="93">
        <v>1</v>
      </c>
    </row>
    <row r="71" spans="1:23" s="93" customFormat="1" ht="51.75" customHeight="1" outlineLevel="1" x14ac:dyDescent="0.35">
      <c r="A71" s="2333"/>
      <c r="B71" s="1717"/>
      <c r="C71" s="1718"/>
      <c r="D71" s="1718"/>
      <c r="E71" s="1786"/>
      <c r="F71" s="69"/>
      <c r="G71" s="390" t="s">
        <v>14</v>
      </c>
      <c r="H71" s="590">
        <f>I71+J71+K71+L71+M71</f>
        <v>10389.19</v>
      </c>
      <c r="I71" s="590">
        <v>10389.19</v>
      </c>
      <c r="J71" s="589">
        <v>0</v>
      </c>
      <c r="K71" s="589">
        <v>0</v>
      </c>
      <c r="L71" s="589">
        <v>0</v>
      </c>
      <c r="M71" s="589">
        <v>0</v>
      </c>
      <c r="N71" s="1719"/>
      <c r="O71" s="1781"/>
      <c r="P71" s="2485"/>
      <c r="Q71" s="2508"/>
      <c r="R71" s="259">
        <f>R69*T71</f>
        <v>10210.06515</v>
      </c>
      <c r="S71" s="259"/>
      <c r="T71" s="259">
        <v>0.28499999999999998</v>
      </c>
      <c r="U71" s="2502"/>
      <c r="V71" s="263">
        <f>I71/I69</f>
        <v>0.28710000000000002</v>
      </c>
    </row>
    <row r="72" spans="1:23" s="1" customFormat="1" ht="21.75" customHeight="1" outlineLevel="1" x14ac:dyDescent="0.3">
      <c r="A72" s="2333" t="s">
        <v>961</v>
      </c>
      <c r="B72" s="1781" t="s">
        <v>233</v>
      </c>
      <c r="C72" s="1781"/>
      <c r="D72" s="1781"/>
      <c r="E72" s="1781"/>
      <c r="F72" s="1781"/>
      <c r="G72" s="386" t="s">
        <v>12</v>
      </c>
      <c r="H72" s="590">
        <f>H73+H74</f>
        <v>200000</v>
      </c>
      <c r="I72" s="590">
        <f t="shared" ref="I72:M72" si="100">I73+I74</f>
        <v>200000</v>
      </c>
      <c r="J72" s="590">
        <f t="shared" si="100"/>
        <v>0</v>
      </c>
      <c r="K72" s="590">
        <f t="shared" si="100"/>
        <v>0</v>
      </c>
      <c r="L72" s="590">
        <f t="shared" si="100"/>
        <v>0</v>
      </c>
      <c r="M72" s="590">
        <f t="shared" si="100"/>
        <v>0</v>
      </c>
      <c r="N72" s="1719"/>
      <c r="O72" s="1727"/>
      <c r="P72" s="2362" t="s">
        <v>328</v>
      </c>
      <c r="Q72" s="93"/>
    </row>
    <row r="73" spans="1:23" s="1" customFormat="1" ht="33.6" customHeight="1" outlineLevel="1" x14ac:dyDescent="0.3">
      <c r="A73" s="2333"/>
      <c r="B73" s="1781"/>
      <c r="C73" s="1781"/>
      <c r="D73" s="1781"/>
      <c r="E73" s="1781"/>
      <c r="F73" s="1781"/>
      <c r="G73" s="386" t="s">
        <v>13</v>
      </c>
      <c r="H73" s="590">
        <f>I73+J73+K73+L73+M73</f>
        <v>190000</v>
      </c>
      <c r="I73" s="589">
        <f>I76</f>
        <v>190000</v>
      </c>
      <c r="J73" s="589">
        <f t="shared" ref="J73:M73" si="101">J76</f>
        <v>0</v>
      </c>
      <c r="K73" s="589">
        <f t="shared" si="101"/>
        <v>0</v>
      </c>
      <c r="L73" s="589">
        <f t="shared" si="101"/>
        <v>0</v>
      </c>
      <c r="M73" s="589">
        <f t="shared" si="101"/>
        <v>0</v>
      </c>
      <c r="N73" s="1719"/>
      <c r="O73" s="1727"/>
      <c r="P73" s="2362"/>
      <c r="Q73" s="257">
        <f>I70/I69</f>
        <v>0.71289999999999998</v>
      </c>
    </row>
    <row r="74" spans="1:23" s="1" customFormat="1" ht="36.75" customHeight="1" outlineLevel="1" x14ac:dyDescent="0.3">
      <c r="A74" s="2333"/>
      <c r="B74" s="1781"/>
      <c r="C74" s="1781"/>
      <c r="D74" s="1781"/>
      <c r="E74" s="1781"/>
      <c r="F74" s="1781"/>
      <c r="G74" s="386" t="s">
        <v>3</v>
      </c>
      <c r="H74" s="590">
        <f>I74+J74+K74+L74+M74</f>
        <v>10000</v>
      </c>
      <c r="I74" s="589">
        <f>I77</f>
        <v>10000</v>
      </c>
      <c r="J74" s="589">
        <f t="shared" ref="J74:M74" si="102">J77</f>
        <v>0</v>
      </c>
      <c r="K74" s="589">
        <f t="shared" si="102"/>
        <v>0</v>
      </c>
      <c r="L74" s="589">
        <f t="shared" si="102"/>
        <v>0</v>
      </c>
      <c r="M74" s="589">
        <f t="shared" si="102"/>
        <v>0</v>
      </c>
      <c r="N74" s="1719"/>
      <c r="O74" s="1727"/>
      <c r="P74" s="2362"/>
      <c r="Q74" s="257">
        <f>I71/I69</f>
        <v>0.28710000000000002</v>
      </c>
    </row>
    <row r="75" spans="1:23" s="1" customFormat="1" ht="24" customHeight="1" outlineLevel="1" x14ac:dyDescent="0.3">
      <c r="A75" s="2333" t="s">
        <v>962</v>
      </c>
      <c r="B75" s="1781" t="s">
        <v>829</v>
      </c>
      <c r="C75" s="1781">
        <v>2018</v>
      </c>
      <c r="D75" s="1718" t="s">
        <v>253</v>
      </c>
      <c r="E75" s="2298">
        <v>200000</v>
      </c>
      <c r="F75" s="404">
        <f>F76+F77</f>
        <v>0</v>
      </c>
      <c r="G75" s="386" t="s">
        <v>12</v>
      </c>
      <c r="H75" s="590">
        <f>H76+H77</f>
        <v>200000</v>
      </c>
      <c r="I75" s="590">
        <f t="shared" ref="I75:M75" si="103">I76+I77</f>
        <v>200000</v>
      </c>
      <c r="J75" s="590">
        <f t="shared" si="103"/>
        <v>0</v>
      </c>
      <c r="K75" s="590">
        <f t="shared" si="103"/>
        <v>0</v>
      </c>
      <c r="L75" s="590">
        <f t="shared" si="103"/>
        <v>0</v>
      </c>
      <c r="M75" s="590">
        <f t="shared" si="103"/>
        <v>0</v>
      </c>
      <c r="N75" s="1719"/>
      <c r="O75" s="1781" t="s">
        <v>16</v>
      </c>
      <c r="P75" s="2362" t="s">
        <v>1542</v>
      </c>
    </row>
    <row r="76" spans="1:23" s="1" customFormat="1" ht="39.75" customHeight="1" outlineLevel="1" x14ac:dyDescent="0.3">
      <c r="A76" s="2333"/>
      <c r="B76" s="1781"/>
      <c r="C76" s="1781"/>
      <c r="D76" s="1718"/>
      <c r="E76" s="2298"/>
      <c r="F76" s="404">
        <v>0</v>
      </c>
      <c r="G76" s="386" t="s">
        <v>13</v>
      </c>
      <c r="H76" s="590">
        <f>I76+J76+K76+L76+M76</f>
        <v>190000</v>
      </c>
      <c r="I76" s="589">
        <v>190000</v>
      </c>
      <c r="J76" s="589">
        <v>0</v>
      </c>
      <c r="K76" s="589">
        <v>0</v>
      </c>
      <c r="L76" s="589">
        <v>0</v>
      </c>
      <c r="M76" s="589">
        <v>0</v>
      </c>
      <c r="N76" s="1719"/>
      <c r="O76" s="1781"/>
      <c r="P76" s="2362"/>
      <c r="W76" s="1">
        <v>1</v>
      </c>
    </row>
    <row r="77" spans="1:23" s="1" customFormat="1" ht="99" customHeight="1" outlineLevel="1" x14ac:dyDescent="0.3">
      <c r="A77" s="2333"/>
      <c r="B77" s="1781"/>
      <c r="C77" s="1781"/>
      <c r="D77" s="1718"/>
      <c r="E77" s="2298"/>
      <c r="F77" s="404">
        <v>0</v>
      </c>
      <c r="G77" s="386" t="s">
        <v>3</v>
      </c>
      <c r="H77" s="590">
        <f>I77+J77+K77+L77+M77</f>
        <v>10000</v>
      </c>
      <c r="I77" s="589">
        <v>10000</v>
      </c>
      <c r="J77" s="589">
        <v>0</v>
      </c>
      <c r="K77" s="589">
        <v>0</v>
      </c>
      <c r="L77" s="589">
        <v>0</v>
      </c>
      <c r="M77" s="589">
        <v>0</v>
      </c>
      <c r="N77" s="1719"/>
      <c r="O77" s="1781"/>
      <c r="P77" s="2362"/>
    </row>
    <row r="78" spans="1:23" s="1" customFormat="1" ht="21.75" customHeight="1" outlineLevel="1" x14ac:dyDescent="0.3">
      <c r="A78" s="2333" t="s">
        <v>963</v>
      </c>
      <c r="B78" s="1781" t="s">
        <v>244</v>
      </c>
      <c r="C78" s="1781"/>
      <c r="D78" s="1781"/>
      <c r="E78" s="1781"/>
      <c r="F78" s="1781"/>
      <c r="G78" s="386" t="s">
        <v>12</v>
      </c>
      <c r="H78" s="590">
        <f>H79+H80</f>
        <v>1294607.25</v>
      </c>
      <c r="I78" s="590">
        <f t="shared" ref="I78:M78" si="104">I79+I80</f>
        <v>1294607.25</v>
      </c>
      <c r="J78" s="590">
        <f t="shared" si="104"/>
        <v>0</v>
      </c>
      <c r="K78" s="590">
        <f t="shared" si="104"/>
        <v>0</v>
      </c>
      <c r="L78" s="590">
        <f t="shared" si="104"/>
        <v>0</v>
      </c>
      <c r="M78" s="590">
        <f t="shared" si="104"/>
        <v>0</v>
      </c>
      <c r="N78" s="1719"/>
      <c r="O78" s="1727"/>
      <c r="P78" s="2362" t="s">
        <v>1523</v>
      </c>
    </row>
    <row r="79" spans="1:23" s="1" customFormat="1" ht="33.6" customHeight="1" outlineLevel="1" x14ac:dyDescent="0.3">
      <c r="A79" s="2333"/>
      <c r="B79" s="1781"/>
      <c r="C79" s="1781"/>
      <c r="D79" s="1781"/>
      <c r="E79" s="1781"/>
      <c r="F79" s="1781"/>
      <c r="G79" s="386" t="s">
        <v>13</v>
      </c>
      <c r="H79" s="590">
        <f>I79+J79+K79+L79+M79</f>
        <v>1268457.92</v>
      </c>
      <c r="I79" s="589">
        <f>I82+I85+I88+I91+I94+I97</f>
        <v>1268457.92</v>
      </c>
      <c r="J79" s="589">
        <f>J82+J85+J88</f>
        <v>0</v>
      </c>
      <c r="K79" s="589">
        <f>K82+K85+K88</f>
        <v>0</v>
      </c>
      <c r="L79" s="589">
        <f>L82+L85+L88</f>
        <v>0</v>
      </c>
      <c r="M79" s="589">
        <f>M82+M85+M88</f>
        <v>0</v>
      </c>
      <c r="N79" s="1719"/>
      <c r="O79" s="1727"/>
      <c r="P79" s="2362"/>
      <c r="Q79" s="1">
        <f>I76/I75</f>
        <v>0.95</v>
      </c>
    </row>
    <row r="80" spans="1:23" s="1" customFormat="1" ht="46.5" customHeight="1" outlineLevel="1" x14ac:dyDescent="0.3">
      <c r="A80" s="2333"/>
      <c r="B80" s="1781"/>
      <c r="C80" s="1781"/>
      <c r="D80" s="1781"/>
      <c r="E80" s="1781"/>
      <c r="F80" s="1781"/>
      <c r="G80" s="386" t="s">
        <v>3</v>
      </c>
      <c r="H80" s="590">
        <f>I80+J80+K80+L80+M80</f>
        <v>26149.33</v>
      </c>
      <c r="I80" s="589">
        <f>I83+I86+I89+I92+I95+I98</f>
        <v>26149.33</v>
      </c>
      <c r="J80" s="589">
        <f>J83+J86+J89</f>
        <v>0</v>
      </c>
      <c r="K80" s="589">
        <f>K83+K86+K89</f>
        <v>0</v>
      </c>
      <c r="L80" s="589">
        <f>L83+L86+L89</f>
        <v>0</v>
      </c>
      <c r="M80" s="589">
        <f>M83+M89+M86</f>
        <v>0</v>
      </c>
      <c r="N80" s="1719"/>
      <c r="O80" s="1727"/>
      <c r="P80" s="2362"/>
      <c r="Q80" s="1">
        <f>I77/I75</f>
        <v>0.05</v>
      </c>
    </row>
    <row r="81" spans="1:23" s="1" customFormat="1" ht="33.6" customHeight="1" outlineLevel="1" x14ac:dyDescent="0.3">
      <c r="A81" s="2333" t="s">
        <v>964</v>
      </c>
      <c r="B81" s="1717" t="s">
        <v>1132</v>
      </c>
      <c r="C81" s="1718">
        <v>2018</v>
      </c>
      <c r="D81" s="1718" t="s">
        <v>252</v>
      </c>
      <c r="E81" s="2444">
        <f>F81+I81</f>
        <v>353760.43</v>
      </c>
      <c r="F81" s="69">
        <f>F82+F83</f>
        <v>0</v>
      </c>
      <c r="G81" s="390" t="s">
        <v>12</v>
      </c>
      <c r="H81" s="590">
        <f>H82+H83</f>
        <v>353760.43</v>
      </c>
      <c r="I81" s="589">
        <f>I82+I83</f>
        <v>353760.43</v>
      </c>
      <c r="J81" s="589">
        <f t="shared" ref="J81" si="105">J82+J83</f>
        <v>0</v>
      </c>
      <c r="K81" s="589">
        <f t="shared" ref="K81" si="106">K82+K83</f>
        <v>0</v>
      </c>
      <c r="L81" s="589">
        <f t="shared" ref="L81" si="107">L82+L83</f>
        <v>0</v>
      </c>
      <c r="M81" s="589">
        <f t="shared" ref="M81" si="108">M82+M83</f>
        <v>0</v>
      </c>
      <c r="N81" s="1719"/>
      <c r="O81" s="1781" t="s">
        <v>16</v>
      </c>
      <c r="P81" s="2362" t="s">
        <v>1541</v>
      </c>
    </row>
    <row r="82" spans="1:23" s="1" customFormat="1" ht="33.6" customHeight="1" outlineLevel="1" x14ac:dyDescent="0.45">
      <c r="A82" s="2333"/>
      <c r="B82" s="1717"/>
      <c r="C82" s="1718"/>
      <c r="D82" s="1718"/>
      <c r="E82" s="2444"/>
      <c r="F82" s="69">
        <v>0</v>
      </c>
      <c r="G82" s="390" t="s">
        <v>13</v>
      </c>
      <c r="H82" s="590">
        <f>I82+J82+K82+L82+M82</f>
        <v>350223</v>
      </c>
      <c r="I82" s="589">
        <f>343573+6650</f>
        <v>350223</v>
      </c>
      <c r="J82" s="589">
        <v>0</v>
      </c>
      <c r="K82" s="589">
        <v>0</v>
      </c>
      <c r="L82" s="589">
        <v>0</v>
      </c>
      <c r="M82" s="589">
        <v>0</v>
      </c>
      <c r="N82" s="1719"/>
      <c r="O82" s="1781"/>
      <c r="P82" s="2362"/>
      <c r="Q82" s="279" t="s">
        <v>1133</v>
      </c>
      <c r="W82" s="1">
        <v>1</v>
      </c>
    </row>
    <row r="83" spans="1:23" s="1" customFormat="1" ht="54" customHeight="1" outlineLevel="1" x14ac:dyDescent="0.3">
      <c r="A83" s="2333"/>
      <c r="B83" s="1717"/>
      <c r="C83" s="1718"/>
      <c r="D83" s="1718"/>
      <c r="E83" s="2444"/>
      <c r="F83" s="69">
        <v>0</v>
      </c>
      <c r="G83" s="390" t="s">
        <v>14</v>
      </c>
      <c r="H83" s="590">
        <f>I83+J83+K83+L83+M83</f>
        <v>3537.43</v>
      </c>
      <c r="I83" s="589">
        <f>3470.43+67</f>
        <v>3537.43</v>
      </c>
      <c r="J83" s="589">
        <v>0</v>
      </c>
      <c r="K83" s="589">
        <v>0</v>
      </c>
      <c r="L83" s="589">
        <v>0</v>
      </c>
      <c r="M83" s="589">
        <v>0</v>
      </c>
      <c r="N83" s="1719"/>
      <c r="O83" s="1781"/>
      <c r="P83" s="2362"/>
    </row>
    <row r="84" spans="1:23" s="93" customFormat="1" ht="24" customHeight="1" outlineLevel="1" x14ac:dyDescent="0.3">
      <c r="A84" s="2333" t="s">
        <v>965</v>
      </c>
      <c r="B84" s="1785" t="s">
        <v>1686</v>
      </c>
      <c r="C84" s="1781">
        <v>2018</v>
      </c>
      <c r="D84" s="1718"/>
      <c r="E84" s="2298">
        <v>52235.27</v>
      </c>
      <c r="F84" s="404">
        <f>F85+F86</f>
        <v>0</v>
      </c>
      <c r="G84" s="386" t="s">
        <v>12</v>
      </c>
      <c r="H84" s="590">
        <f>H85+H86</f>
        <v>52235.27</v>
      </c>
      <c r="I84" s="590">
        <f>51712.92/0.99</f>
        <v>52235.27</v>
      </c>
      <c r="J84" s="590">
        <f t="shared" ref="J84" si="109">J85+J86</f>
        <v>0</v>
      </c>
      <c r="K84" s="590">
        <f t="shared" ref="K84" si="110">K85+K86</f>
        <v>0</v>
      </c>
      <c r="L84" s="590">
        <f t="shared" ref="L84" si="111">L85+L86</f>
        <v>0</v>
      </c>
      <c r="M84" s="590">
        <f t="shared" ref="M84" si="112">M85+M86</f>
        <v>0</v>
      </c>
      <c r="N84" s="1719"/>
      <c r="O84" s="1781" t="s">
        <v>16</v>
      </c>
      <c r="P84" s="2362" t="s">
        <v>1543</v>
      </c>
      <c r="Q84" s="258"/>
    </row>
    <row r="85" spans="1:23" s="93" customFormat="1" ht="39.75" customHeight="1" outlineLevel="1" x14ac:dyDescent="0.45">
      <c r="A85" s="2333"/>
      <c r="B85" s="1785"/>
      <c r="C85" s="1781"/>
      <c r="D85" s="1718"/>
      <c r="E85" s="2298"/>
      <c r="F85" s="404">
        <v>0</v>
      </c>
      <c r="G85" s="386" t="s">
        <v>13</v>
      </c>
      <c r="H85" s="590">
        <f>I85+J85+K85+L85+M85</f>
        <v>51712.92</v>
      </c>
      <c r="I85" s="589">
        <v>51712.92</v>
      </c>
      <c r="J85" s="589">
        <v>0</v>
      </c>
      <c r="K85" s="589">
        <v>0</v>
      </c>
      <c r="L85" s="589">
        <v>0</v>
      </c>
      <c r="M85" s="589">
        <v>0</v>
      </c>
      <c r="N85" s="1719"/>
      <c r="O85" s="1781"/>
      <c r="P85" s="2362"/>
      <c r="Q85" s="258">
        <f>I82/I81</f>
        <v>0.99</v>
      </c>
      <c r="R85" s="280" t="s">
        <v>1134</v>
      </c>
      <c r="W85" s="93">
        <v>3</v>
      </c>
    </row>
    <row r="86" spans="1:23" s="93" customFormat="1" ht="69" customHeight="1" outlineLevel="1" x14ac:dyDescent="0.3">
      <c r="A86" s="2333"/>
      <c r="B86" s="1785"/>
      <c r="C86" s="1781"/>
      <c r="D86" s="1718"/>
      <c r="E86" s="2298"/>
      <c r="F86" s="404">
        <v>0</v>
      </c>
      <c r="G86" s="386" t="s">
        <v>3</v>
      </c>
      <c r="H86" s="590">
        <f>I86+J86+K86+L86+M86</f>
        <v>522.35</v>
      </c>
      <c r="I86" s="589">
        <f>I84*0.01</f>
        <v>522.35</v>
      </c>
      <c r="J86" s="589">
        <v>0</v>
      </c>
      <c r="K86" s="589">
        <v>0</v>
      </c>
      <c r="L86" s="589">
        <v>0</v>
      </c>
      <c r="M86" s="589">
        <v>0</v>
      </c>
      <c r="N86" s="1719"/>
      <c r="O86" s="1781"/>
      <c r="P86" s="2362"/>
      <c r="Q86" s="258">
        <f>I83/I81</f>
        <v>0.01</v>
      </c>
    </row>
    <row r="87" spans="1:23" s="93" customFormat="1" ht="24" customHeight="1" outlineLevel="1" x14ac:dyDescent="0.3">
      <c r="A87" s="2333" t="s">
        <v>966</v>
      </c>
      <c r="B87" s="1781" t="s">
        <v>865</v>
      </c>
      <c r="C87" s="1781">
        <v>2018</v>
      </c>
      <c r="D87" s="1718"/>
      <c r="E87" s="2298">
        <v>480274.75</v>
      </c>
      <c r="F87" s="404">
        <f>F88+F89</f>
        <v>0</v>
      </c>
      <c r="G87" s="386" t="s">
        <v>12</v>
      </c>
      <c r="H87" s="590">
        <f>H88+H89</f>
        <v>480274.75</v>
      </c>
      <c r="I87" s="590">
        <f>I88/0.99</f>
        <v>480274.75</v>
      </c>
      <c r="J87" s="590">
        <f t="shared" ref="J87" si="113">J88+J89</f>
        <v>0</v>
      </c>
      <c r="K87" s="590">
        <f t="shared" ref="K87" si="114">K88+K89</f>
        <v>0</v>
      </c>
      <c r="L87" s="590">
        <f t="shared" ref="L87" si="115">L88+L89</f>
        <v>0</v>
      </c>
      <c r="M87" s="590">
        <f t="shared" ref="M87" si="116">M88+M89</f>
        <v>0</v>
      </c>
      <c r="N87" s="1719"/>
      <c r="O87" s="1781" t="s">
        <v>16</v>
      </c>
      <c r="P87" s="2362" t="s">
        <v>1522</v>
      </c>
    </row>
    <row r="88" spans="1:23" s="93" customFormat="1" ht="39.75" customHeight="1" outlineLevel="1" x14ac:dyDescent="0.3">
      <c r="A88" s="2333"/>
      <c r="B88" s="1781"/>
      <c r="C88" s="1781"/>
      <c r="D88" s="1718"/>
      <c r="E88" s="2298"/>
      <c r="F88" s="404">
        <v>0</v>
      </c>
      <c r="G88" s="386" t="s">
        <v>13</v>
      </c>
      <c r="H88" s="590">
        <f>I88+J88+K88+L88+M88</f>
        <v>475472</v>
      </c>
      <c r="I88" s="589">
        <v>475472</v>
      </c>
      <c r="J88" s="589">
        <v>0</v>
      </c>
      <c r="K88" s="589">
        <v>0</v>
      </c>
      <c r="L88" s="589">
        <v>0</v>
      </c>
      <c r="M88" s="589">
        <v>0</v>
      </c>
      <c r="N88" s="1719"/>
      <c r="O88" s="1781"/>
      <c r="P88" s="2362"/>
      <c r="Q88" s="258" t="e">
        <f>#REF!/#REF!</f>
        <v>#REF!</v>
      </c>
      <c r="W88" s="93">
        <v>1</v>
      </c>
    </row>
    <row r="89" spans="1:23" s="93" customFormat="1" ht="59.25" customHeight="1" outlineLevel="1" x14ac:dyDescent="0.3">
      <c r="A89" s="2333"/>
      <c r="B89" s="1781"/>
      <c r="C89" s="1781"/>
      <c r="D89" s="1718"/>
      <c r="E89" s="2298"/>
      <c r="F89" s="404">
        <v>0</v>
      </c>
      <c r="G89" s="386" t="s">
        <v>3</v>
      </c>
      <c r="H89" s="590">
        <f>I89+J89+K89+L89+M89</f>
        <v>4802.75</v>
      </c>
      <c r="I89" s="589">
        <f>I87*0.01</f>
        <v>4802.75</v>
      </c>
      <c r="J89" s="589">
        <v>0</v>
      </c>
      <c r="K89" s="589">
        <v>0</v>
      </c>
      <c r="L89" s="589">
        <v>0</v>
      </c>
      <c r="M89" s="589">
        <v>0</v>
      </c>
      <c r="N89" s="1719"/>
      <c r="O89" s="1781"/>
      <c r="P89" s="2362"/>
      <c r="Q89" s="258" t="e">
        <f>#REF!/#REF!</f>
        <v>#REF!</v>
      </c>
    </row>
    <row r="90" spans="1:23" s="93" customFormat="1" ht="21.75" customHeight="1" outlineLevel="1" x14ac:dyDescent="0.3">
      <c r="A90" s="2333" t="s">
        <v>967</v>
      </c>
      <c r="B90" s="1781" t="s">
        <v>1077</v>
      </c>
      <c r="C90" s="1781">
        <v>2018</v>
      </c>
      <c r="D90" s="1718"/>
      <c r="E90" s="2298">
        <v>320000</v>
      </c>
      <c r="F90" s="404">
        <f>F91+F92</f>
        <v>0</v>
      </c>
      <c r="G90" s="386" t="s">
        <v>12</v>
      </c>
      <c r="H90" s="590">
        <f>H91+H92</f>
        <v>320000</v>
      </c>
      <c r="I90" s="590">
        <f>I91/0.99</f>
        <v>320000</v>
      </c>
      <c r="J90" s="590">
        <f t="shared" ref="J90:M90" si="117">J91+J92</f>
        <v>0</v>
      </c>
      <c r="K90" s="590">
        <f t="shared" si="117"/>
        <v>0</v>
      </c>
      <c r="L90" s="590">
        <f t="shared" si="117"/>
        <v>0</v>
      </c>
      <c r="M90" s="590">
        <f t="shared" si="117"/>
        <v>0</v>
      </c>
      <c r="N90" s="1719"/>
      <c r="O90" s="1781"/>
      <c r="P90" s="2362" t="s">
        <v>1522</v>
      </c>
      <c r="Q90" s="258"/>
    </row>
    <row r="91" spans="1:23" s="93" customFormat="1" ht="37.5" customHeight="1" outlineLevel="1" x14ac:dyDescent="0.3">
      <c r="A91" s="2333"/>
      <c r="B91" s="1781"/>
      <c r="C91" s="1781"/>
      <c r="D91" s="1718"/>
      <c r="E91" s="2298"/>
      <c r="F91" s="404">
        <v>0</v>
      </c>
      <c r="G91" s="386" t="s">
        <v>13</v>
      </c>
      <c r="H91" s="590">
        <f>I91+J91+K91+L91+M91</f>
        <v>316800</v>
      </c>
      <c r="I91" s="589">
        <v>316800</v>
      </c>
      <c r="J91" s="589">
        <v>0</v>
      </c>
      <c r="K91" s="589">
        <v>0</v>
      </c>
      <c r="L91" s="589">
        <v>0</v>
      </c>
      <c r="M91" s="589">
        <v>0</v>
      </c>
      <c r="N91" s="1719"/>
      <c r="O91" s="1781"/>
      <c r="P91" s="2362"/>
      <c r="Q91" s="258"/>
      <c r="W91" s="93">
        <v>1</v>
      </c>
    </row>
    <row r="92" spans="1:23" s="93" customFormat="1" ht="61.5" customHeight="1" outlineLevel="1" x14ac:dyDescent="0.3">
      <c r="A92" s="2333"/>
      <c r="B92" s="1781"/>
      <c r="C92" s="1781"/>
      <c r="D92" s="1718"/>
      <c r="E92" s="2298"/>
      <c r="F92" s="404">
        <v>0</v>
      </c>
      <c r="G92" s="386" t="s">
        <v>3</v>
      </c>
      <c r="H92" s="590">
        <f>I92+J92+K92+L92+M92</f>
        <v>3200</v>
      </c>
      <c r="I92" s="589">
        <f>I90*0.01</f>
        <v>3200</v>
      </c>
      <c r="J92" s="589">
        <v>0</v>
      </c>
      <c r="K92" s="589">
        <v>0</v>
      </c>
      <c r="L92" s="589">
        <v>0</v>
      </c>
      <c r="M92" s="589">
        <v>0</v>
      </c>
      <c r="N92" s="1719"/>
      <c r="O92" s="1781"/>
      <c r="P92" s="2362"/>
      <c r="Q92" s="258"/>
    </row>
    <row r="93" spans="1:23" s="93" customFormat="1" ht="21" customHeight="1" outlineLevel="1" x14ac:dyDescent="0.3">
      <c r="A93" s="2333" t="s">
        <v>968</v>
      </c>
      <c r="B93" s="2459" t="s">
        <v>1664</v>
      </c>
      <c r="C93" s="1781">
        <v>2018</v>
      </c>
      <c r="D93" s="1718"/>
      <c r="E93" s="2298">
        <v>45650.5</v>
      </c>
      <c r="F93" s="404">
        <f>F94+F95</f>
        <v>0</v>
      </c>
      <c r="G93" s="386" t="s">
        <v>12</v>
      </c>
      <c r="H93" s="590">
        <f>H94+H95</f>
        <v>45650.5</v>
      </c>
      <c r="I93" s="590">
        <f>I94+I95</f>
        <v>45650.5</v>
      </c>
      <c r="J93" s="590">
        <f t="shared" ref="J93:M93" si="118">J94+J95</f>
        <v>0</v>
      </c>
      <c r="K93" s="590">
        <f t="shared" si="118"/>
        <v>0</v>
      </c>
      <c r="L93" s="590">
        <f t="shared" si="118"/>
        <v>0</v>
      </c>
      <c r="M93" s="590">
        <f t="shared" si="118"/>
        <v>0</v>
      </c>
      <c r="N93" s="1719"/>
      <c r="O93" s="1781"/>
      <c r="P93" s="2362" t="s">
        <v>1522</v>
      </c>
      <c r="Q93" s="258"/>
    </row>
    <row r="94" spans="1:23" s="93" customFormat="1" ht="35.25" customHeight="1" outlineLevel="1" x14ac:dyDescent="0.3">
      <c r="A94" s="2333"/>
      <c r="B94" s="2459"/>
      <c r="C94" s="1781"/>
      <c r="D94" s="1718"/>
      <c r="E94" s="2298"/>
      <c r="F94" s="404">
        <v>0</v>
      </c>
      <c r="G94" s="386" t="s">
        <v>13</v>
      </c>
      <c r="H94" s="590">
        <f>I94+J94+K94+L94+M94</f>
        <v>39600</v>
      </c>
      <c r="I94" s="589">
        <v>39600</v>
      </c>
      <c r="J94" s="589">
        <v>0</v>
      </c>
      <c r="K94" s="589">
        <v>0</v>
      </c>
      <c r="L94" s="589">
        <v>0</v>
      </c>
      <c r="M94" s="589">
        <v>0</v>
      </c>
      <c r="N94" s="1719"/>
      <c r="O94" s="1781"/>
      <c r="P94" s="2362"/>
      <c r="Q94" s="258"/>
      <c r="W94" s="93">
        <v>1</v>
      </c>
    </row>
    <row r="95" spans="1:23" s="93" customFormat="1" ht="60.75" customHeight="1" outlineLevel="1" x14ac:dyDescent="0.3">
      <c r="A95" s="2333"/>
      <c r="B95" s="2459"/>
      <c r="C95" s="1781"/>
      <c r="D95" s="1718"/>
      <c r="E95" s="2298"/>
      <c r="F95" s="404">
        <v>0</v>
      </c>
      <c r="G95" s="386" t="s">
        <v>3</v>
      </c>
      <c r="H95" s="590">
        <f>I95+J95+K95+L95+M95</f>
        <v>6050.5</v>
      </c>
      <c r="I95" s="589">
        <f>6050.5</f>
        <v>6050.5</v>
      </c>
      <c r="J95" s="589">
        <v>0</v>
      </c>
      <c r="K95" s="589">
        <v>0</v>
      </c>
      <c r="L95" s="589">
        <v>0</v>
      </c>
      <c r="M95" s="589">
        <v>0</v>
      </c>
      <c r="N95" s="1719"/>
      <c r="O95" s="1781"/>
      <c r="P95" s="2362"/>
      <c r="Q95" s="258"/>
    </row>
    <row r="96" spans="1:23" s="93" customFormat="1" ht="24" customHeight="1" outlineLevel="1" x14ac:dyDescent="0.3">
      <c r="A96" s="2333" t="s">
        <v>1078</v>
      </c>
      <c r="B96" s="1785" t="s">
        <v>1665</v>
      </c>
      <c r="C96" s="1781">
        <v>2018</v>
      </c>
      <c r="D96" s="1718"/>
      <c r="E96" s="2298">
        <v>42686.3</v>
      </c>
      <c r="F96" s="404">
        <f>F97+F98</f>
        <v>0</v>
      </c>
      <c r="G96" s="386" t="s">
        <v>12</v>
      </c>
      <c r="H96" s="590">
        <f>H97+H98</f>
        <v>42686.3</v>
      </c>
      <c r="I96" s="590">
        <f>I97+I98</f>
        <v>42686.3</v>
      </c>
      <c r="J96" s="590">
        <f t="shared" ref="J96:M96" si="119">J97+J98</f>
        <v>0</v>
      </c>
      <c r="K96" s="590">
        <f t="shared" si="119"/>
        <v>0</v>
      </c>
      <c r="L96" s="590">
        <f t="shared" si="119"/>
        <v>0</v>
      </c>
      <c r="M96" s="590">
        <f t="shared" si="119"/>
        <v>0</v>
      </c>
      <c r="N96" s="1719"/>
      <c r="O96" s="1781"/>
      <c r="P96" s="2362" t="s">
        <v>1522</v>
      </c>
      <c r="Q96" s="258"/>
    </row>
    <row r="97" spans="1:23" s="93" customFormat="1" ht="30.75" customHeight="1" outlineLevel="1" x14ac:dyDescent="0.3">
      <c r="A97" s="2333"/>
      <c r="B97" s="1785"/>
      <c r="C97" s="1781"/>
      <c r="D97" s="1718"/>
      <c r="E97" s="2298"/>
      <c r="F97" s="404">
        <v>0</v>
      </c>
      <c r="G97" s="386" t="s">
        <v>13</v>
      </c>
      <c r="H97" s="590">
        <f>I97+J97+K97+L97+M97</f>
        <v>34650</v>
      </c>
      <c r="I97" s="589">
        <v>34650</v>
      </c>
      <c r="J97" s="589">
        <v>0</v>
      </c>
      <c r="K97" s="589">
        <v>0</v>
      </c>
      <c r="L97" s="589">
        <v>0</v>
      </c>
      <c r="M97" s="589">
        <v>0</v>
      </c>
      <c r="N97" s="1719"/>
      <c r="O97" s="1781"/>
      <c r="P97" s="2362"/>
      <c r="Q97" s="258"/>
      <c r="W97" s="93">
        <v>1</v>
      </c>
    </row>
    <row r="98" spans="1:23" s="93" customFormat="1" ht="66" customHeight="1" outlineLevel="1" x14ac:dyDescent="0.3">
      <c r="A98" s="2333"/>
      <c r="B98" s="1785"/>
      <c r="C98" s="1781"/>
      <c r="D98" s="1718"/>
      <c r="E98" s="2298"/>
      <c r="F98" s="404">
        <v>0</v>
      </c>
      <c r="G98" s="386" t="s">
        <v>3</v>
      </c>
      <c r="H98" s="590">
        <f>I98+J98+K98+L98+M98</f>
        <v>8036.3</v>
      </c>
      <c r="I98" s="589">
        <v>8036.3</v>
      </c>
      <c r="J98" s="589">
        <v>0</v>
      </c>
      <c r="K98" s="589">
        <v>0</v>
      </c>
      <c r="L98" s="589">
        <v>0</v>
      </c>
      <c r="M98" s="589">
        <v>0</v>
      </c>
      <c r="N98" s="1719"/>
      <c r="O98" s="1781"/>
      <c r="P98" s="2362"/>
      <c r="Q98" s="258"/>
    </row>
    <row r="99" spans="1:23" s="1" customFormat="1" ht="21.75" customHeight="1" outlineLevel="1" x14ac:dyDescent="0.3">
      <c r="A99" s="2333" t="s">
        <v>969</v>
      </c>
      <c r="B99" s="1781" t="s">
        <v>191</v>
      </c>
      <c r="C99" s="1781"/>
      <c r="D99" s="1781"/>
      <c r="E99" s="1781"/>
      <c r="F99" s="1781"/>
      <c r="G99" s="386" t="s">
        <v>12</v>
      </c>
      <c r="H99" s="590">
        <f>H100+H101</f>
        <v>173000</v>
      </c>
      <c r="I99" s="590">
        <f t="shared" ref="I99" si="120">I100+I101</f>
        <v>173000</v>
      </c>
      <c r="J99" s="590">
        <f t="shared" ref="J99" si="121">J100+J101</f>
        <v>0</v>
      </c>
      <c r="K99" s="590">
        <f t="shared" ref="K99" si="122">K100+K101</f>
        <v>0</v>
      </c>
      <c r="L99" s="590">
        <f t="shared" ref="L99" si="123">L100+L101</f>
        <v>0</v>
      </c>
      <c r="M99" s="590">
        <f t="shared" ref="M99" si="124">M100+M101</f>
        <v>0</v>
      </c>
      <c r="N99" s="1719"/>
      <c r="O99" s="1727"/>
      <c r="P99" s="2362" t="s">
        <v>331</v>
      </c>
      <c r="Q99" s="93"/>
    </row>
    <row r="100" spans="1:23" s="1" customFormat="1" ht="33.6" customHeight="1" outlineLevel="1" x14ac:dyDescent="0.3">
      <c r="A100" s="2333"/>
      <c r="B100" s="1781"/>
      <c r="C100" s="1781"/>
      <c r="D100" s="1781"/>
      <c r="E100" s="1781"/>
      <c r="F100" s="1781"/>
      <c r="G100" s="386" t="s">
        <v>13</v>
      </c>
      <c r="H100" s="590">
        <f>I100+J100+K100+L100+M100</f>
        <v>164350</v>
      </c>
      <c r="I100" s="589">
        <f>I103+I106+I109</f>
        <v>164350</v>
      </c>
      <c r="J100" s="589">
        <f t="shared" ref="J100:M100" si="125">J103+J106+J109</f>
        <v>0</v>
      </c>
      <c r="K100" s="589">
        <f t="shared" si="125"/>
        <v>0</v>
      </c>
      <c r="L100" s="589">
        <f t="shared" si="125"/>
        <v>0</v>
      </c>
      <c r="M100" s="589">
        <f t="shared" si="125"/>
        <v>0</v>
      </c>
      <c r="N100" s="1719"/>
      <c r="O100" s="1727"/>
      <c r="P100" s="2362"/>
      <c r="Q100" s="258">
        <f>I88/I87</f>
        <v>0.99</v>
      </c>
    </row>
    <row r="101" spans="1:23" s="1" customFormat="1" ht="46.5" customHeight="1" outlineLevel="1" x14ac:dyDescent="0.3">
      <c r="A101" s="2333"/>
      <c r="B101" s="1781"/>
      <c r="C101" s="1781"/>
      <c r="D101" s="1781"/>
      <c r="E101" s="1781"/>
      <c r="F101" s="1781"/>
      <c r="G101" s="386" t="s">
        <v>3</v>
      </c>
      <c r="H101" s="590">
        <f>I101+J101+K101+L101+M101</f>
        <v>8650</v>
      </c>
      <c r="I101" s="589">
        <f>I104+I107+I110</f>
        <v>8650</v>
      </c>
      <c r="J101" s="589">
        <f t="shared" ref="J101:M101" si="126">J104+J107+J110</f>
        <v>0</v>
      </c>
      <c r="K101" s="589">
        <f t="shared" si="126"/>
        <v>0</v>
      </c>
      <c r="L101" s="589">
        <f t="shared" si="126"/>
        <v>0</v>
      </c>
      <c r="M101" s="589">
        <f t="shared" si="126"/>
        <v>0</v>
      </c>
      <c r="N101" s="1719"/>
      <c r="O101" s="1727"/>
      <c r="P101" s="2362"/>
      <c r="Q101" s="258">
        <f>I89/I87</f>
        <v>0.01</v>
      </c>
    </row>
    <row r="102" spans="1:23" s="93" customFormat="1" ht="24" customHeight="1" outlineLevel="1" x14ac:dyDescent="0.3">
      <c r="A102" s="2333" t="s">
        <v>970</v>
      </c>
      <c r="B102" s="1781" t="s">
        <v>254</v>
      </c>
      <c r="C102" s="1781">
        <v>2018</v>
      </c>
      <c r="D102" s="1718"/>
      <c r="E102" s="2298">
        <v>30000</v>
      </c>
      <c r="F102" s="404">
        <f>F103+F104</f>
        <v>0</v>
      </c>
      <c r="G102" s="386" t="s">
        <v>12</v>
      </c>
      <c r="H102" s="590">
        <f>H103+H104</f>
        <v>30000</v>
      </c>
      <c r="I102" s="590">
        <f t="shared" ref="I102" si="127">I103+I104</f>
        <v>30000</v>
      </c>
      <c r="J102" s="590">
        <f t="shared" ref="J102" si="128">J103+J104</f>
        <v>0</v>
      </c>
      <c r="K102" s="590">
        <f t="shared" ref="K102" si="129">K103+K104</f>
        <v>0</v>
      </c>
      <c r="L102" s="590">
        <f t="shared" ref="L102" si="130">L103+L104</f>
        <v>0</v>
      </c>
      <c r="M102" s="590">
        <f t="shared" ref="M102" si="131">M103+M104</f>
        <v>0</v>
      </c>
      <c r="N102" s="1719"/>
      <c r="O102" s="1781" t="s">
        <v>16</v>
      </c>
      <c r="P102" s="2362" t="s">
        <v>1522</v>
      </c>
      <c r="Q102" s="1"/>
    </row>
    <row r="103" spans="1:23" s="93" customFormat="1" ht="39.75" customHeight="1" outlineLevel="1" x14ac:dyDescent="0.3">
      <c r="A103" s="2333"/>
      <c r="B103" s="1781"/>
      <c r="C103" s="1781"/>
      <c r="D103" s="1718"/>
      <c r="E103" s="2298"/>
      <c r="F103" s="404">
        <v>0</v>
      </c>
      <c r="G103" s="386" t="s">
        <v>13</v>
      </c>
      <c r="H103" s="590">
        <f>I103+J103+K103+L103+M103</f>
        <v>28500</v>
      </c>
      <c r="I103" s="589">
        <v>28500</v>
      </c>
      <c r="J103" s="589">
        <v>0</v>
      </c>
      <c r="K103" s="589">
        <v>0</v>
      </c>
      <c r="L103" s="589">
        <v>0</v>
      </c>
      <c r="M103" s="589">
        <v>0</v>
      </c>
      <c r="N103" s="1719"/>
      <c r="O103" s="1781"/>
      <c r="P103" s="2362"/>
      <c r="Q103" s="1"/>
      <c r="W103" s="93">
        <v>1</v>
      </c>
    </row>
    <row r="104" spans="1:23" s="93" customFormat="1" ht="45.75" customHeight="1" outlineLevel="1" x14ac:dyDescent="0.3">
      <c r="A104" s="2333"/>
      <c r="B104" s="1781"/>
      <c r="C104" s="1781"/>
      <c r="D104" s="1718"/>
      <c r="E104" s="2298"/>
      <c r="F104" s="404">
        <v>0</v>
      </c>
      <c r="G104" s="386" t="s">
        <v>3</v>
      </c>
      <c r="H104" s="590">
        <f>I104+J104+K104+L104+M104</f>
        <v>1500</v>
      </c>
      <c r="I104" s="589">
        <v>1500</v>
      </c>
      <c r="J104" s="589">
        <v>0</v>
      </c>
      <c r="K104" s="589">
        <v>0</v>
      </c>
      <c r="L104" s="589">
        <v>0</v>
      </c>
      <c r="M104" s="589">
        <v>0</v>
      </c>
      <c r="N104" s="1719"/>
      <c r="O104" s="1781"/>
      <c r="P104" s="2362"/>
      <c r="Q104" s="1"/>
    </row>
    <row r="105" spans="1:23" s="93" customFormat="1" ht="24" customHeight="1" outlineLevel="1" x14ac:dyDescent="0.3">
      <c r="A105" s="2333" t="s">
        <v>971</v>
      </c>
      <c r="B105" s="1781" t="s">
        <v>257</v>
      </c>
      <c r="C105" s="1781">
        <v>2018</v>
      </c>
      <c r="D105" s="1718"/>
      <c r="E105" s="2298">
        <v>130000</v>
      </c>
      <c r="F105" s="404">
        <f>F106+F107</f>
        <v>0</v>
      </c>
      <c r="G105" s="386" t="s">
        <v>12</v>
      </c>
      <c r="H105" s="590">
        <f>H106+H107</f>
        <v>130000</v>
      </c>
      <c r="I105" s="590">
        <f t="shared" ref="I105" si="132">I106+I107</f>
        <v>130000</v>
      </c>
      <c r="J105" s="590">
        <f t="shared" ref="J105" si="133">J106+J107</f>
        <v>0</v>
      </c>
      <c r="K105" s="590">
        <f t="shared" ref="K105" si="134">K106+K107</f>
        <v>0</v>
      </c>
      <c r="L105" s="590">
        <f t="shared" ref="L105" si="135">L106+L107</f>
        <v>0</v>
      </c>
      <c r="M105" s="590">
        <f t="shared" ref="M105" si="136">M106+M107</f>
        <v>0</v>
      </c>
      <c r="N105" s="1719"/>
      <c r="O105" s="1781" t="s">
        <v>16</v>
      </c>
      <c r="P105" s="2362" t="s">
        <v>1522</v>
      </c>
    </row>
    <row r="106" spans="1:23" s="93" customFormat="1" ht="32.25" customHeight="1" outlineLevel="1" x14ac:dyDescent="0.3">
      <c r="A106" s="2333"/>
      <c r="B106" s="1781"/>
      <c r="C106" s="1781"/>
      <c r="D106" s="1718"/>
      <c r="E106" s="2298"/>
      <c r="F106" s="404">
        <v>0</v>
      </c>
      <c r="G106" s="386" t="s">
        <v>13</v>
      </c>
      <c r="H106" s="590">
        <f>I106+J106+K106+L106+M106</f>
        <v>123500</v>
      </c>
      <c r="I106" s="589">
        <v>123500</v>
      </c>
      <c r="J106" s="589">
        <v>0</v>
      </c>
      <c r="K106" s="589">
        <v>0</v>
      </c>
      <c r="L106" s="589">
        <v>0</v>
      </c>
      <c r="M106" s="589">
        <v>0</v>
      </c>
      <c r="N106" s="1719"/>
      <c r="O106" s="1781"/>
      <c r="P106" s="2362"/>
      <c r="Q106" s="93">
        <f>I103/I102</f>
        <v>0.95</v>
      </c>
      <c r="W106" s="93">
        <v>1</v>
      </c>
    </row>
    <row r="107" spans="1:23" s="93" customFormat="1" ht="38.25" customHeight="1" outlineLevel="1" x14ac:dyDescent="0.3">
      <c r="A107" s="2333"/>
      <c r="B107" s="1781"/>
      <c r="C107" s="1781"/>
      <c r="D107" s="1718"/>
      <c r="E107" s="2298"/>
      <c r="F107" s="404">
        <v>0</v>
      </c>
      <c r="G107" s="386" t="s">
        <v>3</v>
      </c>
      <c r="H107" s="590">
        <f>I107+J107+K107+L107+M107</f>
        <v>6500</v>
      </c>
      <c r="I107" s="589">
        <v>6500</v>
      </c>
      <c r="J107" s="589">
        <v>0</v>
      </c>
      <c r="K107" s="589">
        <v>0</v>
      </c>
      <c r="L107" s="589">
        <v>0</v>
      </c>
      <c r="M107" s="589">
        <v>0</v>
      </c>
      <c r="N107" s="1719"/>
      <c r="O107" s="1781"/>
      <c r="P107" s="2362"/>
      <c r="Q107" s="93">
        <f>I104/I102</f>
        <v>0.05</v>
      </c>
    </row>
    <row r="108" spans="1:23" s="1" customFormat="1" ht="24" customHeight="1" outlineLevel="1" x14ac:dyDescent="0.3">
      <c r="A108" s="2333" t="s">
        <v>972</v>
      </c>
      <c r="B108" s="1781" t="s">
        <v>329</v>
      </c>
      <c r="C108" s="1781">
        <v>2018</v>
      </c>
      <c r="D108" s="1718"/>
      <c r="E108" s="2298">
        <v>13000</v>
      </c>
      <c r="F108" s="404">
        <f>F109+F110</f>
        <v>0</v>
      </c>
      <c r="G108" s="386" t="s">
        <v>12</v>
      </c>
      <c r="H108" s="590">
        <f>H109+H110</f>
        <v>13000</v>
      </c>
      <c r="I108" s="590">
        <f t="shared" ref="I108" si="137">I109+I110</f>
        <v>13000</v>
      </c>
      <c r="J108" s="590">
        <f t="shared" ref="J108" si="138">J109+J110</f>
        <v>0</v>
      </c>
      <c r="K108" s="590">
        <f t="shared" ref="K108" si="139">K109+K110</f>
        <v>0</v>
      </c>
      <c r="L108" s="590">
        <f t="shared" ref="L108" si="140">L109+L110</f>
        <v>0</v>
      </c>
      <c r="M108" s="590">
        <f t="shared" ref="M108" si="141">M109+M110</f>
        <v>0</v>
      </c>
      <c r="N108" s="1719"/>
      <c r="O108" s="1781" t="s">
        <v>16</v>
      </c>
      <c r="P108" s="2362" t="s">
        <v>1522</v>
      </c>
      <c r="Q108" s="93"/>
    </row>
    <row r="109" spans="1:23" s="1" customFormat="1" ht="39.75" customHeight="1" outlineLevel="1" x14ac:dyDescent="0.3">
      <c r="A109" s="2333"/>
      <c r="B109" s="1781"/>
      <c r="C109" s="1781"/>
      <c r="D109" s="1718"/>
      <c r="E109" s="2298"/>
      <c r="F109" s="404">
        <v>0</v>
      </c>
      <c r="G109" s="386" t="s">
        <v>13</v>
      </c>
      <c r="H109" s="590">
        <f>I109+J109+K109+L109+M109</f>
        <v>12350</v>
      </c>
      <c r="I109" s="589">
        <v>12350</v>
      </c>
      <c r="J109" s="589">
        <v>0</v>
      </c>
      <c r="K109" s="589">
        <v>0</v>
      </c>
      <c r="L109" s="589">
        <v>0</v>
      </c>
      <c r="M109" s="589">
        <v>0</v>
      </c>
      <c r="N109" s="1719"/>
      <c r="O109" s="1781"/>
      <c r="P109" s="2362"/>
      <c r="Q109" s="93">
        <f>I106/I105</f>
        <v>0.95</v>
      </c>
      <c r="W109" s="1">
        <v>1</v>
      </c>
    </row>
    <row r="110" spans="1:23" s="1" customFormat="1" ht="38.25" customHeight="1" outlineLevel="1" x14ac:dyDescent="0.3">
      <c r="A110" s="2333"/>
      <c r="B110" s="1781"/>
      <c r="C110" s="1781"/>
      <c r="D110" s="1718"/>
      <c r="E110" s="2298"/>
      <c r="F110" s="404">
        <v>0</v>
      </c>
      <c r="G110" s="386" t="s">
        <v>3</v>
      </c>
      <c r="H110" s="590">
        <f>I110+J110+K110+L110+M110</f>
        <v>650</v>
      </c>
      <c r="I110" s="589">
        <v>650</v>
      </c>
      <c r="J110" s="589">
        <v>0</v>
      </c>
      <c r="K110" s="589">
        <v>0</v>
      </c>
      <c r="L110" s="589">
        <v>0</v>
      </c>
      <c r="M110" s="589">
        <v>0</v>
      </c>
      <c r="N110" s="1719"/>
      <c r="O110" s="1781"/>
      <c r="P110" s="2362"/>
      <c r="Q110" s="93">
        <f>I107/I105</f>
        <v>0.05</v>
      </c>
    </row>
    <row r="111" spans="1:23" s="47" customFormat="1" ht="21.75" customHeight="1" outlineLevel="1" x14ac:dyDescent="0.3">
      <c r="A111" s="2333" t="s">
        <v>973</v>
      </c>
      <c r="B111" s="1781" t="s">
        <v>1079</v>
      </c>
      <c r="C111" s="1781"/>
      <c r="D111" s="1781"/>
      <c r="E111" s="1781"/>
      <c r="F111" s="1781"/>
      <c r="G111" s="386" t="s">
        <v>12</v>
      </c>
      <c r="H111" s="590">
        <f>H112+H113</f>
        <v>85000</v>
      </c>
      <c r="I111" s="590">
        <f>I112+I113</f>
        <v>85000</v>
      </c>
      <c r="J111" s="590">
        <f t="shared" ref="J111:M111" si="142">J112+J113</f>
        <v>0</v>
      </c>
      <c r="K111" s="590">
        <f t="shared" si="142"/>
        <v>0</v>
      </c>
      <c r="L111" s="590">
        <f t="shared" si="142"/>
        <v>0</v>
      </c>
      <c r="M111" s="590">
        <f t="shared" si="142"/>
        <v>0</v>
      </c>
      <c r="N111" s="1719"/>
      <c r="O111" s="1727"/>
      <c r="P111" s="2446" t="s">
        <v>934</v>
      </c>
      <c r="Q111" s="1"/>
    </row>
    <row r="112" spans="1:23" s="47" customFormat="1" ht="33.6" customHeight="1" outlineLevel="1" x14ac:dyDescent="0.3">
      <c r="A112" s="2333"/>
      <c r="B112" s="1781"/>
      <c r="C112" s="1781"/>
      <c r="D112" s="1781"/>
      <c r="E112" s="1781"/>
      <c r="F112" s="1781"/>
      <c r="G112" s="386" t="s">
        <v>13</v>
      </c>
      <c r="H112" s="590">
        <f>I112+J112+K112+L112+M112</f>
        <v>62390</v>
      </c>
      <c r="I112" s="589">
        <f>I115</f>
        <v>62390</v>
      </c>
      <c r="J112" s="589">
        <f t="shared" ref="J112:M112" si="143">J115</f>
        <v>0</v>
      </c>
      <c r="K112" s="589">
        <f t="shared" si="143"/>
        <v>0</v>
      </c>
      <c r="L112" s="589">
        <f t="shared" si="143"/>
        <v>0</v>
      </c>
      <c r="M112" s="589">
        <f t="shared" si="143"/>
        <v>0</v>
      </c>
      <c r="N112" s="1719"/>
      <c r="O112" s="1727"/>
      <c r="P112" s="2446"/>
      <c r="Q112" s="93">
        <f>I109/I108</f>
        <v>0.95</v>
      </c>
    </row>
    <row r="113" spans="1:23" s="47" customFormat="1" ht="38.25" customHeight="1" outlineLevel="1" x14ac:dyDescent="0.3">
      <c r="A113" s="2333"/>
      <c r="B113" s="1781"/>
      <c r="C113" s="1781"/>
      <c r="D113" s="1781"/>
      <c r="E113" s="1781"/>
      <c r="F113" s="1781"/>
      <c r="G113" s="386" t="s">
        <v>3</v>
      </c>
      <c r="H113" s="590">
        <f>I113+J113+K113+L113+M113</f>
        <v>22610</v>
      </c>
      <c r="I113" s="589">
        <f>I116</f>
        <v>22610</v>
      </c>
      <c r="J113" s="589">
        <f t="shared" ref="J113:M113" si="144">J116</f>
        <v>0</v>
      </c>
      <c r="K113" s="589">
        <f t="shared" si="144"/>
        <v>0</v>
      </c>
      <c r="L113" s="589">
        <f t="shared" si="144"/>
        <v>0</v>
      </c>
      <c r="M113" s="589">
        <f t="shared" si="144"/>
        <v>0</v>
      </c>
      <c r="N113" s="1719"/>
      <c r="O113" s="1727"/>
      <c r="P113" s="2446"/>
      <c r="Q113" s="93">
        <f>I110/I108</f>
        <v>0.05</v>
      </c>
    </row>
    <row r="114" spans="1:23" s="47" customFormat="1" ht="30" customHeight="1" outlineLevel="1" x14ac:dyDescent="0.3">
      <c r="A114" s="2333" t="s">
        <v>974</v>
      </c>
      <c r="B114" s="1717" t="s">
        <v>255</v>
      </c>
      <c r="C114" s="1718">
        <v>2018</v>
      </c>
      <c r="D114" s="1718"/>
      <c r="E114" s="1727">
        <v>85000</v>
      </c>
      <c r="F114" s="69">
        <f>F115+F116</f>
        <v>0</v>
      </c>
      <c r="G114" s="390" t="s">
        <v>12</v>
      </c>
      <c r="H114" s="590">
        <f>H115+H116</f>
        <v>85000</v>
      </c>
      <c r="I114" s="590">
        <f t="shared" ref="I114" si="145">I115+I116</f>
        <v>85000</v>
      </c>
      <c r="J114" s="590">
        <f t="shared" ref="J114" si="146">J115+J116</f>
        <v>0</v>
      </c>
      <c r="K114" s="590">
        <f t="shared" ref="K114" si="147">K115+K116</f>
        <v>0</v>
      </c>
      <c r="L114" s="590">
        <f t="shared" ref="L114" si="148">L115+L116</f>
        <v>0</v>
      </c>
      <c r="M114" s="590">
        <f t="shared" ref="M114" si="149">M115+M116</f>
        <v>0</v>
      </c>
      <c r="N114" s="1719"/>
      <c r="O114" s="1781" t="s">
        <v>16</v>
      </c>
      <c r="P114" s="2446" t="s">
        <v>1522</v>
      </c>
    </row>
    <row r="115" spans="1:23" s="47" customFormat="1" ht="33.6" customHeight="1" outlineLevel="1" x14ac:dyDescent="0.3">
      <c r="A115" s="2333"/>
      <c r="B115" s="1717"/>
      <c r="C115" s="1718"/>
      <c r="D115" s="1718"/>
      <c r="E115" s="1786"/>
      <c r="F115" s="69">
        <v>0</v>
      </c>
      <c r="G115" s="390" t="s">
        <v>13</v>
      </c>
      <c r="H115" s="590">
        <f>I115+J115+K115+L115+M115</f>
        <v>62390</v>
      </c>
      <c r="I115" s="589">
        <v>62390</v>
      </c>
      <c r="J115" s="589">
        <v>0</v>
      </c>
      <c r="K115" s="589">
        <v>0</v>
      </c>
      <c r="L115" s="589">
        <v>0</v>
      </c>
      <c r="M115" s="589">
        <v>0</v>
      </c>
      <c r="N115" s="1719"/>
      <c r="O115" s="1781"/>
      <c r="P115" s="2446"/>
      <c r="W115" s="47">
        <v>1</v>
      </c>
    </row>
    <row r="116" spans="1:23" s="47" customFormat="1" ht="32.25" customHeight="1" outlineLevel="1" x14ac:dyDescent="0.3">
      <c r="A116" s="2333"/>
      <c r="B116" s="1717"/>
      <c r="C116" s="1718"/>
      <c r="D116" s="1718"/>
      <c r="E116" s="1786"/>
      <c r="F116" s="69">
        <v>0</v>
      </c>
      <c r="G116" s="390" t="s">
        <v>14</v>
      </c>
      <c r="H116" s="590">
        <f>I116+J116+K116+L116+M116</f>
        <v>22610</v>
      </c>
      <c r="I116" s="589">
        <v>22610</v>
      </c>
      <c r="J116" s="589">
        <v>0</v>
      </c>
      <c r="K116" s="589">
        <v>0</v>
      </c>
      <c r="L116" s="589">
        <v>0</v>
      </c>
      <c r="M116" s="589">
        <v>0</v>
      </c>
      <c r="N116" s="1719"/>
      <c r="O116" s="1781"/>
      <c r="P116" s="2446"/>
    </row>
    <row r="117" spans="1:23" s="47" customFormat="1" ht="39" customHeight="1" outlineLevel="1" x14ac:dyDescent="0.3">
      <c r="A117" s="2333" t="s">
        <v>703</v>
      </c>
      <c r="B117" s="1781" t="s">
        <v>1538</v>
      </c>
      <c r="C117" s="1781"/>
      <c r="D117" s="1781"/>
      <c r="E117" s="1781"/>
      <c r="F117" s="1781"/>
      <c r="G117" s="1196" t="s">
        <v>12</v>
      </c>
      <c r="H117" s="1197">
        <f>H119+H118</f>
        <v>23077.52</v>
      </c>
      <c r="I117" s="1198">
        <f>I119+I118</f>
        <v>23077.52</v>
      </c>
      <c r="J117" s="590">
        <f t="shared" ref="J117:M117" si="150">J118+J119</f>
        <v>0</v>
      </c>
      <c r="K117" s="590">
        <f t="shared" si="150"/>
        <v>0</v>
      </c>
      <c r="L117" s="590">
        <f t="shared" si="150"/>
        <v>0</v>
      </c>
      <c r="M117" s="590">
        <f t="shared" si="150"/>
        <v>0</v>
      </c>
      <c r="N117" s="69"/>
      <c r="O117" s="1727"/>
      <c r="P117" s="2446"/>
    </row>
    <row r="118" spans="1:23" s="47" customFormat="1" ht="32.25" customHeight="1" outlineLevel="1" x14ac:dyDescent="0.3">
      <c r="A118" s="2333"/>
      <c r="B118" s="1781"/>
      <c r="C118" s="1781"/>
      <c r="D118" s="1781"/>
      <c r="E118" s="1781"/>
      <c r="F118" s="1781"/>
      <c r="G118" s="1196" t="s">
        <v>13</v>
      </c>
      <c r="H118" s="1197">
        <f>I118+J118+K118+L118+M118</f>
        <v>17154.18</v>
      </c>
      <c r="I118" s="1198">
        <f>I121</f>
        <v>17154.18</v>
      </c>
      <c r="J118" s="589">
        <v>0</v>
      </c>
      <c r="K118" s="589">
        <v>0</v>
      </c>
      <c r="L118" s="589">
        <v>0</v>
      </c>
      <c r="M118" s="589">
        <v>0</v>
      </c>
      <c r="N118" s="69"/>
      <c r="O118" s="1727"/>
      <c r="P118" s="2446"/>
    </row>
    <row r="119" spans="1:23" s="47" customFormat="1" ht="69" outlineLevel="1" x14ac:dyDescent="0.3">
      <c r="A119" s="2333"/>
      <c r="B119" s="1781"/>
      <c r="C119" s="1781"/>
      <c r="D119" s="1781"/>
      <c r="E119" s="1781"/>
      <c r="F119" s="1781"/>
      <c r="G119" s="1196" t="s">
        <v>3</v>
      </c>
      <c r="H119" s="1197">
        <f>I119+J119+K119+L119+M119</f>
        <v>5923.34</v>
      </c>
      <c r="I119" s="1198">
        <f>I122</f>
        <v>5923.34</v>
      </c>
      <c r="J119" s="589">
        <v>0</v>
      </c>
      <c r="K119" s="589">
        <v>0</v>
      </c>
      <c r="L119" s="589">
        <v>0</v>
      </c>
      <c r="M119" s="589">
        <v>0</v>
      </c>
      <c r="N119" s="69"/>
      <c r="O119" s="1727"/>
      <c r="P119" s="2446"/>
    </row>
    <row r="120" spans="1:23" s="47" customFormat="1" outlineLevel="1" x14ac:dyDescent="0.3">
      <c r="A120" s="2333" t="s">
        <v>1003</v>
      </c>
      <c r="B120" s="2333" t="s">
        <v>1004</v>
      </c>
      <c r="C120" s="1786" t="s">
        <v>82</v>
      </c>
      <c r="D120" s="1786" t="s">
        <v>1005</v>
      </c>
      <c r="E120" s="1727">
        <v>27207.58</v>
      </c>
      <c r="F120" s="69">
        <f>F122+F121</f>
        <v>4130.0600000000004</v>
      </c>
      <c r="G120" s="1147" t="s">
        <v>12</v>
      </c>
      <c r="H120" s="1006">
        <f>H122+H121</f>
        <v>23077.52</v>
      </c>
      <c r="I120" s="1006">
        <f>I122+I121</f>
        <v>23077.52</v>
      </c>
      <c r="J120" s="590">
        <f t="shared" ref="J120:M120" si="151">J121+J122</f>
        <v>0</v>
      </c>
      <c r="K120" s="590">
        <f t="shared" si="151"/>
        <v>0</v>
      </c>
      <c r="L120" s="590">
        <f t="shared" si="151"/>
        <v>0</v>
      </c>
      <c r="M120" s="590">
        <f t="shared" si="151"/>
        <v>0</v>
      </c>
      <c r="N120" s="69"/>
      <c r="O120" s="1781" t="s">
        <v>16</v>
      </c>
      <c r="P120" s="2352" t="s">
        <v>1544</v>
      </c>
    </row>
    <row r="121" spans="1:23" s="47" customFormat="1" ht="27" outlineLevel="1" thickBot="1" x14ac:dyDescent="0.35">
      <c r="A121" s="2333"/>
      <c r="B121" s="2333"/>
      <c r="C121" s="1786"/>
      <c r="D121" s="1786"/>
      <c r="E121" s="1786"/>
      <c r="F121" s="69">
        <v>3095.82</v>
      </c>
      <c r="G121" s="1147" t="s">
        <v>13</v>
      </c>
      <c r="H121" s="1006">
        <f>I121+J121+K121+L121+M121</f>
        <v>17154.18</v>
      </c>
      <c r="I121" s="1050">
        <f>20250-F121</f>
        <v>17154.18</v>
      </c>
      <c r="J121" s="589">
        <v>0</v>
      </c>
      <c r="K121" s="589">
        <v>0</v>
      </c>
      <c r="L121" s="589">
        <v>0</v>
      </c>
      <c r="M121" s="589">
        <v>0</v>
      </c>
      <c r="N121" s="69"/>
      <c r="O121" s="1781"/>
      <c r="P121" s="2353"/>
      <c r="W121" s="47">
        <v>1</v>
      </c>
    </row>
    <row r="122" spans="1:23" s="47" customFormat="1" ht="66.599999999999994" outlineLevel="1" thickBot="1" x14ac:dyDescent="0.55000000000000004">
      <c r="A122" s="2333"/>
      <c r="B122" s="2333"/>
      <c r="C122" s="1786"/>
      <c r="D122" s="1786"/>
      <c r="E122" s="1786"/>
      <c r="F122" s="69">
        <f>(343.98*0)+1034.24</f>
        <v>1034.24</v>
      </c>
      <c r="G122" s="1147" t="s">
        <v>3</v>
      </c>
      <c r="H122" s="1006">
        <f>I122+J122+K122+L122+M122</f>
        <v>5923.34</v>
      </c>
      <c r="I122" s="1050">
        <v>5923.34</v>
      </c>
      <c r="J122" s="589">
        <v>0</v>
      </c>
      <c r="K122" s="589">
        <v>0</v>
      </c>
      <c r="L122" s="589">
        <v>0</v>
      </c>
      <c r="M122" s="589">
        <v>0</v>
      </c>
      <c r="N122" s="69"/>
      <c r="O122" s="1781"/>
      <c r="P122" s="2354"/>
      <c r="Q122" s="1202" t="s">
        <v>1618</v>
      </c>
    </row>
    <row r="123" spans="1:23" s="47" customFormat="1" ht="24.75" customHeight="1" outlineLevel="1" x14ac:dyDescent="0.3">
      <c r="A123" s="2333" t="s">
        <v>704</v>
      </c>
      <c r="B123" s="1781" t="s">
        <v>1006</v>
      </c>
      <c r="C123" s="1781"/>
      <c r="D123" s="1781"/>
      <c r="E123" s="1781"/>
      <c r="F123" s="1781"/>
      <c r="G123" s="390" t="s">
        <v>12</v>
      </c>
      <c r="H123" s="590">
        <f>H124+H125</f>
        <v>80190.59</v>
      </c>
      <c r="I123" s="589">
        <f>I124+I125</f>
        <v>80190.59</v>
      </c>
      <c r="J123" s="589">
        <v>0</v>
      </c>
      <c r="K123" s="589">
        <v>0</v>
      </c>
      <c r="L123" s="589">
        <v>0</v>
      </c>
      <c r="M123" s="589">
        <v>0</v>
      </c>
      <c r="N123" s="69"/>
      <c r="O123" s="1538"/>
      <c r="P123" s="2352"/>
    </row>
    <row r="124" spans="1:23" s="47" customFormat="1" ht="26.4" outlineLevel="1" x14ac:dyDescent="0.3">
      <c r="A124" s="2333"/>
      <c r="B124" s="1781"/>
      <c r="C124" s="1781"/>
      <c r="D124" s="1781"/>
      <c r="E124" s="1781"/>
      <c r="F124" s="1781"/>
      <c r="G124" s="390" t="s">
        <v>13</v>
      </c>
      <c r="H124" s="590">
        <f>I124+J124+K124+L124+M124</f>
        <v>76181.06</v>
      </c>
      <c r="I124" s="589">
        <f>I127</f>
        <v>76181.06</v>
      </c>
      <c r="J124" s="589">
        <v>0</v>
      </c>
      <c r="K124" s="589">
        <v>0</v>
      </c>
      <c r="L124" s="589">
        <v>0</v>
      </c>
      <c r="M124" s="589">
        <v>0</v>
      </c>
      <c r="N124" s="69"/>
      <c r="O124" s="1538"/>
      <c r="P124" s="2353"/>
    </row>
    <row r="125" spans="1:23" s="47" customFormat="1" ht="36.75" customHeight="1" outlineLevel="1" x14ac:dyDescent="0.3">
      <c r="A125" s="2333"/>
      <c r="B125" s="1781"/>
      <c r="C125" s="1781"/>
      <c r="D125" s="1781"/>
      <c r="E125" s="1781"/>
      <c r="F125" s="1781"/>
      <c r="G125" s="390" t="s">
        <v>14</v>
      </c>
      <c r="H125" s="590">
        <f>I125+J125+K125+L125+M125</f>
        <v>4009.53</v>
      </c>
      <c r="I125" s="589">
        <f>I128</f>
        <v>4009.53</v>
      </c>
      <c r="J125" s="589">
        <v>0</v>
      </c>
      <c r="K125" s="589">
        <v>0</v>
      </c>
      <c r="L125" s="589">
        <v>0</v>
      </c>
      <c r="M125" s="589">
        <v>0</v>
      </c>
      <c r="N125" s="69"/>
      <c r="O125" s="1538"/>
      <c r="P125" s="2487"/>
    </row>
    <row r="126" spans="1:23" s="47" customFormat="1" outlineLevel="1" x14ac:dyDescent="0.3">
      <c r="A126" s="2333" t="s">
        <v>1008</v>
      </c>
      <c r="B126" s="1717" t="s">
        <v>1007</v>
      </c>
      <c r="C126" s="2510">
        <v>2018</v>
      </c>
      <c r="D126" s="1786"/>
      <c r="E126" s="1786">
        <v>80190.59</v>
      </c>
      <c r="F126" s="69">
        <v>0</v>
      </c>
      <c r="G126" s="390" t="s">
        <v>12</v>
      </c>
      <c r="H126" s="590">
        <f>H127+H128</f>
        <v>80190.59</v>
      </c>
      <c r="I126" s="589">
        <v>80190.59</v>
      </c>
      <c r="J126" s="589">
        <v>0</v>
      </c>
      <c r="K126" s="589">
        <v>0</v>
      </c>
      <c r="L126" s="589">
        <v>0</v>
      </c>
      <c r="M126" s="589">
        <v>0</v>
      </c>
      <c r="N126" s="69"/>
      <c r="O126" s="1781" t="s">
        <v>16</v>
      </c>
      <c r="P126" s="2352" t="s">
        <v>1545</v>
      </c>
    </row>
    <row r="127" spans="1:23" s="47" customFormat="1" ht="26.4" outlineLevel="1" x14ac:dyDescent="0.3">
      <c r="A127" s="2333"/>
      <c r="B127" s="1717"/>
      <c r="C127" s="2510"/>
      <c r="D127" s="1786"/>
      <c r="E127" s="1786"/>
      <c r="F127" s="69">
        <v>0</v>
      </c>
      <c r="G127" s="390" t="s">
        <v>13</v>
      </c>
      <c r="H127" s="590">
        <f>I127+J127+K127+L127+M127</f>
        <v>76181.06</v>
      </c>
      <c r="I127" s="589">
        <v>76181.06</v>
      </c>
      <c r="J127" s="589">
        <v>0</v>
      </c>
      <c r="K127" s="589">
        <v>0</v>
      </c>
      <c r="L127" s="589">
        <v>0</v>
      </c>
      <c r="M127" s="589">
        <v>0</v>
      </c>
      <c r="N127" s="69"/>
      <c r="O127" s="1781"/>
      <c r="P127" s="2353"/>
      <c r="W127" s="47">
        <v>1</v>
      </c>
    </row>
    <row r="128" spans="1:23" s="47" customFormat="1" ht="52.8" outlineLevel="1" x14ac:dyDescent="0.3">
      <c r="A128" s="2333"/>
      <c r="B128" s="1717"/>
      <c r="C128" s="2510"/>
      <c r="D128" s="1786"/>
      <c r="E128" s="1786"/>
      <c r="F128" s="69">
        <v>0</v>
      </c>
      <c r="G128" s="390" t="s">
        <v>14</v>
      </c>
      <c r="H128" s="590">
        <f>I128+J128+K128+L128+M128+N128</f>
        <v>4009.53</v>
      </c>
      <c r="I128" s="589">
        <v>4009.53</v>
      </c>
      <c r="J128" s="589">
        <v>0</v>
      </c>
      <c r="K128" s="589">
        <v>0</v>
      </c>
      <c r="L128" s="589">
        <v>0</v>
      </c>
      <c r="M128" s="589">
        <v>0</v>
      </c>
      <c r="N128" s="69"/>
      <c r="O128" s="1781"/>
      <c r="P128" s="2487"/>
    </row>
    <row r="129" spans="1:24" s="1" customFormat="1" outlineLevel="1" x14ac:dyDescent="0.3">
      <c r="A129" s="2333" t="s">
        <v>705</v>
      </c>
      <c r="B129" s="1718" t="s">
        <v>1070</v>
      </c>
      <c r="C129" s="1718"/>
      <c r="D129" s="1718"/>
      <c r="E129" s="1718"/>
      <c r="F129" s="1718"/>
      <c r="G129" s="390" t="s">
        <v>12</v>
      </c>
      <c r="H129" s="590">
        <f>H130+H131</f>
        <v>30901.439999999999</v>
      </c>
      <c r="I129" s="589">
        <f>I130+I131</f>
        <v>30901.439999999999</v>
      </c>
      <c r="J129" s="589">
        <v>0</v>
      </c>
      <c r="K129" s="589">
        <v>0</v>
      </c>
      <c r="L129" s="589">
        <v>0</v>
      </c>
      <c r="M129" s="589">
        <v>0</v>
      </c>
      <c r="N129" s="69"/>
      <c r="O129" s="389"/>
      <c r="P129" s="382"/>
      <c r="Q129" s="47"/>
    </row>
    <row r="130" spans="1:24" s="47" customFormat="1" ht="26.4" outlineLevel="1" x14ac:dyDescent="0.3">
      <c r="A130" s="2333"/>
      <c r="B130" s="1718"/>
      <c r="C130" s="1718"/>
      <c r="D130" s="1718"/>
      <c r="E130" s="1718"/>
      <c r="F130" s="1718"/>
      <c r="G130" s="390" t="s">
        <v>13</v>
      </c>
      <c r="H130" s="590">
        <f>I130+J130+K130+L130+M130</f>
        <v>27811.29</v>
      </c>
      <c r="I130" s="589">
        <f>I133</f>
        <v>27811.29</v>
      </c>
      <c r="J130" s="589">
        <f t="shared" ref="J130:M130" si="152">J133</f>
        <v>0</v>
      </c>
      <c r="K130" s="589">
        <f t="shared" si="152"/>
        <v>0</v>
      </c>
      <c r="L130" s="589">
        <f t="shared" si="152"/>
        <v>0</v>
      </c>
      <c r="M130" s="589">
        <f t="shared" si="152"/>
        <v>0</v>
      </c>
      <c r="N130" s="69"/>
      <c r="O130" s="1727"/>
      <c r="P130" s="2485"/>
    </row>
    <row r="131" spans="1:24" s="47" customFormat="1" ht="25.5" customHeight="1" outlineLevel="1" x14ac:dyDescent="0.3">
      <c r="A131" s="2333"/>
      <c r="B131" s="1718"/>
      <c r="C131" s="1718"/>
      <c r="D131" s="1718"/>
      <c r="E131" s="1718"/>
      <c r="F131" s="1718"/>
      <c r="G131" s="390" t="s">
        <v>14</v>
      </c>
      <c r="H131" s="590">
        <f>I131+J131+K131+L131+M131</f>
        <v>3090.15</v>
      </c>
      <c r="I131" s="589">
        <f>I134</f>
        <v>3090.15</v>
      </c>
      <c r="J131" s="589">
        <v>0</v>
      </c>
      <c r="K131" s="589">
        <v>0</v>
      </c>
      <c r="L131" s="589">
        <v>0</v>
      </c>
      <c r="M131" s="589">
        <v>0</v>
      </c>
      <c r="N131" s="69"/>
      <c r="O131" s="1727"/>
      <c r="P131" s="2485"/>
      <c r="Q131" s="47">
        <f>I116/I114</f>
        <v>0.26600000000000001</v>
      </c>
    </row>
    <row r="132" spans="1:24" s="47" customFormat="1" outlineLevel="1" x14ac:dyDescent="0.3">
      <c r="A132" s="2333" t="s">
        <v>1071</v>
      </c>
      <c r="B132" s="1718" t="s">
        <v>1000</v>
      </c>
      <c r="C132" s="1786" t="s">
        <v>82</v>
      </c>
      <c r="D132" s="1786" t="s">
        <v>1001</v>
      </c>
      <c r="E132" s="1727">
        <v>41661.050000000003</v>
      </c>
      <c r="F132" s="389">
        <f>F133+F134</f>
        <v>10759.61</v>
      </c>
      <c r="G132" s="390" t="s">
        <v>12</v>
      </c>
      <c r="H132" s="589">
        <f>H133+H134</f>
        <v>30901.439999999999</v>
      </c>
      <c r="I132" s="589">
        <f>I133+I134</f>
        <v>30901.439999999999</v>
      </c>
      <c r="J132" s="589">
        <v>0</v>
      </c>
      <c r="K132" s="589">
        <v>0</v>
      </c>
      <c r="L132" s="589">
        <v>0</v>
      </c>
      <c r="M132" s="589">
        <v>0</v>
      </c>
      <c r="N132" s="69"/>
      <c r="O132" s="1727"/>
      <c r="P132" s="2485"/>
      <c r="Q132" s="1"/>
    </row>
    <row r="133" spans="1:24" s="1" customFormat="1" ht="26.4" outlineLevel="1" x14ac:dyDescent="0.3">
      <c r="A133" s="2333"/>
      <c r="B133" s="1718"/>
      <c r="C133" s="1786"/>
      <c r="D133" s="1786"/>
      <c r="E133" s="1727"/>
      <c r="F133" s="389">
        <v>9683.65</v>
      </c>
      <c r="G133" s="390" t="s">
        <v>13</v>
      </c>
      <c r="H133" s="589">
        <f>I133+J133+K133+L133+M133</f>
        <v>27811.29</v>
      </c>
      <c r="I133" s="589">
        <f>37494.94-9683.65</f>
        <v>27811.29</v>
      </c>
      <c r="J133" s="589">
        <v>0</v>
      </c>
      <c r="K133" s="589">
        <v>0</v>
      </c>
      <c r="L133" s="589">
        <v>0</v>
      </c>
      <c r="M133" s="589">
        <v>0</v>
      </c>
      <c r="N133" s="69"/>
      <c r="O133" s="390"/>
      <c r="P133" s="1150" t="s">
        <v>1544</v>
      </c>
      <c r="Q133" s="47"/>
      <c r="W133" s="1">
        <v>1</v>
      </c>
    </row>
    <row r="134" spans="1:24" s="1" customFormat="1" ht="53.25" customHeight="1" outlineLevel="1" x14ac:dyDescent="0.3">
      <c r="A134" s="2333"/>
      <c r="B134" s="1718"/>
      <c r="C134" s="1786"/>
      <c r="D134" s="1786"/>
      <c r="E134" s="1727"/>
      <c r="F134" s="389">
        <v>1075.96</v>
      </c>
      <c r="G134" s="390" t="s">
        <v>14</v>
      </c>
      <c r="H134" s="589">
        <f>I134+J134+K134+L134+M134</f>
        <v>3090.15</v>
      </c>
      <c r="I134" s="589">
        <f>4166.11-1075.96</f>
        <v>3090.15</v>
      </c>
      <c r="J134" s="589">
        <v>0</v>
      </c>
      <c r="K134" s="589">
        <v>0</v>
      </c>
      <c r="L134" s="589">
        <v>0</v>
      </c>
      <c r="M134" s="589">
        <v>0</v>
      </c>
      <c r="N134" s="69"/>
      <c r="O134" s="584"/>
      <c r="P134" s="73"/>
      <c r="Q134" s="47"/>
    </row>
    <row r="135" spans="1:24" s="1" customFormat="1" outlineLevel="1" x14ac:dyDescent="0.3">
      <c r="A135" s="2333" t="s">
        <v>706</v>
      </c>
      <c r="B135" s="2021" t="s">
        <v>1660</v>
      </c>
      <c r="C135" s="2021"/>
      <c r="D135" s="2021"/>
      <c r="E135" s="2021"/>
      <c r="F135" s="2021"/>
      <c r="G135" s="801" t="s">
        <v>12</v>
      </c>
      <c r="H135" s="589">
        <f>H136+H137</f>
        <v>80000</v>
      </c>
      <c r="I135" s="589">
        <f>I136+I137</f>
        <v>30000</v>
      </c>
      <c r="J135" s="589">
        <f>J136+J137</f>
        <v>50000</v>
      </c>
      <c r="K135" s="589">
        <f>K136+K137</f>
        <v>0</v>
      </c>
      <c r="L135" s="589">
        <v>0</v>
      </c>
      <c r="M135" s="589">
        <v>0</v>
      </c>
      <c r="N135" s="69"/>
      <c r="O135" s="584"/>
      <c r="P135" s="73"/>
      <c r="Q135" s="47"/>
    </row>
    <row r="136" spans="1:24" s="1" customFormat="1" ht="26.4" outlineLevel="1" x14ac:dyDescent="0.3">
      <c r="A136" s="2333"/>
      <c r="B136" s="2021"/>
      <c r="C136" s="2021"/>
      <c r="D136" s="2021"/>
      <c r="E136" s="2021"/>
      <c r="F136" s="2021"/>
      <c r="G136" s="801" t="s">
        <v>13</v>
      </c>
      <c r="H136" s="589">
        <f>I136+J136+K136+L136+M136</f>
        <v>66720</v>
      </c>
      <c r="I136" s="589">
        <f t="shared" ref="I136:K137" si="153">I139</f>
        <v>25020</v>
      </c>
      <c r="J136" s="589">
        <f t="shared" si="153"/>
        <v>41700</v>
      </c>
      <c r="K136" s="589">
        <f t="shared" si="153"/>
        <v>0</v>
      </c>
      <c r="L136" s="589">
        <v>0</v>
      </c>
      <c r="M136" s="589">
        <v>0</v>
      </c>
      <c r="N136" s="69"/>
      <c r="O136" s="584"/>
      <c r="P136" s="73"/>
      <c r="Q136" s="47"/>
    </row>
    <row r="137" spans="1:24" s="1" customFormat="1" ht="29.25" customHeight="1" outlineLevel="1" x14ac:dyDescent="0.3">
      <c r="A137" s="2333"/>
      <c r="B137" s="2021"/>
      <c r="C137" s="2021"/>
      <c r="D137" s="2021"/>
      <c r="E137" s="2021"/>
      <c r="F137" s="2021"/>
      <c r="G137" s="801" t="s">
        <v>14</v>
      </c>
      <c r="H137" s="589">
        <f>I137+J137+K137+L137+M137</f>
        <v>13280</v>
      </c>
      <c r="I137" s="589">
        <f t="shared" si="153"/>
        <v>4980</v>
      </c>
      <c r="J137" s="589">
        <f t="shared" si="153"/>
        <v>8300</v>
      </c>
      <c r="K137" s="589">
        <f t="shared" si="153"/>
        <v>0</v>
      </c>
      <c r="L137" s="589">
        <v>0</v>
      </c>
      <c r="M137" s="589">
        <v>0</v>
      </c>
      <c r="N137" s="69"/>
      <c r="O137" s="584"/>
      <c r="P137" s="73"/>
      <c r="Q137" s="47"/>
    </row>
    <row r="138" spans="1:24" s="1" customFormat="1" outlineLevel="1" x14ac:dyDescent="0.3">
      <c r="A138" s="2333" t="s">
        <v>1074</v>
      </c>
      <c r="B138" s="1718" t="s">
        <v>1661</v>
      </c>
      <c r="C138" s="1786" t="s">
        <v>1468</v>
      </c>
      <c r="D138" s="1948"/>
      <c r="E138" s="2298">
        <f>H138</f>
        <v>80000</v>
      </c>
      <c r="F138" s="1334">
        <f>F139+F140</f>
        <v>0</v>
      </c>
      <c r="G138" s="1333" t="s">
        <v>12</v>
      </c>
      <c r="H138" s="589">
        <f>H139+H140</f>
        <v>80000</v>
      </c>
      <c r="I138" s="589">
        <f>I139+I140</f>
        <v>30000</v>
      </c>
      <c r="J138" s="589">
        <f>J139/0.834</f>
        <v>50000</v>
      </c>
      <c r="K138" s="589">
        <f>K139/0.834</f>
        <v>0</v>
      </c>
      <c r="L138" s="589">
        <v>0</v>
      </c>
      <c r="M138" s="589">
        <v>0</v>
      </c>
      <c r="N138" s="69"/>
      <c r="O138" s="584"/>
      <c r="P138" s="73"/>
      <c r="Q138" s="47"/>
    </row>
    <row r="139" spans="1:24" s="1" customFormat="1" ht="26.4" outlineLevel="1" x14ac:dyDescent="0.3">
      <c r="A139" s="2333"/>
      <c r="B139" s="1718"/>
      <c r="C139" s="1786"/>
      <c r="D139" s="1948"/>
      <c r="E139" s="2298"/>
      <c r="F139" s="1334">
        <v>0</v>
      </c>
      <c r="G139" s="1333" t="s">
        <v>13</v>
      </c>
      <c r="H139" s="589">
        <f>I139+J139+K139+L139+M139</f>
        <v>66720</v>
      </c>
      <c r="I139" s="589">
        <v>25020</v>
      </c>
      <c r="J139" s="589">
        <v>41700</v>
      </c>
      <c r="K139" s="589">
        <v>0</v>
      </c>
      <c r="L139" s="589">
        <v>0</v>
      </c>
      <c r="M139" s="589">
        <v>0</v>
      </c>
      <c r="N139" s="69"/>
      <c r="O139" s="584"/>
      <c r="P139" s="73" t="s">
        <v>1546</v>
      </c>
      <c r="Q139" s="47"/>
      <c r="X139" s="1">
        <v>1</v>
      </c>
    </row>
    <row r="140" spans="1:24" s="1" customFormat="1" ht="52.8" outlineLevel="1" x14ac:dyDescent="0.3">
      <c r="A140" s="2333"/>
      <c r="B140" s="1718"/>
      <c r="C140" s="1786"/>
      <c r="D140" s="1948"/>
      <c r="E140" s="2298"/>
      <c r="F140" s="1334">
        <v>0</v>
      </c>
      <c r="G140" s="1333" t="s">
        <v>14</v>
      </c>
      <c r="H140" s="589">
        <f>I140+J140+K140+L140+M140</f>
        <v>13280</v>
      </c>
      <c r="I140" s="589">
        <v>4980</v>
      </c>
      <c r="J140" s="589">
        <v>8300</v>
      </c>
      <c r="K140" s="589">
        <v>0</v>
      </c>
      <c r="L140" s="589">
        <v>0</v>
      </c>
      <c r="M140" s="589">
        <v>0</v>
      </c>
      <c r="N140" s="69"/>
      <c r="O140" s="584"/>
      <c r="P140" s="1366">
        <v>0.83399999999999996</v>
      </c>
      <c r="Q140" s="47"/>
    </row>
    <row r="141" spans="1:24" s="1" customFormat="1" outlineLevel="1" x14ac:dyDescent="0.3">
      <c r="A141" s="2333" t="s">
        <v>707</v>
      </c>
      <c r="B141" s="1755" t="s">
        <v>1342</v>
      </c>
      <c r="C141" s="1756"/>
      <c r="D141" s="1756"/>
      <c r="E141" s="1756"/>
      <c r="F141" s="1757"/>
      <c r="G141" s="801" t="s">
        <v>12</v>
      </c>
      <c r="H141" s="590">
        <f>H142+H143</f>
        <v>5000</v>
      </c>
      <c r="I141" s="590">
        <f>I142+I143</f>
        <v>5000</v>
      </c>
      <c r="J141" s="589">
        <v>0</v>
      </c>
      <c r="K141" s="589">
        <v>0</v>
      </c>
      <c r="L141" s="589">
        <v>0</v>
      </c>
      <c r="M141" s="589">
        <v>0</v>
      </c>
      <c r="N141" s="69"/>
      <c r="O141" s="584"/>
      <c r="P141" s="266"/>
      <c r="Q141" s="47"/>
    </row>
    <row r="142" spans="1:24" s="1" customFormat="1" ht="26.4" outlineLevel="1" x14ac:dyDescent="0.3">
      <c r="A142" s="2333"/>
      <c r="B142" s="1758"/>
      <c r="C142" s="1759"/>
      <c r="D142" s="1759"/>
      <c r="E142" s="1759"/>
      <c r="F142" s="1760"/>
      <c r="G142" s="801" t="s">
        <v>13</v>
      </c>
      <c r="H142" s="590">
        <f>H145</f>
        <v>3980</v>
      </c>
      <c r="I142" s="590">
        <f>I145</f>
        <v>3980</v>
      </c>
      <c r="J142" s="589">
        <v>0</v>
      </c>
      <c r="K142" s="589">
        <v>0</v>
      </c>
      <c r="L142" s="589">
        <v>0</v>
      </c>
      <c r="M142" s="589">
        <v>0</v>
      </c>
      <c r="N142" s="69"/>
      <c r="O142" s="584"/>
      <c r="P142" s="266"/>
      <c r="Q142" s="47"/>
    </row>
    <row r="143" spans="1:24" s="1" customFormat="1" ht="27.75" customHeight="1" outlineLevel="1" x14ac:dyDescent="0.3">
      <c r="A143" s="2333"/>
      <c r="B143" s="1761"/>
      <c r="C143" s="1762"/>
      <c r="D143" s="1762"/>
      <c r="E143" s="1762"/>
      <c r="F143" s="1763"/>
      <c r="G143" s="801" t="s">
        <v>14</v>
      </c>
      <c r="H143" s="590">
        <f>H146</f>
        <v>1020</v>
      </c>
      <c r="I143" s="590">
        <f>I146</f>
        <v>1020</v>
      </c>
      <c r="J143" s="589">
        <v>0</v>
      </c>
      <c r="K143" s="589">
        <v>0</v>
      </c>
      <c r="L143" s="589">
        <v>0</v>
      </c>
      <c r="M143" s="589">
        <v>0</v>
      </c>
      <c r="N143" s="69"/>
      <c r="O143" s="584"/>
      <c r="P143" s="266"/>
      <c r="Q143" s="47"/>
    </row>
    <row r="144" spans="1:24" s="1" customFormat="1" outlineLevel="1" x14ac:dyDescent="0.3">
      <c r="A144" s="2333" t="s">
        <v>1431</v>
      </c>
      <c r="B144" s="1778" t="s">
        <v>1427</v>
      </c>
      <c r="C144" s="2233">
        <v>2018</v>
      </c>
      <c r="D144" s="2233"/>
      <c r="E144" s="2357">
        <f>H144</f>
        <v>5000</v>
      </c>
      <c r="F144" s="1022">
        <f>F145+F146</f>
        <v>0</v>
      </c>
      <c r="G144" s="801" t="s">
        <v>12</v>
      </c>
      <c r="H144" s="589">
        <f>H145+H146</f>
        <v>5000</v>
      </c>
      <c r="I144" s="589">
        <v>5000</v>
      </c>
      <c r="J144" s="589">
        <v>0</v>
      </c>
      <c r="K144" s="589">
        <v>0</v>
      </c>
      <c r="L144" s="589">
        <v>0</v>
      </c>
      <c r="M144" s="589">
        <v>0</v>
      </c>
      <c r="N144" s="69"/>
      <c r="O144" s="584"/>
      <c r="P144" s="266" t="s">
        <v>1395</v>
      </c>
      <c r="Q144" s="47"/>
    </row>
    <row r="145" spans="1:27" s="1" customFormat="1" ht="26.4" outlineLevel="1" x14ac:dyDescent="0.3">
      <c r="A145" s="2333"/>
      <c r="B145" s="1779"/>
      <c r="C145" s="1521"/>
      <c r="D145" s="1521"/>
      <c r="E145" s="2358"/>
      <c r="F145" s="1022">
        <v>0</v>
      </c>
      <c r="G145" s="801" t="s">
        <v>13</v>
      </c>
      <c r="H145" s="589">
        <f>I145</f>
        <v>3980</v>
      </c>
      <c r="I145" s="589">
        <v>3980</v>
      </c>
      <c r="J145" s="589">
        <v>0</v>
      </c>
      <c r="K145" s="589">
        <v>0</v>
      </c>
      <c r="L145" s="589">
        <v>0</v>
      </c>
      <c r="M145" s="589">
        <v>0</v>
      </c>
      <c r="N145" s="69"/>
      <c r="O145" s="584"/>
      <c r="P145" s="266" t="s">
        <v>1547</v>
      </c>
      <c r="Q145" s="47"/>
      <c r="W145" s="1">
        <v>1</v>
      </c>
    </row>
    <row r="146" spans="1:27" s="1" customFormat="1" ht="33" customHeight="1" outlineLevel="1" x14ac:dyDescent="0.45">
      <c r="A146" s="2333"/>
      <c r="B146" s="1780"/>
      <c r="C146" s="1522"/>
      <c r="D146" s="1522"/>
      <c r="E146" s="2359"/>
      <c r="F146" s="1022">
        <v>0</v>
      </c>
      <c r="G146" s="801" t="s">
        <v>14</v>
      </c>
      <c r="H146" s="589">
        <f>I146</f>
        <v>1020</v>
      </c>
      <c r="I146" s="589">
        <f>I144-I145</f>
        <v>1020</v>
      </c>
      <c r="J146" s="589">
        <v>0</v>
      </c>
      <c r="K146" s="589">
        <v>0</v>
      </c>
      <c r="L146" s="589">
        <v>0</v>
      </c>
      <c r="M146" s="589">
        <v>0</v>
      </c>
      <c r="N146" s="69"/>
      <c r="O146" s="584"/>
      <c r="P146" s="860"/>
      <c r="Q146" s="47"/>
    </row>
    <row r="147" spans="1:27" s="311" customFormat="1" ht="33" customHeight="1" outlineLevel="1" x14ac:dyDescent="0.3">
      <c r="A147" s="1408" t="s">
        <v>708</v>
      </c>
      <c r="B147" s="1397" t="s">
        <v>1658</v>
      </c>
      <c r="C147" s="1398"/>
      <c r="D147" s="1398"/>
      <c r="E147" s="1399"/>
      <c r="F147" s="1400"/>
      <c r="G147" s="1394" t="s">
        <v>12</v>
      </c>
      <c r="H147" s="1006">
        <f>H148+H149</f>
        <v>0</v>
      </c>
      <c r="I147" s="1006">
        <f>I148+I149</f>
        <v>0</v>
      </c>
      <c r="J147" s="1050">
        <v>0</v>
      </c>
      <c r="K147" s="1050">
        <v>0</v>
      </c>
      <c r="L147" s="589">
        <v>0</v>
      </c>
      <c r="M147" s="589">
        <v>0</v>
      </c>
      <c r="N147" s="590"/>
      <c r="O147" s="1363"/>
      <c r="P147" s="1401"/>
      <c r="Q147" s="1396"/>
    </row>
    <row r="148" spans="1:27" s="1" customFormat="1" ht="33" customHeight="1" outlineLevel="1" x14ac:dyDescent="0.3">
      <c r="A148" s="1409"/>
      <c r="B148" s="1241"/>
      <c r="C148" s="1385"/>
      <c r="D148" s="1385"/>
      <c r="E148" s="1386"/>
      <c r="F148" s="1387"/>
      <c r="G148" s="1333" t="s">
        <v>13</v>
      </c>
      <c r="H148" s="1006">
        <f>H151</f>
        <v>0</v>
      </c>
      <c r="I148" s="1006">
        <f>I151</f>
        <v>0</v>
      </c>
      <c r="J148" s="1050">
        <v>0</v>
      </c>
      <c r="K148" s="1050">
        <v>0</v>
      </c>
      <c r="L148" s="589">
        <v>0</v>
      </c>
      <c r="M148" s="589">
        <v>0</v>
      </c>
      <c r="N148" s="69"/>
      <c r="O148" s="584"/>
      <c r="P148" s="1349"/>
      <c r="Q148" s="47"/>
    </row>
    <row r="149" spans="1:27" s="1" customFormat="1" ht="33" customHeight="1" outlineLevel="1" x14ac:dyDescent="0.3">
      <c r="A149" s="1410"/>
      <c r="B149" s="1244"/>
      <c r="C149" s="1388"/>
      <c r="D149" s="1388"/>
      <c r="E149" s="1389"/>
      <c r="F149" s="1390"/>
      <c r="G149" s="1333" t="s">
        <v>14</v>
      </c>
      <c r="H149" s="1006">
        <f>H152</f>
        <v>0</v>
      </c>
      <c r="I149" s="1006">
        <f>I152</f>
        <v>0</v>
      </c>
      <c r="J149" s="1050">
        <v>0</v>
      </c>
      <c r="K149" s="1050">
        <v>0</v>
      </c>
      <c r="L149" s="589">
        <v>0</v>
      </c>
      <c r="M149" s="589">
        <v>0</v>
      </c>
      <c r="N149" s="69"/>
      <c r="O149" s="584"/>
      <c r="P149" s="1349"/>
      <c r="Q149" s="47"/>
    </row>
    <row r="150" spans="1:27" s="311" customFormat="1" ht="50.25" customHeight="1" outlineLevel="1" x14ac:dyDescent="0.3">
      <c r="A150" s="1411" t="s">
        <v>1668</v>
      </c>
      <c r="B150" s="1391" t="s">
        <v>1659</v>
      </c>
      <c r="C150" s="1352">
        <v>2018</v>
      </c>
      <c r="D150" s="1352"/>
      <c r="E150" s="1392">
        <v>11995.7</v>
      </c>
      <c r="F150" s="1393">
        <f>F151+F152</f>
        <v>0</v>
      </c>
      <c r="G150" s="1394" t="s">
        <v>12</v>
      </c>
      <c r="H150" s="589">
        <f>H151+H152</f>
        <v>0</v>
      </c>
      <c r="I150" s="589">
        <f>I151+I152</f>
        <v>0</v>
      </c>
      <c r="J150" s="589">
        <v>0</v>
      </c>
      <c r="K150" s="589">
        <v>0</v>
      </c>
      <c r="L150" s="589">
        <v>0</v>
      </c>
      <c r="M150" s="589">
        <v>0</v>
      </c>
      <c r="N150" s="590"/>
      <c r="O150" s="1363"/>
      <c r="P150" s="1395" t="s">
        <v>1395</v>
      </c>
      <c r="Q150" s="1396"/>
    </row>
    <row r="151" spans="1:27" s="1" customFormat="1" ht="24.75" customHeight="1" outlineLevel="1" x14ac:dyDescent="0.3">
      <c r="A151" s="1412"/>
      <c r="B151" s="1402"/>
      <c r="C151" s="1353"/>
      <c r="D151" s="1353"/>
      <c r="E151" s="1383"/>
      <c r="F151" s="1332">
        <v>0</v>
      </c>
      <c r="G151" s="1333" t="s">
        <v>13</v>
      </c>
      <c r="H151" s="1382">
        <f>I151</f>
        <v>0</v>
      </c>
      <c r="I151" s="1382">
        <f>(11036*0)</f>
        <v>0</v>
      </c>
      <c r="J151" s="1382">
        <v>0</v>
      </c>
      <c r="K151" s="1382">
        <v>0</v>
      </c>
      <c r="L151" s="589">
        <v>0</v>
      </c>
      <c r="M151" s="589">
        <v>0</v>
      </c>
      <c r="N151" s="69"/>
      <c r="O151" s="584"/>
      <c r="P151" s="1350" t="s">
        <v>1547</v>
      </c>
      <c r="Q151" s="47"/>
      <c r="W151" s="1">
        <v>1</v>
      </c>
    </row>
    <row r="152" spans="1:27" s="1" customFormat="1" ht="33" customHeight="1" outlineLevel="1" x14ac:dyDescent="0.45">
      <c r="A152" s="1413"/>
      <c r="B152" s="1381"/>
      <c r="C152" s="1354"/>
      <c r="D152" s="1354"/>
      <c r="E152" s="1347"/>
      <c r="F152" s="1332">
        <v>0</v>
      </c>
      <c r="G152" s="1333" t="s">
        <v>14</v>
      </c>
      <c r="H152" s="1382">
        <f>I152</f>
        <v>0</v>
      </c>
      <c r="I152" s="1382">
        <f>(959.7*0)</f>
        <v>0</v>
      </c>
      <c r="J152" s="1382">
        <v>0</v>
      </c>
      <c r="K152" s="1382">
        <v>0</v>
      </c>
      <c r="L152" s="589">
        <v>0</v>
      </c>
      <c r="M152" s="589">
        <v>0</v>
      </c>
      <c r="N152" s="69"/>
      <c r="O152" s="584"/>
      <c r="P152" s="1348"/>
      <c r="Q152" s="47"/>
    </row>
    <row r="153" spans="1:27" s="311" customFormat="1" ht="33" customHeight="1" outlineLevel="1" x14ac:dyDescent="0.3">
      <c r="A153" s="1408" t="s">
        <v>708</v>
      </c>
      <c r="B153" s="1397" t="s">
        <v>1669</v>
      </c>
      <c r="C153" s="1398"/>
      <c r="D153" s="1398"/>
      <c r="E153" s="1399"/>
      <c r="F153" s="1400"/>
      <c r="G153" s="1394" t="s">
        <v>12</v>
      </c>
      <c r="H153" s="1006">
        <f>H154+H155</f>
        <v>0</v>
      </c>
      <c r="I153" s="1006">
        <f>I154+I155</f>
        <v>0</v>
      </c>
      <c r="J153" s="1050">
        <v>0</v>
      </c>
      <c r="K153" s="1050">
        <v>0</v>
      </c>
      <c r="L153" s="589">
        <v>0</v>
      </c>
      <c r="M153" s="589">
        <v>0</v>
      </c>
      <c r="N153" s="590"/>
      <c r="O153" s="1378"/>
      <c r="P153" s="1414"/>
      <c r="Q153" s="1396"/>
    </row>
    <row r="154" spans="1:27" s="1" customFormat="1" ht="33" customHeight="1" outlineLevel="1" x14ac:dyDescent="0.3">
      <c r="A154" s="1409"/>
      <c r="B154" s="1241"/>
      <c r="C154" s="1385"/>
      <c r="D154" s="1385"/>
      <c r="E154" s="1386"/>
      <c r="F154" s="1387"/>
      <c r="G154" s="1377" t="s">
        <v>13</v>
      </c>
      <c r="H154" s="1006">
        <f>H157</f>
        <v>0</v>
      </c>
      <c r="I154" s="1006">
        <f>I157</f>
        <v>0</v>
      </c>
      <c r="J154" s="1050">
        <v>0</v>
      </c>
      <c r="K154" s="1050">
        <v>0</v>
      </c>
      <c r="L154" s="589">
        <v>0</v>
      </c>
      <c r="M154" s="589">
        <v>0</v>
      </c>
      <c r="N154" s="69"/>
      <c r="O154" s="584"/>
      <c r="P154" s="1415"/>
      <c r="Q154" s="47"/>
    </row>
    <row r="155" spans="1:27" s="1" customFormat="1" ht="33" customHeight="1" outlineLevel="1" x14ac:dyDescent="0.3">
      <c r="A155" s="1410"/>
      <c r="B155" s="1244"/>
      <c r="C155" s="1388"/>
      <c r="D155" s="1388"/>
      <c r="E155" s="1389"/>
      <c r="F155" s="1390"/>
      <c r="G155" s="1356" t="s">
        <v>14</v>
      </c>
      <c r="H155" s="1006">
        <f>H158</f>
        <v>0</v>
      </c>
      <c r="I155" s="1006">
        <f>I158</f>
        <v>0</v>
      </c>
      <c r="J155" s="1050">
        <v>0</v>
      </c>
      <c r="K155" s="1050">
        <v>0</v>
      </c>
      <c r="L155" s="589">
        <v>0</v>
      </c>
      <c r="M155" s="589">
        <v>0</v>
      </c>
      <c r="N155" s="69"/>
      <c r="O155" s="584"/>
      <c r="P155" s="1415"/>
      <c r="Q155" s="47"/>
    </row>
    <row r="156" spans="1:27" s="311" customFormat="1" ht="33" customHeight="1" outlineLevel="1" x14ac:dyDescent="0.3">
      <c r="A156" s="1411" t="s">
        <v>1668</v>
      </c>
      <c r="B156" s="1391" t="s">
        <v>1670</v>
      </c>
      <c r="C156" s="1375">
        <v>2018</v>
      </c>
      <c r="D156" s="1375"/>
      <c r="E156" s="1392">
        <v>5130</v>
      </c>
      <c r="F156" s="1393">
        <f>F157+F158</f>
        <v>0</v>
      </c>
      <c r="G156" s="1394" t="s">
        <v>12</v>
      </c>
      <c r="H156" s="589">
        <f>H157+H158</f>
        <v>0</v>
      </c>
      <c r="I156" s="589">
        <f>I157+I158</f>
        <v>0</v>
      </c>
      <c r="J156" s="589">
        <v>0</v>
      </c>
      <c r="K156" s="589">
        <v>0</v>
      </c>
      <c r="L156" s="589">
        <v>0</v>
      </c>
      <c r="M156" s="589">
        <v>0</v>
      </c>
      <c r="N156" s="590"/>
      <c r="O156" s="1378"/>
      <c r="P156" s="1416" t="s">
        <v>1395</v>
      </c>
      <c r="Q156" s="1396"/>
    </row>
    <row r="157" spans="1:27" s="1" customFormat="1" ht="33" customHeight="1" outlineLevel="1" x14ac:dyDescent="0.45">
      <c r="A157" s="1412"/>
      <c r="B157" s="1402"/>
      <c r="C157" s="1376"/>
      <c r="D157" s="1376"/>
      <c r="E157" s="1384"/>
      <c r="F157" s="1355">
        <v>0</v>
      </c>
      <c r="G157" s="1356" t="s">
        <v>13</v>
      </c>
      <c r="H157" s="1382">
        <f>I157</f>
        <v>0</v>
      </c>
      <c r="I157" s="1382">
        <f>4083*0</f>
        <v>0</v>
      </c>
      <c r="J157" s="1382">
        <v>0</v>
      </c>
      <c r="K157" s="1382">
        <v>0</v>
      </c>
      <c r="L157" s="589">
        <v>0</v>
      </c>
      <c r="M157" s="589">
        <v>0</v>
      </c>
      <c r="N157" s="69"/>
      <c r="O157" s="584"/>
      <c r="P157" s="1417" t="s">
        <v>1547</v>
      </c>
      <c r="Q157" s="47"/>
      <c r="W157" s="1">
        <v>1</v>
      </c>
    </row>
    <row r="158" spans="1:27" s="1" customFormat="1" ht="33" customHeight="1" outlineLevel="1" x14ac:dyDescent="0.45">
      <c r="A158" s="1413"/>
      <c r="B158" s="1381"/>
      <c r="C158" s="1354"/>
      <c r="D158" s="1354"/>
      <c r="E158" s="1347"/>
      <c r="F158" s="1355">
        <v>0</v>
      </c>
      <c r="G158" s="1356" t="s">
        <v>14</v>
      </c>
      <c r="H158" s="1382">
        <f>I158</f>
        <v>0</v>
      </c>
      <c r="I158" s="1382">
        <f>1047*0</f>
        <v>0</v>
      </c>
      <c r="J158" s="1382">
        <v>0</v>
      </c>
      <c r="K158" s="1382">
        <v>0</v>
      </c>
      <c r="L158" s="589">
        <v>0</v>
      </c>
      <c r="M158" s="589">
        <v>0</v>
      </c>
      <c r="N158" s="69"/>
      <c r="O158" s="584"/>
      <c r="P158" s="1348" t="s">
        <v>1671</v>
      </c>
      <c r="Q158" s="47"/>
    </row>
    <row r="159" spans="1:27" s="1" customFormat="1" ht="25.5" customHeight="1" outlineLevel="1" x14ac:dyDescent="0.3">
      <c r="A159" s="1362" t="s">
        <v>708</v>
      </c>
      <c r="B159" s="1717" t="s">
        <v>757</v>
      </c>
      <c r="C159" s="1717"/>
      <c r="D159" s="1717"/>
      <c r="E159" s="1717"/>
      <c r="F159" s="69"/>
      <c r="G159" s="801"/>
      <c r="H159" s="352">
        <f>I159+J159+K159+L159+M159</f>
        <v>1.53</v>
      </c>
      <c r="I159" s="971">
        <v>1.53</v>
      </c>
      <c r="J159" s="971">
        <v>0</v>
      </c>
      <c r="K159" s="971">
        <v>0</v>
      </c>
      <c r="L159" s="971">
        <v>0</v>
      </c>
      <c r="M159" s="971">
        <v>0</v>
      </c>
      <c r="N159" s="389"/>
      <c r="O159" s="72"/>
      <c r="P159" s="861"/>
    </row>
    <row r="160" spans="1:27" s="1" customFormat="1" ht="29.25" customHeight="1" x14ac:dyDescent="0.3">
      <c r="A160" s="2363" t="s">
        <v>1373</v>
      </c>
      <c r="B160" s="2363"/>
      <c r="C160" s="2363"/>
      <c r="D160" s="2363"/>
      <c r="E160" s="2363"/>
      <c r="F160" s="862">
        <f>F161+F162</f>
        <v>274963.18</v>
      </c>
      <c r="G160" s="863" t="s">
        <v>42</v>
      </c>
      <c r="H160" s="1050">
        <f>H161+H162</f>
        <v>2462188.2400000002</v>
      </c>
      <c r="I160" s="1050">
        <f t="shared" ref="I160:M160" si="154">I161+I162</f>
        <v>2412188.2400000002</v>
      </c>
      <c r="J160" s="864">
        <f t="shared" si="154"/>
        <v>50000</v>
      </c>
      <c r="K160" s="864">
        <f t="shared" si="154"/>
        <v>0</v>
      </c>
      <c r="L160" s="864">
        <f t="shared" si="154"/>
        <v>0</v>
      </c>
      <c r="M160" s="864">
        <f t="shared" si="154"/>
        <v>0</v>
      </c>
      <c r="N160" s="865"/>
      <c r="O160" s="866"/>
      <c r="W160" s="1">
        <f>SUM(W7:W159)</f>
        <v>29</v>
      </c>
      <c r="X160" s="1">
        <f>SUM(X7:X159)</f>
        <v>1</v>
      </c>
      <c r="Y160" s="1">
        <f>SUM(Y7:Y159)</f>
        <v>0</v>
      </c>
      <c r="Z160" s="1">
        <f>SUM(Z7:Z159)</f>
        <v>0</v>
      </c>
      <c r="AA160" s="1">
        <f>SUM(AA7:AA159)</f>
        <v>0</v>
      </c>
    </row>
    <row r="161" spans="1:27" s="1" customFormat="1" ht="29.25" customHeight="1" x14ac:dyDescent="0.4">
      <c r="A161" s="2363"/>
      <c r="B161" s="2363"/>
      <c r="C161" s="2363"/>
      <c r="D161" s="2363"/>
      <c r="E161" s="2363"/>
      <c r="F161" s="862">
        <f>F133+F121+F34+F31+F25</f>
        <v>268892.59999999998</v>
      </c>
      <c r="G161" s="863" t="s">
        <v>13</v>
      </c>
      <c r="H161" s="1050">
        <f>H159+H136+H130+H124+H118+H112+H100+H79+H73+H67+H52+H37+H28+H22+H16+H142+H7+H148</f>
        <v>2317261</v>
      </c>
      <c r="I161" s="1050">
        <f>I159+I136+I130+I124+I118+I112+I100+I79+I73+I67+I52+I37+I28+I22+I16+I142+I7+I148</f>
        <v>2275561</v>
      </c>
      <c r="J161" s="589">
        <f>J159+J136+J130+J124+J118+J112+J100+J79+J73+J67+J52+J37+J28+J22+J16+J142+J7+J148</f>
        <v>41700</v>
      </c>
      <c r="K161" s="589">
        <f t="shared" ref="K161:M161" si="155">K159+K136+K130+K124+K118+K112+K100+K79+K73+K67+K52+K37+K28+K22+K16+K142+K7</f>
        <v>0</v>
      </c>
      <c r="L161" s="864">
        <f t="shared" si="155"/>
        <v>0</v>
      </c>
      <c r="M161" s="864">
        <f t="shared" si="155"/>
        <v>0</v>
      </c>
      <c r="N161" s="865"/>
      <c r="O161" s="866"/>
      <c r="P161" s="604" t="s">
        <v>1397</v>
      </c>
    </row>
    <row r="162" spans="1:27" s="1" customFormat="1" ht="51" customHeight="1" x14ac:dyDescent="0.3">
      <c r="A162" s="2363"/>
      <c r="B162" s="2363"/>
      <c r="C162" s="2363"/>
      <c r="D162" s="2363"/>
      <c r="E162" s="2363"/>
      <c r="F162" s="862">
        <f>F134+F122+F35+F32+F26</f>
        <v>6070.58</v>
      </c>
      <c r="G162" s="867" t="s">
        <v>34</v>
      </c>
      <c r="H162" s="864">
        <f>H137+H131+H125+H119+H113+H101+H80+H74+H68+H53+H38+H29+H23+H17+H8+H143+H149</f>
        <v>144927.24</v>
      </c>
      <c r="I162" s="864">
        <f>I137+I131+I125+I119+I113+I101+I80+I74+I68+I53+I38+I29+I23+I17+I8+I143+I149</f>
        <v>136627.24</v>
      </c>
      <c r="J162" s="864">
        <f>J137+J131+J125+J119+J113+J101+J80+J74+J68+J53+J38+J29+J23+J17+J8+J143+J149</f>
        <v>8300</v>
      </c>
      <c r="K162" s="864">
        <f t="shared" ref="K162:M162" si="156">K137+K131+K125+K119+K113+K101+K80+K74+K68+K53+K38+K29+K23+K17+K8+K143</f>
        <v>0</v>
      </c>
      <c r="L162" s="864">
        <f t="shared" si="156"/>
        <v>0</v>
      </c>
      <c r="M162" s="864">
        <f t="shared" si="156"/>
        <v>0</v>
      </c>
      <c r="N162" s="865"/>
      <c r="O162" s="866"/>
      <c r="P162" s="1149" t="s">
        <v>1524</v>
      </c>
    </row>
    <row r="163" spans="1:27" s="1" customFormat="1" ht="45" customHeight="1" x14ac:dyDescent="0.3">
      <c r="A163" s="2322" t="s">
        <v>169</v>
      </c>
      <c r="B163" s="2322"/>
      <c r="C163" s="2322"/>
      <c r="D163" s="2322"/>
      <c r="E163" s="2322"/>
      <c r="F163" s="2322"/>
      <c r="G163" s="2322"/>
      <c r="H163" s="2322"/>
      <c r="I163" s="2322"/>
      <c r="J163" s="2322"/>
      <c r="K163" s="2322"/>
      <c r="L163" s="2322"/>
      <c r="M163" s="2322"/>
      <c r="N163" s="2322"/>
      <c r="O163" s="2322"/>
      <c r="P163" s="1149"/>
    </row>
    <row r="164" spans="1:27" s="1" customFormat="1" ht="39" customHeight="1" x14ac:dyDescent="0.3">
      <c r="A164" s="1357"/>
      <c r="B164" s="378"/>
      <c r="C164" s="378"/>
      <c r="D164" s="378"/>
      <c r="E164" s="378"/>
      <c r="F164" s="378"/>
      <c r="G164" s="378"/>
      <c r="H164" s="378"/>
      <c r="I164" s="378"/>
      <c r="J164" s="378"/>
      <c r="K164" s="378"/>
      <c r="L164" s="378"/>
      <c r="M164" s="378"/>
      <c r="N164" s="405"/>
      <c r="O164" s="1316"/>
      <c r="P164" s="1149"/>
    </row>
    <row r="165" spans="1:27" s="1" customFormat="1" ht="89.25" customHeight="1" x14ac:dyDescent="0.3">
      <c r="A165" s="2326" t="s">
        <v>1433</v>
      </c>
      <c r="B165" s="2326"/>
      <c r="C165" s="2326"/>
      <c r="D165" s="2326"/>
      <c r="E165" s="2326"/>
      <c r="F165" s="2326"/>
      <c r="G165" s="2326"/>
      <c r="H165" s="2326"/>
      <c r="I165" s="2326"/>
      <c r="J165" s="2326"/>
      <c r="K165" s="2326"/>
      <c r="L165" s="2326"/>
      <c r="M165" s="2326"/>
      <c r="N165" s="2326"/>
      <c r="O165" s="2327"/>
      <c r="P165" s="72"/>
    </row>
    <row r="166" spans="1:27" s="1" customFormat="1" ht="24.75" hidden="1" customHeight="1" outlineLevel="1" x14ac:dyDescent="0.3">
      <c r="A166" s="1641" t="s">
        <v>821</v>
      </c>
      <c r="B166" s="2356" t="s">
        <v>822</v>
      </c>
      <c r="C166" s="2460" t="s">
        <v>823</v>
      </c>
      <c r="D166" s="2460" t="s">
        <v>1440</v>
      </c>
      <c r="E166" s="2355" t="s">
        <v>52</v>
      </c>
      <c r="F166" s="2355" t="s">
        <v>824</v>
      </c>
      <c r="G166" s="2355" t="s">
        <v>53</v>
      </c>
      <c r="H166" s="2355" t="s">
        <v>57</v>
      </c>
      <c r="I166" s="2355"/>
      <c r="J166" s="2355"/>
      <c r="K166" s="2355"/>
      <c r="L166" s="2355"/>
      <c r="M166" s="2355"/>
      <c r="N166" s="2356" t="s">
        <v>50</v>
      </c>
      <c r="O166" s="2356" t="s">
        <v>820</v>
      </c>
      <c r="P166" s="72"/>
    </row>
    <row r="167" spans="1:27" s="1" customFormat="1" ht="103.5" customHeight="1" outlineLevel="1" x14ac:dyDescent="0.3">
      <c r="A167" s="1641"/>
      <c r="B167" s="2356"/>
      <c r="C167" s="2460"/>
      <c r="D167" s="2460"/>
      <c r="E167" s="2355"/>
      <c r="F167" s="2355"/>
      <c r="G167" s="2355"/>
      <c r="H167" s="384" t="s">
        <v>33</v>
      </c>
      <c r="I167" s="384" t="s">
        <v>4</v>
      </c>
      <c r="J167" s="384" t="s">
        <v>91</v>
      </c>
      <c r="K167" s="384" t="s">
        <v>90</v>
      </c>
      <c r="L167" s="384" t="s">
        <v>89</v>
      </c>
      <c r="M167" s="384" t="s">
        <v>221</v>
      </c>
      <c r="N167" s="2356"/>
      <c r="O167" s="2356"/>
      <c r="P167" s="72"/>
      <c r="W167" s="1">
        <v>2018</v>
      </c>
      <c r="X167" s="1">
        <v>2019</v>
      </c>
      <c r="Y167" s="1">
        <v>2020</v>
      </c>
      <c r="Z167" s="1">
        <v>2021</v>
      </c>
      <c r="AA167" s="1">
        <v>2022</v>
      </c>
    </row>
    <row r="168" spans="1:27" s="1" customFormat="1" outlineLevel="1" x14ac:dyDescent="0.3">
      <c r="A168" s="1359">
        <v>1</v>
      </c>
      <c r="B168" s="200">
        <v>2</v>
      </c>
      <c r="C168" s="200">
        <v>3</v>
      </c>
      <c r="D168" s="200">
        <v>4</v>
      </c>
      <c r="E168" s="200">
        <v>5</v>
      </c>
      <c r="F168" s="200">
        <v>6</v>
      </c>
      <c r="G168" s="200">
        <v>7</v>
      </c>
      <c r="H168" s="200">
        <v>8</v>
      </c>
      <c r="I168" s="200">
        <v>9</v>
      </c>
      <c r="J168" s="200">
        <v>10</v>
      </c>
      <c r="K168" s="200">
        <v>11</v>
      </c>
      <c r="L168" s="200">
        <v>12</v>
      </c>
      <c r="M168" s="200">
        <v>13</v>
      </c>
      <c r="N168" s="201">
        <v>14</v>
      </c>
      <c r="O168" s="201">
        <v>15</v>
      </c>
      <c r="P168" s="72"/>
    </row>
    <row r="169" spans="1:27" s="1" customFormat="1" outlineLevel="1" x14ac:dyDescent="0.3">
      <c r="A169" s="2364" t="s">
        <v>741</v>
      </c>
      <c r="B169" s="1541" t="s">
        <v>65</v>
      </c>
      <c r="C169" s="1570" t="s">
        <v>1445</v>
      </c>
      <c r="D169" s="1570" t="s">
        <v>153</v>
      </c>
      <c r="E169" s="2294">
        <v>126849.95</v>
      </c>
      <c r="F169" s="2294">
        <v>83393.570000000007</v>
      </c>
      <c r="G169" s="374" t="s">
        <v>12</v>
      </c>
      <c r="H169" s="389">
        <f t="shared" ref="H169:M169" si="157">H170</f>
        <v>40567.379999999997</v>
      </c>
      <c r="I169" s="389">
        <f t="shared" si="157"/>
        <v>40567.379999999997</v>
      </c>
      <c r="J169" s="389">
        <f t="shared" si="157"/>
        <v>0</v>
      </c>
      <c r="K169" s="389">
        <f t="shared" si="157"/>
        <v>0</v>
      </c>
      <c r="L169" s="389">
        <f t="shared" si="157"/>
        <v>0</v>
      </c>
      <c r="M169" s="389">
        <f t="shared" si="157"/>
        <v>0</v>
      </c>
      <c r="N169" s="1700"/>
      <c r="O169" s="2296" t="s">
        <v>47</v>
      </c>
      <c r="P169" s="72"/>
    </row>
    <row r="170" spans="1:27" s="1" customFormat="1" outlineLevel="1" x14ac:dyDescent="0.3">
      <c r="A170" s="2365"/>
      <c r="B170" s="1541"/>
      <c r="C170" s="1571"/>
      <c r="D170" s="1571"/>
      <c r="E170" s="2334"/>
      <c r="F170" s="2334"/>
      <c r="G170" s="1570" t="s">
        <v>13</v>
      </c>
      <c r="H170" s="389">
        <f t="shared" ref="H170:H180" si="158">SUM(I170:M170)</f>
        <v>40567.379999999997</v>
      </c>
      <c r="I170" s="389">
        <v>40567.379999999997</v>
      </c>
      <c r="J170" s="389">
        <v>0</v>
      </c>
      <c r="K170" s="389">
        <v>0</v>
      </c>
      <c r="L170" s="389">
        <v>0</v>
      </c>
      <c r="M170" s="389">
        <v>0</v>
      </c>
      <c r="N170" s="1700"/>
      <c r="O170" s="2296"/>
      <c r="P170" s="72" t="s">
        <v>1521</v>
      </c>
      <c r="W170" s="1">
        <v>1</v>
      </c>
    </row>
    <row r="171" spans="1:27" s="1" customFormat="1" ht="26.4" outlineLevel="1" x14ac:dyDescent="0.3">
      <c r="A171" s="2365"/>
      <c r="B171" s="796" t="s">
        <v>211</v>
      </c>
      <c r="C171" s="1572"/>
      <c r="D171" s="1572"/>
      <c r="E171" s="2295"/>
      <c r="F171" s="2295"/>
      <c r="G171" s="1571"/>
      <c r="H171" s="389">
        <f t="shared" si="158"/>
        <v>0</v>
      </c>
      <c r="I171" s="389">
        <v>0</v>
      </c>
      <c r="J171" s="389">
        <v>0</v>
      </c>
      <c r="K171" s="389">
        <v>0</v>
      </c>
      <c r="L171" s="389">
        <v>0</v>
      </c>
      <c r="M171" s="389">
        <v>0</v>
      </c>
      <c r="N171" s="1700"/>
      <c r="O171" s="2296"/>
      <c r="P171" s="72"/>
    </row>
    <row r="172" spans="1:27" s="1" customFormat="1" outlineLevel="1" x14ac:dyDescent="0.3">
      <c r="A172" s="2366"/>
      <c r="B172" s="796" t="s">
        <v>212</v>
      </c>
      <c r="C172" s="375">
        <v>2017</v>
      </c>
      <c r="D172" s="375"/>
      <c r="E172" s="375"/>
      <c r="F172" s="389">
        <v>2889</v>
      </c>
      <c r="G172" s="1571"/>
      <c r="H172" s="389">
        <f t="shared" si="158"/>
        <v>0</v>
      </c>
      <c r="I172" s="389">
        <v>0</v>
      </c>
      <c r="J172" s="389">
        <v>0</v>
      </c>
      <c r="K172" s="389">
        <v>0</v>
      </c>
      <c r="L172" s="389">
        <v>0</v>
      </c>
      <c r="M172" s="389">
        <v>0</v>
      </c>
      <c r="N172" s="1700"/>
      <c r="O172" s="2296"/>
      <c r="P172" s="72"/>
    </row>
    <row r="173" spans="1:27" s="1" customFormat="1" outlineLevel="1" x14ac:dyDescent="0.3">
      <c r="A173" s="2364" t="s">
        <v>743</v>
      </c>
      <c r="B173" s="1541" t="s">
        <v>206</v>
      </c>
      <c r="C173" s="1570" t="s">
        <v>1445</v>
      </c>
      <c r="D173" s="1570" t="s">
        <v>154</v>
      </c>
      <c r="E173" s="2294">
        <v>35614.75</v>
      </c>
      <c r="F173" s="2294">
        <v>15511.94</v>
      </c>
      <c r="G173" s="374" t="s">
        <v>12</v>
      </c>
      <c r="H173" s="389">
        <f t="shared" si="158"/>
        <v>19462.14</v>
      </c>
      <c r="I173" s="389">
        <f>I174</f>
        <v>19462.14</v>
      </c>
      <c r="J173" s="389">
        <f t="shared" ref="J173:M173" si="159">J174</f>
        <v>0</v>
      </c>
      <c r="K173" s="389">
        <f t="shared" si="159"/>
        <v>0</v>
      </c>
      <c r="L173" s="389">
        <f t="shared" si="159"/>
        <v>0</v>
      </c>
      <c r="M173" s="389">
        <f t="shared" si="159"/>
        <v>0</v>
      </c>
      <c r="N173" s="1700"/>
      <c r="O173" s="2296" t="s">
        <v>47</v>
      </c>
      <c r="P173" s="72" t="s">
        <v>1521</v>
      </c>
      <c r="W173" s="1">
        <v>1</v>
      </c>
    </row>
    <row r="174" spans="1:27" s="1" customFormat="1" outlineLevel="1" x14ac:dyDescent="0.3">
      <c r="A174" s="2365"/>
      <c r="B174" s="1541"/>
      <c r="C174" s="1571"/>
      <c r="D174" s="1571"/>
      <c r="E174" s="2334"/>
      <c r="F174" s="2334"/>
      <c r="G174" s="1541" t="s">
        <v>13</v>
      </c>
      <c r="H174" s="389">
        <f t="shared" si="158"/>
        <v>19462.14</v>
      </c>
      <c r="I174" s="389">
        <v>19462.14</v>
      </c>
      <c r="J174" s="389">
        <v>0</v>
      </c>
      <c r="K174" s="389">
        <v>0</v>
      </c>
      <c r="L174" s="389">
        <v>0</v>
      </c>
      <c r="M174" s="389">
        <v>0</v>
      </c>
      <c r="N174" s="1700"/>
      <c r="O174" s="2296"/>
      <c r="P174" s="72"/>
    </row>
    <row r="175" spans="1:27" s="1" customFormat="1" ht="26.4" outlineLevel="1" x14ac:dyDescent="0.3">
      <c r="A175" s="2365"/>
      <c r="B175" s="795" t="s">
        <v>213</v>
      </c>
      <c r="C175" s="1572"/>
      <c r="D175" s="1572"/>
      <c r="E175" s="2295"/>
      <c r="F175" s="2295"/>
      <c r="G175" s="1541"/>
      <c r="H175" s="389">
        <f t="shared" si="158"/>
        <v>0</v>
      </c>
      <c r="I175" s="389">
        <v>0</v>
      </c>
      <c r="J175" s="389">
        <v>0</v>
      </c>
      <c r="K175" s="389">
        <v>0</v>
      </c>
      <c r="L175" s="389">
        <v>0</v>
      </c>
      <c r="M175" s="389">
        <v>0</v>
      </c>
      <c r="N175" s="1700"/>
      <c r="O175" s="2296"/>
      <c r="P175" s="1700"/>
    </row>
    <row r="176" spans="1:27" s="1" customFormat="1" outlineLevel="1" x14ac:dyDescent="0.3">
      <c r="A176" s="2366"/>
      <c r="B176" s="795" t="s">
        <v>212</v>
      </c>
      <c r="C176" s="374">
        <v>2017</v>
      </c>
      <c r="D176" s="374"/>
      <c r="E176" s="95"/>
      <c r="F176" s="389">
        <v>640.66999999999996</v>
      </c>
      <c r="G176" s="1541"/>
      <c r="H176" s="389">
        <f t="shared" si="158"/>
        <v>0</v>
      </c>
      <c r="I176" s="389">
        <v>0</v>
      </c>
      <c r="J176" s="389">
        <v>0</v>
      </c>
      <c r="K176" s="389">
        <v>0</v>
      </c>
      <c r="L176" s="389">
        <v>0</v>
      </c>
      <c r="M176" s="389">
        <v>0</v>
      </c>
      <c r="N176" s="1700"/>
      <c r="O176" s="2296"/>
      <c r="P176" s="1700"/>
    </row>
    <row r="177" spans="1:24" s="1" customFormat="1" outlineLevel="1" x14ac:dyDescent="0.3">
      <c r="A177" s="2364" t="s">
        <v>745</v>
      </c>
      <c r="B177" s="1541" t="s">
        <v>825</v>
      </c>
      <c r="C177" s="1570" t="s">
        <v>1445</v>
      </c>
      <c r="D177" s="1570" t="s">
        <v>155</v>
      </c>
      <c r="E177" s="2294">
        <v>79892.3</v>
      </c>
      <c r="F177" s="2294">
        <v>45625.46</v>
      </c>
      <c r="G177" s="374" t="s">
        <v>12</v>
      </c>
      <c r="H177" s="389">
        <f t="shared" si="158"/>
        <v>32674.27</v>
      </c>
      <c r="I177" s="389">
        <f>I178</f>
        <v>32674.27</v>
      </c>
      <c r="J177" s="389">
        <f t="shared" ref="J177:M177" si="160">J178</f>
        <v>0</v>
      </c>
      <c r="K177" s="389">
        <f t="shared" si="160"/>
        <v>0</v>
      </c>
      <c r="L177" s="389">
        <f t="shared" si="160"/>
        <v>0</v>
      </c>
      <c r="M177" s="389">
        <f t="shared" si="160"/>
        <v>0</v>
      </c>
      <c r="N177" s="1700"/>
      <c r="O177" s="2296" t="s">
        <v>47</v>
      </c>
      <c r="P177" s="1700"/>
    </row>
    <row r="178" spans="1:24" s="1" customFormat="1" outlineLevel="1" x14ac:dyDescent="0.3">
      <c r="A178" s="2365"/>
      <c r="B178" s="1541"/>
      <c r="C178" s="1571"/>
      <c r="D178" s="1571"/>
      <c r="E178" s="2334"/>
      <c r="F178" s="2334"/>
      <c r="G178" s="1570" t="s">
        <v>13</v>
      </c>
      <c r="H178" s="389">
        <f t="shared" si="158"/>
        <v>32674.27</v>
      </c>
      <c r="I178" s="389">
        <v>32674.27</v>
      </c>
      <c r="J178" s="389">
        <v>0</v>
      </c>
      <c r="K178" s="389">
        <v>0</v>
      </c>
      <c r="L178" s="389">
        <v>0</v>
      </c>
      <c r="M178" s="389">
        <v>0</v>
      </c>
      <c r="N178" s="1700"/>
      <c r="O178" s="2296"/>
      <c r="P178" s="72" t="s">
        <v>1521</v>
      </c>
      <c r="W178" s="1">
        <v>1</v>
      </c>
    </row>
    <row r="179" spans="1:24" s="1" customFormat="1" ht="26.4" outlineLevel="1" x14ac:dyDescent="0.3">
      <c r="A179" s="2365"/>
      <c r="B179" s="795" t="s">
        <v>214</v>
      </c>
      <c r="C179" s="1572"/>
      <c r="D179" s="1572"/>
      <c r="E179" s="2295"/>
      <c r="F179" s="2295"/>
      <c r="G179" s="1571"/>
      <c r="H179" s="389">
        <f t="shared" si="158"/>
        <v>0</v>
      </c>
      <c r="I179" s="389">
        <v>0</v>
      </c>
      <c r="J179" s="389">
        <v>0</v>
      </c>
      <c r="K179" s="389">
        <v>0</v>
      </c>
      <c r="L179" s="389">
        <v>0</v>
      </c>
      <c r="M179" s="389">
        <v>0</v>
      </c>
      <c r="N179" s="1700"/>
      <c r="O179" s="2296"/>
      <c r="P179" s="72"/>
    </row>
    <row r="180" spans="1:24" s="1" customFormat="1" outlineLevel="1" x14ac:dyDescent="0.3">
      <c r="A180" s="2366"/>
      <c r="B180" s="868" t="s">
        <v>212</v>
      </c>
      <c r="C180" s="374">
        <v>2017</v>
      </c>
      <c r="D180" s="374"/>
      <c r="E180" s="374"/>
      <c r="F180" s="389">
        <v>1592.57</v>
      </c>
      <c r="G180" s="1572"/>
      <c r="H180" s="389">
        <f t="shared" si="158"/>
        <v>0</v>
      </c>
      <c r="I180" s="389">
        <v>0</v>
      </c>
      <c r="J180" s="389">
        <v>0</v>
      </c>
      <c r="K180" s="389">
        <v>0</v>
      </c>
      <c r="L180" s="389">
        <v>0</v>
      </c>
      <c r="M180" s="389">
        <v>0</v>
      </c>
      <c r="N180" s="1700"/>
      <c r="O180" s="2296"/>
      <c r="P180" s="72"/>
    </row>
    <row r="181" spans="1:24" s="1" customFormat="1" outlineLevel="1" x14ac:dyDescent="0.3">
      <c r="A181" s="1611" t="s">
        <v>747</v>
      </c>
      <c r="B181" s="2360" t="s">
        <v>1080</v>
      </c>
      <c r="C181" s="1570">
        <v>2018</v>
      </c>
      <c r="D181" s="1666" t="s">
        <v>1099</v>
      </c>
      <c r="E181" s="1778">
        <v>36425.300000000003</v>
      </c>
      <c r="F181" s="2294">
        <v>2554.6999999999998</v>
      </c>
      <c r="G181" s="374" t="s">
        <v>12</v>
      </c>
      <c r="H181" s="389">
        <f t="shared" ref="H181:H208" si="161">I181+J181+K181+L181+M181</f>
        <v>33870.61</v>
      </c>
      <c r="I181" s="389">
        <f>I182</f>
        <v>33870.61</v>
      </c>
      <c r="J181" s="389">
        <v>0</v>
      </c>
      <c r="K181" s="389">
        <v>0</v>
      </c>
      <c r="L181" s="389">
        <v>0</v>
      </c>
      <c r="M181" s="389">
        <v>0</v>
      </c>
      <c r="N181" s="2296"/>
      <c r="O181" s="1601" t="s">
        <v>16</v>
      </c>
      <c r="P181" s="72"/>
    </row>
    <row r="182" spans="1:24" s="1" customFormat="1" ht="24" outlineLevel="1" x14ac:dyDescent="0.3">
      <c r="A182" s="1611"/>
      <c r="B182" s="2361"/>
      <c r="C182" s="1572"/>
      <c r="D182" s="1667"/>
      <c r="E182" s="1780"/>
      <c r="F182" s="2295"/>
      <c r="G182" s="376" t="s">
        <v>13</v>
      </c>
      <c r="H182" s="389">
        <f t="shared" si="161"/>
        <v>33870.61</v>
      </c>
      <c r="I182" s="389">
        <v>33870.61</v>
      </c>
      <c r="J182" s="389">
        <v>0</v>
      </c>
      <c r="K182" s="389">
        <v>0</v>
      </c>
      <c r="L182" s="389">
        <v>0</v>
      </c>
      <c r="M182" s="389">
        <v>0</v>
      </c>
      <c r="N182" s="2296"/>
      <c r="O182" s="1601"/>
      <c r="P182" s="72" t="s">
        <v>1521</v>
      </c>
      <c r="W182" s="1">
        <v>1</v>
      </c>
    </row>
    <row r="183" spans="1:24" s="1" customFormat="1" outlineLevel="1" x14ac:dyDescent="0.3">
      <c r="A183" s="1611" t="s">
        <v>749</v>
      </c>
      <c r="B183" s="2360" t="s">
        <v>1081</v>
      </c>
      <c r="C183" s="1570">
        <v>2018</v>
      </c>
      <c r="D183" s="1666" t="s">
        <v>1100</v>
      </c>
      <c r="E183" s="1778">
        <v>22045.5</v>
      </c>
      <c r="F183" s="2294">
        <v>247.4</v>
      </c>
      <c r="G183" s="374" t="s">
        <v>12</v>
      </c>
      <c r="H183" s="389">
        <f t="shared" si="161"/>
        <v>21798.19</v>
      </c>
      <c r="I183" s="389">
        <f>I184</f>
        <v>21798.19</v>
      </c>
      <c r="J183" s="389">
        <f>J184</f>
        <v>0</v>
      </c>
      <c r="K183" s="389">
        <f>K184</f>
        <v>0</v>
      </c>
      <c r="L183" s="389">
        <f>L184</f>
        <v>0</v>
      </c>
      <c r="M183" s="389">
        <f>M184</f>
        <v>0</v>
      </c>
      <c r="N183" s="2296"/>
      <c r="O183" s="1601" t="s">
        <v>16</v>
      </c>
      <c r="P183" s="72"/>
    </row>
    <row r="184" spans="1:24" s="1" customFormat="1" ht="24" outlineLevel="1" x14ac:dyDescent="0.3">
      <c r="A184" s="1611"/>
      <c r="B184" s="2361"/>
      <c r="C184" s="1572"/>
      <c r="D184" s="1667"/>
      <c r="E184" s="1780"/>
      <c r="F184" s="2295"/>
      <c r="G184" s="376" t="s">
        <v>13</v>
      </c>
      <c r="H184" s="389">
        <f t="shared" si="161"/>
        <v>21798.19</v>
      </c>
      <c r="I184" s="389">
        <v>21798.19</v>
      </c>
      <c r="J184" s="389">
        <v>0</v>
      </c>
      <c r="K184" s="389">
        <v>0</v>
      </c>
      <c r="L184" s="389">
        <v>0</v>
      </c>
      <c r="M184" s="389">
        <v>0</v>
      </c>
      <c r="N184" s="2296"/>
      <c r="O184" s="1601"/>
      <c r="P184" s="72" t="s">
        <v>1521</v>
      </c>
      <c r="W184" s="1">
        <v>1</v>
      </c>
    </row>
    <row r="185" spans="1:24" s="1" customFormat="1" outlineLevel="1" x14ac:dyDescent="0.3">
      <c r="A185" s="1611" t="s">
        <v>753</v>
      </c>
      <c r="B185" s="1531" t="s">
        <v>1082</v>
      </c>
      <c r="C185" s="1570">
        <v>2018</v>
      </c>
      <c r="D185" s="1666" t="s">
        <v>1101</v>
      </c>
      <c r="E185" s="1778">
        <v>16233.9</v>
      </c>
      <c r="F185" s="2294">
        <v>481.1</v>
      </c>
      <c r="G185" s="374" t="s">
        <v>12</v>
      </c>
      <c r="H185" s="389">
        <f t="shared" si="161"/>
        <v>15752.85</v>
      </c>
      <c r="I185" s="389">
        <f>I186</f>
        <v>15752.85</v>
      </c>
      <c r="J185" s="389">
        <f>J186</f>
        <v>0</v>
      </c>
      <c r="K185" s="389">
        <f>K186</f>
        <v>0</v>
      </c>
      <c r="L185" s="389">
        <f>L186</f>
        <v>0</v>
      </c>
      <c r="M185" s="389">
        <f>M186</f>
        <v>0</v>
      </c>
      <c r="N185" s="2296"/>
      <c r="O185" s="1601" t="s">
        <v>16</v>
      </c>
      <c r="P185" s="72"/>
    </row>
    <row r="186" spans="1:24" s="1" customFormat="1" ht="24" outlineLevel="1" x14ac:dyDescent="0.3">
      <c r="A186" s="1611"/>
      <c r="B186" s="1537"/>
      <c r="C186" s="1572"/>
      <c r="D186" s="1667"/>
      <c r="E186" s="1780"/>
      <c r="F186" s="2295"/>
      <c r="G186" s="376" t="s">
        <v>13</v>
      </c>
      <c r="H186" s="389">
        <f t="shared" si="161"/>
        <v>15752.85</v>
      </c>
      <c r="I186" s="389">
        <v>15752.85</v>
      </c>
      <c r="J186" s="389">
        <v>0</v>
      </c>
      <c r="K186" s="389">
        <v>0</v>
      </c>
      <c r="L186" s="389">
        <v>0</v>
      </c>
      <c r="M186" s="389">
        <v>0</v>
      </c>
      <c r="N186" s="2296"/>
      <c r="O186" s="1601"/>
      <c r="P186" s="72"/>
      <c r="W186" s="1">
        <v>1</v>
      </c>
    </row>
    <row r="187" spans="1:24" s="1" customFormat="1" outlineLevel="1" x14ac:dyDescent="0.3">
      <c r="A187" s="1611" t="s">
        <v>755</v>
      </c>
      <c r="B187" s="2407" t="s">
        <v>1083</v>
      </c>
      <c r="C187" s="1570">
        <v>2018</v>
      </c>
      <c r="D187" s="1666" t="s">
        <v>1102</v>
      </c>
      <c r="E187" s="1778">
        <v>54488.2</v>
      </c>
      <c r="F187" s="2294">
        <v>2261.6999999999998</v>
      </c>
      <c r="G187" s="374" t="s">
        <v>12</v>
      </c>
      <c r="H187" s="389">
        <f t="shared" si="161"/>
        <v>52226.49</v>
      </c>
      <c r="I187" s="389">
        <f>I188</f>
        <v>52226.49</v>
      </c>
      <c r="J187" s="389">
        <f>J188</f>
        <v>0</v>
      </c>
      <c r="K187" s="389">
        <f>K188</f>
        <v>0</v>
      </c>
      <c r="L187" s="389">
        <f>L188</f>
        <v>0</v>
      </c>
      <c r="M187" s="389">
        <f>M188</f>
        <v>0</v>
      </c>
      <c r="N187" s="2296"/>
      <c r="O187" s="1601" t="s">
        <v>16</v>
      </c>
      <c r="P187" s="72"/>
    </row>
    <row r="188" spans="1:24" s="1" customFormat="1" ht="24" outlineLevel="1" x14ac:dyDescent="0.3">
      <c r="A188" s="1611"/>
      <c r="B188" s="2408"/>
      <c r="C188" s="1572"/>
      <c r="D188" s="1667"/>
      <c r="E188" s="1780"/>
      <c r="F188" s="2295"/>
      <c r="G188" s="376" t="s">
        <v>13</v>
      </c>
      <c r="H188" s="389">
        <f t="shared" si="161"/>
        <v>52226.49</v>
      </c>
      <c r="I188" s="389">
        <v>52226.49</v>
      </c>
      <c r="J188" s="389">
        <v>0</v>
      </c>
      <c r="K188" s="389">
        <v>0</v>
      </c>
      <c r="L188" s="389">
        <v>0</v>
      </c>
      <c r="M188" s="389">
        <v>0</v>
      </c>
      <c r="N188" s="2296"/>
      <c r="O188" s="1601"/>
      <c r="P188" s="72" t="s">
        <v>1521</v>
      </c>
      <c r="W188" s="1">
        <v>1</v>
      </c>
    </row>
    <row r="189" spans="1:24" s="1" customFormat="1" outlineLevel="1" x14ac:dyDescent="0.3">
      <c r="A189" s="1611" t="s">
        <v>1319</v>
      </c>
      <c r="B189" s="1630" t="s">
        <v>1084</v>
      </c>
      <c r="C189" s="1570" t="s">
        <v>208</v>
      </c>
      <c r="D189" s="1666" t="s">
        <v>1103</v>
      </c>
      <c r="E189" s="1778">
        <v>37342.1</v>
      </c>
      <c r="F189" s="2294">
        <v>790.7</v>
      </c>
      <c r="G189" s="374" t="s">
        <v>12</v>
      </c>
      <c r="H189" s="389">
        <f t="shared" si="161"/>
        <v>36551.32</v>
      </c>
      <c r="I189" s="389">
        <f>I190</f>
        <v>3951.32</v>
      </c>
      <c r="J189" s="389">
        <f>J190</f>
        <v>32600</v>
      </c>
      <c r="K189" s="389">
        <f>K190</f>
        <v>0</v>
      </c>
      <c r="L189" s="389">
        <f>L190</f>
        <v>0</v>
      </c>
      <c r="M189" s="389">
        <f>M190</f>
        <v>0</v>
      </c>
      <c r="N189" s="2296"/>
      <c r="O189" s="1601" t="s">
        <v>16</v>
      </c>
      <c r="P189" s="72"/>
    </row>
    <row r="190" spans="1:24" s="1" customFormat="1" ht="24" outlineLevel="1" x14ac:dyDescent="0.3">
      <c r="A190" s="1611"/>
      <c r="B190" s="1635"/>
      <c r="C190" s="1572"/>
      <c r="D190" s="1667"/>
      <c r="E190" s="1780"/>
      <c r="F190" s="2295"/>
      <c r="G190" s="376" t="s">
        <v>13</v>
      </c>
      <c r="H190" s="389">
        <f t="shared" si="161"/>
        <v>36551.32</v>
      </c>
      <c r="I190" s="389">
        <v>3951.32</v>
      </c>
      <c r="J190" s="389">
        <v>32600</v>
      </c>
      <c r="K190" s="389">
        <f t="shared" ref="K190:M195" si="162">K191</f>
        <v>0</v>
      </c>
      <c r="L190" s="389">
        <f t="shared" si="162"/>
        <v>0</v>
      </c>
      <c r="M190" s="389">
        <f t="shared" si="162"/>
        <v>0</v>
      </c>
      <c r="N190" s="2296"/>
      <c r="O190" s="1601"/>
      <c r="P190" s="72" t="s">
        <v>1521</v>
      </c>
      <c r="X190" s="1">
        <v>1</v>
      </c>
    </row>
    <row r="191" spans="1:24" s="1" customFormat="1" outlineLevel="1" x14ac:dyDescent="0.3">
      <c r="A191" s="1611" t="s">
        <v>1320</v>
      </c>
      <c r="B191" s="1630" t="s">
        <v>1085</v>
      </c>
      <c r="C191" s="1570" t="s">
        <v>208</v>
      </c>
      <c r="D191" s="1666" t="s">
        <v>1104</v>
      </c>
      <c r="E191" s="1778">
        <v>30246.7</v>
      </c>
      <c r="F191" s="2294">
        <v>693</v>
      </c>
      <c r="G191" s="374" t="s">
        <v>12</v>
      </c>
      <c r="H191" s="389">
        <f t="shared" si="161"/>
        <v>29553.65</v>
      </c>
      <c r="I191" s="389">
        <f>I192</f>
        <v>1553.65</v>
      </c>
      <c r="J191" s="389">
        <f>J192</f>
        <v>28000</v>
      </c>
      <c r="K191" s="389">
        <f t="shared" si="162"/>
        <v>0</v>
      </c>
      <c r="L191" s="389">
        <f t="shared" si="162"/>
        <v>0</v>
      </c>
      <c r="M191" s="389">
        <f t="shared" si="162"/>
        <v>0</v>
      </c>
      <c r="N191" s="2296"/>
      <c r="O191" s="1601" t="s">
        <v>16</v>
      </c>
      <c r="P191" s="72"/>
    </row>
    <row r="192" spans="1:24" s="1" customFormat="1" ht="24" outlineLevel="1" x14ac:dyDescent="0.3">
      <c r="A192" s="1611"/>
      <c r="B192" s="1635"/>
      <c r="C192" s="1572"/>
      <c r="D192" s="1667"/>
      <c r="E192" s="1780"/>
      <c r="F192" s="2295"/>
      <c r="G192" s="376" t="s">
        <v>13</v>
      </c>
      <c r="H192" s="389">
        <f t="shared" si="161"/>
        <v>29553.65</v>
      </c>
      <c r="I192" s="389">
        <v>1553.65</v>
      </c>
      <c r="J192" s="389">
        <v>28000</v>
      </c>
      <c r="K192" s="389">
        <f t="shared" si="162"/>
        <v>0</v>
      </c>
      <c r="L192" s="389">
        <f t="shared" si="162"/>
        <v>0</v>
      </c>
      <c r="M192" s="389">
        <f t="shared" si="162"/>
        <v>0</v>
      </c>
      <c r="N192" s="2296"/>
      <c r="O192" s="1601"/>
      <c r="P192" s="72" t="s">
        <v>1521</v>
      </c>
      <c r="X192" s="1">
        <v>1</v>
      </c>
    </row>
    <row r="193" spans="1:24" s="1" customFormat="1" outlineLevel="1" x14ac:dyDescent="0.3">
      <c r="A193" s="1611" t="s">
        <v>1321</v>
      </c>
      <c r="B193" s="1630" t="s">
        <v>1086</v>
      </c>
      <c r="C193" s="1570" t="s">
        <v>208</v>
      </c>
      <c r="D193" s="1666" t="s">
        <v>1105</v>
      </c>
      <c r="E193" s="1778">
        <v>66271.5</v>
      </c>
      <c r="F193" s="2294">
        <v>487.8</v>
      </c>
      <c r="G193" s="374" t="s">
        <v>12</v>
      </c>
      <c r="H193" s="389">
        <f t="shared" si="161"/>
        <v>65783.679999999993</v>
      </c>
      <c r="I193" s="389">
        <f>I194</f>
        <v>42383.68</v>
      </c>
      <c r="J193" s="389">
        <f>J194</f>
        <v>23400</v>
      </c>
      <c r="K193" s="389">
        <f t="shared" si="162"/>
        <v>0</v>
      </c>
      <c r="L193" s="389">
        <f t="shared" si="162"/>
        <v>0</v>
      </c>
      <c r="M193" s="389">
        <f t="shared" si="162"/>
        <v>0</v>
      </c>
      <c r="N193" s="2296"/>
      <c r="O193" s="1601" t="s">
        <v>16</v>
      </c>
      <c r="P193" s="72"/>
    </row>
    <row r="194" spans="1:24" s="1" customFormat="1" ht="24" outlineLevel="1" x14ac:dyDescent="0.3">
      <c r="A194" s="1611"/>
      <c r="B194" s="1635"/>
      <c r="C194" s="1572"/>
      <c r="D194" s="1667"/>
      <c r="E194" s="1780"/>
      <c r="F194" s="2295"/>
      <c r="G194" s="376" t="s">
        <v>13</v>
      </c>
      <c r="H194" s="389">
        <f t="shared" si="161"/>
        <v>65783.679999999993</v>
      </c>
      <c r="I194" s="389">
        <v>42383.68</v>
      </c>
      <c r="J194" s="389">
        <v>23400</v>
      </c>
      <c r="K194" s="389">
        <f t="shared" si="162"/>
        <v>0</v>
      </c>
      <c r="L194" s="389">
        <f t="shared" si="162"/>
        <v>0</v>
      </c>
      <c r="M194" s="389">
        <f t="shared" si="162"/>
        <v>0</v>
      </c>
      <c r="N194" s="2296"/>
      <c r="O194" s="1601"/>
      <c r="P194" s="72" t="s">
        <v>1521</v>
      </c>
      <c r="X194" s="1">
        <v>1</v>
      </c>
    </row>
    <row r="195" spans="1:24" s="1" customFormat="1" outlineLevel="1" x14ac:dyDescent="0.3">
      <c r="A195" s="1611" t="s">
        <v>1322</v>
      </c>
      <c r="B195" s="1630" t="s">
        <v>1087</v>
      </c>
      <c r="C195" s="1570" t="s">
        <v>208</v>
      </c>
      <c r="D195" s="1666" t="s">
        <v>1106</v>
      </c>
      <c r="E195" s="1778">
        <v>43150</v>
      </c>
      <c r="F195" s="2294">
        <v>960.6</v>
      </c>
      <c r="G195" s="374" t="s">
        <v>12</v>
      </c>
      <c r="H195" s="389">
        <f t="shared" si="161"/>
        <v>42189.41</v>
      </c>
      <c r="I195" s="389">
        <f>I196</f>
        <v>10589.41</v>
      </c>
      <c r="J195" s="389">
        <f>J196</f>
        <v>31600</v>
      </c>
      <c r="K195" s="389">
        <f t="shared" si="162"/>
        <v>0</v>
      </c>
      <c r="L195" s="389">
        <f t="shared" si="162"/>
        <v>0</v>
      </c>
      <c r="M195" s="389">
        <f t="shared" si="162"/>
        <v>0</v>
      </c>
      <c r="N195" s="2296"/>
      <c r="O195" s="1601" t="s">
        <v>16</v>
      </c>
      <c r="P195" s="72"/>
    </row>
    <row r="196" spans="1:24" s="1" customFormat="1" ht="24" outlineLevel="1" x14ac:dyDescent="0.3">
      <c r="A196" s="1611"/>
      <c r="B196" s="1635"/>
      <c r="C196" s="1572"/>
      <c r="D196" s="1667"/>
      <c r="E196" s="1780"/>
      <c r="F196" s="2295"/>
      <c r="G196" s="376" t="s">
        <v>13</v>
      </c>
      <c r="H196" s="389">
        <f t="shared" si="161"/>
        <v>42189.41</v>
      </c>
      <c r="I196" s="389">
        <v>10589.41</v>
      </c>
      <c r="J196" s="389">
        <v>31600</v>
      </c>
      <c r="K196" s="389">
        <v>0</v>
      </c>
      <c r="L196" s="389">
        <v>0</v>
      </c>
      <c r="M196" s="389">
        <v>0</v>
      </c>
      <c r="N196" s="2296"/>
      <c r="O196" s="1601"/>
      <c r="P196" s="72" t="s">
        <v>1521</v>
      </c>
      <c r="X196" s="1">
        <v>1</v>
      </c>
    </row>
    <row r="197" spans="1:24" s="1" customFormat="1" outlineLevel="1" x14ac:dyDescent="0.3">
      <c r="A197" s="1611" t="s">
        <v>1323</v>
      </c>
      <c r="B197" s="1630" t="s">
        <v>1088</v>
      </c>
      <c r="C197" s="1570" t="s">
        <v>208</v>
      </c>
      <c r="D197" s="1666" t="s">
        <v>1107</v>
      </c>
      <c r="E197" s="1778">
        <v>72129.7</v>
      </c>
      <c r="F197" s="2294">
        <v>2892.4</v>
      </c>
      <c r="G197" s="374" t="s">
        <v>12</v>
      </c>
      <c r="H197" s="389">
        <f t="shared" si="161"/>
        <v>69237.259999999995</v>
      </c>
      <c r="I197" s="389">
        <f>I198</f>
        <v>5437.26</v>
      </c>
      <c r="J197" s="389">
        <f>J198</f>
        <v>63800</v>
      </c>
      <c r="K197" s="389">
        <f>K198</f>
        <v>0</v>
      </c>
      <c r="L197" s="389">
        <f>L198</f>
        <v>0</v>
      </c>
      <c r="M197" s="389">
        <f>M198</f>
        <v>0</v>
      </c>
      <c r="N197" s="2296"/>
      <c r="O197" s="1601" t="s">
        <v>16</v>
      </c>
      <c r="P197" s="72"/>
    </row>
    <row r="198" spans="1:24" s="1" customFormat="1" ht="24" outlineLevel="1" x14ac:dyDescent="0.3">
      <c r="A198" s="1611"/>
      <c r="B198" s="1635"/>
      <c r="C198" s="1572"/>
      <c r="D198" s="1667"/>
      <c r="E198" s="1780"/>
      <c r="F198" s="2295"/>
      <c r="G198" s="376" t="s">
        <v>13</v>
      </c>
      <c r="H198" s="389">
        <f t="shared" si="161"/>
        <v>69237.259999999995</v>
      </c>
      <c r="I198" s="389">
        <v>5437.26</v>
      </c>
      <c r="J198" s="389">
        <v>63800</v>
      </c>
      <c r="K198" s="389">
        <v>0</v>
      </c>
      <c r="L198" s="389">
        <v>0</v>
      </c>
      <c r="M198" s="389">
        <v>0</v>
      </c>
      <c r="N198" s="2296"/>
      <c r="O198" s="1601"/>
      <c r="P198" s="72" t="s">
        <v>1521</v>
      </c>
      <c r="X198" s="1">
        <v>1</v>
      </c>
    </row>
    <row r="199" spans="1:24" s="1" customFormat="1" outlineLevel="1" x14ac:dyDescent="0.3">
      <c r="A199" s="1611" t="s">
        <v>1324</v>
      </c>
      <c r="B199" s="1630" t="s">
        <v>1089</v>
      </c>
      <c r="C199" s="1570" t="s">
        <v>208</v>
      </c>
      <c r="D199" s="1666" t="s">
        <v>1108</v>
      </c>
      <c r="E199" s="1778">
        <v>28733</v>
      </c>
      <c r="F199" s="2294">
        <v>509.9</v>
      </c>
      <c r="G199" s="374" t="s">
        <v>12</v>
      </c>
      <c r="H199" s="389">
        <f t="shared" si="161"/>
        <v>28223.13</v>
      </c>
      <c r="I199" s="389">
        <f>I200</f>
        <v>2623.13</v>
      </c>
      <c r="J199" s="389">
        <f>J200</f>
        <v>25600</v>
      </c>
      <c r="K199" s="389">
        <f>K200</f>
        <v>0</v>
      </c>
      <c r="L199" s="389">
        <f>L200</f>
        <v>0</v>
      </c>
      <c r="M199" s="389">
        <f>M200</f>
        <v>0</v>
      </c>
      <c r="N199" s="2296"/>
      <c r="O199" s="1601" t="s">
        <v>16</v>
      </c>
      <c r="P199" s="72"/>
    </row>
    <row r="200" spans="1:24" s="1" customFormat="1" ht="24" outlineLevel="1" x14ac:dyDescent="0.3">
      <c r="A200" s="1611"/>
      <c r="B200" s="1635"/>
      <c r="C200" s="1572"/>
      <c r="D200" s="1667"/>
      <c r="E200" s="1780"/>
      <c r="F200" s="2295"/>
      <c r="G200" s="376" t="s">
        <v>13</v>
      </c>
      <c r="H200" s="389">
        <f t="shared" si="161"/>
        <v>28223.13</v>
      </c>
      <c r="I200" s="389">
        <v>2623.13</v>
      </c>
      <c r="J200" s="389">
        <v>25600</v>
      </c>
      <c r="K200" s="389">
        <v>0</v>
      </c>
      <c r="L200" s="389">
        <v>0</v>
      </c>
      <c r="M200" s="389">
        <v>0</v>
      </c>
      <c r="N200" s="2296"/>
      <c r="O200" s="1601"/>
      <c r="P200" s="72" t="s">
        <v>1526</v>
      </c>
      <c r="X200" s="1">
        <v>1</v>
      </c>
    </row>
    <row r="201" spans="1:24" s="1" customFormat="1" outlineLevel="1" x14ac:dyDescent="0.3">
      <c r="A201" s="1611" t="s">
        <v>1325</v>
      </c>
      <c r="B201" s="1630" t="s">
        <v>1090</v>
      </c>
      <c r="C201" s="1570" t="s">
        <v>208</v>
      </c>
      <c r="D201" s="1666" t="s">
        <v>1109</v>
      </c>
      <c r="E201" s="1778">
        <v>73605.3</v>
      </c>
      <c r="F201" s="2294">
        <v>3011.8</v>
      </c>
      <c r="G201" s="374" t="s">
        <v>12</v>
      </c>
      <c r="H201" s="389">
        <f t="shared" si="161"/>
        <v>70593.429999999993</v>
      </c>
      <c r="I201" s="389">
        <f>I202</f>
        <v>5593.43</v>
      </c>
      <c r="J201" s="389">
        <f>J202</f>
        <v>65000</v>
      </c>
      <c r="K201" s="389">
        <f>K202</f>
        <v>0</v>
      </c>
      <c r="L201" s="389">
        <f>L202</f>
        <v>0</v>
      </c>
      <c r="M201" s="389">
        <f>M202</f>
        <v>0</v>
      </c>
      <c r="N201" s="2296"/>
      <c r="O201" s="1601" t="s">
        <v>16</v>
      </c>
      <c r="P201" s="72"/>
    </row>
    <row r="202" spans="1:24" s="1" customFormat="1" ht="24" outlineLevel="1" x14ac:dyDescent="0.3">
      <c r="A202" s="1611"/>
      <c r="B202" s="1635"/>
      <c r="C202" s="1572"/>
      <c r="D202" s="1667"/>
      <c r="E202" s="1780"/>
      <c r="F202" s="2295"/>
      <c r="G202" s="376" t="s">
        <v>13</v>
      </c>
      <c r="H202" s="389">
        <f t="shared" si="161"/>
        <v>70593.429999999993</v>
      </c>
      <c r="I202" s="389">
        <v>5593.43</v>
      </c>
      <c r="J202" s="389">
        <v>65000</v>
      </c>
      <c r="K202" s="389">
        <v>0</v>
      </c>
      <c r="L202" s="389">
        <v>0</v>
      </c>
      <c r="M202" s="389">
        <v>0</v>
      </c>
      <c r="N202" s="2296"/>
      <c r="O202" s="1601"/>
      <c r="P202" s="72" t="s">
        <v>1521</v>
      </c>
      <c r="X202" s="1">
        <v>1</v>
      </c>
    </row>
    <row r="203" spans="1:24" s="1" customFormat="1" outlineLevel="1" x14ac:dyDescent="0.3">
      <c r="A203" s="1611" t="s">
        <v>1326</v>
      </c>
      <c r="B203" s="1630" t="s">
        <v>1091</v>
      </c>
      <c r="C203" s="1570" t="s">
        <v>208</v>
      </c>
      <c r="D203" s="1666" t="s">
        <v>1110</v>
      </c>
      <c r="E203" s="1778">
        <v>21091.4</v>
      </c>
      <c r="F203" s="2294">
        <v>393.3</v>
      </c>
      <c r="G203" s="374" t="s">
        <v>12</v>
      </c>
      <c r="H203" s="389">
        <f t="shared" si="161"/>
        <v>20698.14</v>
      </c>
      <c r="I203" s="389">
        <f>I204</f>
        <v>1289.43</v>
      </c>
      <c r="J203" s="389">
        <f>J204</f>
        <v>19408.71</v>
      </c>
      <c r="K203" s="389">
        <f>K204</f>
        <v>0</v>
      </c>
      <c r="L203" s="389">
        <f>L204</f>
        <v>0</v>
      </c>
      <c r="M203" s="389">
        <f>M204</f>
        <v>0</v>
      </c>
      <c r="N203" s="2296"/>
      <c r="O203" s="1601" t="s">
        <v>16</v>
      </c>
      <c r="P203" s="72"/>
    </row>
    <row r="204" spans="1:24" s="1" customFormat="1" ht="24" outlineLevel="1" x14ac:dyDescent="0.3">
      <c r="A204" s="1611"/>
      <c r="B204" s="1635"/>
      <c r="C204" s="1572"/>
      <c r="D204" s="1667"/>
      <c r="E204" s="1780"/>
      <c r="F204" s="2295"/>
      <c r="G204" s="376" t="s">
        <v>13</v>
      </c>
      <c r="H204" s="389">
        <f t="shared" si="161"/>
        <v>20698.14</v>
      </c>
      <c r="I204" s="389">
        <v>1289.43</v>
      </c>
      <c r="J204" s="389">
        <v>19408.71</v>
      </c>
      <c r="K204" s="389">
        <v>0</v>
      </c>
      <c r="L204" s="389">
        <v>0</v>
      </c>
      <c r="M204" s="389">
        <v>0</v>
      </c>
      <c r="N204" s="2296"/>
      <c r="O204" s="1601"/>
      <c r="P204" s="72" t="s">
        <v>1521</v>
      </c>
      <c r="X204" s="1">
        <v>1</v>
      </c>
    </row>
    <row r="205" spans="1:24" s="1" customFormat="1" outlineLevel="1" x14ac:dyDescent="0.3">
      <c r="A205" s="1611" t="s">
        <v>1327</v>
      </c>
      <c r="B205" s="1630" t="s">
        <v>1092</v>
      </c>
      <c r="C205" s="1570" t="s">
        <v>208</v>
      </c>
      <c r="D205" s="1666" t="s">
        <v>1108</v>
      </c>
      <c r="E205" s="1778">
        <v>30585.9</v>
      </c>
      <c r="F205" s="2294">
        <v>516.5</v>
      </c>
      <c r="G205" s="374" t="s">
        <v>12</v>
      </c>
      <c r="H205" s="389">
        <f t="shared" si="161"/>
        <v>30069.41</v>
      </c>
      <c r="I205" s="389">
        <f>I206</f>
        <v>6469.41</v>
      </c>
      <c r="J205" s="389">
        <f>J206</f>
        <v>23600</v>
      </c>
      <c r="K205" s="389">
        <f>K206</f>
        <v>0</v>
      </c>
      <c r="L205" s="389">
        <f>L206</f>
        <v>0</v>
      </c>
      <c r="M205" s="389">
        <f>M206</f>
        <v>0</v>
      </c>
      <c r="N205" s="2296"/>
      <c r="O205" s="1601" t="s">
        <v>16</v>
      </c>
      <c r="P205" s="72"/>
    </row>
    <row r="206" spans="1:24" s="1" customFormat="1" ht="24" outlineLevel="1" x14ac:dyDescent="0.3">
      <c r="A206" s="1611"/>
      <c r="B206" s="1635"/>
      <c r="C206" s="1572"/>
      <c r="D206" s="1667"/>
      <c r="E206" s="1780"/>
      <c r="F206" s="2295"/>
      <c r="G206" s="376" t="s">
        <v>13</v>
      </c>
      <c r="H206" s="389">
        <f t="shared" si="161"/>
        <v>30069.41</v>
      </c>
      <c r="I206" s="389">
        <v>6469.41</v>
      </c>
      <c r="J206" s="389">
        <v>23600</v>
      </c>
      <c r="K206" s="389">
        <v>0</v>
      </c>
      <c r="L206" s="389">
        <v>0</v>
      </c>
      <c r="M206" s="389">
        <v>0</v>
      </c>
      <c r="N206" s="2296"/>
      <c r="O206" s="1601"/>
      <c r="P206" s="72" t="s">
        <v>1521</v>
      </c>
      <c r="X206" s="1">
        <v>1</v>
      </c>
    </row>
    <row r="207" spans="1:24" s="1" customFormat="1" outlineLevel="1" x14ac:dyDescent="0.3">
      <c r="A207" s="1611" t="s">
        <v>1328</v>
      </c>
      <c r="B207" s="1541" t="s">
        <v>1093</v>
      </c>
      <c r="C207" s="1541" t="s">
        <v>208</v>
      </c>
      <c r="D207" s="1601" t="s">
        <v>1111</v>
      </c>
      <c r="E207" s="1718">
        <v>23240.1</v>
      </c>
      <c r="F207" s="1719">
        <v>430.4</v>
      </c>
      <c r="G207" s="374" t="s">
        <v>12</v>
      </c>
      <c r="H207" s="389">
        <f t="shared" si="161"/>
        <v>22809.75</v>
      </c>
      <c r="I207" s="389">
        <f>I208</f>
        <v>2324.12</v>
      </c>
      <c r="J207" s="389">
        <f>J208</f>
        <v>20485.63</v>
      </c>
      <c r="K207" s="389">
        <f>K208</f>
        <v>0</v>
      </c>
      <c r="L207" s="389">
        <f>L208</f>
        <v>0</v>
      </c>
      <c r="M207" s="389">
        <f>M208</f>
        <v>0</v>
      </c>
      <c r="N207" s="2296"/>
      <c r="O207" s="1601" t="s">
        <v>16</v>
      </c>
      <c r="P207" s="72"/>
    </row>
    <row r="208" spans="1:24" s="1" customFormat="1" ht="24" outlineLevel="1" x14ac:dyDescent="0.3">
      <c r="A208" s="1611"/>
      <c r="B208" s="1541"/>
      <c r="C208" s="1541"/>
      <c r="D208" s="1601"/>
      <c r="E208" s="1718"/>
      <c r="F208" s="1719"/>
      <c r="G208" s="374" t="s">
        <v>13</v>
      </c>
      <c r="H208" s="389">
        <f t="shared" si="161"/>
        <v>22809.75</v>
      </c>
      <c r="I208" s="389">
        <v>2324.12</v>
      </c>
      <c r="J208" s="389">
        <v>20485.63</v>
      </c>
      <c r="K208" s="389">
        <v>0</v>
      </c>
      <c r="L208" s="389">
        <v>0</v>
      </c>
      <c r="M208" s="389">
        <v>0</v>
      </c>
      <c r="N208" s="2296"/>
      <c r="O208" s="1601"/>
      <c r="P208" s="1151" t="s">
        <v>1521</v>
      </c>
      <c r="X208" s="1">
        <v>1</v>
      </c>
    </row>
    <row r="209" spans="1:27" s="1" customFormat="1" ht="32.25" customHeight="1" outlineLevel="1" x14ac:dyDescent="0.3">
      <c r="A209" s="2344" t="s">
        <v>1432</v>
      </c>
      <c r="B209" s="2345"/>
      <c r="C209" s="2345"/>
      <c r="D209" s="2345"/>
      <c r="E209" s="2345"/>
      <c r="F209" s="2346"/>
      <c r="G209" s="795"/>
      <c r="H209" s="803"/>
      <c r="I209" s="822">
        <f>0.02+0.21</f>
        <v>0.23</v>
      </c>
      <c r="J209" s="822">
        <v>0.66</v>
      </c>
      <c r="K209" s="803"/>
      <c r="L209" s="803"/>
      <c r="M209" s="803"/>
      <c r="N209" s="821"/>
      <c r="O209" s="799"/>
      <c r="P209" s="72"/>
    </row>
    <row r="210" spans="1:27" s="1" customFormat="1" ht="31.5" customHeight="1" x14ac:dyDescent="0.3">
      <c r="A210" s="2351" t="s">
        <v>1401</v>
      </c>
      <c r="B210" s="2351"/>
      <c r="C210" s="2351"/>
      <c r="D210" s="2351"/>
      <c r="E210" s="2413">
        <f>E177+E173+E169</f>
        <v>242357</v>
      </c>
      <c r="F210" s="873">
        <f>F211</f>
        <v>160762.26999999999</v>
      </c>
      <c r="G210" s="874" t="s">
        <v>12</v>
      </c>
      <c r="H210" s="873">
        <f t="shared" ref="H210:M210" si="163">H211</f>
        <v>632062</v>
      </c>
      <c r="I210" s="873">
        <f t="shared" si="163"/>
        <v>298567</v>
      </c>
      <c r="J210" s="873">
        <f>J211</f>
        <v>333495</v>
      </c>
      <c r="K210" s="873">
        <f t="shared" si="163"/>
        <v>0</v>
      </c>
      <c r="L210" s="873">
        <f t="shared" si="163"/>
        <v>0</v>
      </c>
      <c r="M210" s="873">
        <f t="shared" si="163"/>
        <v>0</v>
      </c>
      <c r="N210" s="2468"/>
      <c r="O210" s="886"/>
      <c r="P210" s="1152" t="s">
        <v>1527</v>
      </c>
      <c r="W210" s="1">
        <f>SUM(W169:W209)</f>
        <v>7</v>
      </c>
      <c r="X210" s="1">
        <f>SUM(X169:X209)</f>
        <v>10</v>
      </c>
      <c r="Y210" s="1">
        <f>SUM(Y169:Y209)</f>
        <v>0</v>
      </c>
      <c r="Z210" s="1">
        <f>SUM(Z169:Z209)</f>
        <v>0</v>
      </c>
      <c r="AA210" s="1">
        <f>SUM(AA169:AA209)</f>
        <v>0</v>
      </c>
    </row>
    <row r="211" spans="1:27" s="1" customFormat="1" ht="33.75" customHeight="1" x14ac:dyDescent="0.3">
      <c r="A211" s="2351"/>
      <c r="B211" s="2351"/>
      <c r="C211" s="2351"/>
      <c r="D211" s="2351"/>
      <c r="E211" s="2413"/>
      <c r="F211" s="873">
        <f>F177+F173+F169+F181+F183+F185+F187+F189+F191+F193+F195+F197+F199+F201+F203+F205+F207</f>
        <v>160762.26999999999</v>
      </c>
      <c r="G211" s="969" t="s">
        <v>13</v>
      </c>
      <c r="H211" s="993">
        <f>I211+J211+K211+L211+M211</f>
        <v>632062</v>
      </c>
      <c r="I211" s="589">
        <f>I178+I174+I170+I182+I184+I186+I188+I190+I192+I194+I196+I198+I200+I202+I204+I206+I208+I209</f>
        <v>298567</v>
      </c>
      <c r="J211" s="589">
        <f>J178+J174+J170+J182+J184+J186+J188+J190+J192+J194+J196+J198+J200+J202+J204+J206+J208+J209</f>
        <v>333495</v>
      </c>
      <c r="K211" s="993">
        <f t="shared" ref="K211:M211" si="164">K178+K174+K170+K182+K184+K186+K188+K190+K192+K194+K196+K198+K200+K202+K204+K206+K208</f>
        <v>0</v>
      </c>
      <c r="L211" s="993">
        <f t="shared" si="164"/>
        <v>0</v>
      </c>
      <c r="M211" s="993">
        <f t="shared" si="164"/>
        <v>0</v>
      </c>
      <c r="N211" s="2468"/>
      <c r="O211" s="995">
        <v>0.02</v>
      </c>
      <c r="P211" s="72"/>
    </row>
    <row r="212" spans="1:27" s="1" customFormat="1" ht="27.75" customHeight="1" x14ac:dyDescent="0.3">
      <c r="A212" s="2350" t="s">
        <v>212</v>
      </c>
      <c r="B212" s="2350"/>
      <c r="C212" s="2350"/>
      <c r="D212" s="2350"/>
      <c r="E212" s="2413"/>
      <c r="F212" s="873">
        <f>F180+F176+F172</f>
        <v>5122.24</v>
      </c>
      <c r="G212" s="874" t="s">
        <v>13</v>
      </c>
      <c r="H212" s="873">
        <f>I212+J212+K212+L212+M212</f>
        <v>0</v>
      </c>
      <c r="I212" s="873">
        <f>I180+I176+I172</f>
        <v>0</v>
      </c>
      <c r="J212" s="873">
        <v>0</v>
      </c>
      <c r="K212" s="873">
        <v>0</v>
      </c>
      <c r="L212" s="873">
        <v>0</v>
      </c>
      <c r="M212" s="873">
        <v>0</v>
      </c>
      <c r="N212" s="2468"/>
      <c r="O212" s="881"/>
      <c r="P212" s="72"/>
    </row>
    <row r="213" spans="1:27" s="1" customFormat="1" ht="34.5" customHeight="1" x14ac:dyDescent="0.3">
      <c r="A213" s="2341"/>
      <c r="B213" s="2328" t="s">
        <v>1399</v>
      </c>
      <c r="C213" s="2328"/>
      <c r="D213" s="2328"/>
      <c r="E213" s="2328"/>
      <c r="F213" s="2328"/>
      <c r="G213" s="887" t="s">
        <v>687</v>
      </c>
      <c r="H213" s="873">
        <f>I213+J213+K213+L213+M213</f>
        <v>539358</v>
      </c>
      <c r="I213" s="873">
        <f>I207+I205+I203+I201+I199+I197+I195+I193+I191+I189+I187+I185+I183+I181+0.02</f>
        <v>205863</v>
      </c>
      <c r="J213" s="873">
        <f>J207+J205+J203+J201+J199+J197+J195+J193+J191+J189+J187+J185+J183+J181+J209</f>
        <v>333495</v>
      </c>
      <c r="K213" s="873">
        <f>K207+K205+K203+K201+K199+K197+K195+K193+K191+K189+K187+K185</f>
        <v>0</v>
      </c>
      <c r="L213" s="873">
        <f>L188+L189+L190+L207+L212+L191+L192+L193+L194+L195</f>
        <v>0</v>
      </c>
      <c r="M213" s="873">
        <f>M188+M189+M190+M207+M212+M191+M192+M193+M194+M195</f>
        <v>0</v>
      </c>
      <c r="N213" s="2329"/>
      <c r="O213" s="881"/>
      <c r="P213" s="4"/>
    </row>
    <row r="214" spans="1:27" s="1" customFormat="1" ht="37.5" customHeight="1" x14ac:dyDescent="0.3">
      <c r="A214" s="2342"/>
      <c r="B214" s="2328"/>
      <c r="C214" s="2328"/>
      <c r="D214" s="2328"/>
      <c r="E214" s="2328"/>
      <c r="F214" s="2328"/>
      <c r="G214" s="887" t="s">
        <v>349</v>
      </c>
      <c r="H214" s="873">
        <f>I214+J214+K214+L214+M214</f>
        <v>92704</v>
      </c>
      <c r="I214" s="873">
        <f>I169+I173+I177+O214</f>
        <v>92704</v>
      </c>
      <c r="J214" s="873">
        <f>J169+J173+J177</f>
        <v>0</v>
      </c>
      <c r="K214" s="873">
        <f>K196+K199+K197+K198</f>
        <v>0</v>
      </c>
      <c r="L214" s="873">
        <f>L196+L199+L197+L198</f>
        <v>0</v>
      </c>
      <c r="M214" s="873">
        <f>M196+M199+M197+M198</f>
        <v>0</v>
      </c>
      <c r="N214" s="2330"/>
      <c r="O214" s="968">
        <v>0.21</v>
      </c>
      <c r="P214" s="4"/>
    </row>
    <row r="215" spans="1:27" s="1" customFormat="1" ht="47.25" customHeight="1" x14ac:dyDescent="0.3">
      <c r="A215" s="2343"/>
      <c r="B215" s="2328"/>
      <c r="C215" s="2328"/>
      <c r="D215" s="2328"/>
      <c r="E215" s="2328"/>
      <c r="F215" s="2328"/>
      <c r="G215" s="887" t="s">
        <v>1329</v>
      </c>
      <c r="H215" s="873">
        <f>H214+H213</f>
        <v>632062</v>
      </c>
      <c r="I215" s="873">
        <f>I213+I214</f>
        <v>298567</v>
      </c>
      <c r="J215" s="873">
        <f>J213+J214</f>
        <v>333495</v>
      </c>
      <c r="K215" s="873">
        <f>K200+K201</f>
        <v>0</v>
      </c>
      <c r="L215" s="873">
        <f>L200+L201</f>
        <v>0</v>
      </c>
      <c r="M215" s="873">
        <f>M200+M201</f>
        <v>0</v>
      </c>
      <c r="N215" s="2331"/>
      <c r="O215" s="881"/>
      <c r="P215" s="4"/>
    </row>
    <row r="216" spans="1:27" s="1" customFormat="1" ht="48.75" customHeight="1" x14ac:dyDescent="0.3">
      <c r="A216" s="2332" t="s">
        <v>215</v>
      </c>
      <c r="B216" s="2332"/>
      <c r="C216" s="2332"/>
      <c r="D216" s="2332"/>
      <c r="E216" s="2332"/>
      <c r="F216" s="2332"/>
      <c r="G216" s="2332"/>
      <c r="H216" s="2332"/>
      <c r="I216" s="2332"/>
      <c r="J216" s="2332"/>
      <c r="K216" s="2332"/>
      <c r="L216" s="2332"/>
      <c r="M216" s="2332"/>
      <c r="N216" s="2332"/>
      <c r="O216" s="2332"/>
      <c r="P216" s="17"/>
    </row>
    <row r="217" spans="1:27" s="1" customFormat="1" ht="48.75" customHeight="1" x14ac:dyDescent="0.3">
      <c r="A217" s="1796" t="s">
        <v>216</v>
      </c>
      <c r="B217" s="1796"/>
      <c r="C217" s="1796"/>
      <c r="D217" s="1796"/>
      <c r="E217" s="1796"/>
      <c r="F217" s="1796"/>
      <c r="G217" s="1796"/>
      <c r="H217" s="1796"/>
      <c r="I217" s="1796"/>
      <c r="J217" s="1796"/>
      <c r="K217" s="1796"/>
      <c r="L217" s="1796"/>
      <c r="M217" s="1796"/>
      <c r="N217" s="1796"/>
      <c r="O217" s="1796"/>
    </row>
    <row r="218" spans="1:27" s="11" customFormat="1" ht="48.75" customHeight="1" x14ac:dyDescent="0.3">
      <c r="A218" s="1796" t="s">
        <v>217</v>
      </c>
      <c r="B218" s="1796"/>
      <c r="C218" s="1796"/>
      <c r="D218" s="1796"/>
      <c r="E218" s="1796"/>
      <c r="F218" s="1796"/>
      <c r="G218" s="1796"/>
      <c r="H218" s="1796"/>
      <c r="I218" s="1796"/>
      <c r="J218" s="1796"/>
      <c r="K218" s="1796"/>
      <c r="L218" s="1796"/>
      <c r="M218" s="1796"/>
      <c r="N218" s="1796"/>
      <c r="O218" s="1796"/>
      <c r="P218" s="1"/>
    </row>
    <row r="219" spans="1:27" s="17" customFormat="1" ht="48.75" customHeight="1" x14ac:dyDescent="0.3">
      <c r="A219" s="1796" t="s">
        <v>218</v>
      </c>
      <c r="B219" s="1796"/>
      <c r="C219" s="1796"/>
      <c r="D219" s="1796"/>
      <c r="E219" s="1796"/>
      <c r="F219" s="1796"/>
      <c r="G219" s="1796"/>
      <c r="H219" s="1796"/>
      <c r="I219" s="1796"/>
      <c r="J219" s="1796"/>
      <c r="K219" s="1796"/>
      <c r="L219" s="1796"/>
      <c r="M219" s="1796"/>
      <c r="N219" s="1796"/>
      <c r="O219" s="1796"/>
      <c r="P219" s="2492"/>
    </row>
    <row r="220" spans="1:27" s="17" customFormat="1" ht="33.6" customHeight="1" x14ac:dyDescent="0.3">
      <c r="A220" s="188"/>
      <c r="B220" s="98"/>
      <c r="C220" s="98"/>
      <c r="D220" s="98"/>
      <c r="E220" s="97"/>
      <c r="F220" s="97"/>
      <c r="G220" s="97"/>
      <c r="H220" s="97"/>
      <c r="I220" s="97"/>
      <c r="J220" s="97"/>
      <c r="K220" s="97"/>
      <c r="L220" s="97"/>
      <c r="M220" s="97"/>
      <c r="N220" s="97"/>
      <c r="O220" s="608"/>
      <c r="P220" s="2492"/>
    </row>
    <row r="221" spans="1:27" s="17" customFormat="1" ht="15" customHeight="1" x14ac:dyDescent="0.3">
      <c r="A221" s="83"/>
      <c r="B221" s="42"/>
      <c r="C221" s="42"/>
      <c r="D221" s="42"/>
      <c r="E221" s="21"/>
      <c r="F221" s="21"/>
      <c r="G221" s="606"/>
      <c r="H221" s="607"/>
      <c r="I221" s="607"/>
      <c r="J221" s="607"/>
      <c r="K221" s="607"/>
      <c r="L221" s="607"/>
      <c r="M221" s="607"/>
      <c r="N221" s="21"/>
      <c r="O221" s="1318"/>
      <c r="P221" s="2493"/>
    </row>
    <row r="222" spans="1:27" s="1" customFormat="1" ht="114" customHeight="1" x14ac:dyDescent="0.3">
      <c r="A222" s="2323" t="s">
        <v>1394</v>
      </c>
      <c r="B222" s="2323"/>
      <c r="C222" s="2323"/>
      <c r="D222" s="2323"/>
      <c r="E222" s="2323"/>
      <c r="F222" s="2323"/>
      <c r="G222" s="2323"/>
      <c r="H222" s="2323"/>
      <c r="I222" s="2323"/>
      <c r="J222" s="2323"/>
      <c r="K222" s="2323"/>
      <c r="L222" s="2323"/>
      <c r="M222" s="2323"/>
      <c r="N222" s="2323"/>
      <c r="O222" s="2324"/>
      <c r="P222" s="2493"/>
    </row>
    <row r="223" spans="1:27" s="597" customFormat="1" ht="24" customHeight="1" outlineLevel="1" x14ac:dyDescent="0.3">
      <c r="A223" s="2416" t="s">
        <v>46</v>
      </c>
      <c r="B223" s="1920" t="s">
        <v>55</v>
      </c>
      <c r="C223" s="1920" t="s">
        <v>939</v>
      </c>
      <c r="D223" s="1920" t="s">
        <v>940</v>
      </c>
      <c r="E223" s="1920" t="s">
        <v>52</v>
      </c>
      <c r="F223" s="1920" t="s">
        <v>545</v>
      </c>
      <c r="G223" s="1913" t="s">
        <v>59</v>
      </c>
      <c r="H223" s="1914" t="s">
        <v>106</v>
      </c>
      <c r="I223" s="1914"/>
      <c r="J223" s="1914"/>
      <c r="K223" s="1914"/>
      <c r="L223" s="1914"/>
      <c r="M223" s="1914"/>
      <c r="N223" s="1915" t="s">
        <v>50</v>
      </c>
      <c r="O223" s="2325" t="s">
        <v>16</v>
      </c>
      <c r="P223" s="596"/>
      <c r="Q223" s="508"/>
    </row>
    <row r="224" spans="1:27" s="597" customFormat="1" ht="39.75" customHeight="1" outlineLevel="1" x14ac:dyDescent="0.3">
      <c r="A224" s="2417"/>
      <c r="B224" s="1921"/>
      <c r="C224" s="1921"/>
      <c r="D224" s="1921"/>
      <c r="E224" s="1921"/>
      <c r="F224" s="1921"/>
      <c r="G224" s="1913"/>
      <c r="H224" s="478" t="s">
        <v>33</v>
      </c>
      <c r="I224" s="478" t="s">
        <v>4</v>
      </c>
      <c r="J224" s="478" t="s">
        <v>91</v>
      </c>
      <c r="K224" s="478" t="s">
        <v>90</v>
      </c>
      <c r="L224" s="478" t="s">
        <v>89</v>
      </c>
      <c r="M224" s="478" t="s">
        <v>221</v>
      </c>
      <c r="N224" s="1915"/>
      <c r="O224" s="2325"/>
      <c r="P224" s="596"/>
      <c r="Q224" s="508"/>
      <c r="W224" s="597">
        <v>2018</v>
      </c>
      <c r="X224" s="597">
        <v>2019</v>
      </c>
      <c r="Y224" s="597">
        <v>2020</v>
      </c>
      <c r="Z224" s="597">
        <v>2021</v>
      </c>
      <c r="AA224" s="597">
        <v>2022</v>
      </c>
    </row>
    <row r="225" spans="1:24" s="600" customFormat="1" ht="15" customHeight="1" outlineLevel="1" x14ac:dyDescent="0.3">
      <c r="A225" s="464">
        <v>1</v>
      </c>
      <c r="B225" s="509">
        <v>2</v>
      </c>
      <c r="C225" s="509">
        <v>3</v>
      </c>
      <c r="D225" s="509">
        <v>4</v>
      </c>
      <c r="E225" s="509">
        <v>5</v>
      </c>
      <c r="F225" s="509">
        <v>6</v>
      </c>
      <c r="G225" s="509">
        <v>7</v>
      </c>
      <c r="H225" s="509">
        <v>8</v>
      </c>
      <c r="I225" s="509">
        <v>9</v>
      </c>
      <c r="J225" s="509">
        <v>10</v>
      </c>
      <c r="K225" s="509">
        <v>11</v>
      </c>
      <c r="L225" s="509">
        <v>12</v>
      </c>
      <c r="M225" s="509">
        <v>13</v>
      </c>
      <c r="N225" s="598">
        <v>14</v>
      </c>
      <c r="O225" s="601"/>
      <c r="P225" s="599">
        <f>I231/I229</f>
        <v>0.100018670151762</v>
      </c>
      <c r="Q225" s="588"/>
    </row>
    <row r="226" spans="1:24" s="93" customFormat="1" ht="24" customHeight="1" outlineLevel="1" x14ac:dyDescent="0.3">
      <c r="A226" s="2372" t="s">
        <v>955</v>
      </c>
      <c r="B226" s="1529" t="s">
        <v>1096</v>
      </c>
      <c r="C226" s="1530"/>
      <c r="D226" s="1530"/>
      <c r="E226" s="1530"/>
      <c r="F226" s="1531"/>
      <c r="G226" s="386" t="s">
        <v>12</v>
      </c>
      <c r="H226" s="69">
        <f>H227+H228</f>
        <v>47991.040000000001</v>
      </c>
      <c r="I226" s="69">
        <f t="shared" ref="I226:M226" si="165">I227+I228</f>
        <v>47991.040000000001</v>
      </c>
      <c r="J226" s="69">
        <f t="shared" si="165"/>
        <v>0</v>
      </c>
      <c r="K226" s="69">
        <f t="shared" si="165"/>
        <v>0</v>
      </c>
      <c r="L226" s="69">
        <f t="shared" si="165"/>
        <v>0</v>
      </c>
      <c r="M226" s="69">
        <f t="shared" si="165"/>
        <v>0</v>
      </c>
      <c r="N226" s="2418"/>
      <c r="O226" s="2294" t="s">
        <v>16</v>
      </c>
      <c r="P226" s="591"/>
    </row>
    <row r="227" spans="1:24" s="93" customFormat="1" ht="39.75" customHeight="1" outlineLevel="1" x14ac:dyDescent="0.3">
      <c r="A227" s="2373"/>
      <c r="B227" s="1532"/>
      <c r="C227" s="1533"/>
      <c r="D227" s="1533"/>
      <c r="E227" s="1533"/>
      <c r="F227" s="1534"/>
      <c r="G227" s="386" t="s">
        <v>13</v>
      </c>
      <c r="H227" s="69">
        <f>I227+J227+K227+L227+M227</f>
        <v>43191.040000000001</v>
      </c>
      <c r="I227" s="389">
        <f t="shared" ref="I227:M228" si="166">I230+I233</f>
        <v>43191.040000000001</v>
      </c>
      <c r="J227" s="389">
        <f t="shared" si="166"/>
        <v>0</v>
      </c>
      <c r="K227" s="389">
        <f t="shared" si="166"/>
        <v>0</v>
      </c>
      <c r="L227" s="389">
        <f t="shared" si="166"/>
        <v>0</v>
      </c>
      <c r="M227" s="389">
        <f t="shared" si="166"/>
        <v>0</v>
      </c>
      <c r="N227" s="2419"/>
      <c r="O227" s="2334"/>
      <c r="P227" s="591"/>
    </row>
    <row r="228" spans="1:24" s="93" customFormat="1" ht="63" customHeight="1" outlineLevel="1" x14ac:dyDescent="0.3">
      <c r="A228" s="2374"/>
      <c r="B228" s="1535"/>
      <c r="C228" s="1536"/>
      <c r="D228" s="1536"/>
      <c r="E228" s="1536"/>
      <c r="F228" s="1537"/>
      <c r="G228" s="386" t="s">
        <v>3</v>
      </c>
      <c r="H228" s="69">
        <f>I228+J228+K228+L228+M228</f>
        <v>4800</v>
      </c>
      <c r="I228" s="389">
        <f t="shared" si="166"/>
        <v>4800</v>
      </c>
      <c r="J228" s="389">
        <f t="shared" si="166"/>
        <v>0</v>
      </c>
      <c r="K228" s="389">
        <f t="shared" si="166"/>
        <v>0</v>
      </c>
      <c r="L228" s="389">
        <f t="shared" si="166"/>
        <v>0</v>
      </c>
      <c r="M228" s="389">
        <f t="shared" si="166"/>
        <v>0</v>
      </c>
      <c r="N228" s="2420"/>
      <c r="O228" s="2295"/>
      <c r="P228" s="1153" t="s">
        <v>1073</v>
      </c>
    </row>
    <row r="229" spans="1:24" s="1" customFormat="1" ht="21.75" customHeight="1" outlineLevel="1" x14ac:dyDescent="0.3">
      <c r="A229" s="2372" t="s">
        <v>115</v>
      </c>
      <c r="B229" s="1513" t="s">
        <v>1094</v>
      </c>
      <c r="C229" s="1513">
        <v>2018</v>
      </c>
      <c r="D229" s="1778"/>
      <c r="E229" s="2410">
        <f>H229</f>
        <v>47991.040000000001</v>
      </c>
      <c r="F229" s="404">
        <f>F230+F231</f>
        <v>0</v>
      </c>
      <c r="G229" s="386" t="s">
        <v>12</v>
      </c>
      <c r="H229" s="1206">
        <f>H230+H231</f>
        <v>47991.040000000001</v>
      </c>
      <c r="I229" s="1206">
        <f>I230+I231</f>
        <v>47991.040000000001</v>
      </c>
      <c r="J229" s="69">
        <f t="shared" ref="J229:M229" si="167">J230+J231</f>
        <v>0</v>
      </c>
      <c r="K229" s="69">
        <f t="shared" si="167"/>
        <v>0</v>
      </c>
      <c r="L229" s="69">
        <f t="shared" si="167"/>
        <v>0</v>
      </c>
      <c r="M229" s="69">
        <f t="shared" si="167"/>
        <v>0</v>
      </c>
      <c r="N229" s="2294"/>
      <c r="O229" s="2303"/>
      <c r="P229" s="2489" t="s">
        <v>1522</v>
      </c>
      <c r="Q229" s="93"/>
    </row>
    <row r="230" spans="1:24" s="1" customFormat="1" ht="33.6" customHeight="1" outlineLevel="1" x14ac:dyDescent="0.3">
      <c r="A230" s="2373"/>
      <c r="B230" s="2244"/>
      <c r="C230" s="2244"/>
      <c r="D230" s="1779"/>
      <c r="E230" s="2411"/>
      <c r="F230" s="404">
        <v>0</v>
      </c>
      <c r="G230" s="386" t="s">
        <v>13</v>
      </c>
      <c r="H230" s="69">
        <f>I230+J230+K230+L230+M230</f>
        <v>43191.040000000001</v>
      </c>
      <c r="I230" s="389">
        <v>43191.040000000001</v>
      </c>
      <c r="J230" s="1134">
        <v>0</v>
      </c>
      <c r="K230" s="389">
        <v>0</v>
      </c>
      <c r="L230" s="389">
        <v>0</v>
      </c>
      <c r="M230" s="389">
        <v>0</v>
      </c>
      <c r="N230" s="2334"/>
      <c r="O230" s="2304"/>
      <c r="P230" s="2490"/>
      <c r="Q230" s="93"/>
      <c r="W230" s="1">
        <v>1</v>
      </c>
    </row>
    <row r="231" spans="1:24" s="1" customFormat="1" ht="46.5" customHeight="1" outlineLevel="1" x14ac:dyDescent="0.3">
      <c r="A231" s="2374"/>
      <c r="B231" s="1514"/>
      <c r="C231" s="1514"/>
      <c r="D231" s="1780"/>
      <c r="E231" s="2412"/>
      <c r="F231" s="404">
        <v>0</v>
      </c>
      <c r="G231" s="386" t="s">
        <v>3</v>
      </c>
      <c r="H231" s="1206">
        <f>I231+J231+K231+L231+M231</f>
        <v>4800</v>
      </c>
      <c r="I231" s="1205">
        <v>4800</v>
      </c>
      <c r="J231" s="389">
        <v>0</v>
      </c>
      <c r="K231" s="389">
        <v>0</v>
      </c>
      <c r="L231" s="389">
        <v>0</v>
      </c>
      <c r="M231" s="389">
        <v>0</v>
      </c>
      <c r="N231" s="2295"/>
      <c r="O231" s="2305"/>
      <c r="P231" s="2491"/>
      <c r="Q231" s="93"/>
    </row>
    <row r="232" spans="1:24" s="93" customFormat="1" ht="24" customHeight="1" outlineLevel="1" x14ac:dyDescent="0.3">
      <c r="A232" s="1717" t="s">
        <v>116</v>
      </c>
      <c r="B232" s="2230" t="s">
        <v>1095</v>
      </c>
      <c r="C232" s="2230">
        <v>2018</v>
      </c>
      <c r="D232" s="2456"/>
      <c r="E232" s="2482">
        <f>H232</f>
        <v>0</v>
      </c>
      <c r="F232" s="869">
        <f>F233+F234</f>
        <v>0</v>
      </c>
      <c r="G232" s="826" t="s">
        <v>12</v>
      </c>
      <c r="H232" s="870">
        <f>H233+H234</f>
        <v>0</v>
      </c>
      <c r="I232" s="870">
        <f>I233/0.99</f>
        <v>0</v>
      </c>
      <c r="J232" s="870">
        <f t="shared" ref="J232:M232" si="168">J233+J234</f>
        <v>0</v>
      </c>
      <c r="K232" s="870">
        <f t="shared" si="168"/>
        <v>0</v>
      </c>
      <c r="L232" s="870">
        <f t="shared" si="168"/>
        <v>0</v>
      </c>
      <c r="M232" s="870">
        <f t="shared" si="168"/>
        <v>0</v>
      </c>
      <c r="N232" s="1719"/>
      <c r="O232" s="2294" t="s">
        <v>16</v>
      </c>
      <c r="P232" s="591"/>
      <c r="Q232" s="1"/>
    </row>
    <row r="233" spans="1:24" s="93" customFormat="1" ht="39.75" customHeight="1" outlineLevel="1" x14ac:dyDescent="0.45">
      <c r="A233" s="1717"/>
      <c r="B233" s="2230"/>
      <c r="C233" s="2230"/>
      <c r="D233" s="2457"/>
      <c r="E233" s="2482"/>
      <c r="F233" s="869">
        <v>0</v>
      </c>
      <c r="G233" s="826" t="s">
        <v>13</v>
      </c>
      <c r="H233" s="870">
        <f>I233+J233+K233+L233+M233</f>
        <v>0</v>
      </c>
      <c r="I233" s="305">
        <f>19800*0</f>
        <v>0</v>
      </c>
      <c r="J233" s="305">
        <v>0</v>
      </c>
      <c r="K233" s="305">
        <v>0</v>
      </c>
      <c r="L233" s="305">
        <v>0</v>
      </c>
      <c r="M233" s="305">
        <v>0</v>
      </c>
      <c r="N233" s="1719"/>
      <c r="O233" s="2334"/>
      <c r="P233" s="1203" t="s">
        <v>1619</v>
      </c>
      <c r="Q233" s="1"/>
    </row>
    <row r="234" spans="1:24" s="93" customFormat="1" ht="69" customHeight="1" outlineLevel="1" x14ac:dyDescent="0.3">
      <c r="A234" s="1717"/>
      <c r="B234" s="2230"/>
      <c r="C234" s="2230"/>
      <c r="D234" s="2458"/>
      <c r="E234" s="2482"/>
      <c r="F234" s="869">
        <v>0</v>
      </c>
      <c r="G234" s="826" t="s">
        <v>3</v>
      </c>
      <c r="H234" s="870">
        <f>I234+J234+K234+L234+M234</f>
        <v>0</v>
      </c>
      <c r="I234" s="305">
        <f>I232/100*1</f>
        <v>0</v>
      </c>
      <c r="J234" s="305">
        <v>0</v>
      </c>
      <c r="K234" s="305">
        <v>0</v>
      </c>
      <c r="L234" s="305">
        <v>0</v>
      </c>
      <c r="M234" s="305">
        <v>0</v>
      </c>
      <c r="N234" s="1719"/>
      <c r="O234" s="2295"/>
      <c r="P234" s="591"/>
      <c r="Q234" s="1"/>
    </row>
    <row r="235" spans="1:24" s="93" customFormat="1" ht="24" customHeight="1" outlineLevel="1" x14ac:dyDescent="0.3">
      <c r="A235" s="2372" t="s">
        <v>621</v>
      </c>
      <c r="B235" s="1529" t="s">
        <v>156</v>
      </c>
      <c r="C235" s="1530"/>
      <c r="D235" s="1530"/>
      <c r="E235" s="1530"/>
      <c r="F235" s="1531"/>
      <c r="G235" s="386" t="s">
        <v>12</v>
      </c>
      <c r="H235" s="69">
        <f>H236+H237</f>
        <v>70000</v>
      </c>
      <c r="I235" s="69">
        <f>I236+I237</f>
        <v>0</v>
      </c>
      <c r="J235" s="69">
        <f t="shared" ref="J235:M235" si="169">J236+J237</f>
        <v>70000</v>
      </c>
      <c r="K235" s="69">
        <f t="shared" si="169"/>
        <v>0</v>
      </c>
      <c r="L235" s="69">
        <f t="shared" si="169"/>
        <v>0</v>
      </c>
      <c r="M235" s="69">
        <f t="shared" si="169"/>
        <v>0</v>
      </c>
      <c r="N235" s="1719"/>
      <c r="O235" s="2294" t="s">
        <v>16</v>
      </c>
      <c r="P235" s="591"/>
    </row>
    <row r="236" spans="1:24" s="93" customFormat="1" ht="39.75" customHeight="1" outlineLevel="1" x14ac:dyDescent="0.3">
      <c r="A236" s="2373"/>
      <c r="B236" s="1532"/>
      <c r="C236" s="1533"/>
      <c r="D236" s="1533"/>
      <c r="E236" s="1533"/>
      <c r="F236" s="1534"/>
      <c r="G236" s="386" t="s">
        <v>13</v>
      </c>
      <c r="H236" s="69">
        <f>I236+J236+K236+L236+M236</f>
        <v>52150</v>
      </c>
      <c r="I236" s="389">
        <f>I239+I242+I245</f>
        <v>0</v>
      </c>
      <c r="J236" s="389">
        <f t="shared" ref="J236:M236" si="170">J239+J242+J245</f>
        <v>52150</v>
      </c>
      <c r="K236" s="389">
        <f t="shared" si="170"/>
        <v>0</v>
      </c>
      <c r="L236" s="389">
        <f t="shared" si="170"/>
        <v>0</v>
      </c>
      <c r="M236" s="389">
        <f t="shared" si="170"/>
        <v>0</v>
      </c>
      <c r="N236" s="1719"/>
      <c r="O236" s="2334"/>
      <c r="P236" s="591"/>
    </row>
    <row r="237" spans="1:24" s="93" customFormat="1" ht="69" customHeight="1" outlineLevel="1" x14ac:dyDescent="0.3">
      <c r="A237" s="2374"/>
      <c r="B237" s="1535"/>
      <c r="C237" s="1536"/>
      <c r="D237" s="1536"/>
      <c r="E237" s="1536"/>
      <c r="F237" s="1537"/>
      <c r="G237" s="386" t="s">
        <v>3</v>
      </c>
      <c r="H237" s="69">
        <f>I237+J237+K237+L237+M237</f>
        <v>17850</v>
      </c>
      <c r="I237" s="389">
        <f>I240+I243+I246</f>
        <v>0</v>
      </c>
      <c r="J237" s="389">
        <f t="shared" ref="J237:M237" si="171">J240+J243+J246</f>
        <v>17850</v>
      </c>
      <c r="K237" s="389">
        <f t="shared" si="171"/>
        <v>0</v>
      </c>
      <c r="L237" s="389">
        <f t="shared" si="171"/>
        <v>0</v>
      </c>
      <c r="M237" s="389">
        <f t="shared" si="171"/>
        <v>0</v>
      </c>
      <c r="N237" s="1719"/>
      <c r="O237" s="2295"/>
      <c r="P237" s="591"/>
    </row>
    <row r="238" spans="1:24" s="93" customFormat="1" ht="24" customHeight="1" outlineLevel="1" x14ac:dyDescent="0.3">
      <c r="A238" s="1717" t="s">
        <v>149</v>
      </c>
      <c r="B238" s="1781" t="s">
        <v>644</v>
      </c>
      <c r="C238" s="1781">
        <v>2019</v>
      </c>
      <c r="D238" s="1778"/>
      <c r="E238" s="2298">
        <f>H238</f>
        <v>20000</v>
      </c>
      <c r="F238" s="404">
        <f>F239+F240</f>
        <v>0</v>
      </c>
      <c r="G238" s="386" t="s">
        <v>12</v>
      </c>
      <c r="H238" s="69">
        <f>H239+H240</f>
        <v>20000</v>
      </c>
      <c r="I238" s="69">
        <f t="shared" ref="I238:M238" si="172">I239+I240</f>
        <v>0</v>
      </c>
      <c r="J238" s="69">
        <f t="shared" si="172"/>
        <v>20000</v>
      </c>
      <c r="K238" s="69">
        <f t="shared" si="172"/>
        <v>0</v>
      </c>
      <c r="L238" s="69">
        <f t="shared" si="172"/>
        <v>0</v>
      </c>
      <c r="M238" s="69">
        <f t="shared" si="172"/>
        <v>0</v>
      </c>
      <c r="N238" s="1719"/>
      <c r="O238" s="1719" t="s">
        <v>16</v>
      </c>
      <c r="P238" s="592"/>
    </row>
    <row r="239" spans="1:24" s="93" customFormat="1" ht="39.75" customHeight="1" outlineLevel="1" x14ac:dyDescent="0.3">
      <c r="A239" s="1717"/>
      <c r="B239" s="1781"/>
      <c r="C239" s="1781"/>
      <c r="D239" s="1779"/>
      <c r="E239" s="2298"/>
      <c r="F239" s="404">
        <v>0</v>
      </c>
      <c r="G239" s="386" t="s">
        <v>13</v>
      </c>
      <c r="H239" s="69">
        <f>I239+J239+K239+L239+M239</f>
        <v>14900</v>
      </c>
      <c r="I239" s="389">
        <v>0</v>
      </c>
      <c r="J239" s="389">
        <v>14900</v>
      </c>
      <c r="K239" s="389">
        <v>0</v>
      </c>
      <c r="L239" s="389">
        <v>0</v>
      </c>
      <c r="M239" s="389">
        <v>0</v>
      </c>
      <c r="N239" s="1719"/>
      <c r="O239" s="1719"/>
      <c r="P239" s="592" t="s">
        <v>1521</v>
      </c>
      <c r="X239" s="93">
        <v>1</v>
      </c>
    </row>
    <row r="240" spans="1:24" s="93" customFormat="1" ht="69" customHeight="1" outlineLevel="1" x14ac:dyDescent="0.3">
      <c r="A240" s="1717"/>
      <c r="B240" s="1781"/>
      <c r="C240" s="1781"/>
      <c r="D240" s="1780"/>
      <c r="E240" s="2298"/>
      <c r="F240" s="404">
        <v>0</v>
      </c>
      <c r="G240" s="386" t="s">
        <v>3</v>
      </c>
      <c r="H240" s="69">
        <f>I240+J240+K240+L240+M240</f>
        <v>5100</v>
      </c>
      <c r="I240" s="389">
        <v>0</v>
      </c>
      <c r="J240" s="389">
        <v>5100</v>
      </c>
      <c r="K240" s="389">
        <v>0</v>
      </c>
      <c r="L240" s="389">
        <v>0</v>
      </c>
      <c r="M240" s="389">
        <v>0</v>
      </c>
      <c r="N240" s="1719"/>
      <c r="O240" s="1719"/>
      <c r="P240" s="592"/>
    </row>
    <row r="241" spans="1:24" s="93" customFormat="1" ht="29.25" customHeight="1" outlineLevel="1" x14ac:dyDescent="0.3">
      <c r="A241" s="1717" t="s">
        <v>160</v>
      </c>
      <c r="B241" s="1781" t="s">
        <v>645</v>
      </c>
      <c r="C241" s="1781">
        <v>2019</v>
      </c>
      <c r="D241" s="1778"/>
      <c r="E241" s="2298">
        <f>H241</f>
        <v>35000</v>
      </c>
      <c r="F241" s="404">
        <f>F242+F243</f>
        <v>0</v>
      </c>
      <c r="G241" s="386" t="s">
        <v>12</v>
      </c>
      <c r="H241" s="69">
        <f>H242+H243</f>
        <v>35000</v>
      </c>
      <c r="I241" s="69">
        <f t="shared" ref="I241:M241" si="173">I242+I243</f>
        <v>0</v>
      </c>
      <c r="J241" s="69">
        <f t="shared" si="173"/>
        <v>35000</v>
      </c>
      <c r="K241" s="69">
        <f t="shared" si="173"/>
        <v>0</v>
      </c>
      <c r="L241" s="69">
        <f t="shared" si="173"/>
        <v>0</v>
      </c>
      <c r="M241" s="69">
        <f t="shared" si="173"/>
        <v>0</v>
      </c>
      <c r="N241" s="2418"/>
      <c r="O241" s="2303"/>
      <c r="P241" s="2493" t="s">
        <v>1522</v>
      </c>
    </row>
    <row r="242" spans="1:24" s="93" customFormat="1" ht="35.25" customHeight="1" outlineLevel="1" x14ac:dyDescent="0.3">
      <c r="A242" s="1717"/>
      <c r="B242" s="1781"/>
      <c r="C242" s="1781"/>
      <c r="D242" s="1779"/>
      <c r="E242" s="2298"/>
      <c r="F242" s="404">
        <v>0</v>
      </c>
      <c r="G242" s="386" t="s">
        <v>13</v>
      </c>
      <c r="H242" s="69">
        <f>I242+J242+K242+L242+M242</f>
        <v>26075</v>
      </c>
      <c r="I242" s="389">
        <v>0</v>
      </c>
      <c r="J242" s="389">
        <v>26075</v>
      </c>
      <c r="K242" s="389">
        <v>0</v>
      </c>
      <c r="L242" s="389">
        <v>0</v>
      </c>
      <c r="M242" s="389">
        <v>0</v>
      </c>
      <c r="N242" s="2419"/>
      <c r="O242" s="2304"/>
      <c r="P242" s="2493"/>
      <c r="X242" s="93">
        <v>1</v>
      </c>
    </row>
    <row r="243" spans="1:24" s="93" customFormat="1" ht="56.25" customHeight="1" outlineLevel="1" x14ac:dyDescent="0.3">
      <c r="A243" s="1717"/>
      <c r="B243" s="1781"/>
      <c r="C243" s="1781"/>
      <c r="D243" s="1780"/>
      <c r="E243" s="2298"/>
      <c r="F243" s="404">
        <v>0</v>
      </c>
      <c r="G243" s="386" t="s">
        <v>3</v>
      </c>
      <c r="H243" s="69">
        <f>I243+J243+K243+L243+M243</f>
        <v>8925</v>
      </c>
      <c r="I243" s="389">
        <v>0</v>
      </c>
      <c r="J243" s="389">
        <v>8925</v>
      </c>
      <c r="K243" s="389">
        <v>0</v>
      </c>
      <c r="L243" s="389">
        <v>0</v>
      </c>
      <c r="M243" s="389">
        <v>0</v>
      </c>
      <c r="N243" s="2420"/>
      <c r="O243" s="2305"/>
      <c r="P243" s="2493"/>
    </row>
    <row r="244" spans="1:24" s="93" customFormat="1" ht="36" customHeight="1" outlineLevel="1" x14ac:dyDescent="0.3">
      <c r="A244" s="1717" t="s">
        <v>596</v>
      </c>
      <c r="B244" s="1781" t="s">
        <v>646</v>
      </c>
      <c r="C244" s="1781">
        <v>2019</v>
      </c>
      <c r="D244" s="1718"/>
      <c r="E244" s="2298">
        <f>H244</f>
        <v>15000</v>
      </c>
      <c r="F244" s="404">
        <f>F245+F246</f>
        <v>0</v>
      </c>
      <c r="G244" s="386" t="s">
        <v>12</v>
      </c>
      <c r="H244" s="69">
        <f>H245+H246</f>
        <v>15000</v>
      </c>
      <c r="I244" s="69">
        <f t="shared" ref="I244:M244" si="174">I245+I246</f>
        <v>0</v>
      </c>
      <c r="J244" s="69">
        <f t="shared" si="174"/>
        <v>15000</v>
      </c>
      <c r="K244" s="69">
        <f t="shared" si="174"/>
        <v>0</v>
      </c>
      <c r="L244" s="69">
        <f t="shared" si="174"/>
        <v>0</v>
      </c>
      <c r="M244" s="69">
        <f t="shared" si="174"/>
        <v>0</v>
      </c>
      <c r="N244" s="1719"/>
      <c r="O244" s="2294"/>
      <c r="P244" s="591"/>
    </row>
    <row r="245" spans="1:24" s="93" customFormat="1" ht="41.25" customHeight="1" outlineLevel="1" x14ac:dyDescent="0.3">
      <c r="A245" s="1717"/>
      <c r="B245" s="1781"/>
      <c r="C245" s="1781"/>
      <c r="D245" s="1718"/>
      <c r="E245" s="2298"/>
      <c r="F245" s="404">
        <v>0</v>
      </c>
      <c r="G245" s="386" t="s">
        <v>13</v>
      </c>
      <c r="H245" s="69">
        <f>I245+J245+K245+L245+M245</f>
        <v>11175</v>
      </c>
      <c r="I245" s="389">
        <v>0</v>
      </c>
      <c r="J245" s="389">
        <v>11175</v>
      </c>
      <c r="K245" s="389">
        <v>0</v>
      </c>
      <c r="L245" s="389">
        <v>0</v>
      </c>
      <c r="M245" s="389">
        <v>0</v>
      </c>
      <c r="N245" s="1719"/>
      <c r="O245" s="2334"/>
      <c r="P245" s="591" t="s">
        <v>1522</v>
      </c>
      <c r="X245" s="93">
        <v>1</v>
      </c>
    </row>
    <row r="246" spans="1:24" s="93" customFormat="1" ht="57.75" customHeight="1" outlineLevel="1" x14ac:dyDescent="0.3">
      <c r="A246" s="1717"/>
      <c r="B246" s="1781"/>
      <c r="C246" s="1781"/>
      <c r="D246" s="1718"/>
      <c r="E246" s="2298"/>
      <c r="F246" s="404">
        <v>0</v>
      </c>
      <c r="G246" s="386" t="s">
        <v>3</v>
      </c>
      <c r="H246" s="69">
        <f>I246+J246+K246+L246+M246</f>
        <v>3825</v>
      </c>
      <c r="I246" s="389">
        <v>0</v>
      </c>
      <c r="J246" s="389">
        <v>3825</v>
      </c>
      <c r="K246" s="389">
        <v>0</v>
      </c>
      <c r="L246" s="389">
        <v>0</v>
      </c>
      <c r="M246" s="389">
        <v>0</v>
      </c>
      <c r="N246" s="1719"/>
      <c r="O246" s="2295"/>
      <c r="P246" s="591"/>
    </row>
    <row r="247" spans="1:24" s="93" customFormat="1" ht="39" customHeight="1" outlineLevel="1" x14ac:dyDescent="0.3">
      <c r="A247" s="1463" t="s">
        <v>503</v>
      </c>
      <c r="B247" s="1474" t="s">
        <v>1160</v>
      </c>
      <c r="C247" s="1452"/>
      <c r="D247" s="1456"/>
      <c r="E247" s="1467"/>
      <c r="F247" s="1466"/>
      <c r="G247" s="1459" t="s">
        <v>12</v>
      </c>
      <c r="H247" s="69">
        <f>H248+H249</f>
        <v>23201.43</v>
      </c>
      <c r="I247" s="69">
        <f>I248+I249</f>
        <v>23201.43</v>
      </c>
      <c r="J247" s="69">
        <f t="shared" ref="J247:M247" si="175">J248+J249</f>
        <v>0</v>
      </c>
      <c r="K247" s="69">
        <f t="shared" si="175"/>
        <v>0</v>
      </c>
      <c r="L247" s="69">
        <f t="shared" si="175"/>
        <v>0</v>
      </c>
      <c r="M247" s="69">
        <f t="shared" si="175"/>
        <v>0</v>
      </c>
      <c r="N247" s="1455"/>
      <c r="O247" s="1462" t="s">
        <v>16</v>
      </c>
      <c r="P247" s="591"/>
    </row>
    <row r="248" spans="1:24" s="93" customFormat="1" ht="27" customHeight="1" outlineLevel="1" x14ac:dyDescent="0.3">
      <c r="A248" s="1464"/>
      <c r="B248" s="1475"/>
      <c r="C248" s="1461"/>
      <c r="D248" s="1457"/>
      <c r="E248" s="1468"/>
      <c r="F248" s="1466"/>
      <c r="G248" s="1459" t="s">
        <v>13</v>
      </c>
      <c r="H248" s="69">
        <f>H251</f>
        <v>16241</v>
      </c>
      <c r="I248" s="69">
        <f t="shared" ref="I248:M248" si="176">I251</f>
        <v>16241</v>
      </c>
      <c r="J248" s="69">
        <f t="shared" si="176"/>
        <v>0</v>
      </c>
      <c r="K248" s="69">
        <f t="shared" si="176"/>
        <v>0</v>
      </c>
      <c r="L248" s="69">
        <f t="shared" si="176"/>
        <v>0</v>
      </c>
      <c r="M248" s="69">
        <f t="shared" si="176"/>
        <v>0</v>
      </c>
      <c r="N248" s="1455"/>
      <c r="O248" s="12"/>
      <c r="P248" s="1484"/>
    </row>
    <row r="249" spans="1:24" s="93" customFormat="1" ht="51.75" customHeight="1" outlineLevel="1" x14ac:dyDescent="0.3">
      <c r="A249" s="1465"/>
      <c r="B249" s="1473"/>
      <c r="C249" s="1453"/>
      <c r="D249" s="1458"/>
      <c r="E249" s="1469"/>
      <c r="F249" s="1466"/>
      <c r="G249" s="1459" t="s">
        <v>3</v>
      </c>
      <c r="H249" s="69">
        <f>H252</f>
        <v>6960.43</v>
      </c>
      <c r="I249" s="69">
        <f t="shared" ref="I249:M249" si="177">I252</f>
        <v>6960.43</v>
      </c>
      <c r="J249" s="69">
        <f t="shared" si="177"/>
        <v>0</v>
      </c>
      <c r="K249" s="69">
        <f t="shared" si="177"/>
        <v>0</v>
      </c>
      <c r="L249" s="69">
        <f t="shared" si="177"/>
        <v>0</v>
      </c>
      <c r="M249" s="69">
        <f t="shared" si="177"/>
        <v>0</v>
      </c>
      <c r="N249" s="1455"/>
      <c r="O249" s="12"/>
      <c r="P249" s="591"/>
      <c r="Q249" s="1485">
        <v>16241</v>
      </c>
    </row>
    <row r="250" spans="1:24" s="93" customFormat="1" ht="21" customHeight="1" outlineLevel="1" x14ac:dyDescent="0.35">
      <c r="A250" s="2421" t="s">
        <v>486</v>
      </c>
      <c r="B250" s="2422" t="s">
        <v>1075</v>
      </c>
      <c r="C250" s="1781">
        <v>2018</v>
      </c>
      <c r="D250" s="1718"/>
      <c r="E250" s="2298">
        <v>21800</v>
      </c>
      <c r="F250" s="1466">
        <f>F251+F252</f>
        <v>0</v>
      </c>
      <c r="G250" s="1470" t="s">
        <v>12</v>
      </c>
      <c r="H250" s="1471">
        <f t="shared" ref="H250:M250" si="178">H251+H252</f>
        <v>23201.43</v>
      </c>
      <c r="I250" s="1471">
        <f t="shared" si="178"/>
        <v>23201.43</v>
      </c>
      <c r="J250" s="1471">
        <f t="shared" si="178"/>
        <v>0</v>
      </c>
      <c r="K250" s="1471">
        <f t="shared" si="178"/>
        <v>0</v>
      </c>
      <c r="L250" s="1471">
        <f t="shared" si="178"/>
        <v>0</v>
      </c>
      <c r="M250" s="1471">
        <f t="shared" si="178"/>
        <v>0</v>
      </c>
      <c r="N250" s="1719"/>
      <c r="O250" s="12"/>
      <c r="P250" s="1487">
        <f>I252-Q250</f>
        <v>1401.43</v>
      </c>
      <c r="Q250" s="1486">
        <f>(5559)</f>
        <v>5559</v>
      </c>
    </row>
    <row r="251" spans="1:24" s="93" customFormat="1" ht="32.25" customHeight="1" outlineLevel="1" x14ac:dyDescent="0.3">
      <c r="A251" s="2421"/>
      <c r="B251" s="2422"/>
      <c r="C251" s="1781"/>
      <c r="D251" s="1718"/>
      <c r="E251" s="2298"/>
      <c r="F251" s="1466">
        <v>0</v>
      </c>
      <c r="G251" s="1470" t="s">
        <v>13</v>
      </c>
      <c r="H251" s="1471">
        <f>I251+J251+K251+L251+M251</f>
        <v>16241</v>
      </c>
      <c r="I251" s="1472">
        <f>(16241)</f>
        <v>16241</v>
      </c>
      <c r="J251" s="1472">
        <v>0</v>
      </c>
      <c r="K251" s="1472">
        <v>0</v>
      </c>
      <c r="L251" s="1472">
        <v>0</v>
      </c>
      <c r="M251" s="1472">
        <v>0</v>
      </c>
      <c r="N251" s="1719"/>
      <c r="O251" s="12"/>
      <c r="P251" s="593" t="s">
        <v>1548</v>
      </c>
      <c r="W251" s="93">
        <v>1</v>
      </c>
    </row>
    <row r="252" spans="1:24" s="93" customFormat="1" ht="30.75" customHeight="1" outlineLevel="1" x14ac:dyDescent="0.3">
      <c r="A252" s="2421"/>
      <c r="B252" s="2422"/>
      <c r="C252" s="1781"/>
      <c r="D252" s="1718"/>
      <c r="E252" s="2298"/>
      <c r="F252" s="1466">
        <v>0</v>
      </c>
      <c r="G252" s="1470" t="s">
        <v>3</v>
      </c>
      <c r="H252" s="1471">
        <f>I252+J252+K252+L252+M252</f>
        <v>6960.43</v>
      </c>
      <c r="I252" s="1472">
        <f>(5559*0)+6960.43</f>
        <v>6960.43</v>
      </c>
      <c r="J252" s="1472">
        <v>0</v>
      </c>
      <c r="K252" s="1472">
        <v>0</v>
      </c>
      <c r="L252" s="1472">
        <v>0</v>
      </c>
      <c r="M252" s="1472">
        <v>0</v>
      </c>
      <c r="N252" s="1719"/>
      <c r="O252" s="12"/>
      <c r="P252" s="593"/>
      <c r="Q252" s="1476"/>
    </row>
    <row r="253" spans="1:24" s="93" customFormat="1" ht="21" customHeight="1" outlineLevel="1" x14ac:dyDescent="0.3">
      <c r="A253" s="1717" t="s">
        <v>685</v>
      </c>
      <c r="B253" s="1529" t="s">
        <v>1016</v>
      </c>
      <c r="C253" s="1530"/>
      <c r="D253" s="1530"/>
      <c r="E253" s="1530"/>
      <c r="F253" s="1531"/>
      <c r="G253" s="386" t="s">
        <v>12</v>
      </c>
      <c r="H253" s="69">
        <f>H254+H255</f>
        <v>1529.22</v>
      </c>
      <c r="I253" s="69">
        <f>I254+I255</f>
        <v>1529.22</v>
      </c>
      <c r="J253" s="69">
        <v>0</v>
      </c>
      <c r="K253" s="69">
        <v>0</v>
      </c>
      <c r="L253" s="69">
        <v>0</v>
      </c>
      <c r="M253" s="69">
        <v>0</v>
      </c>
      <c r="N253" s="1719">
        <v>1</v>
      </c>
      <c r="O253" s="267" t="s">
        <v>1019</v>
      </c>
      <c r="P253" s="594"/>
    </row>
    <row r="254" spans="1:24" s="93" customFormat="1" ht="33.75" customHeight="1" outlineLevel="1" x14ac:dyDescent="0.3">
      <c r="A254" s="1717"/>
      <c r="B254" s="1532"/>
      <c r="C254" s="1533"/>
      <c r="D254" s="1533"/>
      <c r="E254" s="1533"/>
      <c r="F254" s="1534"/>
      <c r="G254" s="386" t="s">
        <v>13</v>
      </c>
      <c r="H254" s="69">
        <f>SUM(I254:M254)</f>
        <v>1529.22</v>
      </c>
      <c r="I254" s="389">
        <f>I257</f>
        <v>1529.22</v>
      </c>
      <c r="J254" s="389">
        <v>0</v>
      </c>
      <c r="K254" s="389">
        <v>0</v>
      </c>
      <c r="L254" s="389">
        <v>0</v>
      </c>
      <c r="M254" s="389">
        <v>0</v>
      </c>
      <c r="N254" s="1719"/>
      <c r="O254" s="267">
        <v>90</v>
      </c>
      <c r="P254" s="2499" t="s">
        <v>1020</v>
      </c>
    </row>
    <row r="255" spans="1:24" s="93" customFormat="1" ht="39" customHeight="1" outlineLevel="1" x14ac:dyDescent="0.3">
      <c r="A255" s="1717"/>
      <c r="B255" s="1535"/>
      <c r="C255" s="1536"/>
      <c r="D255" s="1536"/>
      <c r="E255" s="1536"/>
      <c r="F255" s="1537"/>
      <c r="G255" s="386" t="s">
        <v>14</v>
      </c>
      <c r="H255" s="69">
        <f>SUM(I255:M255)</f>
        <v>0</v>
      </c>
      <c r="I255" s="389">
        <f>I258</f>
        <v>0</v>
      </c>
      <c r="J255" s="389">
        <v>0</v>
      </c>
      <c r="K255" s="389">
        <v>0</v>
      </c>
      <c r="L255" s="389">
        <v>0</v>
      </c>
      <c r="M255" s="389">
        <v>0</v>
      </c>
      <c r="N255" s="1719"/>
      <c r="O255" s="267">
        <v>10</v>
      </c>
      <c r="P255" s="2499"/>
    </row>
    <row r="256" spans="1:24" s="93" customFormat="1" ht="33" customHeight="1" outlineLevel="1" x14ac:dyDescent="0.3">
      <c r="A256" s="1717" t="s">
        <v>482</v>
      </c>
      <c r="B256" s="1781" t="s">
        <v>1017</v>
      </c>
      <c r="C256" s="1781" t="s">
        <v>264</v>
      </c>
      <c r="D256" s="1718"/>
      <c r="E256" s="2298">
        <f>F256+H256</f>
        <v>13900.01</v>
      </c>
      <c r="F256" s="404">
        <f>F257+F258</f>
        <v>12370.79</v>
      </c>
      <c r="G256" s="386" t="s">
        <v>12</v>
      </c>
      <c r="H256" s="69">
        <f t="shared" ref="H256:M256" si="179">H257+H258</f>
        <v>1529.22</v>
      </c>
      <c r="I256" s="69">
        <f t="shared" si="179"/>
        <v>1529.22</v>
      </c>
      <c r="J256" s="69">
        <f t="shared" si="179"/>
        <v>0</v>
      </c>
      <c r="K256" s="69">
        <f t="shared" si="179"/>
        <v>0</v>
      </c>
      <c r="L256" s="69">
        <f t="shared" si="179"/>
        <v>0</v>
      </c>
      <c r="M256" s="69">
        <f t="shared" si="179"/>
        <v>0</v>
      </c>
      <c r="N256" s="1719"/>
      <c r="O256" s="2335" t="s">
        <v>1022</v>
      </c>
      <c r="P256" s="268"/>
    </row>
    <row r="257" spans="1:24" s="93" customFormat="1" ht="33.75" customHeight="1" outlineLevel="1" x14ac:dyDescent="0.3">
      <c r="A257" s="1717"/>
      <c r="B257" s="1781"/>
      <c r="C257" s="1781"/>
      <c r="D257" s="1718"/>
      <c r="E257" s="2298"/>
      <c r="F257" s="404">
        <v>10980.78</v>
      </c>
      <c r="G257" s="386" t="s">
        <v>13</v>
      </c>
      <c r="H257" s="69">
        <f>SUM(I257:M257)</f>
        <v>1529.22</v>
      </c>
      <c r="I257" s="389">
        <f>12510-10980.78</f>
        <v>1529.22</v>
      </c>
      <c r="J257" s="389">
        <f t="shared" ref="J257:M257" si="180">J258+J259</f>
        <v>0</v>
      </c>
      <c r="K257" s="389">
        <f t="shared" si="180"/>
        <v>0</v>
      </c>
      <c r="L257" s="389">
        <f t="shared" si="180"/>
        <v>0</v>
      </c>
      <c r="M257" s="389">
        <f t="shared" si="180"/>
        <v>0</v>
      </c>
      <c r="N257" s="1719"/>
      <c r="O257" s="2335"/>
      <c r="P257" s="268" t="s">
        <v>1549</v>
      </c>
    </row>
    <row r="258" spans="1:24" s="93" customFormat="1" ht="91.5" customHeight="1" outlineLevel="1" x14ac:dyDescent="0.3">
      <c r="A258" s="1717"/>
      <c r="B258" s="1781"/>
      <c r="C258" s="1781"/>
      <c r="D258" s="1718"/>
      <c r="E258" s="2298"/>
      <c r="F258" s="404">
        <f>1220.09+169.92</f>
        <v>1390.01</v>
      </c>
      <c r="G258" s="386" t="s">
        <v>14</v>
      </c>
      <c r="H258" s="69">
        <f>SUM(I258:M258)</f>
        <v>0</v>
      </c>
      <c r="I258" s="389">
        <f>169.92-169.92</f>
        <v>0</v>
      </c>
      <c r="J258" s="389">
        <f t="shared" ref="J258:M258" si="181">J261</f>
        <v>0</v>
      </c>
      <c r="K258" s="389">
        <f t="shared" si="181"/>
        <v>0</v>
      </c>
      <c r="L258" s="389">
        <f t="shared" si="181"/>
        <v>0</v>
      </c>
      <c r="M258" s="389">
        <f t="shared" si="181"/>
        <v>0</v>
      </c>
      <c r="N258" s="1719"/>
      <c r="O258" s="2336"/>
      <c r="P258" s="268"/>
    </row>
    <row r="259" spans="1:24" s="47" customFormat="1" ht="25.5" customHeight="1" outlineLevel="1" x14ac:dyDescent="0.3">
      <c r="A259" s="1717" t="s">
        <v>685</v>
      </c>
      <c r="B259" s="1781" t="s">
        <v>1018</v>
      </c>
      <c r="C259" s="1781"/>
      <c r="D259" s="1718"/>
      <c r="E259" s="2298"/>
      <c r="F259" s="404"/>
      <c r="G259" s="386" t="s">
        <v>12</v>
      </c>
      <c r="H259" s="69">
        <f t="shared" ref="H259:I259" si="182">H260+H261</f>
        <v>17074.810000000001</v>
      </c>
      <c r="I259" s="69">
        <f t="shared" si="182"/>
        <v>17074.810000000001</v>
      </c>
      <c r="J259" s="69">
        <f t="shared" ref="J259:M259" si="183">J262</f>
        <v>0</v>
      </c>
      <c r="K259" s="69">
        <f t="shared" si="183"/>
        <v>0</v>
      </c>
      <c r="L259" s="69">
        <f t="shared" si="183"/>
        <v>0</v>
      </c>
      <c r="M259" s="69">
        <f t="shared" si="183"/>
        <v>0</v>
      </c>
      <c r="N259" s="1719">
        <v>7</v>
      </c>
      <c r="O259" s="1727"/>
      <c r="P259" s="2488"/>
      <c r="Q259" s="93"/>
    </row>
    <row r="260" spans="1:24" s="47" customFormat="1" ht="31.2" customHeight="1" outlineLevel="1" x14ac:dyDescent="0.3">
      <c r="A260" s="1717"/>
      <c r="B260" s="1781"/>
      <c r="C260" s="1781"/>
      <c r="D260" s="1718"/>
      <c r="E260" s="2298"/>
      <c r="F260" s="404"/>
      <c r="G260" s="386" t="s">
        <v>13</v>
      </c>
      <c r="H260" s="69">
        <f>SUM(I260:M260)</f>
        <v>15367.33</v>
      </c>
      <c r="I260" s="389">
        <f>I263</f>
        <v>15367.33</v>
      </c>
      <c r="J260" s="389">
        <f t="shared" ref="J260:M261" si="184">J263</f>
        <v>0</v>
      </c>
      <c r="K260" s="389">
        <f t="shared" si="184"/>
        <v>0</v>
      </c>
      <c r="L260" s="389">
        <f t="shared" si="184"/>
        <v>0</v>
      </c>
      <c r="M260" s="389">
        <f t="shared" si="184"/>
        <v>0</v>
      </c>
      <c r="N260" s="1719"/>
      <c r="O260" s="1727"/>
      <c r="P260" s="2488"/>
      <c r="Q260" s="93"/>
    </row>
    <row r="261" spans="1:24" s="47" customFormat="1" ht="58.2" customHeight="1" outlineLevel="1" x14ac:dyDescent="0.3">
      <c r="A261" s="1717"/>
      <c r="B261" s="1781"/>
      <c r="C261" s="1781"/>
      <c r="D261" s="1718"/>
      <c r="E261" s="2298"/>
      <c r="F261" s="404"/>
      <c r="G261" s="386" t="s">
        <v>14</v>
      </c>
      <c r="H261" s="69">
        <f>SUM(I261:M261)</f>
        <v>1707.48</v>
      </c>
      <c r="I261" s="389">
        <f>I264</f>
        <v>1707.48</v>
      </c>
      <c r="J261" s="389">
        <f t="shared" si="184"/>
        <v>0</v>
      </c>
      <c r="K261" s="389">
        <f t="shared" si="184"/>
        <v>0</v>
      </c>
      <c r="L261" s="389">
        <f t="shared" si="184"/>
        <v>0</v>
      </c>
      <c r="M261" s="389">
        <f t="shared" si="184"/>
        <v>0</v>
      </c>
      <c r="N261" s="1719"/>
      <c r="O261" s="1727"/>
      <c r="P261" s="2488"/>
      <c r="Q261" s="93"/>
    </row>
    <row r="262" spans="1:24" s="1" customFormat="1" ht="21.75" customHeight="1" outlineLevel="1" x14ac:dyDescent="0.3">
      <c r="A262" s="1717" t="s">
        <v>482</v>
      </c>
      <c r="B262" s="1781" t="s">
        <v>1021</v>
      </c>
      <c r="C262" s="1781" t="s">
        <v>82</v>
      </c>
      <c r="D262" s="1718"/>
      <c r="E262" s="2298">
        <f>H262</f>
        <v>17074.810000000001</v>
      </c>
      <c r="F262" s="404">
        <f>F263+F264</f>
        <v>0</v>
      </c>
      <c r="G262" s="386" t="s">
        <v>12</v>
      </c>
      <c r="H262" s="69">
        <f t="shared" ref="H262:M262" si="185">H263+H264</f>
        <v>17074.810000000001</v>
      </c>
      <c r="I262" s="69">
        <v>17074.810000000001</v>
      </c>
      <c r="J262" s="69">
        <f t="shared" si="185"/>
        <v>0</v>
      </c>
      <c r="K262" s="69">
        <f t="shared" si="185"/>
        <v>0</v>
      </c>
      <c r="L262" s="69">
        <f t="shared" si="185"/>
        <v>0</v>
      </c>
      <c r="M262" s="69">
        <f t="shared" si="185"/>
        <v>0</v>
      </c>
      <c r="N262" s="1719"/>
      <c r="O262" s="378"/>
      <c r="P262" s="91"/>
      <c r="Q262" s="47"/>
    </row>
    <row r="263" spans="1:24" s="1" customFormat="1" ht="28.5" customHeight="1" outlineLevel="1" x14ac:dyDescent="0.3">
      <c r="A263" s="1717"/>
      <c r="B263" s="1781"/>
      <c r="C263" s="1781"/>
      <c r="D263" s="1718"/>
      <c r="E263" s="2298"/>
      <c r="F263" s="404">
        <v>0</v>
      </c>
      <c r="G263" s="386" t="s">
        <v>13</v>
      </c>
      <c r="H263" s="69">
        <f>SUM(I263:M263)</f>
        <v>15367.33</v>
      </c>
      <c r="I263" s="389">
        <f>I262-I264</f>
        <v>15367.33</v>
      </c>
      <c r="J263" s="389">
        <v>0</v>
      </c>
      <c r="K263" s="389">
        <v>0</v>
      </c>
      <c r="L263" s="389">
        <v>0</v>
      </c>
      <c r="M263" s="389">
        <v>0</v>
      </c>
      <c r="N263" s="1719"/>
      <c r="O263" s="595"/>
      <c r="P263" s="72" t="s">
        <v>1522</v>
      </c>
      <c r="Q263" s="47"/>
      <c r="W263" s="1">
        <v>1</v>
      </c>
    </row>
    <row r="264" spans="1:24" s="1" customFormat="1" ht="44.25" customHeight="1" outlineLevel="1" x14ac:dyDescent="0.3">
      <c r="A264" s="1717"/>
      <c r="B264" s="1781"/>
      <c r="C264" s="1781"/>
      <c r="D264" s="1718"/>
      <c r="E264" s="2298"/>
      <c r="F264" s="404">
        <v>0</v>
      </c>
      <c r="G264" s="386" t="s">
        <v>14</v>
      </c>
      <c r="H264" s="69">
        <f>SUM(I264:M264)</f>
        <v>1707.48</v>
      </c>
      <c r="I264" s="389">
        <f>0.1*I262</f>
        <v>1707.48</v>
      </c>
      <c r="J264" s="389">
        <v>0</v>
      </c>
      <c r="K264" s="389">
        <v>0</v>
      </c>
      <c r="L264" s="389">
        <v>0</v>
      </c>
      <c r="M264" s="389">
        <v>0</v>
      </c>
      <c r="N264" s="1719"/>
      <c r="O264" s="400"/>
      <c r="P264" s="72"/>
      <c r="Q264" s="47"/>
    </row>
    <row r="265" spans="1:24" s="1" customFormat="1" ht="18.75" customHeight="1" outlineLevel="1" x14ac:dyDescent="0.3">
      <c r="A265" s="1717" t="s">
        <v>477</v>
      </c>
      <c r="B265" s="1529" t="s">
        <v>1076</v>
      </c>
      <c r="C265" s="1530"/>
      <c r="D265" s="1530"/>
      <c r="E265" s="1530"/>
      <c r="F265" s="1531"/>
      <c r="G265" s="386" t="s">
        <v>12</v>
      </c>
      <c r="H265" s="69">
        <f>H266+H267</f>
        <v>135000</v>
      </c>
      <c r="I265" s="69">
        <f>I266+I267</f>
        <v>81000</v>
      </c>
      <c r="J265" s="69">
        <f>J267+J266</f>
        <v>54000</v>
      </c>
      <c r="K265" s="389">
        <v>0</v>
      </c>
      <c r="L265" s="389">
        <v>0</v>
      </c>
      <c r="M265" s="389">
        <v>0</v>
      </c>
      <c r="N265" s="1719"/>
      <c r="O265" s="400"/>
      <c r="P265" s="72"/>
      <c r="Q265" s="47"/>
    </row>
    <row r="266" spans="1:24" s="1" customFormat="1" ht="34.5" customHeight="1" outlineLevel="1" x14ac:dyDescent="0.3">
      <c r="A266" s="1717"/>
      <c r="B266" s="1532"/>
      <c r="C266" s="1533"/>
      <c r="D266" s="1533"/>
      <c r="E266" s="1533"/>
      <c r="F266" s="1534"/>
      <c r="G266" s="386" t="s">
        <v>13</v>
      </c>
      <c r="H266" s="69">
        <f>I266+J266+K266+L266+M266</f>
        <v>104490</v>
      </c>
      <c r="I266" s="389">
        <f>I269</f>
        <v>62694</v>
      </c>
      <c r="J266" s="389">
        <f>J269</f>
        <v>41796</v>
      </c>
      <c r="K266" s="389">
        <v>0</v>
      </c>
      <c r="L266" s="389">
        <v>0</v>
      </c>
      <c r="M266" s="389">
        <v>0</v>
      </c>
      <c r="N266" s="1719"/>
      <c r="O266" s="400"/>
      <c r="P266" s="72"/>
      <c r="Q266" s="47"/>
    </row>
    <row r="267" spans="1:24" s="1" customFormat="1" ht="44.25" customHeight="1" outlineLevel="1" x14ac:dyDescent="0.3">
      <c r="A267" s="1717"/>
      <c r="B267" s="1535"/>
      <c r="C267" s="1536"/>
      <c r="D267" s="1536"/>
      <c r="E267" s="1536"/>
      <c r="F267" s="1537"/>
      <c r="G267" s="386" t="s">
        <v>14</v>
      </c>
      <c r="H267" s="69">
        <f>I267+J267+K267+L267+M267</f>
        <v>30510</v>
      </c>
      <c r="I267" s="389">
        <f>I270</f>
        <v>18306</v>
      </c>
      <c r="J267" s="389">
        <f>J270</f>
        <v>12204</v>
      </c>
      <c r="K267" s="389">
        <v>0</v>
      </c>
      <c r="L267" s="389">
        <v>0</v>
      </c>
      <c r="M267" s="389">
        <v>0</v>
      </c>
      <c r="N267" s="1719"/>
      <c r="O267" s="400"/>
      <c r="P267" s="72"/>
      <c r="Q267" s="47"/>
    </row>
    <row r="268" spans="1:24" s="1" customFormat="1" ht="17.25" customHeight="1" outlineLevel="1" x14ac:dyDescent="0.3">
      <c r="A268" s="1717" t="s">
        <v>476</v>
      </c>
      <c r="B268" s="1781" t="s">
        <v>1622</v>
      </c>
      <c r="C268" s="1781" t="s">
        <v>208</v>
      </c>
      <c r="D268" s="1718"/>
      <c r="E268" s="2298">
        <v>135000</v>
      </c>
      <c r="F268" s="404">
        <f>F269+F270</f>
        <v>0</v>
      </c>
      <c r="G268" s="386" t="s">
        <v>12</v>
      </c>
      <c r="H268" s="69">
        <f>H269+H270</f>
        <v>135000</v>
      </c>
      <c r="I268" s="69">
        <f>I269/0.774</f>
        <v>81000</v>
      </c>
      <c r="J268" s="69">
        <f>J269/0.774</f>
        <v>54000</v>
      </c>
      <c r="K268" s="389">
        <v>0</v>
      </c>
      <c r="L268" s="389">
        <v>0</v>
      </c>
      <c r="M268" s="389">
        <v>0</v>
      </c>
      <c r="N268" s="1719"/>
      <c r="O268" s="400"/>
      <c r="P268" s="72"/>
      <c r="Q268" s="47"/>
    </row>
    <row r="269" spans="1:24" s="1" customFormat="1" ht="35.25" customHeight="1" outlineLevel="1" x14ac:dyDescent="0.3">
      <c r="A269" s="1717"/>
      <c r="B269" s="1781"/>
      <c r="C269" s="1781"/>
      <c r="D269" s="1718"/>
      <c r="E269" s="2298"/>
      <c r="F269" s="404">
        <v>0</v>
      </c>
      <c r="G269" s="386" t="s">
        <v>13</v>
      </c>
      <c r="H269" s="69">
        <f>I269+J269+K269+L269+M269</f>
        <v>104490</v>
      </c>
      <c r="I269" s="389">
        <v>62694</v>
      </c>
      <c r="J269" s="389">
        <v>41796</v>
      </c>
      <c r="K269" s="389">
        <v>0</v>
      </c>
      <c r="L269" s="389">
        <v>0</v>
      </c>
      <c r="M269" s="389">
        <v>0</v>
      </c>
      <c r="N269" s="1719"/>
      <c r="O269" s="400"/>
      <c r="P269" s="72" t="s">
        <v>1521</v>
      </c>
      <c r="Q269" s="47"/>
      <c r="X269" s="1">
        <v>1</v>
      </c>
    </row>
    <row r="270" spans="1:24" s="1" customFormat="1" ht="44.25" customHeight="1" outlineLevel="1" x14ac:dyDescent="0.3">
      <c r="A270" s="1717"/>
      <c r="B270" s="1781"/>
      <c r="C270" s="1781"/>
      <c r="D270" s="1718"/>
      <c r="E270" s="2298"/>
      <c r="F270" s="404">
        <v>0</v>
      </c>
      <c r="G270" s="386" t="s">
        <v>14</v>
      </c>
      <c r="H270" s="69">
        <f>I270+J270+K270+L270+M270</f>
        <v>30510</v>
      </c>
      <c r="I270" s="389">
        <f>I268*0.226</f>
        <v>18306</v>
      </c>
      <c r="J270" s="389">
        <f>J268*0.226</f>
        <v>12204</v>
      </c>
      <c r="K270" s="389">
        <v>0</v>
      </c>
      <c r="L270" s="389">
        <v>0</v>
      </c>
      <c r="M270" s="389">
        <v>0</v>
      </c>
      <c r="N270" s="1719"/>
      <c r="O270" s="400"/>
      <c r="P270" s="72"/>
      <c r="Q270" s="47"/>
    </row>
    <row r="271" spans="1:24" s="1" customFormat="1" ht="19.5" customHeight="1" outlineLevel="1" x14ac:dyDescent="0.3">
      <c r="A271" s="2486">
        <v>6</v>
      </c>
      <c r="B271" s="1539" t="s">
        <v>1539</v>
      </c>
      <c r="C271" s="1539"/>
      <c r="D271" s="1539"/>
      <c r="E271" s="1539"/>
      <c r="F271" s="377">
        <f>F272+F273</f>
        <v>117339.9</v>
      </c>
      <c r="G271" s="374" t="s">
        <v>12</v>
      </c>
      <c r="H271" s="283">
        <f t="shared" ref="H271:M271" si="186">H272+H273</f>
        <v>0</v>
      </c>
      <c r="I271" s="283">
        <f t="shared" si="186"/>
        <v>0</v>
      </c>
      <c r="J271" s="283">
        <f t="shared" si="186"/>
        <v>0</v>
      </c>
      <c r="K271" s="283">
        <f t="shared" si="186"/>
        <v>0</v>
      </c>
      <c r="L271" s="283">
        <f t="shared" si="186"/>
        <v>0</v>
      </c>
      <c r="M271" s="283">
        <f t="shared" si="186"/>
        <v>0</v>
      </c>
      <c r="N271" s="1588"/>
      <c r="O271" s="400"/>
      <c r="P271" s="72"/>
      <c r="Q271" s="47"/>
    </row>
    <row r="272" spans="1:24" s="1" customFormat="1" ht="19.5" customHeight="1" outlineLevel="1" x14ac:dyDescent="0.3">
      <c r="A272" s="2486"/>
      <c r="B272" s="1539"/>
      <c r="C272" s="1539"/>
      <c r="D272" s="1539"/>
      <c r="E272" s="1539"/>
      <c r="F272" s="377">
        <f>F275+F278+F281+F284+F287</f>
        <v>110631.49</v>
      </c>
      <c r="G272" s="374" t="s">
        <v>13</v>
      </c>
      <c r="H272" s="283">
        <f>SUM(I272:M272)</f>
        <v>0</v>
      </c>
      <c r="I272" s="283">
        <f>I275+I278+I281+I284+I287</f>
        <v>0</v>
      </c>
      <c r="J272" s="283">
        <f>SUM(K272:O272)</f>
        <v>0</v>
      </c>
      <c r="K272" s="283">
        <f>K275+K278+K281+K284+K287</f>
        <v>0</v>
      </c>
      <c r="L272" s="283">
        <f>SUM(M272:Q272)</f>
        <v>0</v>
      </c>
      <c r="M272" s="283">
        <f>M275+M278+M281+M284+M287</f>
        <v>0</v>
      </c>
      <c r="N272" s="1588"/>
      <c r="O272" s="400"/>
      <c r="P272" s="72" t="s">
        <v>1528</v>
      </c>
      <c r="Q272" s="47"/>
    </row>
    <row r="273" spans="1:23" s="1" customFormat="1" ht="19.5" customHeight="1" outlineLevel="1" x14ac:dyDescent="0.3">
      <c r="A273" s="2486"/>
      <c r="B273" s="1539"/>
      <c r="C273" s="1539"/>
      <c r="D273" s="1539"/>
      <c r="E273" s="1539"/>
      <c r="F273" s="377">
        <f>F276+F279+F282+F285+F288</f>
        <v>6708.41</v>
      </c>
      <c r="G273" s="374" t="s">
        <v>14</v>
      </c>
      <c r="H273" s="283">
        <f>SUM(I273:M273)</f>
        <v>0</v>
      </c>
      <c r="I273" s="283">
        <f>I276+I279+I282+I285+I288</f>
        <v>0</v>
      </c>
      <c r="J273" s="283">
        <f>SUM(K273:O273)</f>
        <v>0</v>
      </c>
      <c r="K273" s="283">
        <f>K276+K279+K282+K285+K288</f>
        <v>0</v>
      </c>
      <c r="L273" s="283">
        <f>SUM(M273:Q273)</f>
        <v>0</v>
      </c>
      <c r="M273" s="283">
        <f>M276+M279+M282+M285+M288</f>
        <v>0</v>
      </c>
      <c r="N273" s="1588"/>
      <c r="O273" s="400"/>
      <c r="P273" s="72"/>
      <c r="Q273" s="47"/>
    </row>
    <row r="274" spans="1:23" s="1" customFormat="1" ht="22.5" customHeight="1" outlineLevel="1" x14ac:dyDescent="0.3">
      <c r="A274" s="1540" t="s">
        <v>443</v>
      </c>
      <c r="B274" s="1513" t="s">
        <v>1389</v>
      </c>
      <c r="C274" s="1541" t="s">
        <v>67</v>
      </c>
      <c r="D274" s="1541"/>
      <c r="E274" s="1700">
        <f>F274+H274</f>
        <v>21463.14</v>
      </c>
      <c r="F274" s="374">
        <f>F275+F276</f>
        <v>21463.14</v>
      </c>
      <c r="G274" s="374" t="s">
        <v>12</v>
      </c>
      <c r="H274" s="391">
        <f t="shared" ref="H274:I274" si="187">SUM(H275+H276)</f>
        <v>0</v>
      </c>
      <c r="I274" s="391">
        <f t="shared" si="187"/>
        <v>0</v>
      </c>
      <c r="J274" s="391">
        <f t="shared" ref="J274:M274" si="188">SUM(J275+J276)</f>
        <v>0</v>
      </c>
      <c r="K274" s="391">
        <f t="shared" si="188"/>
        <v>0</v>
      </c>
      <c r="L274" s="391">
        <f t="shared" si="188"/>
        <v>0</v>
      </c>
      <c r="M274" s="391">
        <f t="shared" si="188"/>
        <v>0</v>
      </c>
      <c r="N274" s="1700"/>
      <c r="O274" s="400"/>
      <c r="P274" s="72"/>
      <c r="Q274" s="47"/>
    </row>
    <row r="275" spans="1:23" s="1" customFormat="1" ht="22.5" customHeight="1" outlineLevel="1" x14ac:dyDescent="0.3">
      <c r="A275" s="1540"/>
      <c r="B275" s="2244"/>
      <c r="C275" s="1541"/>
      <c r="D275" s="1541"/>
      <c r="E275" s="1541"/>
      <c r="F275" s="374">
        <v>20253.509999999998</v>
      </c>
      <c r="G275" s="374" t="s">
        <v>13</v>
      </c>
      <c r="H275" s="391">
        <f>SUM(I275:M275)</f>
        <v>0</v>
      </c>
      <c r="I275" s="391">
        <v>0</v>
      </c>
      <c r="J275" s="391">
        <f>SUM(K275:O275)</f>
        <v>0</v>
      </c>
      <c r="K275" s="391">
        <v>0</v>
      </c>
      <c r="L275" s="391">
        <f>SUM(M275:Q275)</f>
        <v>0</v>
      </c>
      <c r="M275" s="391">
        <v>0</v>
      </c>
      <c r="N275" s="1700"/>
      <c r="O275" s="400"/>
      <c r="P275" s="72" t="s">
        <v>1521</v>
      </c>
      <c r="Q275" s="47"/>
      <c r="W275" s="1">
        <v>1</v>
      </c>
    </row>
    <row r="276" spans="1:23" s="1" customFormat="1" ht="42.75" customHeight="1" outlineLevel="1" x14ac:dyDescent="0.3">
      <c r="A276" s="1540"/>
      <c r="B276" s="1514"/>
      <c r="C276" s="1541"/>
      <c r="D276" s="1541"/>
      <c r="E276" s="1541"/>
      <c r="F276" s="374">
        <v>1209.6300000000001</v>
      </c>
      <c r="G276" s="374" t="s">
        <v>14</v>
      </c>
      <c r="H276" s="391">
        <f>SUM(I276:M276)</f>
        <v>0</v>
      </c>
      <c r="I276" s="391">
        <v>0</v>
      </c>
      <c r="J276" s="391">
        <f>SUM(K276:O276)</f>
        <v>0</v>
      </c>
      <c r="K276" s="391">
        <v>0</v>
      </c>
      <c r="L276" s="391">
        <f>SUM(M276:Q276)</f>
        <v>0</v>
      </c>
      <c r="M276" s="391">
        <v>0</v>
      </c>
      <c r="N276" s="1700"/>
      <c r="O276" s="400"/>
      <c r="P276" s="72"/>
      <c r="Q276" s="47"/>
    </row>
    <row r="277" spans="1:23" s="1" customFormat="1" ht="22.5" customHeight="1" outlineLevel="1" x14ac:dyDescent="0.3">
      <c r="A277" s="1567" t="s">
        <v>956</v>
      </c>
      <c r="B277" s="1781" t="s">
        <v>1390</v>
      </c>
      <c r="C277" s="1541" t="s">
        <v>67</v>
      </c>
      <c r="D277" s="1541"/>
      <c r="E277" s="1700">
        <f>F277+H277</f>
        <v>15281.75</v>
      </c>
      <c r="F277" s="374">
        <f>F278+F279</f>
        <v>15281.75</v>
      </c>
      <c r="G277" s="374" t="s">
        <v>12</v>
      </c>
      <c r="H277" s="391">
        <f t="shared" ref="H277:I277" si="189">H278+H279</f>
        <v>0</v>
      </c>
      <c r="I277" s="391">
        <f t="shared" si="189"/>
        <v>0</v>
      </c>
      <c r="J277" s="391">
        <f t="shared" ref="J277:M277" si="190">J278+J279</f>
        <v>0</v>
      </c>
      <c r="K277" s="391">
        <f t="shared" si="190"/>
        <v>0</v>
      </c>
      <c r="L277" s="391">
        <f t="shared" si="190"/>
        <v>0</v>
      </c>
      <c r="M277" s="391">
        <f t="shared" si="190"/>
        <v>0</v>
      </c>
      <c r="N277" s="1700"/>
      <c r="O277" s="400"/>
      <c r="P277" s="72"/>
      <c r="Q277" s="47"/>
    </row>
    <row r="278" spans="1:23" s="1" customFormat="1" ht="22.5" customHeight="1" outlineLevel="1" x14ac:dyDescent="0.3">
      <c r="A278" s="1568"/>
      <c r="B278" s="1781"/>
      <c r="C278" s="1541"/>
      <c r="D278" s="1541"/>
      <c r="E278" s="1541"/>
      <c r="F278" s="374">
        <v>14324.87</v>
      </c>
      <c r="G278" s="374" t="s">
        <v>13</v>
      </c>
      <c r="H278" s="391">
        <f t="shared" ref="H278:H288" si="191">SUM(I278:M278)</f>
        <v>0</v>
      </c>
      <c r="I278" s="391">
        <v>0</v>
      </c>
      <c r="J278" s="391">
        <f t="shared" ref="J278:J279" si="192">SUM(K278:O278)</f>
        <v>0</v>
      </c>
      <c r="K278" s="391">
        <v>0</v>
      </c>
      <c r="L278" s="391">
        <f t="shared" ref="L278:L279" si="193">SUM(M278:Q278)</f>
        <v>0</v>
      </c>
      <c r="M278" s="391">
        <v>0</v>
      </c>
      <c r="N278" s="1700"/>
      <c r="O278" s="400"/>
      <c r="P278" s="72" t="s">
        <v>1521</v>
      </c>
      <c r="Q278" s="47"/>
      <c r="W278" s="1">
        <v>1</v>
      </c>
    </row>
    <row r="279" spans="1:23" s="1" customFormat="1" ht="22.5" customHeight="1" outlineLevel="1" x14ac:dyDescent="0.3">
      <c r="A279" s="1569"/>
      <c r="B279" s="1781"/>
      <c r="C279" s="1541"/>
      <c r="D279" s="1541"/>
      <c r="E279" s="1541"/>
      <c r="F279" s="374">
        <v>956.88</v>
      </c>
      <c r="G279" s="374" t="s">
        <v>14</v>
      </c>
      <c r="H279" s="391">
        <f t="shared" si="191"/>
        <v>0</v>
      </c>
      <c r="I279" s="391">
        <v>0</v>
      </c>
      <c r="J279" s="391">
        <f t="shared" si="192"/>
        <v>0</v>
      </c>
      <c r="K279" s="391">
        <v>0</v>
      </c>
      <c r="L279" s="391">
        <f t="shared" si="193"/>
        <v>0</v>
      </c>
      <c r="M279" s="391">
        <v>0</v>
      </c>
      <c r="N279" s="1700"/>
      <c r="O279" s="400"/>
      <c r="P279" s="72"/>
      <c r="Q279" s="47"/>
    </row>
    <row r="280" spans="1:23" s="1" customFormat="1" ht="22.5" customHeight="1" outlineLevel="1" x14ac:dyDescent="0.3">
      <c r="A280" s="1567" t="s">
        <v>957</v>
      </c>
      <c r="B280" s="1781" t="s">
        <v>1391</v>
      </c>
      <c r="C280" s="1541" t="s">
        <v>67</v>
      </c>
      <c r="D280" s="1541"/>
      <c r="E280" s="1700">
        <f>F280+H280</f>
        <v>34144.44</v>
      </c>
      <c r="F280" s="374">
        <f>F281+F282</f>
        <v>34144.44</v>
      </c>
      <c r="G280" s="374" t="s">
        <v>12</v>
      </c>
      <c r="H280" s="391">
        <f t="shared" ref="H280:I280" si="194">H281+H282</f>
        <v>0</v>
      </c>
      <c r="I280" s="391">
        <f t="shared" si="194"/>
        <v>0</v>
      </c>
      <c r="J280" s="391">
        <f t="shared" ref="J280:M280" si="195">J281+J282</f>
        <v>0</v>
      </c>
      <c r="K280" s="391">
        <f t="shared" si="195"/>
        <v>0</v>
      </c>
      <c r="L280" s="391">
        <f t="shared" si="195"/>
        <v>0</v>
      </c>
      <c r="M280" s="391">
        <f t="shared" si="195"/>
        <v>0</v>
      </c>
      <c r="N280" s="1700"/>
      <c r="O280" s="400"/>
      <c r="P280" s="72"/>
      <c r="Q280" s="47"/>
    </row>
    <row r="281" spans="1:23" s="1" customFormat="1" ht="22.5" customHeight="1" outlineLevel="1" x14ac:dyDescent="0.3">
      <c r="A281" s="1568"/>
      <c r="B281" s="1781"/>
      <c r="C281" s="1541"/>
      <c r="D281" s="1541"/>
      <c r="E281" s="1541"/>
      <c r="F281" s="374">
        <v>32209.84</v>
      </c>
      <c r="G281" s="374" t="s">
        <v>13</v>
      </c>
      <c r="H281" s="391">
        <f t="shared" si="191"/>
        <v>0</v>
      </c>
      <c r="I281" s="391">
        <v>0</v>
      </c>
      <c r="J281" s="391">
        <f t="shared" ref="J281:J282" si="196">SUM(K281:O281)</f>
        <v>0</v>
      </c>
      <c r="K281" s="391">
        <v>0</v>
      </c>
      <c r="L281" s="391">
        <f t="shared" ref="L281:L282" si="197">SUM(M281:Q281)</f>
        <v>0</v>
      </c>
      <c r="M281" s="391">
        <v>0</v>
      </c>
      <c r="N281" s="1700"/>
      <c r="O281" s="400"/>
      <c r="P281" s="72" t="s">
        <v>1521</v>
      </c>
      <c r="Q281" s="47"/>
      <c r="W281" s="1">
        <v>1</v>
      </c>
    </row>
    <row r="282" spans="1:23" s="1" customFormat="1" ht="44.25" customHeight="1" outlineLevel="1" x14ac:dyDescent="0.3">
      <c r="A282" s="1569"/>
      <c r="B282" s="1781"/>
      <c r="C282" s="1541"/>
      <c r="D282" s="1541"/>
      <c r="E282" s="1541"/>
      <c r="F282" s="374">
        <v>1934.6</v>
      </c>
      <c r="G282" s="374" t="s">
        <v>14</v>
      </c>
      <c r="H282" s="391">
        <f t="shared" si="191"/>
        <v>0</v>
      </c>
      <c r="I282" s="391">
        <v>0</v>
      </c>
      <c r="J282" s="391">
        <f t="shared" si="196"/>
        <v>0</v>
      </c>
      <c r="K282" s="391">
        <v>0</v>
      </c>
      <c r="L282" s="391">
        <f t="shared" si="197"/>
        <v>0</v>
      </c>
      <c r="M282" s="391">
        <v>0</v>
      </c>
      <c r="N282" s="1700"/>
      <c r="O282" s="400"/>
      <c r="P282" s="72"/>
      <c r="Q282" s="47"/>
    </row>
    <row r="283" spans="1:23" s="1" customFormat="1" ht="22.5" customHeight="1" outlineLevel="1" x14ac:dyDescent="0.3">
      <c r="A283" s="1567" t="s">
        <v>958</v>
      </c>
      <c r="B283" s="1781" t="s">
        <v>1392</v>
      </c>
      <c r="C283" s="1541" t="s">
        <v>67</v>
      </c>
      <c r="D283" s="1541"/>
      <c r="E283" s="1700">
        <f>F283+H283</f>
        <v>11206.86</v>
      </c>
      <c r="F283" s="374">
        <f>F284+F285</f>
        <v>11206.86</v>
      </c>
      <c r="G283" s="374" t="s">
        <v>12</v>
      </c>
      <c r="H283" s="391">
        <f t="shared" ref="H283:I283" si="198">H284+H285</f>
        <v>0</v>
      </c>
      <c r="I283" s="391">
        <f t="shared" si="198"/>
        <v>0</v>
      </c>
      <c r="J283" s="391">
        <f t="shared" ref="J283:M283" si="199">J284+J285</f>
        <v>0</v>
      </c>
      <c r="K283" s="391">
        <f t="shared" si="199"/>
        <v>0</v>
      </c>
      <c r="L283" s="391">
        <f t="shared" si="199"/>
        <v>0</v>
      </c>
      <c r="M283" s="391">
        <f t="shared" si="199"/>
        <v>0</v>
      </c>
      <c r="N283" s="1700"/>
      <c r="O283" s="400"/>
      <c r="P283" s="72"/>
      <c r="Q283" s="47"/>
    </row>
    <row r="284" spans="1:23" s="1" customFormat="1" ht="22.5" customHeight="1" outlineLevel="1" x14ac:dyDescent="0.3">
      <c r="A284" s="1568"/>
      <c r="B284" s="1781"/>
      <c r="C284" s="1541"/>
      <c r="D284" s="1541"/>
      <c r="E284" s="1541"/>
      <c r="F284" s="374">
        <v>10563.51</v>
      </c>
      <c r="G284" s="374" t="s">
        <v>13</v>
      </c>
      <c r="H284" s="391">
        <f t="shared" si="191"/>
        <v>0</v>
      </c>
      <c r="I284" s="391">
        <v>0</v>
      </c>
      <c r="J284" s="391">
        <f t="shared" ref="J284:J285" si="200">SUM(K284:O284)</f>
        <v>0</v>
      </c>
      <c r="K284" s="391">
        <v>0</v>
      </c>
      <c r="L284" s="391">
        <f t="shared" ref="L284:L285" si="201">SUM(M284:Q284)</f>
        <v>0</v>
      </c>
      <c r="M284" s="391">
        <v>0</v>
      </c>
      <c r="N284" s="1700"/>
      <c r="O284" s="400"/>
      <c r="P284" s="72" t="s">
        <v>1521</v>
      </c>
      <c r="Q284" s="47"/>
      <c r="W284" s="1">
        <v>1</v>
      </c>
    </row>
    <row r="285" spans="1:23" s="1" customFormat="1" ht="52.5" customHeight="1" outlineLevel="1" x14ac:dyDescent="0.3">
      <c r="A285" s="1569"/>
      <c r="B285" s="1781"/>
      <c r="C285" s="1541"/>
      <c r="D285" s="1541"/>
      <c r="E285" s="1541"/>
      <c r="F285" s="374">
        <v>643.35</v>
      </c>
      <c r="G285" s="374" t="s">
        <v>14</v>
      </c>
      <c r="H285" s="391">
        <f t="shared" si="191"/>
        <v>0</v>
      </c>
      <c r="I285" s="391">
        <v>0</v>
      </c>
      <c r="J285" s="391">
        <f t="shared" si="200"/>
        <v>0</v>
      </c>
      <c r="K285" s="391">
        <v>0</v>
      </c>
      <c r="L285" s="391">
        <f t="shared" si="201"/>
        <v>0</v>
      </c>
      <c r="M285" s="391">
        <v>0</v>
      </c>
      <c r="N285" s="1700"/>
      <c r="O285" s="400"/>
      <c r="P285" s="72"/>
      <c r="Q285" s="47"/>
    </row>
    <row r="286" spans="1:23" s="1" customFormat="1" ht="22.5" customHeight="1" outlineLevel="1" x14ac:dyDescent="0.3">
      <c r="A286" s="1567" t="s">
        <v>1687</v>
      </c>
      <c r="B286" s="1781" t="s">
        <v>1393</v>
      </c>
      <c r="C286" s="1541" t="s">
        <v>67</v>
      </c>
      <c r="D286" s="1541"/>
      <c r="E286" s="1719">
        <f>F286+H286</f>
        <v>35243.71</v>
      </c>
      <c r="F286" s="374">
        <f>F287+F288</f>
        <v>35243.71</v>
      </c>
      <c r="G286" s="374" t="s">
        <v>12</v>
      </c>
      <c r="H286" s="391">
        <f t="shared" ref="H286:I286" si="202">H287+H288</f>
        <v>0</v>
      </c>
      <c r="I286" s="391">
        <f t="shared" si="202"/>
        <v>0</v>
      </c>
      <c r="J286" s="391">
        <f t="shared" ref="J286:M286" si="203">J287+J288</f>
        <v>0</v>
      </c>
      <c r="K286" s="391">
        <f t="shared" si="203"/>
        <v>0</v>
      </c>
      <c r="L286" s="391">
        <f t="shared" si="203"/>
        <v>0</v>
      </c>
      <c r="M286" s="391">
        <f t="shared" si="203"/>
        <v>0</v>
      </c>
      <c r="N286" s="1700"/>
      <c r="O286" s="400"/>
      <c r="P286" s="72"/>
      <c r="Q286" s="47"/>
    </row>
    <row r="287" spans="1:23" s="1" customFormat="1" ht="22.5" customHeight="1" outlineLevel="1" x14ac:dyDescent="0.3">
      <c r="A287" s="1568"/>
      <c r="B287" s="1781"/>
      <c r="C287" s="1541"/>
      <c r="D287" s="1541"/>
      <c r="E287" s="1719"/>
      <c r="F287" s="374">
        <v>33279.760000000002</v>
      </c>
      <c r="G287" s="374" t="s">
        <v>13</v>
      </c>
      <c r="H287" s="391">
        <f t="shared" si="191"/>
        <v>0</v>
      </c>
      <c r="I287" s="391">
        <v>0</v>
      </c>
      <c r="J287" s="391">
        <f t="shared" ref="J287:J288" si="204">SUM(K287:O287)</f>
        <v>0</v>
      </c>
      <c r="K287" s="391">
        <v>0</v>
      </c>
      <c r="L287" s="391">
        <f t="shared" ref="L287:L288" si="205">SUM(M287:Q287)</f>
        <v>0</v>
      </c>
      <c r="M287" s="391">
        <v>0</v>
      </c>
      <c r="N287" s="1700"/>
      <c r="O287" s="400"/>
      <c r="P287" s="72" t="s">
        <v>1521</v>
      </c>
      <c r="Q287" s="47"/>
      <c r="W287" s="1">
        <v>1</v>
      </c>
    </row>
    <row r="288" spans="1:23" s="1" customFormat="1" ht="49.5" customHeight="1" outlineLevel="1" x14ac:dyDescent="0.3">
      <c r="A288" s="1569"/>
      <c r="B288" s="1781"/>
      <c r="C288" s="1541"/>
      <c r="D288" s="1541"/>
      <c r="E288" s="1719"/>
      <c r="F288" s="374">
        <v>1963.95</v>
      </c>
      <c r="G288" s="374" t="s">
        <v>14</v>
      </c>
      <c r="H288" s="391">
        <f t="shared" si="191"/>
        <v>0</v>
      </c>
      <c r="I288" s="391">
        <v>0</v>
      </c>
      <c r="J288" s="391">
        <f t="shared" si="204"/>
        <v>0</v>
      </c>
      <c r="K288" s="391">
        <v>0</v>
      </c>
      <c r="L288" s="391">
        <f t="shared" si="205"/>
        <v>0</v>
      </c>
      <c r="M288" s="391">
        <v>0</v>
      </c>
      <c r="N288" s="1700"/>
      <c r="O288" s="400"/>
      <c r="P288" s="72"/>
      <c r="Q288" s="47"/>
    </row>
    <row r="289" spans="1:27" s="1" customFormat="1" ht="49.5" customHeight="1" outlineLevel="1" x14ac:dyDescent="0.3">
      <c r="A289" s="1379">
        <v>7</v>
      </c>
      <c r="B289" s="1311" t="s">
        <v>1642</v>
      </c>
      <c r="C289" s="1289"/>
      <c r="D289" s="1289"/>
      <c r="E289" s="1289"/>
      <c r="F289" s="1300">
        <v>0</v>
      </c>
      <c r="G289" s="1295" t="s">
        <v>12</v>
      </c>
      <c r="H289" s="1313">
        <f>H290+H291</f>
        <v>9990.0400000000009</v>
      </c>
      <c r="I289" s="1313">
        <f t="shared" ref="I289:M289" si="206">I290+I291</f>
        <v>9990.0400000000009</v>
      </c>
      <c r="J289" s="352">
        <f t="shared" si="206"/>
        <v>0</v>
      </c>
      <c r="K289" s="352">
        <f t="shared" si="206"/>
        <v>0</v>
      </c>
      <c r="L289" s="352">
        <f t="shared" si="206"/>
        <v>0</v>
      </c>
      <c r="M289" s="352">
        <f t="shared" si="206"/>
        <v>0</v>
      </c>
      <c r="N289" s="1292"/>
      <c r="O289" s="1296"/>
      <c r="P289" s="72"/>
      <c r="Q289" s="47"/>
    </row>
    <row r="290" spans="1:27" s="1" customFormat="1" ht="49.5" customHeight="1" outlineLevel="1" x14ac:dyDescent="0.3">
      <c r="A290" s="1301"/>
      <c r="B290" s="1309"/>
      <c r="C290" s="1290"/>
      <c r="D290" s="1290"/>
      <c r="E290" s="1290"/>
      <c r="F290" s="1300">
        <v>0</v>
      </c>
      <c r="G290" s="1295" t="s">
        <v>13</v>
      </c>
      <c r="H290" s="352">
        <f>SUM(I290:M290)</f>
        <v>7023</v>
      </c>
      <c r="I290" s="352">
        <f>I293</f>
        <v>7023</v>
      </c>
      <c r="J290" s="352">
        <f>SUM(K290:O290)</f>
        <v>0</v>
      </c>
      <c r="K290" s="352">
        <f>K293+K296+K299+K302+K305</f>
        <v>0</v>
      </c>
      <c r="L290" s="352">
        <f>SUM(M290:Q290)</f>
        <v>0</v>
      </c>
      <c r="M290" s="352">
        <f>M293+M296+M299+M302+M305</f>
        <v>0</v>
      </c>
      <c r="N290" s="1292"/>
      <c r="O290" s="1296"/>
      <c r="P290" s="72"/>
      <c r="Q290" s="47"/>
    </row>
    <row r="291" spans="1:27" s="1" customFormat="1" ht="49.5" customHeight="1" outlineLevel="1" x14ac:dyDescent="0.3">
      <c r="A291" s="1302"/>
      <c r="B291" s="1310"/>
      <c r="C291" s="1291"/>
      <c r="D291" s="1291"/>
      <c r="E291" s="1291"/>
      <c r="F291" s="1300">
        <v>0</v>
      </c>
      <c r="G291" s="1295" t="s">
        <v>14</v>
      </c>
      <c r="H291" s="352">
        <f>I291</f>
        <v>2967.04</v>
      </c>
      <c r="I291" s="352">
        <f>I294</f>
        <v>2967.04</v>
      </c>
      <c r="J291" s="352"/>
      <c r="K291" s="352"/>
      <c r="L291" s="352"/>
      <c r="M291" s="352"/>
      <c r="N291" s="1292"/>
      <c r="O291" s="1296"/>
      <c r="P291" s="72"/>
      <c r="Q291" s="47"/>
    </row>
    <row r="292" spans="1:27" s="1" customFormat="1" ht="71.25" customHeight="1" outlineLevel="1" x14ac:dyDescent="0.3">
      <c r="A292" s="1454" t="s">
        <v>960</v>
      </c>
      <c r="B292" s="1303" t="s">
        <v>1643</v>
      </c>
      <c r="C292" s="1306">
        <v>2018</v>
      </c>
      <c r="D292" s="1306"/>
      <c r="E292" s="1306"/>
      <c r="F292" s="1299"/>
      <c r="G292" s="1297" t="s">
        <v>12</v>
      </c>
      <c r="H292" s="1294">
        <f>H294+H293</f>
        <v>9990.0400000000009</v>
      </c>
      <c r="I292" s="1294">
        <f>I293+I294</f>
        <v>9990.0400000000009</v>
      </c>
      <c r="J292" s="1300"/>
      <c r="K292" s="1300"/>
      <c r="L292" s="1300"/>
      <c r="M292" s="1300"/>
      <c r="N292" s="872"/>
      <c r="O292" s="1296"/>
      <c r="P292" s="72"/>
      <c r="Q292" s="47"/>
    </row>
    <row r="293" spans="1:27" s="1" customFormat="1" ht="22.5" customHeight="1" outlineLevel="1" x14ac:dyDescent="0.3">
      <c r="A293" s="1301"/>
      <c r="B293" s="1304"/>
      <c r="C293" s="1307"/>
      <c r="D293" s="1307"/>
      <c r="E293" s="1307"/>
      <c r="F293" s="1299"/>
      <c r="G293" s="1297" t="s">
        <v>13</v>
      </c>
      <c r="H293" s="1294">
        <f>I293</f>
        <v>7023</v>
      </c>
      <c r="I293" s="1294">
        <v>7023</v>
      </c>
      <c r="J293" s="1300"/>
      <c r="K293" s="1300"/>
      <c r="L293" s="1300"/>
      <c r="M293" s="1300"/>
      <c r="N293" s="872"/>
      <c r="O293" s="1296"/>
      <c r="P293" s="72"/>
      <c r="Q293" s="47"/>
    </row>
    <row r="294" spans="1:27" s="1" customFormat="1" ht="49.5" customHeight="1" outlineLevel="1" x14ac:dyDescent="0.3">
      <c r="A294" s="1302"/>
      <c r="B294" s="1305"/>
      <c r="C294" s="1308"/>
      <c r="D294" s="1308"/>
      <c r="E294" s="1308"/>
      <c r="F294" s="1299"/>
      <c r="G294" s="1297" t="s">
        <v>14</v>
      </c>
      <c r="H294" s="1294">
        <f>I294</f>
        <v>2967.04</v>
      </c>
      <c r="I294" s="1294">
        <v>2967.04</v>
      </c>
      <c r="J294" s="1300"/>
      <c r="K294" s="1300"/>
      <c r="L294" s="1300"/>
      <c r="M294" s="1300"/>
      <c r="N294" s="872"/>
      <c r="O294" s="1296"/>
      <c r="P294" s="1312" t="s">
        <v>1645</v>
      </c>
      <c r="Q294" s="1314" t="s">
        <v>1644</v>
      </c>
    </row>
    <row r="295" spans="1:27" s="1" customFormat="1" ht="44.25" customHeight="1" outlineLevel="1" x14ac:dyDescent="0.3">
      <c r="A295" s="871"/>
      <c r="B295" s="972" t="s">
        <v>735</v>
      </c>
      <c r="C295" s="797"/>
      <c r="D295" s="797"/>
      <c r="E295" s="798"/>
      <c r="F295" s="795"/>
      <c r="G295" s="963"/>
      <c r="H295" s="997"/>
      <c r="I295" s="996">
        <v>0.41</v>
      </c>
      <c r="J295" s="997"/>
      <c r="K295" s="967"/>
      <c r="L295" s="821"/>
      <c r="M295" s="821"/>
      <c r="N295" s="872"/>
      <c r="O295" s="806"/>
      <c r="P295" s="72"/>
      <c r="Q295" s="47"/>
    </row>
    <row r="296" spans="1:27" s="1" customFormat="1" ht="23.25" customHeight="1" x14ac:dyDescent="0.3">
      <c r="A296" s="2470" t="s">
        <v>1402</v>
      </c>
      <c r="B296" s="2471"/>
      <c r="C296" s="2471"/>
      <c r="D296" s="2471"/>
      <c r="E296" s="2472"/>
      <c r="F296" s="873">
        <f>F297+F298</f>
        <v>12370.79</v>
      </c>
      <c r="G296" s="877" t="s">
        <v>42</v>
      </c>
      <c r="H296" s="998">
        <f>H297+H298</f>
        <v>304786.95</v>
      </c>
      <c r="I296" s="998">
        <f>I297+I298</f>
        <v>180786.95</v>
      </c>
      <c r="J296" s="998">
        <f t="shared" ref="J296:M296" si="207">J297+J298</f>
        <v>124000</v>
      </c>
      <c r="K296" s="998">
        <f t="shared" si="207"/>
        <v>0</v>
      </c>
      <c r="L296" s="998">
        <f t="shared" si="207"/>
        <v>0</v>
      </c>
      <c r="M296" s="998">
        <f t="shared" si="207"/>
        <v>0</v>
      </c>
      <c r="N296" s="2479"/>
      <c r="O296" s="610"/>
      <c r="P296" s="72"/>
      <c r="W296" s="1">
        <f>SUM(W226:W295)</f>
        <v>8</v>
      </c>
      <c r="X296" s="1">
        <f>SUM(X226:X295)</f>
        <v>4</v>
      </c>
      <c r="Y296" s="1">
        <f>SUM(Y226:Y295)</f>
        <v>0</v>
      </c>
      <c r="Z296" s="1">
        <f>SUM(Z226:Z295)</f>
        <v>0</v>
      </c>
      <c r="AA296" s="1">
        <f>SUM(AA226:AA295)</f>
        <v>0</v>
      </c>
    </row>
    <row r="297" spans="1:27" s="1" customFormat="1" ht="34.5" customHeight="1" x14ac:dyDescent="0.3">
      <c r="A297" s="2473"/>
      <c r="B297" s="2474"/>
      <c r="C297" s="2474"/>
      <c r="D297" s="2474"/>
      <c r="E297" s="2475"/>
      <c r="F297" s="873">
        <f>F257</f>
        <v>10980.78</v>
      </c>
      <c r="G297" s="877" t="s">
        <v>13</v>
      </c>
      <c r="H297" s="971">
        <f>I297+J297+K297+L297+M297</f>
        <v>239992</v>
      </c>
      <c r="I297" s="971">
        <f>I266+I260+I254+I236+I227+I272+I295+I248+I290</f>
        <v>146046</v>
      </c>
      <c r="J297" s="971">
        <f>J266+J260+J254+J236+J227+J272</f>
        <v>93946</v>
      </c>
      <c r="K297" s="998">
        <f t="shared" ref="K297:M297" si="208">K266+K260+K254+K236+K227+K272</f>
        <v>0</v>
      </c>
      <c r="L297" s="998">
        <f t="shared" si="208"/>
        <v>0</v>
      </c>
      <c r="M297" s="998">
        <f t="shared" si="208"/>
        <v>0</v>
      </c>
      <c r="N297" s="2480"/>
      <c r="O297" s="2494" t="s">
        <v>820</v>
      </c>
      <c r="P297" s="1315" t="s">
        <v>1550</v>
      </c>
    </row>
    <row r="298" spans="1:27" s="1" customFormat="1" ht="46.5" customHeight="1" x14ac:dyDescent="0.3">
      <c r="A298" s="2476"/>
      <c r="B298" s="2477"/>
      <c r="C298" s="2477"/>
      <c r="D298" s="2477"/>
      <c r="E298" s="2478"/>
      <c r="F298" s="873">
        <f>F258</f>
        <v>1390.01</v>
      </c>
      <c r="G298" s="878" t="s">
        <v>34</v>
      </c>
      <c r="H298" s="998">
        <f>I298+J298+K298+L298+M298</f>
        <v>64794.95</v>
      </c>
      <c r="I298" s="998">
        <f>I267+I261+I255+I237+I228+I249+I291</f>
        <v>34740.949999999997</v>
      </c>
      <c r="J298" s="998">
        <f t="shared" ref="J298:M298" si="209">J267+J261+J255+J237+J228</f>
        <v>30054</v>
      </c>
      <c r="K298" s="998">
        <f t="shared" si="209"/>
        <v>0</v>
      </c>
      <c r="L298" s="998">
        <f t="shared" si="209"/>
        <v>0</v>
      </c>
      <c r="M298" s="998">
        <f t="shared" si="209"/>
        <v>0</v>
      </c>
      <c r="N298" s="2481"/>
      <c r="O298" s="2495"/>
      <c r="P298" s="72"/>
    </row>
    <row r="299" spans="1:27" s="1" customFormat="1" ht="42.75" customHeight="1" x14ac:dyDescent="0.3">
      <c r="A299" s="1706" t="s">
        <v>169</v>
      </c>
      <c r="B299" s="1706"/>
      <c r="C299" s="1706"/>
      <c r="D299" s="1706"/>
      <c r="E299" s="1706"/>
      <c r="F299" s="1706"/>
      <c r="G299" s="1706"/>
      <c r="H299" s="1706"/>
      <c r="I299" s="1706"/>
      <c r="J299" s="1706"/>
      <c r="K299" s="1706"/>
      <c r="L299" s="1706"/>
      <c r="M299" s="1706"/>
      <c r="N299" s="1706"/>
      <c r="O299" s="1707"/>
      <c r="P299" s="72"/>
    </row>
    <row r="300" spans="1:27" s="1" customFormat="1" ht="22.5" customHeight="1" x14ac:dyDescent="0.3">
      <c r="A300" s="1709" t="s">
        <v>1331</v>
      </c>
      <c r="B300" s="1709"/>
      <c r="C300" s="1709"/>
      <c r="D300" s="1709"/>
      <c r="E300" s="1709"/>
      <c r="F300" s="1709"/>
      <c r="G300" s="1709"/>
      <c r="H300" s="1709"/>
      <c r="I300" s="1709"/>
      <c r="J300" s="1709"/>
      <c r="K300" s="1709"/>
      <c r="L300" s="1709"/>
      <c r="M300" s="1709"/>
      <c r="N300" s="1709"/>
      <c r="O300" s="1710"/>
      <c r="P300" s="72"/>
    </row>
    <row r="301" spans="1:27" s="36" customFormat="1" ht="17.25" customHeight="1" x14ac:dyDescent="0.3">
      <c r="A301" s="1357"/>
      <c r="B301" s="378"/>
      <c r="C301" s="378"/>
      <c r="D301" s="378"/>
      <c r="E301" s="378"/>
      <c r="F301" s="378"/>
      <c r="G301" s="378"/>
      <c r="H301" s="378"/>
      <c r="I301" s="378"/>
      <c r="J301" s="378"/>
      <c r="K301" s="378"/>
      <c r="L301" s="378"/>
      <c r="M301" s="378"/>
      <c r="N301" s="405"/>
      <c r="O301" s="1317"/>
      <c r="P301" s="75"/>
    </row>
    <row r="302" spans="1:27" s="1" customFormat="1" ht="112.5" customHeight="1" x14ac:dyDescent="0.3">
      <c r="A302" s="2299" t="s">
        <v>1405</v>
      </c>
      <c r="B302" s="2299"/>
      <c r="C302" s="2299"/>
      <c r="D302" s="2299"/>
      <c r="E302" s="2299"/>
      <c r="F302" s="2299"/>
      <c r="G302" s="2299"/>
      <c r="H302" s="2299"/>
      <c r="I302" s="2299"/>
      <c r="J302" s="2299"/>
      <c r="K302" s="2299"/>
      <c r="L302" s="2299"/>
      <c r="M302" s="2299"/>
      <c r="N302" s="2299"/>
      <c r="O302" s="2300"/>
      <c r="P302" s="72"/>
    </row>
    <row r="303" spans="1:27" s="1" customFormat="1" ht="20.25" customHeight="1" outlineLevel="1" x14ac:dyDescent="0.3">
      <c r="A303" s="1856" t="s">
        <v>56</v>
      </c>
      <c r="B303" s="1856"/>
      <c r="C303" s="1856"/>
      <c r="D303" s="1856"/>
      <c r="E303" s="1856"/>
      <c r="F303" s="1856"/>
      <c r="G303" s="1856"/>
      <c r="H303" s="1856"/>
      <c r="I303" s="1856"/>
      <c r="J303" s="1856"/>
      <c r="K303" s="1856"/>
      <c r="L303" s="1856"/>
      <c r="M303" s="1856"/>
      <c r="N303" s="1856"/>
      <c r="O303" s="2302"/>
      <c r="P303" s="126"/>
    </row>
    <row r="304" spans="1:27" s="1" customFormat="1" ht="18.75" customHeight="1" outlineLevel="1" x14ac:dyDescent="0.3">
      <c r="A304" s="2061" t="s">
        <v>772</v>
      </c>
      <c r="B304" s="2061"/>
      <c r="C304" s="2061"/>
      <c r="D304" s="2061"/>
      <c r="E304" s="2061"/>
      <c r="F304" s="2061"/>
      <c r="G304" s="2061"/>
      <c r="H304" s="2061"/>
      <c r="I304" s="2061"/>
      <c r="J304" s="2061"/>
      <c r="K304" s="2061"/>
      <c r="L304" s="2061"/>
      <c r="M304" s="2061"/>
      <c r="N304" s="2061"/>
      <c r="O304" s="2301"/>
      <c r="P304" s="72"/>
    </row>
    <row r="305" spans="1:25" s="597" customFormat="1" ht="24" customHeight="1" outlineLevel="1" x14ac:dyDescent="0.3">
      <c r="A305" s="2409" t="s">
        <v>146</v>
      </c>
      <c r="B305" s="1764" t="s">
        <v>55</v>
      </c>
      <c r="C305" s="1764" t="s">
        <v>49</v>
      </c>
      <c r="D305" s="1764" t="s">
        <v>51</v>
      </c>
      <c r="E305" s="2325" t="s">
        <v>52</v>
      </c>
      <c r="F305" s="2325" t="s">
        <v>545</v>
      </c>
      <c r="G305" s="2325" t="s">
        <v>53</v>
      </c>
      <c r="H305" s="2325" t="s">
        <v>57</v>
      </c>
      <c r="I305" s="2325"/>
      <c r="J305" s="2325"/>
      <c r="K305" s="2325"/>
      <c r="L305" s="2325"/>
      <c r="M305" s="2325"/>
      <c r="N305" s="2090" t="s">
        <v>50</v>
      </c>
      <c r="O305" s="612"/>
      <c r="P305" s="596"/>
      <c r="Q305" s="508"/>
    </row>
    <row r="306" spans="1:25" s="597" customFormat="1" ht="39.75" customHeight="1" outlineLevel="1" x14ac:dyDescent="0.3">
      <c r="A306" s="2409"/>
      <c r="B306" s="1764"/>
      <c r="C306" s="1764"/>
      <c r="D306" s="1764"/>
      <c r="E306" s="2325"/>
      <c r="F306" s="2325"/>
      <c r="G306" s="2325"/>
      <c r="H306" s="613" t="s">
        <v>33</v>
      </c>
      <c r="I306" s="613" t="s">
        <v>4</v>
      </c>
      <c r="J306" s="613" t="s">
        <v>91</v>
      </c>
      <c r="K306" s="613" t="s">
        <v>90</v>
      </c>
      <c r="L306" s="613" t="s">
        <v>89</v>
      </c>
      <c r="M306" s="613" t="s">
        <v>221</v>
      </c>
      <c r="N306" s="2090"/>
      <c r="O306" s="614"/>
      <c r="P306" s="596"/>
      <c r="Q306" s="508"/>
    </row>
    <row r="307" spans="1:25" s="600" customFormat="1" ht="21.75" customHeight="1" outlineLevel="1" x14ac:dyDescent="0.3">
      <c r="A307" s="574">
        <v>1</v>
      </c>
      <c r="B307" s="586">
        <v>2</v>
      </c>
      <c r="C307" s="586">
        <v>3</v>
      </c>
      <c r="D307" s="586">
        <v>4</v>
      </c>
      <c r="E307" s="586">
        <v>5</v>
      </c>
      <c r="F307" s="586">
        <v>6</v>
      </c>
      <c r="G307" s="586">
        <v>7</v>
      </c>
      <c r="H307" s="586">
        <v>8</v>
      </c>
      <c r="I307" s="586">
        <v>9</v>
      </c>
      <c r="J307" s="586">
        <v>10</v>
      </c>
      <c r="K307" s="586">
        <v>11</v>
      </c>
      <c r="L307" s="586">
        <v>12</v>
      </c>
      <c r="M307" s="586">
        <v>13</v>
      </c>
      <c r="N307" s="615">
        <v>14</v>
      </c>
      <c r="O307" s="616"/>
      <c r="P307" s="599"/>
      <c r="Q307" s="588"/>
    </row>
    <row r="308" spans="1:25" s="1" customFormat="1" ht="21.75" customHeight="1" outlineLevel="1" x14ac:dyDescent="0.3">
      <c r="A308" s="2372" t="s">
        <v>604</v>
      </c>
      <c r="B308" s="1755" t="s">
        <v>333</v>
      </c>
      <c r="C308" s="1756"/>
      <c r="D308" s="1756"/>
      <c r="E308" s="1756"/>
      <c r="F308" s="1757"/>
      <c r="G308" s="385" t="s">
        <v>12</v>
      </c>
      <c r="H308" s="69">
        <f>H309+H310</f>
        <v>1000000</v>
      </c>
      <c r="I308" s="69">
        <f t="shared" ref="I308:M308" si="210">I309+I310</f>
        <v>350000</v>
      </c>
      <c r="J308" s="69">
        <f t="shared" si="210"/>
        <v>420000</v>
      </c>
      <c r="K308" s="69">
        <f t="shared" si="210"/>
        <v>230000</v>
      </c>
      <c r="L308" s="69">
        <f t="shared" si="210"/>
        <v>0</v>
      </c>
      <c r="M308" s="69">
        <f t="shared" si="210"/>
        <v>0</v>
      </c>
      <c r="N308" s="2418" t="s">
        <v>366</v>
      </c>
      <c r="O308" s="397"/>
      <c r="P308" s="72"/>
      <c r="Q308" s="93"/>
    </row>
    <row r="309" spans="1:25" s="1" customFormat="1" ht="33.6" customHeight="1" outlineLevel="1" x14ac:dyDescent="0.3">
      <c r="A309" s="2373"/>
      <c r="B309" s="1758"/>
      <c r="C309" s="1759"/>
      <c r="D309" s="1759"/>
      <c r="E309" s="1759"/>
      <c r="F309" s="1760"/>
      <c r="G309" s="385" t="s">
        <v>13</v>
      </c>
      <c r="H309" s="69">
        <f>I309+J309+K309+L309+M309</f>
        <v>1000000</v>
      </c>
      <c r="I309" s="389">
        <f>I312</f>
        <v>350000</v>
      </c>
      <c r="J309" s="389">
        <f t="shared" ref="J309:M309" si="211">J312</f>
        <v>420000</v>
      </c>
      <c r="K309" s="389">
        <f t="shared" si="211"/>
        <v>230000</v>
      </c>
      <c r="L309" s="389">
        <f t="shared" si="211"/>
        <v>0</v>
      </c>
      <c r="M309" s="389">
        <f t="shared" si="211"/>
        <v>0</v>
      </c>
      <c r="N309" s="2419"/>
      <c r="O309" s="398"/>
      <c r="P309" s="126"/>
      <c r="Q309" s="93"/>
    </row>
    <row r="310" spans="1:25" s="1" customFormat="1" ht="46.5" customHeight="1" outlineLevel="1" x14ac:dyDescent="0.3">
      <c r="A310" s="2374"/>
      <c r="B310" s="1761"/>
      <c r="C310" s="1762"/>
      <c r="D310" s="1762"/>
      <c r="E310" s="1762"/>
      <c r="F310" s="1763"/>
      <c r="G310" s="385" t="s">
        <v>3</v>
      </c>
      <c r="H310" s="69">
        <f>I310+J310+K310+L310+M310</f>
        <v>0</v>
      </c>
      <c r="I310" s="389">
        <f>I313</f>
        <v>0</v>
      </c>
      <c r="J310" s="389">
        <f t="shared" ref="J310:M310" si="212">J313</f>
        <v>0</v>
      </c>
      <c r="K310" s="389">
        <f t="shared" si="212"/>
        <v>0</v>
      </c>
      <c r="L310" s="389">
        <f t="shared" si="212"/>
        <v>0</v>
      </c>
      <c r="M310" s="389">
        <f t="shared" si="212"/>
        <v>0</v>
      </c>
      <c r="N310" s="2420"/>
      <c r="O310" s="399"/>
      <c r="P310" s="72"/>
      <c r="Q310" s="93"/>
    </row>
    <row r="311" spans="1:25" s="93" customFormat="1" ht="24" customHeight="1" outlineLevel="1" x14ac:dyDescent="0.3">
      <c r="A311" s="1717" t="s">
        <v>770</v>
      </c>
      <c r="B311" s="1718" t="s">
        <v>773</v>
      </c>
      <c r="C311" s="1718" t="s">
        <v>334</v>
      </c>
      <c r="D311" s="1778"/>
      <c r="E311" s="1727">
        <f>H311</f>
        <v>1000000</v>
      </c>
      <c r="F311" s="389">
        <f>F312+F313</f>
        <v>0</v>
      </c>
      <c r="G311" s="385" t="s">
        <v>12</v>
      </c>
      <c r="H311" s="69">
        <f>H312+H313</f>
        <v>1000000</v>
      </c>
      <c r="I311" s="69">
        <f t="shared" ref="I311:M311" si="213">I312+I313</f>
        <v>350000</v>
      </c>
      <c r="J311" s="69">
        <f t="shared" si="213"/>
        <v>420000</v>
      </c>
      <c r="K311" s="69">
        <f t="shared" si="213"/>
        <v>230000</v>
      </c>
      <c r="L311" s="69">
        <f t="shared" si="213"/>
        <v>0</v>
      </c>
      <c r="M311" s="69">
        <f t="shared" si="213"/>
        <v>0</v>
      </c>
      <c r="N311" s="2418"/>
      <c r="O311" s="397"/>
      <c r="P311" s="591"/>
      <c r="Q311" s="1"/>
    </row>
    <row r="312" spans="1:25" s="93" customFormat="1" ht="39.75" customHeight="1" outlineLevel="1" x14ac:dyDescent="0.3">
      <c r="A312" s="1717"/>
      <c r="B312" s="1718"/>
      <c r="C312" s="1718"/>
      <c r="D312" s="1779"/>
      <c r="E312" s="1727"/>
      <c r="F312" s="389">
        <v>0</v>
      </c>
      <c r="G312" s="385" t="s">
        <v>13</v>
      </c>
      <c r="H312" s="69">
        <f>I312+J312+K312+L312+M312</f>
        <v>1000000</v>
      </c>
      <c r="I312" s="389">
        <v>350000</v>
      </c>
      <c r="J312" s="389">
        <v>420000</v>
      </c>
      <c r="K312" s="389">
        <v>230000</v>
      </c>
      <c r="L312" s="389">
        <v>0</v>
      </c>
      <c r="M312" s="389">
        <v>0</v>
      </c>
      <c r="N312" s="2419"/>
      <c r="O312" s="398"/>
      <c r="P312" s="591"/>
      <c r="Q312" s="1"/>
      <c r="Y312" s="93">
        <v>1</v>
      </c>
    </row>
    <row r="313" spans="1:25" s="93" customFormat="1" ht="27" customHeight="1" outlineLevel="1" x14ac:dyDescent="0.3">
      <c r="A313" s="1717"/>
      <c r="B313" s="1718"/>
      <c r="C313" s="1718"/>
      <c r="D313" s="1780"/>
      <c r="E313" s="1727"/>
      <c r="F313" s="389">
        <v>0</v>
      </c>
      <c r="G313" s="385" t="s">
        <v>3</v>
      </c>
      <c r="H313" s="69">
        <f>I313+J313+K313+L313+M313</f>
        <v>0</v>
      </c>
      <c r="I313" s="389">
        <f>5486.86*0</f>
        <v>0</v>
      </c>
      <c r="J313" s="389">
        <f>6584.24*0</f>
        <v>0</v>
      </c>
      <c r="K313" s="389">
        <f>3605.65*0</f>
        <v>0</v>
      </c>
      <c r="L313" s="389">
        <v>0</v>
      </c>
      <c r="M313" s="389">
        <v>0</v>
      </c>
      <c r="N313" s="2420"/>
      <c r="O313" s="399"/>
      <c r="P313" s="591"/>
      <c r="Q313" s="1"/>
    </row>
    <row r="314" spans="1:25" s="47" customFormat="1" ht="25.5" customHeight="1" outlineLevel="1" x14ac:dyDescent="0.3">
      <c r="A314" s="2372" t="s">
        <v>605</v>
      </c>
      <c r="B314" s="1755" t="s">
        <v>335</v>
      </c>
      <c r="C314" s="1756"/>
      <c r="D314" s="1756"/>
      <c r="E314" s="1756"/>
      <c r="F314" s="1757"/>
      <c r="G314" s="385" t="s">
        <v>12</v>
      </c>
      <c r="H314" s="69">
        <f>H315+H316</f>
        <v>725000</v>
      </c>
      <c r="I314" s="69">
        <f t="shared" ref="I314:M314" si="214">I315+I316</f>
        <v>211426</v>
      </c>
      <c r="J314" s="69">
        <f t="shared" si="214"/>
        <v>250000</v>
      </c>
      <c r="K314" s="69">
        <f t="shared" si="214"/>
        <v>263574</v>
      </c>
      <c r="L314" s="69">
        <f t="shared" si="214"/>
        <v>0</v>
      </c>
      <c r="M314" s="69">
        <f t="shared" si="214"/>
        <v>0</v>
      </c>
      <c r="N314" s="2418" t="s">
        <v>367</v>
      </c>
      <c r="O314" s="394"/>
      <c r="P314" s="1719"/>
      <c r="Q314" s="93"/>
    </row>
    <row r="315" spans="1:25" s="47" customFormat="1" ht="31.2" customHeight="1" outlineLevel="1" x14ac:dyDescent="0.3">
      <c r="A315" s="2373"/>
      <c r="B315" s="1758"/>
      <c r="C315" s="1759"/>
      <c r="D315" s="1759"/>
      <c r="E315" s="1759"/>
      <c r="F315" s="1760"/>
      <c r="G315" s="385" t="s">
        <v>13</v>
      </c>
      <c r="H315" s="69">
        <f>I315+J315+K315+L315+M315</f>
        <v>725000</v>
      </c>
      <c r="I315" s="389">
        <f>I318</f>
        <v>211426</v>
      </c>
      <c r="J315" s="389">
        <f t="shared" ref="J315:M315" si="215">J318</f>
        <v>250000</v>
      </c>
      <c r="K315" s="389">
        <f t="shared" si="215"/>
        <v>263574</v>
      </c>
      <c r="L315" s="389">
        <f t="shared" si="215"/>
        <v>0</v>
      </c>
      <c r="M315" s="389">
        <f t="shared" si="215"/>
        <v>0</v>
      </c>
      <c r="N315" s="2419"/>
      <c r="O315" s="2303"/>
      <c r="P315" s="1719"/>
      <c r="Q315" s="93"/>
    </row>
    <row r="316" spans="1:25" s="47" customFormat="1" ht="58.2" customHeight="1" outlineLevel="1" x14ac:dyDescent="0.3">
      <c r="A316" s="2374"/>
      <c r="B316" s="1761"/>
      <c r="C316" s="1762"/>
      <c r="D316" s="1762"/>
      <c r="E316" s="1762"/>
      <c r="F316" s="1763"/>
      <c r="G316" s="385" t="s">
        <v>3</v>
      </c>
      <c r="H316" s="69">
        <f>I316+J316+K316+L316+M316</f>
        <v>0</v>
      </c>
      <c r="I316" s="389">
        <f>I319</f>
        <v>0</v>
      </c>
      <c r="J316" s="389">
        <f t="shared" ref="J316:M316" si="216">J319</f>
        <v>0</v>
      </c>
      <c r="K316" s="389">
        <f t="shared" si="216"/>
        <v>0</v>
      </c>
      <c r="L316" s="389">
        <f t="shared" si="216"/>
        <v>0</v>
      </c>
      <c r="M316" s="389">
        <f t="shared" si="216"/>
        <v>0</v>
      </c>
      <c r="N316" s="2420"/>
      <c r="O316" s="2305"/>
      <c r="P316" s="1719"/>
      <c r="Q316" s="93"/>
    </row>
    <row r="317" spans="1:25" s="1" customFormat="1" ht="52.5" customHeight="1" outlineLevel="1" x14ac:dyDescent="0.3">
      <c r="A317" s="1717" t="s">
        <v>771</v>
      </c>
      <c r="B317" s="1718" t="s">
        <v>774</v>
      </c>
      <c r="C317" s="1718" t="s">
        <v>334</v>
      </c>
      <c r="D317" s="1778"/>
      <c r="E317" s="1727">
        <f>H317</f>
        <v>725000</v>
      </c>
      <c r="F317" s="389">
        <f>F318+F319</f>
        <v>0</v>
      </c>
      <c r="G317" s="385" t="s">
        <v>12</v>
      </c>
      <c r="H317" s="69">
        <f>H318+H319</f>
        <v>725000</v>
      </c>
      <c r="I317" s="69">
        <f t="shared" ref="I317" si="217">I318+I319</f>
        <v>211426</v>
      </c>
      <c r="J317" s="69">
        <f t="shared" ref="J317" si="218">J318+J319</f>
        <v>250000</v>
      </c>
      <c r="K317" s="69">
        <f t="shared" ref="K317" si="219">K318+K319</f>
        <v>263574</v>
      </c>
      <c r="L317" s="69">
        <f t="shared" ref="L317" si="220">L318+L319</f>
        <v>0</v>
      </c>
      <c r="M317" s="69">
        <f t="shared" ref="M317" si="221">M318+M319</f>
        <v>0</v>
      </c>
      <c r="N317" s="2303"/>
      <c r="O317" s="390"/>
      <c r="P317" s="72"/>
      <c r="Q317" s="47"/>
    </row>
    <row r="318" spans="1:25" s="1" customFormat="1" ht="53.25" customHeight="1" outlineLevel="1" x14ac:dyDescent="0.3">
      <c r="A318" s="1717"/>
      <c r="B318" s="1718"/>
      <c r="C318" s="1718"/>
      <c r="D318" s="1779"/>
      <c r="E318" s="1727"/>
      <c r="F318" s="389">
        <v>0</v>
      </c>
      <c r="G318" s="385" t="s">
        <v>13</v>
      </c>
      <c r="H318" s="69">
        <f>I318+J318+K318+L318+M318</f>
        <v>725000</v>
      </c>
      <c r="I318" s="389">
        <v>211426</v>
      </c>
      <c r="J318" s="389">
        <v>250000</v>
      </c>
      <c r="K318" s="389">
        <v>263574</v>
      </c>
      <c r="L318" s="389">
        <v>0</v>
      </c>
      <c r="M318" s="389">
        <v>0</v>
      </c>
      <c r="N318" s="2304"/>
      <c r="O318" s="584"/>
      <c r="P318" s="72"/>
      <c r="Q318" s="47"/>
      <c r="Y318" s="1">
        <v>1</v>
      </c>
    </row>
    <row r="319" spans="1:25" s="1" customFormat="1" ht="23.25" customHeight="1" outlineLevel="1" x14ac:dyDescent="0.3">
      <c r="A319" s="1717"/>
      <c r="B319" s="1718"/>
      <c r="C319" s="1718"/>
      <c r="D319" s="1780"/>
      <c r="E319" s="1727"/>
      <c r="F319" s="389">
        <v>0</v>
      </c>
      <c r="G319" s="385" t="s">
        <v>3</v>
      </c>
      <c r="H319" s="69">
        <f>I319+J319+K319+L319+M319</f>
        <v>0</v>
      </c>
      <c r="I319" s="389">
        <f>6743.33*0</f>
        <v>0</v>
      </c>
      <c r="J319" s="389">
        <f>7973.63*0</f>
        <v>0</v>
      </c>
      <c r="K319" s="389">
        <f>8406.57*0</f>
        <v>0</v>
      </c>
      <c r="L319" s="389">
        <v>0</v>
      </c>
      <c r="M319" s="389">
        <v>0</v>
      </c>
      <c r="N319" s="2305"/>
      <c r="O319" s="621"/>
      <c r="P319" s="72"/>
      <c r="Q319" s="47"/>
    </row>
    <row r="320" spans="1:25" s="1" customFormat="1" ht="27" customHeight="1" x14ac:dyDescent="0.3">
      <c r="A320" s="2371" t="s">
        <v>1381</v>
      </c>
      <c r="B320" s="2371"/>
      <c r="C320" s="2371"/>
      <c r="D320" s="2371"/>
      <c r="E320" s="2371"/>
      <c r="F320" s="873">
        <f>F321+F322</f>
        <v>0</v>
      </c>
      <c r="G320" s="877" t="s">
        <v>42</v>
      </c>
      <c r="H320" s="873">
        <f>H321+H322</f>
        <v>1725000</v>
      </c>
      <c r="I320" s="873">
        <f>I321+I322</f>
        <v>561426</v>
      </c>
      <c r="J320" s="873">
        <f t="shared" ref="J320:M320" si="222">J321+J322</f>
        <v>670000</v>
      </c>
      <c r="K320" s="873">
        <f t="shared" si="222"/>
        <v>493574</v>
      </c>
      <c r="L320" s="873">
        <f t="shared" si="222"/>
        <v>0</v>
      </c>
      <c r="M320" s="873">
        <f t="shared" si="222"/>
        <v>0</v>
      </c>
      <c r="N320" s="879"/>
      <c r="O320" s="883"/>
      <c r="P320" s="72"/>
    </row>
    <row r="321" spans="1:28" s="311" customFormat="1" ht="51.75" customHeight="1" x14ac:dyDescent="0.3">
      <c r="A321" s="2371"/>
      <c r="B321" s="2371"/>
      <c r="C321" s="2371"/>
      <c r="D321" s="2371"/>
      <c r="E321" s="2371"/>
      <c r="F321" s="993">
        <v>0</v>
      </c>
      <c r="G321" s="999" t="s">
        <v>13</v>
      </c>
      <c r="H321" s="993">
        <f>I321+J321+K321+L321+M321</f>
        <v>1725000</v>
      </c>
      <c r="I321" s="993">
        <f>I309+I315</f>
        <v>561426</v>
      </c>
      <c r="J321" s="993">
        <f t="shared" ref="J321:M321" si="223">J309+J315</f>
        <v>670000</v>
      </c>
      <c r="K321" s="993">
        <f t="shared" si="223"/>
        <v>493574</v>
      </c>
      <c r="L321" s="993">
        <f t="shared" si="223"/>
        <v>0</v>
      </c>
      <c r="M321" s="993">
        <f t="shared" si="223"/>
        <v>0</v>
      </c>
      <c r="N321" s="1000"/>
      <c r="O321" s="884"/>
      <c r="P321" s="1001"/>
      <c r="W321" s="311">
        <f t="shared" ref="W321:AB321" si="224">SUM(W308:W320)</f>
        <v>0</v>
      </c>
      <c r="X321" s="311">
        <f t="shared" si="224"/>
        <v>0</v>
      </c>
      <c r="Y321" s="311">
        <f t="shared" si="224"/>
        <v>2</v>
      </c>
      <c r="Z321" s="311">
        <f t="shared" si="224"/>
        <v>0</v>
      </c>
      <c r="AA321" s="311">
        <f t="shared" si="224"/>
        <v>0</v>
      </c>
      <c r="AB321" s="311">
        <f t="shared" si="224"/>
        <v>0</v>
      </c>
    </row>
    <row r="322" spans="1:28" s="1" customFormat="1" ht="51" customHeight="1" x14ac:dyDescent="0.3">
      <c r="A322" s="2371"/>
      <c r="B322" s="2371"/>
      <c r="C322" s="2371"/>
      <c r="D322" s="2371"/>
      <c r="E322" s="2371"/>
      <c r="F322" s="873">
        <v>0</v>
      </c>
      <c r="G322" s="878" t="s">
        <v>34</v>
      </c>
      <c r="H322" s="873">
        <f>I322+J322+K322+L322+M322</f>
        <v>0</v>
      </c>
      <c r="I322" s="873">
        <f>I310+I316</f>
        <v>0</v>
      </c>
      <c r="J322" s="873">
        <f t="shared" ref="J322:M322" si="225">J310+J316</f>
        <v>0</v>
      </c>
      <c r="K322" s="873">
        <f t="shared" si="225"/>
        <v>0</v>
      </c>
      <c r="L322" s="873">
        <f t="shared" si="225"/>
        <v>0</v>
      </c>
      <c r="M322" s="873">
        <f t="shared" si="225"/>
        <v>0</v>
      </c>
      <c r="N322" s="879"/>
      <c r="O322" s="885"/>
      <c r="P322" s="2347" t="s">
        <v>414</v>
      </c>
    </row>
    <row r="323" spans="1:28" s="1" customFormat="1" ht="30" customHeight="1" x14ac:dyDescent="0.3">
      <c r="A323" s="1709" t="s">
        <v>775</v>
      </c>
      <c r="B323" s="1709"/>
      <c r="C323" s="1709"/>
      <c r="D323" s="1709"/>
      <c r="E323" s="1709"/>
      <c r="F323" s="1709"/>
      <c r="G323" s="1709"/>
      <c r="H323" s="1709"/>
      <c r="I323" s="1709"/>
      <c r="J323" s="1709"/>
      <c r="K323" s="1709"/>
      <c r="L323" s="1709"/>
      <c r="M323" s="1709"/>
      <c r="N323" s="1709"/>
      <c r="O323" s="1710"/>
      <c r="P323" s="2348"/>
    </row>
    <row r="324" spans="1:28" s="1" customFormat="1" ht="70.5" customHeight="1" x14ac:dyDescent="0.3">
      <c r="A324" s="1357"/>
      <c r="B324" s="378"/>
      <c r="C324" s="378"/>
      <c r="D324" s="378"/>
      <c r="E324" s="378"/>
      <c r="F324" s="378"/>
      <c r="G324" s="378"/>
      <c r="H324" s="378"/>
      <c r="I324" s="378"/>
      <c r="J324" s="378"/>
      <c r="K324" s="378"/>
      <c r="L324" s="378"/>
      <c r="M324" s="378"/>
      <c r="N324" s="405"/>
      <c r="O324" s="1320"/>
      <c r="P324" s="2348"/>
    </row>
    <row r="325" spans="1:28" s="508" customFormat="1" ht="48.75" customHeight="1" x14ac:dyDescent="0.3">
      <c r="A325" s="2316" t="s">
        <v>1349</v>
      </c>
      <c r="B325" s="2316"/>
      <c r="C325" s="2316"/>
      <c r="D325" s="2316"/>
      <c r="E325" s="2316"/>
      <c r="F325" s="2316"/>
      <c r="G325" s="2316"/>
      <c r="H325" s="2316"/>
      <c r="I325" s="2316"/>
      <c r="J325" s="2316"/>
      <c r="K325" s="2316"/>
      <c r="L325" s="2316"/>
      <c r="M325" s="2316"/>
      <c r="N325" s="2316"/>
      <c r="O325" s="2316"/>
      <c r="P325" s="2348"/>
    </row>
    <row r="326" spans="1:28" s="508" customFormat="1" ht="70.5" customHeight="1" x14ac:dyDescent="0.3">
      <c r="A326" s="2368" t="s">
        <v>46</v>
      </c>
      <c r="B326" s="1913" t="s">
        <v>55</v>
      </c>
      <c r="C326" s="1913" t="s">
        <v>939</v>
      </c>
      <c r="D326" s="1913" t="s">
        <v>940</v>
      </c>
      <c r="E326" s="1913" t="s">
        <v>52</v>
      </c>
      <c r="F326" s="1913" t="s">
        <v>545</v>
      </c>
      <c r="G326" s="1913" t="s">
        <v>59</v>
      </c>
      <c r="H326" s="1914" t="s">
        <v>106</v>
      </c>
      <c r="I326" s="1914"/>
      <c r="J326" s="1914"/>
      <c r="K326" s="1914"/>
      <c r="L326" s="1914"/>
      <c r="M326" s="1914"/>
      <c r="N326" s="2442" t="s">
        <v>50</v>
      </c>
      <c r="O326" s="2500"/>
      <c r="P326" s="2348"/>
    </row>
    <row r="327" spans="1:28" s="508" customFormat="1" ht="28.5" customHeight="1" x14ac:dyDescent="0.3">
      <c r="A327" s="2368"/>
      <c r="B327" s="1913"/>
      <c r="C327" s="1913"/>
      <c r="D327" s="1913"/>
      <c r="E327" s="1913"/>
      <c r="F327" s="1913"/>
      <c r="G327" s="1913"/>
      <c r="H327" s="478" t="s">
        <v>33</v>
      </c>
      <c r="I327" s="478" t="s">
        <v>4</v>
      </c>
      <c r="J327" s="478" t="s">
        <v>91</v>
      </c>
      <c r="K327" s="478" t="s">
        <v>90</v>
      </c>
      <c r="L327" s="478" t="s">
        <v>89</v>
      </c>
      <c r="M327" s="478" t="s">
        <v>221</v>
      </c>
      <c r="N327" s="2442"/>
      <c r="O327" s="2501"/>
      <c r="P327" s="2348"/>
    </row>
    <row r="328" spans="1:28" s="508" customFormat="1" ht="19.5" customHeight="1" x14ac:dyDescent="0.3">
      <c r="A328" s="464" t="s">
        <v>702</v>
      </c>
      <c r="B328" s="510">
        <v>2</v>
      </c>
      <c r="C328" s="510">
        <v>3</v>
      </c>
      <c r="D328" s="510">
        <v>4</v>
      </c>
      <c r="E328" s="510">
        <v>5</v>
      </c>
      <c r="F328" s="510">
        <v>6</v>
      </c>
      <c r="G328" s="510">
        <v>7</v>
      </c>
      <c r="H328" s="510">
        <v>8</v>
      </c>
      <c r="I328" s="510">
        <v>9</v>
      </c>
      <c r="J328" s="510">
        <v>10</v>
      </c>
      <c r="K328" s="510">
        <v>11</v>
      </c>
      <c r="L328" s="510">
        <v>12</v>
      </c>
      <c r="M328" s="510">
        <v>13</v>
      </c>
      <c r="N328" s="582">
        <v>14</v>
      </c>
      <c r="O328" s="624"/>
      <c r="P328" s="2348"/>
    </row>
    <row r="329" spans="1:28" s="1" customFormat="1" ht="26.25" customHeight="1" x14ac:dyDescent="0.3">
      <c r="A329" s="1717" t="s">
        <v>1347</v>
      </c>
      <c r="B329" s="1781" t="s">
        <v>1098</v>
      </c>
      <c r="C329" s="1781"/>
      <c r="D329" s="1781"/>
      <c r="E329" s="1781"/>
      <c r="F329" s="1781"/>
      <c r="G329" s="386" t="s">
        <v>12</v>
      </c>
      <c r="H329" s="69">
        <f>H330+H331</f>
        <v>95759.23</v>
      </c>
      <c r="I329" s="69">
        <f>I330+I331</f>
        <v>95759.23</v>
      </c>
      <c r="J329" s="389">
        <v>0</v>
      </c>
      <c r="K329" s="389">
        <v>0</v>
      </c>
      <c r="L329" s="389">
        <v>0</v>
      </c>
      <c r="M329" s="389">
        <v>0</v>
      </c>
      <c r="N329" s="1719"/>
      <c r="O329" s="2317"/>
      <c r="P329" s="2348"/>
    </row>
    <row r="330" spans="1:28" s="1" customFormat="1" ht="27.75" customHeight="1" x14ac:dyDescent="0.3">
      <c r="A330" s="1717"/>
      <c r="B330" s="1781"/>
      <c r="C330" s="1781"/>
      <c r="D330" s="1781"/>
      <c r="E330" s="1781"/>
      <c r="F330" s="1781"/>
      <c r="G330" s="386" t="s">
        <v>13</v>
      </c>
      <c r="H330" s="69">
        <f>I330</f>
        <v>70000</v>
      </c>
      <c r="I330" s="389">
        <f>I333</f>
        <v>70000</v>
      </c>
      <c r="J330" s="389">
        <v>0</v>
      </c>
      <c r="K330" s="389">
        <v>0</v>
      </c>
      <c r="L330" s="389">
        <v>0</v>
      </c>
      <c r="M330" s="389">
        <v>0</v>
      </c>
      <c r="N330" s="1719"/>
      <c r="O330" s="2318"/>
      <c r="P330" s="2348"/>
      <c r="W330" s="1">
        <v>1</v>
      </c>
    </row>
    <row r="331" spans="1:28" s="1" customFormat="1" ht="18" customHeight="1" x14ac:dyDescent="0.3">
      <c r="A331" s="1717"/>
      <c r="B331" s="1781"/>
      <c r="C331" s="1781"/>
      <c r="D331" s="1781"/>
      <c r="E331" s="1781"/>
      <c r="F331" s="1781"/>
      <c r="G331" s="386" t="s">
        <v>14</v>
      </c>
      <c r="H331" s="69">
        <f>I331</f>
        <v>25759.23</v>
      </c>
      <c r="I331" s="389">
        <f>I334</f>
        <v>25759.23</v>
      </c>
      <c r="J331" s="389">
        <v>0</v>
      </c>
      <c r="K331" s="389">
        <v>0</v>
      </c>
      <c r="L331" s="389">
        <v>0</v>
      </c>
      <c r="M331" s="389">
        <v>0</v>
      </c>
      <c r="N331" s="1719"/>
      <c r="O331" s="2319"/>
      <c r="P331" s="2348"/>
    </row>
    <row r="332" spans="1:28" s="1" customFormat="1" ht="31.5" customHeight="1" x14ac:dyDescent="0.3">
      <c r="A332" s="1717" t="s">
        <v>1348</v>
      </c>
      <c r="B332" s="1781" t="s">
        <v>1097</v>
      </c>
      <c r="C332" s="1781"/>
      <c r="D332" s="1718"/>
      <c r="E332" s="2298">
        <f>H332</f>
        <v>95759.23</v>
      </c>
      <c r="F332" s="404">
        <f>F333+F334</f>
        <v>0</v>
      </c>
      <c r="G332" s="386" t="s">
        <v>12</v>
      </c>
      <c r="H332" s="69">
        <f>H333+H334</f>
        <v>95759.23</v>
      </c>
      <c r="I332" s="69">
        <f>I333/0.731</f>
        <v>95759.23</v>
      </c>
      <c r="J332" s="389">
        <v>0</v>
      </c>
      <c r="K332" s="389">
        <v>0</v>
      </c>
      <c r="L332" s="389">
        <v>0</v>
      </c>
      <c r="M332" s="389">
        <v>0</v>
      </c>
      <c r="N332" s="1719"/>
      <c r="O332" s="2317"/>
      <c r="P332" s="2348"/>
    </row>
    <row r="333" spans="1:28" s="1" customFormat="1" ht="31.5" customHeight="1" x14ac:dyDescent="0.3">
      <c r="A333" s="1717"/>
      <c r="B333" s="1781"/>
      <c r="C333" s="1781"/>
      <c r="D333" s="1718"/>
      <c r="E333" s="2298"/>
      <c r="F333" s="404">
        <v>0</v>
      </c>
      <c r="G333" s="386" t="s">
        <v>13</v>
      </c>
      <c r="H333" s="69">
        <f>I333</f>
        <v>70000</v>
      </c>
      <c r="I333" s="389">
        <v>70000</v>
      </c>
      <c r="J333" s="389">
        <v>0</v>
      </c>
      <c r="K333" s="389">
        <v>0</v>
      </c>
      <c r="L333" s="389">
        <v>0</v>
      </c>
      <c r="M333" s="389">
        <v>0</v>
      </c>
      <c r="N333" s="1719"/>
      <c r="O333" s="2318"/>
      <c r="P333" s="2348"/>
    </row>
    <row r="334" spans="1:28" s="1" customFormat="1" ht="36" customHeight="1" x14ac:dyDescent="0.3">
      <c r="A334" s="1717"/>
      <c r="B334" s="1781"/>
      <c r="C334" s="1781"/>
      <c r="D334" s="1718"/>
      <c r="E334" s="2298"/>
      <c r="F334" s="404">
        <v>0</v>
      </c>
      <c r="G334" s="386" t="s">
        <v>14</v>
      </c>
      <c r="H334" s="69">
        <f>I334</f>
        <v>25759.23</v>
      </c>
      <c r="I334" s="389">
        <f>I332*0.269</f>
        <v>25759.23</v>
      </c>
      <c r="J334" s="389">
        <v>0</v>
      </c>
      <c r="K334" s="389">
        <v>0</v>
      </c>
      <c r="L334" s="389">
        <v>0</v>
      </c>
      <c r="M334" s="389">
        <v>0</v>
      </c>
      <c r="N334" s="1719"/>
      <c r="O334" s="2319"/>
      <c r="P334" s="2348"/>
    </row>
    <row r="335" spans="1:28" s="1" customFormat="1" ht="36" customHeight="1" x14ac:dyDescent="0.3">
      <c r="A335" s="1357"/>
      <c r="B335" s="372"/>
      <c r="C335" s="372"/>
      <c r="D335" s="379"/>
      <c r="E335" s="631"/>
      <c r="F335" s="632"/>
      <c r="G335" s="372"/>
      <c r="H335" s="13"/>
      <c r="I335" s="12"/>
      <c r="J335" s="12"/>
      <c r="K335" s="12"/>
      <c r="L335" s="12"/>
      <c r="M335" s="12"/>
      <c r="N335" s="12"/>
      <c r="O335" s="406"/>
      <c r="P335" s="2348"/>
    </row>
    <row r="336" spans="1:28" s="1" customFormat="1" ht="36" customHeight="1" x14ac:dyDescent="0.3">
      <c r="A336" s="2376" t="s">
        <v>1406</v>
      </c>
      <c r="B336" s="2376"/>
      <c r="C336" s="2376"/>
      <c r="D336" s="2376"/>
      <c r="E336" s="2376"/>
      <c r="F336" s="2376"/>
      <c r="G336" s="2376"/>
      <c r="H336" s="2376"/>
      <c r="I336" s="2376"/>
      <c r="J336" s="2376"/>
      <c r="K336" s="2376"/>
      <c r="L336" s="2376"/>
      <c r="M336" s="2376"/>
      <c r="N336" s="2376"/>
      <c r="O336" s="2376"/>
      <c r="P336" s="2348"/>
    </row>
    <row r="337" spans="1:27" s="1" customFormat="1" ht="36" customHeight="1" x14ac:dyDescent="0.3">
      <c r="A337" s="2423" t="s">
        <v>1409</v>
      </c>
      <c r="B337" s="2423"/>
      <c r="C337" s="2423"/>
      <c r="D337" s="2423"/>
      <c r="E337" s="2423"/>
      <c r="F337" s="622"/>
      <c r="G337" s="373"/>
      <c r="H337" s="623"/>
      <c r="I337" s="607"/>
      <c r="J337" s="607"/>
      <c r="K337" s="607"/>
      <c r="L337" s="607"/>
      <c r="M337" s="607"/>
      <c r="N337" s="607"/>
      <c r="O337" s="611"/>
      <c r="P337" s="2348"/>
    </row>
    <row r="338" spans="1:27" s="1" customFormat="1" ht="99" customHeight="1" x14ac:dyDescent="0.3">
      <c r="A338" s="2312" t="s">
        <v>1407</v>
      </c>
      <c r="B338" s="2312"/>
      <c r="C338" s="2312"/>
      <c r="D338" s="2312"/>
      <c r="E338" s="2312"/>
      <c r="F338" s="2312"/>
      <c r="G338" s="2312"/>
      <c r="H338" s="2312"/>
      <c r="I338" s="2312"/>
      <c r="J338" s="2312"/>
      <c r="K338" s="2312"/>
      <c r="L338" s="2312"/>
      <c r="M338" s="2312"/>
      <c r="N338" s="2312"/>
      <c r="O338" s="2313"/>
      <c r="P338" s="2349"/>
    </row>
    <row r="339" spans="1:27" s="1" customFormat="1" ht="15" customHeight="1" outlineLevel="1" x14ac:dyDescent="0.3">
      <c r="A339" s="2432" t="s">
        <v>46</v>
      </c>
      <c r="B339" s="2369" t="s">
        <v>55</v>
      </c>
      <c r="C339" s="2369" t="s">
        <v>939</v>
      </c>
      <c r="D339" s="2369" t="s">
        <v>940</v>
      </c>
      <c r="E339" s="2369" t="s">
        <v>52</v>
      </c>
      <c r="F339" s="2369" t="s">
        <v>545</v>
      </c>
      <c r="G339" s="1764" t="s">
        <v>59</v>
      </c>
      <c r="H339" s="2325" t="s">
        <v>106</v>
      </c>
      <c r="I339" s="2325"/>
      <c r="J339" s="2325"/>
      <c r="K339" s="2325"/>
      <c r="L339" s="2325"/>
      <c r="M339" s="2325"/>
      <c r="N339" s="2469" t="s">
        <v>50</v>
      </c>
      <c r="O339" s="2306" t="s">
        <v>47</v>
      </c>
      <c r="P339" s="94"/>
    </row>
    <row r="340" spans="1:27" s="1" customFormat="1" ht="39" customHeight="1" outlineLevel="1" x14ac:dyDescent="0.45">
      <c r="A340" s="2433"/>
      <c r="B340" s="2370"/>
      <c r="C340" s="2370"/>
      <c r="D340" s="2370"/>
      <c r="E340" s="2370"/>
      <c r="F340" s="2370"/>
      <c r="G340" s="1764"/>
      <c r="H340" s="613" t="s">
        <v>33</v>
      </c>
      <c r="I340" s="613" t="s">
        <v>4</v>
      </c>
      <c r="J340" s="613" t="s">
        <v>91</v>
      </c>
      <c r="K340" s="613" t="s">
        <v>90</v>
      </c>
      <c r="L340" s="613" t="s">
        <v>89</v>
      </c>
      <c r="M340" s="613" t="s">
        <v>221</v>
      </c>
      <c r="N340" s="2469"/>
      <c r="O340" s="2306"/>
      <c r="P340" s="1162" t="s">
        <v>1625</v>
      </c>
      <c r="Q340" s="1163" t="s">
        <v>1551</v>
      </c>
    </row>
    <row r="341" spans="1:27" s="1" customFormat="1" outlineLevel="1" x14ac:dyDescent="0.3">
      <c r="A341" s="574">
        <v>1</v>
      </c>
      <c r="B341" s="583">
        <v>2</v>
      </c>
      <c r="C341" s="583">
        <v>3</v>
      </c>
      <c r="D341" s="583">
        <v>4</v>
      </c>
      <c r="E341" s="583">
        <v>5</v>
      </c>
      <c r="F341" s="583">
        <v>6</v>
      </c>
      <c r="G341" s="583">
        <v>7</v>
      </c>
      <c r="H341" s="583">
        <v>8</v>
      </c>
      <c r="I341" s="583">
        <v>9</v>
      </c>
      <c r="J341" s="583">
        <v>10</v>
      </c>
      <c r="K341" s="583">
        <v>11</v>
      </c>
      <c r="L341" s="583">
        <v>12</v>
      </c>
      <c r="M341" s="583">
        <v>13</v>
      </c>
      <c r="N341" s="625">
        <v>14</v>
      </c>
      <c r="O341" s="2306"/>
      <c r="P341" s="94"/>
      <c r="W341" s="1">
        <v>2018</v>
      </c>
      <c r="X341" s="1">
        <v>2019</v>
      </c>
      <c r="Y341" s="1">
        <v>2020</v>
      </c>
      <c r="Z341" s="1">
        <v>2021</v>
      </c>
      <c r="AA341" s="1">
        <v>2022</v>
      </c>
    </row>
    <row r="342" spans="1:27" s="1" customFormat="1" ht="15" customHeight="1" outlineLevel="1" x14ac:dyDescent="0.3">
      <c r="A342" s="2367" t="s">
        <v>955</v>
      </c>
      <c r="B342" s="1718" t="s">
        <v>32</v>
      </c>
      <c r="C342" s="1718"/>
      <c r="D342" s="1718"/>
      <c r="E342" s="1718"/>
      <c r="F342" s="1718"/>
      <c r="G342" s="385" t="s">
        <v>12</v>
      </c>
      <c r="H342" s="389">
        <f t="shared" ref="H342:M342" si="226">H343+H344</f>
        <v>261980</v>
      </c>
      <c r="I342" s="389">
        <f t="shared" si="226"/>
        <v>194080</v>
      </c>
      <c r="J342" s="389">
        <f t="shared" si="226"/>
        <v>67900</v>
      </c>
      <c r="K342" s="389">
        <f t="shared" si="226"/>
        <v>0</v>
      </c>
      <c r="L342" s="389">
        <f t="shared" si="226"/>
        <v>0</v>
      </c>
      <c r="M342" s="389">
        <f t="shared" si="226"/>
        <v>0</v>
      </c>
      <c r="N342" s="2347"/>
      <c r="O342" s="2307">
        <v>1</v>
      </c>
      <c r="P342" s="2496" t="s">
        <v>1121</v>
      </c>
    </row>
    <row r="343" spans="1:27" s="1" customFormat="1" ht="26.4" outlineLevel="1" x14ac:dyDescent="0.3">
      <c r="A343" s="2367"/>
      <c r="B343" s="1718"/>
      <c r="C343" s="1718"/>
      <c r="D343" s="1718"/>
      <c r="E343" s="1718"/>
      <c r="F343" s="1718"/>
      <c r="G343" s="385" t="s">
        <v>13</v>
      </c>
      <c r="H343" s="389">
        <f>SUM(I343:M343)</f>
        <v>235782</v>
      </c>
      <c r="I343" s="389">
        <f t="shared" ref="I343:M344" si="227">I346</f>
        <v>174672</v>
      </c>
      <c r="J343" s="389">
        <f t="shared" si="227"/>
        <v>61110</v>
      </c>
      <c r="K343" s="389">
        <f t="shared" si="227"/>
        <v>0</v>
      </c>
      <c r="L343" s="389">
        <f t="shared" si="227"/>
        <v>0</v>
      </c>
      <c r="M343" s="389">
        <f t="shared" si="227"/>
        <v>0</v>
      </c>
      <c r="N343" s="2348"/>
      <c r="O343" s="2308"/>
      <c r="P343" s="2497"/>
    </row>
    <row r="344" spans="1:27" s="1" customFormat="1" ht="52.8" outlineLevel="1" x14ac:dyDescent="0.3">
      <c r="A344" s="2367"/>
      <c r="B344" s="1718"/>
      <c r="C344" s="1718"/>
      <c r="D344" s="1718"/>
      <c r="E344" s="1718"/>
      <c r="F344" s="1718"/>
      <c r="G344" s="385" t="s">
        <v>14</v>
      </c>
      <c r="H344" s="389">
        <f>SUM(I344:M344)</f>
        <v>26198</v>
      </c>
      <c r="I344" s="389">
        <f t="shared" si="227"/>
        <v>19408</v>
      </c>
      <c r="J344" s="389">
        <f t="shared" si="227"/>
        <v>6790</v>
      </c>
      <c r="K344" s="389">
        <f t="shared" si="227"/>
        <v>0</v>
      </c>
      <c r="L344" s="389">
        <f t="shared" si="227"/>
        <v>0</v>
      </c>
      <c r="M344" s="389">
        <f t="shared" si="227"/>
        <v>0</v>
      </c>
      <c r="N344" s="2349"/>
      <c r="O344" s="2309"/>
      <c r="P344" s="2498"/>
    </row>
    <row r="345" spans="1:27" s="1" customFormat="1" ht="17.25" customHeight="1" outlineLevel="1" x14ac:dyDescent="0.3">
      <c r="A345" s="2367" t="s">
        <v>115</v>
      </c>
      <c r="B345" s="1718" t="s">
        <v>170</v>
      </c>
      <c r="C345" s="1718" t="s">
        <v>148</v>
      </c>
      <c r="D345" s="1718" t="s">
        <v>262</v>
      </c>
      <c r="E345" s="1719">
        <v>271998.06</v>
      </c>
      <c r="F345" s="389">
        <f t="shared" ref="F345" si="228">F346+F347</f>
        <v>10018.06</v>
      </c>
      <c r="G345" s="385" t="s">
        <v>12</v>
      </c>
      <c r="H345" s="389">
        <f>H346+H347</f>
        <v>261980</v>
      </c>
      <c r="I345" s="389">
        <f>I346+I347</f>
        <v>194080</v>
      </c>
      <c r="J345" s="389">
        <f>J346/0.9</f>
        <v>67900</v>
      </c>
      <c r="K345" s="389">
        <f t="shared" ref="K345:M345" si="229">K346+K347</f>
        <v>0</v>
      </c>
      <c r="L345" s="389">
        <f t="shared" si="229"/>
        <v>0</v>
      </c>
      <c r="M345" s="389">
        <f t="shared" si="229"/>
        <v>0</v>
      </c>
      <c r="N345" s="94"/>
      <c r="O345" s="2303" t="s">
        <v>47</v>
      </c>
      <c r="P345" s="1164"/>
    </row>
    <row r="346" spans="1:27" s="1" customFormat="1" ht="26.4" outlineLevel="1" x14ac:dyDescent="0.3">
      <c r="A346" s="2367"/>
      <c r="B346" s="1718"/>
      <c r="C346" s="1718"/>
      <c r="D346" s="1718"/>
      <c r="E346" s="1719"/>
      <c r="F346" s="389">
        <v>9016.25</v>
      </c>
      <c r="G346" s="385" t="s">
        <v>13</v>
      </c>
      <c r="H346" s="389">
        <f>SUM(I346:M346)</f>
        <v>235782</v>
      </c>
      <c r="I346" s="389">
        <v>174672</v>
      </c>
      <c r="J346" s="389">
        <v>61110</v>
      </c>
      <c r="K346" s="389">
        <f t="shared" ref="K346:M346" si="230">K349</f>
        <v>0</v>
      </c>
      <c r="L346" s="389">
        <f t="shared" si="230"/>
        <v>0</v>
      </c>
      <c r="M346" s="389">
        <f t="shared" si="230"/>
        <v>0</v>
      </c>
      <c r="N346" s="94"/>
      <c r="O346" s="2304"/>
      <c r="P346" s="1164" t="s">
        <v>558</v>
      </c>
      <c r="X346" s="1">
        <v>1</v>
      </c>
    </row>
    <row r="347" spans="1:27" s="1" customFormat="1" ht="52.8" outlineLevel="1" x14ac:dyDescent="0.3">
      <c r="A347" s="2367"/>
      <c r="B347" s="1718"/>
      <c r="C347" s="1718"/>
      <c r="D347" s="1718"/>
      <c r="E347" s="1719"/>
      <c r="F347" s="389">
        <v>1001.81</v>
      </c>
      <c r="G347" s="385" t="s">
        <v>14</v>
      </c>
      <c r="H347" s="389">
        <f>SUM(I347:M347)</f>
        <v>26198</v>
      </c>
      <c r="I347" s="389">
        <v>19408</v>
      </c>
      <c r="J347" s="389">
        <v>6790</v>
      </c>
      <c r="K347" s="389">
        <f t="shared" ref="K347:M347" si="231">K350</f>
        <v>0</v>
      </c>
      <c r="L347" s="389">
        <f t="shared" si="231"/>
        <v>0</v>
      </c>
      <c r="M347" s="389">
        <f t="shared" si="231"/>
        <v>0</v>
      </c>
      <c r="N347" s="94"/>
      <c r="O347" s="2304"/>
      <c r="P347" s="1164"/>
    </row>
    <row r="348" spans="1:27" s="1" customFormat="1" outlineLevel="1" x14ac:dyDescent="0.3">
      <c r="A348" s="2367" t="s">
        <v>975</v>
      </c>
      <c r="B348" s="1718" t="s">
        <v>88</v>
      </c>
      <c r="C348" s="1718"/>
      <c r="D348" s="1718"/>
      <c r="E348" s="1718"/>
      <c r="F348" s="1718"/>
      <c r="G348" s="385" t="s">
        <v>12</v>
      </c>
      <c r="H348" s="389">
        <f t="shared" ref="H348:M348" si="232">H349+H350</f>
        <v>361351.13</v>
      </c>
      <c r="I348" s="389">
        <f t="shared" si="232"/>
        <v>188803.13</v>
      </c>
      <c r="J348" s="389">
        <f t="shared" si="232"/>
        <v>172548</v>
      </c>
      <c r="K348" s="389">
        <f t="shared" si="232"/>
        <v>0</v>
      </c>
      <c r="L348" s="389">
        <f t="shared" si="232"/>
        <v>0</v>
      </c>
      <c r="M348" s="389">
        <f t="shared" si="232"/>
        <v>0</v>
      </c>
      <c r="N348" s="2425"/>
      <c r="O348" s="271" t="s">
        <v>1118</v>
      </c>
      <c r="P348" s="1164"/>
    </row>
    <row r="349" spans="1:27" s="1" customFormat="1" ht="26.4" outlineLevel="1" x14ac:dyDescent="0.3">
      <c r="A349" s="2367"/>
      <c r="B349" s="1718"/>
      <c r="C349" s="1718"/>
      <c r="D349" s="1718"/>
      <c r="E349" s="1718"/>
      <c r="F349" s="1718"/>
      <c r="G349" s="385" t="s">
        <v>13</v>
      </c>
      <c r="H349" s="389">
        <f>SUM(I349:M349)</f>
        <v>343282.97</v>
      </c>
      <c r="I349" s="389">
        <f>I352+I358+I361</f>
        <v>179362.97</v>
      </c>
      <c r="J349" s="389">
        <f>J352+J358</f>
        <v>163920</v>
      </c>
      <c r="K349" s="389">
        <f t="shared" ref="K349:M350" si="233">K352+K358</f>
        <v>0</v>
      </c>
      <c r="L349" s="389">
        <f t="shared" si="233"/>
        <v>0</v>
      </c>
      <c r="M349" s="389">
        <f t="shared" si="233"/>
        <v>0</v>
      </c>
      <c r="N349" s="2426"/>
      <c r="O349" s="273">
        <v>1</v>
      </c>
      <c r="P349" s="1165" t="s">
        <v>1122</v>
      </c>
    </row>
    <row r="350" spans="1:27" s="1" customFormat="1" ht="52.8" outlineLevel="1" x14ac:dyDescent="0.3">
      <c r="A350" s="2367"/>
      <c r="B350" s="1718"/>
      <c r="C350" s="1718"/>
      <c r="D350" s="1718"/>
      <c r="E350" s="1718"/>
      <c r="F350" s="1718"/>
      <c r="G350" s="385" t="s">
        <v>14</v>
      </c>
      <c r="H350" s="1079">
        <f>SUM(I350:M350)</f>
        <v>18068.16</v>
      </c>
      <c r="I350" s="389">
        <f>I353+I359+I362</f>
        <v>9440.16</v>
      </c>
      <c r="J350" s="389">
        <f>J353+J359</f>
        <v>8628</v>
      </c>
      <c r="K350" s="389">
        <f t="shared" si="233"/>
        <v>0</v>
      </c>
      <c r="L350" s="389">
        <f t="shared" si="233"/>
        <v>0</v>
      </c>
      <c r="M350" s="389">
        <f t="shared" si="233"/>
        <v>0</v>
      </c>
      <c r="N350" s="2427"/>
      <c r="O350" s="274">
        <v>2</v>
      </c>
      <c r="P350" s="1165" t="s">
        <v>1552</v>
      </c>
    </row>
    <row r="351" spans="1:27" s="1" customFormat="1" outlineLevel="1" x14ac:dyDescent="0.3">
      <c r="A351" s="2367" t="s">
        <v>149</v>
      </c>
      <c r="B351" s="1718" t="s">
        <v>203</v>
      </c>
      <c r="C351" s="1718" t="s">
        <v>208</v>
      </c>
      <c r="D351" s="1718"/>
      <c r="E351" s="1719">
        <v>150160</v>
      </c>
      <c r="F351" s="389">
        <f>F352+F353</f>
        <v>0</v>
      </c>
      <c r="G351" s="385" t="s">
        <v>12</v>
      </c>
      <c r="H351" s="389">
        <f t="shared" ref="H351:M351" si="234">H352+H353</f>
        <v>150160</v>
      </c>
      <c r="I351" s="389">
        <f>I352+I353</f>
        <v>72000</v>
      </c>
      <c r="J351" s="389">
        <f>J352/0.95</f>
        <v>78160</v>
      </c>
      <c r="K351" s="389">
        <f t="shared" ref="K351:L351" si="235">K352+K353</f>
        <v>0</v>
      </c>
      <c r="L351" s="389">
        <f t="shared" si="235"/>
        <v>0</v>
      </c>
      <c r="M351" s="389">
        <f t="shared" si="234"/>
        <v>0</v>
      </c>
      <c r="N351" s="94"/>
      <c r="O351" s="1718" t="s">
        <v>47</v>
      </c>
      <c r="P351" s="1118"/>
    </row>
    <row r="352" spans="1:27" s="1" customFormat="1" ht="26.4" outlineLevel="1" x14ac:dyDescent="0.3">
      <c r="A352" s="2367"/>
      <c r="B352" s="1718"/>
      <c r="C352" s="1718"/>
      <c r="D352" s="1718"/>
      <c r="E352" s="1719"/>
      <c r="F352" s="389">
        <v>0</v>
      </c>
      <c r="G352" s="385" t="s">
        <v>13</v>
      </c>
      <c r="H352" s="389">
        <f>SUM(I352:M352)</f>
        <v>142652</v>
      </c>
      <c r="I352" s="389">
        <v>68400</v>
      </c>
      <c r="J352" s="389">
        <v>74252</v>
      </c>
      <c r="K352" s="389">
        <v>0</v>
      </c>
      <c r="L352" s="389">
        <v>0</v>
      </c>
      <c r="M352" s="389">
        <v>0</v>
      </c>
      <c r="N352" s="94"/>
      <c r="O352" s="1718"/>
      <c r="P352" s="1119"/>
    </row>
    <row r="353" spans="1:24" s="1" customFormat="1" ht="52.8" outlineLevel="1" x14ac:dyDescent="0.3">
      <c r="A353" s="2367"/>
      <c r="B353" s="1718"/>
      <c r="C353" s="1718"/>
      <c r="D353" s="1718"/>
      <c r="E353" s="1719"/>
      <c r="F353" s="389">
        <v>0</v>
      </c>
      <c r="G353" s="385" t="s">
        <v>14</v>
      </c>
      <c r="H353" s="389">
        <f>SUM(I353:M353)</f>
        <v>7508</v>
      </c>
      <c r="I353" s="389">
        <v>3600</v>
      </c>
      <c r="J353" s="389">
        <v>3908</v>
      </c>
      <c r="K353" s="389">
        <v>0</v>
      </c>
      <c r="L353" s="389">
        <v>0</v>
      </c>
      <c r="M353" s="389">
        <v>0</v>
      </c>
      <c r="N353" s="94"/>
      <c r="O353" s="1718"/>
      <c r="P353" s="1120"/>
      <c r="X353" s="1">
        <v>1</v>
      </c>
    </row>
    <row r="354" spans="1:24" s="1" customFormat="1" ht="15" customHeight="1" outlineLevel="1" x14ac:dyDescent="0.3">
      <c r="A354" s="2367"/>
      <c r="B354" s="1718" t="s">
        <v>263</v>
      </c>
      <c r="C354" s="1718">
        <v>2018</v>
      </c>
      <c r="D354" s="1786"/>
      <c r="E354" s="1719">
        <v>2942.26</v>
      </c>
      <c r="F354" s="389">
        <f>F355+F356</f>
        <v>0</v>
      </c>
      <c r="G354" s="385" t="s">
        <v>12</v>
      </c>
      <c r="H354" s="389">
        <f t="shared" ref="H354:M354" si="236">H355+H356</f>
        <v>2942.26</v>
      </c>
      <c r="I354" s="389">
        <f>I355+I356</f>
        <v>2942.26</v>
      </c>
      <c r="J354" s="389">
        <v>0</v>
      </c>
      <c r="K354" s="389">
        <f t="shared" si="236"/>
        <v>0</v>
      </c>
      <c r="L354" s="389">
        <f t="shared" si="236"/>
        <v>0</v>
      </c>
      <c r="M354" s="389">
        <f t="shared" si="236"/>
        <v>0</v>
      </c>
      <c r="N354" s="94"/>
      <c r="O354" s="2317"/>
      <c r="P354" s="1166"/>
    </row>
    <row r="355" spans="1:24" s="1" customFormat="1" ht="26.4" outlineLevel="1" x14ac:dyDescent="0.3">
      <c r="A355" s="2367"/>
      <c r="B355" s="1718"/>
      <c r="C355" s="1718"/>
      <c r="D355" s="1786"/>
      <c r="E355" s="1719"/>
      <c r="F355" s="389">
        <v>0</v>
      </c>
      <c r="G355" s="385" t="s">
        <v>13</v>
      </c>
      <c r="H355" s="389">
        <f>SUM(I355:M355)</f>
        <v>2795.15</v>
      </c>
      <c r="I355" s="389">
        <v>2795.15</v>
      </c>
      <c r="J355" s="389">
        <v>0</v>
      </c>
      <c r="K355" s="389">
        <v>0</v>
      </c>
      <c r="L355" s="389">
        <v>0</v>
      </c>
      <c r="M355" s="389">
        <v>0</v>
      </c>
      <c r="N355" s="94"/>
      <c r="O355" s="2318"/>
      <c r="P355" s="1167"/>
    </row>
    <row r="356" spans="1:24" s="1" customFormat="1" ht="52.8" outlineLevel="1" x14ac:dyDescent="0.3">
      <c r="A356" s="2367"/>
      <c r="B356" s="1718"/>
      <c r="C356" s="1718"/>
      <c r="D356" s="1786"/>
      <c r="E356" s="1719"/>
      <c r="F356" s="389">
        <v>0</v>
      </c>
      <c r="G356" s="385" t="s">
        <v>14</v>
      </c>
      <c r="H356" s="389">
        <f>SUM(I356:M356)</f>
        <v>147.11000000000001</v>
      </c>
      <c r="I356" s="389">
        <v>147.11000000000001</v>
      </c>
      <c r="J356" s="389">
        <v>0</v>
      </c>
      <c r="K356" s="389">
        <v>0</v>
      </c>
      <c r="L356" s="389">
        <v>0</v>
      </c>
      <c r="M356" s="389">
        <v>0</v>
      </c>
      <c r="N356" s="94"/>
      <c r="O356" s="2319"/>
      <c r="P356" s="1168"/>
    </row>
    <row r="357" spans="1:24" s="1" customFormat="1" outlineLevel="1" x14ac:dyDescent="0.3">
      <c r="A357" s="2367" t="s">
        <v>160</v>
      </c>
      <c r="B357" s="2021" t="s">
        <v>1684</v>
      </c>
      <c r="C357" s="1718" t="s">
        <v>208</v>
      </c>
      <c r="D357" s="1718"/>
      <c r="E357" s="1719">
        <f>H357</f>
        <v>109388</v>
      </c>
      <c r="F357" s="389">
        <f>F358+F359</f>
        <v>0</v>
      </c>
      <c r="G357" s="385" t="s">
        <v>12</v>
      </c>
      <c r="H357" s="389">
        <f t="shared" ref="H357:I357" si="237">H358+H359</f>
        <v>109388</v>
      </c>
      <c r="I357" s="389">
        <f t="shared" si="237"/>
        <v>15000</v>
      </c>
      <c r="J357" s="389">
        <f>J358+J359</f>
        <v>94388</v>
      </c>
      <c r="K357" s="389">
        <v>0</v>
      </c>
      <c r="L357" s="389">
        <v>0</v>
      </c>
      <c r="M357" s="389">
        <v>0</v>
      </c>
      <c r="N357" s="2347"/>
      <c r="O357" s="1718" t="s">
        <v>47</v>
      </c>
      <c r="P357" s="1118"/>
    </row>
    <row r="358" spans="1:24" s="1" customFormat="1" ht="26.4" outlineLevel="1" x14ac:dyDescent="0.3">
      <c r="A358" s="2367"/>
      <c r="B358" s="2021"/>
      <c r="C358" s="1718"/>
      <c r="D358" s="1718"/>
      <c r="E358" s="1719"/>
      <c r="F358" s="389">
        <v>0</v>
      </c>
      <c r="G358" s="385" t="s">
        <v>13</v>
      </c>
      <c r="H358" s="389">
        <f>SUM(I358:M358)</f>
        <v>103918</v>
      </c>
      <c r="I358" s="389">
        <v>14250</v>
      </c>
      <c r="J358" s="389">
        <v>89668</v>
      </c>
      <c r="K358" s="389">
        <v>0</v>
      </c>
      <c r="L358" s="389">
        <v>0</v>
      </c>
      <c r="M358" s="389">
        <v>0</v>
      </c>
      <c r="N358" s="2348"/>
      <c r="O358" s="1718"/>
      <c r="P358" s="1119"/>
      <c r="X358" s="1">
        <v>1</v>
      </c>
    </row>
    <row r="359" spans="1:24" s="1" customFormat="1" ht="52.8" outlineLevel="1" x14ac:dyDescent="0.3">
      <c r="A359" s="2367"/>
      <c r="B359" s="2021"/>
      <c r="C359" s="1718"/>
      <c r="D359" s="1718"/>
      <c r="E359" s="1719"/>
      <c r="F359" s="389">
        <v>0</v>
      </c>
      <c r="G359" s="385" t="s">
        <v>14</v>
      </c>
      <c r="H359" s="389">
        <f>SUM(I359:M359)</f>
        <v>5470</v>
      </c>
      <c r="I359" s="389">
        <v>750</v>
      </c>
      <c r="J359" s="389">
        <v>4720</v>
      </c>
      <c r="K359" s="389">
        <v>0</v>
      </c>
      <c r="L359" s="389">
        <v>0</v>
      </c>
      <c r="M359" s="389">
        <v>0</v>
      </c>
      <c r="N359" s="2349"/>
      <c r="O359" s="1718"/>
      <c r="P359" s="1120"/>
    </row>
    <row r="360" spans="1:24" s="1" customFormat="1" ht="15" customHeight="1" outlineLevel="1" x14ac:dyDescent="0.3">
      <c r="A360" s="2372" t="s">
        <v>596</v>
      </c>
      <c r="B360" s="1718" t="s">
        <v>175</v>
      </c>
      <c r="C360" s="1718" t="s">
        <v>264</v>
      </c>
      <c r="D360" s="2375" t="s">
        <v>172</v>
      </c>
      <c r="E360" s="1719">
        <f>F360+H360</f>
        <v>140303.34</v>
      </c>
      <c r="F360" s="389">
        <f>F361+F362</f>
        <v>38500.21</v>
      </c>
      <c r="G360" s="385" t="s">
        <v>12</v>
      </c>
      <c r="H360" s="389">
        <f>H361+H362</f>
        <v>101803.13</v>
      </c>
      <c r="I360" s="389">
        <f>I361+I362</f>
        <v>101803.13</v>
      </c>
      <c r="J360" s="389">
        <v>0</v>
      </c>
      <c r="K360" s="389">
        <v>0</v>
      </c>
      <c r="L360" s="389">
        <v>0</v>
      </c>
      <c r="M360" s="389">
        <v>0</v>
      </c>
      <c r="N360" s="2337"/>
      <c r="O360" s="2303" t="s">
        <v>16</v>
      </c>
      <c r="P360" s="2337" t="s">
        <v>1553</v>
      </c>
    </row>
    <row r="361" spans="1:24" s="1" customFormat="1" ht="26.4" outlineLevel="1" x14ac:dyDescent="0.3">
      <c r="A361" s="2373"/>
      <c r="B361" s="1718"/>
      <c r="C361" s="1718"/>
      <c r="D361" s="2375"/>
      <c r="E361" s="1719"/>
      <c r="F361" s="389">
        <v>36575.199999999997</v>
      </c>
      <c r="G361" s="385" t="s">
        <v>13</v>
      </c>
      <c r="H361" s="389">
        <f>SUM(I361:M361)</f>
        <v>96712.97</v>
      </c>
      <c r="I361" s="389">
        <f>67699.08+29013.89</f>
        <v>96712.97</v>
      </c>
      <c r="J361" s="389">
        <v>0</v>
      </c>
      <c r="K361" s="389">
        <v>0</v>
      </c>
      <c r="L361" s="389">
        <v>0</v>
      </c>
      <c r="M361" s="389">
        <v>0</v>
      </c>
      <c r="N361" s="2337"/>
      <c r="O361" s="2304"/>
      <c r="P361" s="2337"/>
    </row>
    <row r="362" spans="1:24" s="1" customFormat="1" ht="52.8" outlineLevel="1" x14ac:dyDescent="0.3">
      <c r="A362" s="2373"/>
      <c r="B362" s="1718"/>
      <c r="C362" s="1718"/>
      <c r="D362" s="2375"/>
      <c r="E362" s="1719"/>
      <c r="F362" s="389">
        <v>1925.01</v>
      </c>
      <c r="G362" s="385" t="s">
        <v>14</v>
      </c>
      <c r="H362" s="1079">
        <f>SUM(I362:M362)</f>
        <v>5090.16</v>
      </c>
      <c r="I362" s="389">
        <f>3563.11+1527.05</f>
        <v>5090.16</v>
      </c>
      <c r="J362" s="389">
        <v>0</v>
      </c>
      <c r="K362" s="389">
        <v>0</v>
      </c>
      <c r="L362" s="389">
        <v>0</v>
      </c>
      <c r="M362" s="389">
        <v>0</v>
      </c>
      <c r="N362" s="2337"/>
      <c r="O362" s="2305"/>
      <c r="P362" s="2337"/>
      <c r="W362" s="1">
        <v>1</v>
      </c>
    </row>
    <row r="363" spans="1:24" s="1" customFormat="1" outlineLevel="1" x14ac:dyDescent="0.3">
      <c r="A363" s="2373"/>
      <c r="B363" s="1718" t="s">
        <v>121</v>
      </c>
      <c r="C363" s="1718" t="s">
        <v>67</v>
      </c>
      <c r="D363" s="2375"/>
      <c r="E363" s="1719">
        <v>7959.27</v>
      </c>
      <c r="F363" s="389">
        <f>F364+F365</f>
        <v>7959.27</v>
      </c>
      <c r="G363" s="385" t="s">
        <v>12</v>
      </c>
      <c r="H363" s="389">
        <f>H364+H365</f>
        <v>0</v>
      </c>
      <c r="I363" s="389">
        <v>0</v>
      </c>
      <c r="J363" s="389">
        <v>0</v>
      </c>
      <c r="K363" s="389">
        <v>0</v>
      </c>
      <c r="L363" s="389">
        <v>0</v>
      </c>
      <c r="M363" s="389">
        <v>0</v>
      </c>
      <c r="N363" s="2337"/>
      <c r="O363" s="270"/>
      <c r="P363" s="275"/>
    </row>
    <row r="364" spans="1:24" s="1" customFormat="1" ht="26.4" outlineLevel="1" x14ac:dyDescent="0.3">
      <c r="A364" s="2373"/>
      <c r="B364" s="1718"/>
      <c r="C364" s="1718"/>
      <c r="D364" s="2375"/>
      <c r="E364" s="1719"/>
      <c r="F364" s="389">
        <v>7561.31</v>
      </c>
      <c r="G364" s="385" t="s">
        <v>13</v>
      </c>
      <c r="H364" s="389">
        <f>SUM(I364:M364)</f>
        <v>0</v>
      </c>
      <c r="I364" s="389">
        <v>0</v>
      </c>
      <c r="J364" s="389">
        <v>0</v>
      </c>
      <c r="K364" s="389">
        <v>0</v>
      </c>
      <c r="L364" s="389">
        <v>0</v>
      </c>
      <c r="M364" s="389">
        <v>0</v>
      </c>
      <c r="N364" s="2337"/>
      <c r="O364" s="271"/>
      <c r="P364" s="275"/>
    </row>
    <row r="365" spans="1:24" s="1" customFormat="1" ht="52.8" outlineLevel="1" x14ac:dyDescent="0.3">
      <c r="A365" s="2374"/>
      <c r="B365" s="1718"/>
      <c r="C365" s="1718"/>
      <c r="D365" s="2375"/>
      <c r="E365" s="1719"/>
      <c r="F365" s="389">
        <v>397.96</v>
      </c>
      <c r="G365" s="385" t="s">
        <v>14</v>
      </c>
      <c r="H365" s="389">
        <f>SUM(I365:M365)</f>
        <v>0</v>
      </c>
      <c r="I365" s="389">
        <v>0</v>
      </c>
      <c r="J365" s="389">
        <v>0</v>
      </c>
      <c r="K365" s="389">
        <v>0</v>
      </c>
      <c r="L365" s="389">
        <v>0</v>
      </c>
      <c r="M365" s="389">
        <v>0</v>
      </c>
      <c r="N365" s="2337"/>
      <c r="O365" s="271"/>
      <c r="P365" s="275"/>
    </row>
    <row r="366" spans="1:24" s="1" customFormat="1" ht="15" customHeight="1" outlineLevel="1" x14ac:dyDescent="0.3">
      <c r="A366" s="2367" t="s">
        <v>503</v>
      </c>
      <c r="B366" s="1718" t="s">
        <v>68</v>
      </c>
      <c r="C366" s="1718"/>
      <c r="D366" s="1718"/>
      <c r="E366" s="1718"/>
      <c r="F366" s="1718"/>
      <c r="G366" s="385" t="s">
        <v>12</v>
      </c>
      <c r="H366" s="389">
        <f t="shared" ref="H366:M366" si="238">H367+H368</f>
        <v>335749.81</v>
      </c>
      <c r="I366" s="389">
        <f t="shared" si="238"/>
        <v>38665</v>
      </c>
      <c r="J366" s="389">
        <f t="shared" si="238"/>
        <v>247084.81</v>
      </c>
      <c r="K366" s="389">
        <f t="shared" si="238"/>
        <v>50000</v>
      </c>
      <c r="L366" s="389">
        <f t="shared" si="238"/>
        <v>0</v>
      </c>
      <c r="M366" s="389">
        <f t="shared" si="238"/>
        <v>0</v>
      </c>
      <c r="N366" s="2428"/>
      <c r="O366" s="271"/>
      <c r="P366" s="275"/>
    </row>
    <row r="367" spans="1:24" s="1" customFormat="1" ht="26.4" outlineLevel="1" x14ac:dyDescent="0.3">
      <c r="A367" s="2367"/>
      <c r="B367" s="1718"/>
      <c r="C367" s="1718"/>
      <c r="D367" s="1718"/>
      <c r="E367" s="1718"/>
      <c r="F367" s="1718"/>
      <c r="G367" s="385" t="s">
        <v>13</v>
      </c>
      <c r="H367" s="389">
        <f>SUM(I367:M367)</f>
        <v>318962.32</v>
      </c>
      <c r="I367" s="389">
        <f t="shared" ref="I367:M368" si="239">I370</f>
        <v>36731.75</v>
      </c>
      <c r="J367" s="389">
        <f t="shared" si="239"/>
        <v>234730.57</v>
      </c>
      <c r="K367" s="389">
        <f t="shared" si="239"/>
        <v>47500</v>
      </c>
      <c r="L367" s="389">
        <f t="shared" si="239"/>
        <v>0</v>
      </c>
      <c r="M367" s="389">
        <f t="shared" si="239"/>
        <v>0</v>
      </c>
      <c r="N367" s="2429"/>
      <c r="O367" s="393"/>
      <c r="P367" s="275" t="s">
        <v>1123</v>
      </c>
    </row>
    <row r="368" spans="1:24" s="1" customFormat="1" ht="28.5" customHeight="1" outlineLevel="1" x14ac:dyDescent="0.3">
      <c r="A368" s="2367"/>
      <c r="B368" s="1718"/>
      <c r="C368" s="1718"/>
      <c r="D368" s="1718"/>
      <c r="E368" s="1718"/>
      <c r="F368" s="1718"/>
      <c r="G368" s="385" t="s">
        <v>14</v>
      </c>
      <c r="H368" s="389">
        <f>SUM(I368:M368)</f>
        <v>16787.490000000002</v>
      </c>
      <c r="I368" s="389">
        <f t="shared" si="239"/>
        <v>1933.25</v>
      </c>
      <c r="J368" s="389">
        <f t="shared" si="239"/>
        <v>12354.24</v>
      </c>
      <c r="K368" s="389">
        <f t="shared" si="239"/>
        <v>2500</v>
      </c>
      <c r="L368" s="389">
        <f t="shared" si="239"/>
        <v>0</v>
      </c>
      <c r="M368" s="389">
        <f t="shared" si="239"/>
        <v>0</v>
      </c>
      <c r="N368" s="2430"/>
      <c r="O368" s="272"/>
      <c r="P368" s="275"/>
    </row>
    <row r="369" spans="1:25" s="1" customFormat="1" outlineLevel="1" x14ac:dyDescent="0.3">
      <c r="A369" s="2367" t="s">
        <v>486</v>
      </c>
      <c r="B369" s="1718" t="s">
        <v>171</v>
      </c>
      <c r="C369" s="1718" t="s">
        <v>334</v>
      </c>
      <c r="D369" s="1718"/>
      <c r="E369" s="1719">
        <v>335749.81</v>
      </c>
      <c r="F369" s="389">
        <f>F370+F371</f>
        <v>0</v>
      </c>
      <c r="G369" s="385" t="s">
        <v>12</v>
      </c>
      <c r="H369" s="389">
        <f t="shared" ref="H369:K369" si="240">H370+H371</f>
        <v>335749.81</v>
      </c>
      <c r="I369" s="389">
        <f>I370+I371</f>
        <v>38665</v>
      </c>
      <c r="J369" s="389">
        <f>J370+J371</f>
        <v>247084.81</v>
      </c>
      <c r="K369" s="389">
        <f t="shared" si="240"/>
        <v>50000</v>
      </c>
      <c r="L369" s="389">
        <v>0</v>
      </c>
      <c r="M369" s="389">
        <v>0</v>
      </c>
      <c r="N369" s="2347"/>
      <c r="O369" s="2310" t="s">
        <v>47</v>
      </c>
      <c r="P369" s="2337"/>
    </row>
    <row r="370" spans="1:25" s="1" customFormat="1" ht="26.4" outlineLevel="1" x14ac:dyDescent="0.3">
      <c r="A370" s="2367"/>
      <c r="B370" s="1718"/>
      <c r="C370" s="1718"/>
      <c r="D370" s="1718"/>
      <c r="E370" s="1719"/>
      <c r="F370" s="389">
        <v>0</v>
      </c>
      <c r="G370" s="385" t="s">
        <v>13</v>
      </c>
      <c r="H370" s="389">
        <f>SUM(I370:M370)</f>
        <v>318962.32</v>
      </c>
      <c r="I370" s="389">
        <v>36731.75</v>
      </c>
      <c r="J370" s="389">
        <v>234730.57</v>
      </c>
      <c r="K370" s="389">
        <v>47500</v>
      </c>
      <c r="L370" s="389">
        <v>0</v>
      </c>
      <c r="M370" s="389">
        <v>0</v>
      </c>
      <c r="N370" s="2348"/>
      <c r="O370" s="2311"/>
      <c r="P370" s="2337"/>
    </row>
    <row r="371" spans="1:25" s="1" customFormat="1" ht="56.25" customHeight="1" outlineLevel="1" x14ac:dyDescent="0.3">
      <c r="A371" s="2367"/>
      <c r="B371" s="1718"/>
      <c r="C371" s="1718"/>
      <c r="D371" s="1718"/>
      <c r="E371" s="1719"/>
      <c r="F371" s="389">
        <v>0</v>
      </c>
      <c r="G371" s="385" t="s">
        <v>14</v>
      </c>
      <c r="H371" s="389">
        <f>SUM(I371:M371)</f>
        <v>16787.490000000002</v>
      </c>
      <c r="I371" s="389">
        <v>1933.25</v>
      </c>
      <c r="J371" s="389">
        <v>12354.24</v>
      </c>
      <c r="K371" s="389">
        <v>2500</v>
      </c>
      <c r="L371" s="389">
        <v>0</v>
      </c>
      <c r="M371" s="389">
        <v>0</v>
      </c>
      <c r="N371" s="2349"/>
      <c r="O371" s="2311"/>
      <c r="P371" s="2337"/>
      <c r="Y371" s="1">
        <v>1</v>
      </c>
    </row>
    <row r="372" spans="1:25" s="1" customFormat="1" ht="20.25" customHeight="1" outlineLevel="1" x14ac:dyDescent="0.3">
      <c r="A372" s="2367" t="s">
        <v>477</v>
      </c>
      <c r="B372" s="1718" t="s">
        <v>86</v>
      </c>
      <c r="C372" s="1718"/>
      <c r="D372" s="1718"/>
      <c r="E372" s="1718"/>
      <c r="F372" s="1718"/>
      <c r="G372" s="385" t="s">
        <v>12</v>
      </c>
      <c r="H372" s="389">
        <f>H373+H374</f>
        <v>353793.5</v>
      </c>
      <c r="I372" s="389">
        <f>I373+I374</f>
        <v>123817.18</v>
      </c>
      <c r="J372" s="389">
        <f>J373+J374</f>
        <v>229976.32000000001</v>
      </c>
      <c r="K372" s="389">
        <f t="shared" ref="K372:M372" si="241">K373+K374</f>
        <v>0</v>
      </c>
      <c r="L372" s="389">
        <f t="shared" si="241"/>
        <v>0</v>
      </c>
      <c r="M372" s="389">
        <f t="shared" si="241"/>
        <v>0</v>
      </c>
      <c r="N372" s="2337"/>
      <c r="O372" s="393"/>
      <c r="P372" s="275" t="s">
        <v>1624</v>
      </c>
    </row>
    <row r="373" spans="1:25" s="1" customFormat="1" ht="30.75" customHeight="1" outlineLevel="1" x14ac:dyDescent="0.3">
      <c r="A373" s="2367"/>
      <c r="B373" s="1718"/>
      <c r="C373" s="1718"/>
      <c r="D373" s="1718"/>
      <c r="E373" s="1718"/>
      <c r="F373" s="1718"/>
      <c r="G373" s="385" t="s">
        <v>13</v>
      </c>
      <c r="H373" s="389">
        <f>SUM(I373:M373)</f>
        <v>336103.83</v>
      </c>
      <c r="I373" s="389">
        <f>I376</f>
        <v>116653.83</v>
      </c>
      <c r="J373" s="389">
        <f>J376</f>
        <v>219450</v>
      </c>
      <c r="K373" s="389">
        <v>0</v>
      </c>
      <c r="L373" s="389">
        <v>0</v>
      </c>
      <c r="M373" s="389">
        <v>0</v>
      </c>
      <c r="N373" s="2337"/>
      <c r="O373" s="393"/>
      <c r="P373" s="275"/>
    </row>
    <row r="374" spans="1:25" s="1" customFormat="1" ht="28.5" customHeight="1" outlineLevel="1" x14ac:dyDescent="0.3">
      <c r="A374" s="2367"/>
      <c r="B374" s="1718"/>
      <c r="C374" s="1718"/>
      <c r="D374" s="1718"/>
      <c r="E374" s="1718"/>
      <c r="F374" s="1718"/>
      <c r="G374" s="385" t="s">
        <v>14</v>
      </c>
      <c r="H374" s="389">
        <f>SUM(I374:M374)</f>
        <v>17689.669999999998</v>
      </c>
      <c r="I374" s="389">
        <f>I377</f>
        <v>7163.35</v>
      </c>
      <c r="J374" s="389">
        <f>J377</f>
        <v>10526.32</v>
      </c>
      <c r="K374" s="389">
        <f>K377</f>
        <v>0</v>
      </c>
      <c r="L374" s="389">
        <v>0</v>
      </c>
      <c r="M374" s="389">
        <v>0</v>
      </c>
      <c r="N374" s="2337"/>
      <c r="O374" s="393"/>
      <c r="P374" s="275"/>
    </row>
    <row r="375" spans="1:25" s="1" customFormat="1" ht="22.5" customHeight="1" outlineLevel="1" x14ac:dyDescent="0.3">
      <c r="A375" s="1717" t="s">
        <v>476</v>
      </c>
      <c r="B375" s="1718" t="s">
        <v>209</v>
      </c>
      <c r="C375" s="1718" t="s">
        <v>208</v>
      </c>
      <c r="D375" s="1718" t="s">
        <v>179</v>
      </c>
      <c r="E375" s="2455">
        <f>F375+H375</f>
        <v>353793.5</v>
      </c>
      <c r="F375" s="389">
        <f>F376+F377</f>
        <v>0</v>
      </c>
      <c r="G375" s="385" t="s">
        <v>12</v>
      </c>
      <c r="H375" s="389">
        <f>H376+H377</f>
        <v>353793.5</v>
      </c>
      <c r="I375" s="389">
        <f>I376+I377</f>
        <v>123817.18</v>
      </c>
      <c r="J375" s="389">
        <f>J376+J377</f>
        <v>229976.32000000001</v>
      </c>
      <c r="K375" s="389">
        <v>0</v>
      </c>
      <c r="L375" s="389">
        <v>0</v>
      </c>
      <c r="M375" s="389">
        <v>0</v>
      </c>
      <c r="N375" s="2337"/>
      <c r="O375" s="2294" t="s">
        <v>16</v>
      </c>
      <c r="P375" s="2337" t="s">
        <v>1554</v>
      </c>
    </row>
    <row r="376" spans="1:25" s="1" customFormat="1" ht="26.4" outlineLevel="1" x14ac:dyDescent="0.3">
      <c r="A376" s="1717"/>
      <c r="B376" s="1718"/>
      <c r="C376" s="1718"/>
      <c r="D376" s="1718"/>
      <c r="E376" s="2455"/>
      <c r="F376" s="389">
        <v>0</v>
      </c>
      <c r="G376" s="385" t="s">
        <v>13</v>
      </c>
      <c r="H376" s="389">
        <f>I376+J376+K376+L376+M376</f>
        <v>336103.83</v>
      </c>
      <c r="I376" s="389">
        <f>113500+22603.83-19450</f>
        <v>116653.83</v>
      </c>
      <c r="J376" s="389">
        <f>200000+19450</f>
        <v>219450</v>
      </c>
      <c r="K376" s="389">
        <v>0</v>
      </c>
      <c r="L376" s="389">
        <v>0</v>
      </c>
      <c r="M376" s="389">
        <v>0</v>
      </c>
      <c r="N376" s="2337"/>
      <c r="O376" s="2334"/>
      <c r="P376" s="2337"/>
      <c r="X376" s="1">
        <v>1</v>
      </c>
    </row>
    <row r="377" spans="1:25" s="1" customFormat="1" ht="52.8" outlineLevel="1" x14ac:dyDescent="0.3">
      <c r="A377" s="1717"/>
      <c r="B377" s="1718"/>
      <c r="C377" s="1718"/>
      <c r="D377" s="1718"/>
      <c r="E377" s="2455"/>
      <c r="F377" s="389">
        <f>F380</f>
        <v>0</v>
      </c>
      <c r="G377" s="385" t="s">
        <v>14</v>
      </c>
      <c r="H377" s="389">
        <f>I377+J377+K377+L377+M377</f>
        <v>17689.669999999998</v>
      </c>
      <c r="I377" s="389">
        <f>5973.68+1189.67</f>
        <v>7163.35</v>
      </c>
      <c r="J377" s="389">
        <v>10526.32</v>
      </c>
      <c r="K377" s="389">
        <v>0</v>
      </c>
      <c r="L377" s="389">
        <v>0</v>
      </c>
      <c r="M377" s="389">
        <v>0</v>
      </c>
      <c r="N377" s="2337"/>
      <c r="O377" s="2334"/>
      <c r="P377" s="2337"/>
    </row>
    <row r="378" spans="1:25" s="1" customFormat="1" ht="17.25" customHeight="1" outlineLevel="1" x14ac:dyDescent="0.3">
      <c r="A378" s="1717"/>
      <c r="B378" s="1718" t="s">
        <v>121</v>
      </c>
      <c r="C378" s="1718">
        <v>2018</v>
      </c>
      <c r="D378" s="1718"/>
      <c r="E378" s="2455">
        <f>F378+H378</f>
        <v>23793.5</v>
      </c>
      <c r="F378" s="389">
        <f>F379+F380</f>
        <v>0</v>
      </c>
      <c r="G378" s="385" t="s">
        <v>12</v>
      </c>
      <c r="H378" s="389">
        <f>H379+H380</f>
        <v>23793.5</v>
      </c>
      <c r="I378" s="389">
        <f>I379+I380</f>
        <v>23793.5</v>
      </c>
      <c r="J378" s="389">
        <v>0</v>
      </c>
      <c r="K378" s="389">
        <v>0</v>
      </c>
      <c r="L378" s="389">
        <v>0</v>
      </c>
      <c r="M378" s="389">
        <v>0</v>
      </c>
      <c r="N378" s="2337"/>
      <c r="O378" s="2295"/>
      <c r="P378" s="394"/>
    </row>
    <row r="379" spans="1:25" s="1" customFormat="1" ht="26.4" outlineLevel="1" x14ac:dyDescent="0.3">
      <c r="A379" s="1717"/>
      <c r="B379" s="1718"/>
      <c r="C379" s="1718"/>
      <c r="D379" s="1718"/>
      <c r="E379" s="2455"/>
      <c r="F379" s="389">
        <v>0</v>
      </c>
      <c r="G379" s="385" t="s">
        <v>13</v>
      </c>
      <c r="H379" s="389">
        <f>SUM(I379:M379)</f>
        <v>22603.83</v>
      </c>
      <c r="I379" s="389">
        <v>22603.83</v>
      </c>
      <c r="J379" s="389">
        <v>0</v>
      </c>
      <c r="K379" s="389">
        <v>0</v>
      </c>
      <c r="L379" s="389">
        <v>0</v>
      </c>
      <c r="M379" s="389">
        <v>0</v>
      </c>
      <c r="N379" s="2337"/>
      <c r="O379" s="2303"/>
      <c r="P379" s="2337"/>
    </row>
    <row r="380" spans="1:25" s="1" customFormat="1" ht="42.75" customHeight="1" outlineLevel="1" x14ac:dyDescent="0.3">
      <c r="A380" s="1717"/>
      <c r="B380" s="1718"/>
      <c r="C380" s="1718"/>
      <c r="D380" s="1718"/>
      <c r="E380" s="2455"/>
      <c r="F380" s="389">
        <f>F381</f>
        <v>0</v>
      </c>
      <c r="G380" s="385" t="s">
        <v>14</v>
      </c>
      <c r="H380" s="389">
        <f>SUM(I380:M380)</f>
        <v>1189.67</v>
      </c>
      <c r="I380" s="389">
        <v>1189.67</v>
      </c>
      <c r="J380" s="389">
        <v>0</v>
      </c>
      <c r="K380" s="389">
        <v>0</v>
      </c>
      <c r="L380" s="389">
        <v>0</v>
      </c>
      <c r="M380" s="389">
        <v>0</v>
      </c>
      <c r="N380" s="2337"/>
      <c r="O380" s="2304"/>
      <c r="P380" s="2337"/>
    </row>
    <row r="381" spans="1:25" s="1" customFormat="1" ht="76.5" customHeight="1" outlineLevel="1" x14ac:dyDescent="0.3">
      <c r="A381" s="1380" t="s">
        <v>1513</v>
      </c>
      <c r="B381" s="1131" t="s">
        <v>176</v>
      </c>
      <c r="C381" s="1078" t="s">
        <v>67</v>
      </c>
      <c r="D381" s="1078"/>
      <c r="E381" s="1080">
        <f>707.92*0</f>
        <v>0</v>
      </c>
      <c r="F381" s="1080">
        <f>(420+287.92)*0</f>
        <v>0</v>
      </c>
      <c r="G381" s="1078" t="s">
        <v>14</v>
      </c>
      <c r="H381" s="389">
        <f>SUM(I381:M381)</f>
        <v>0</v>
      </c>
      <c r="I381" s="389"/>
      <c r="J381" s="389"/>
      <c r="K381" s="389"/>
      <c r="L381" s="389"/>
      <c r="M381" s="389"/>
      <c r="N381" s="394"/>
      <c r="O381" s="271"/>
      <c r="P381" s="275"/>
    </row>
    <row r="382" spans="1:25" s="1" customFormat="1" ht="26.4" outlineLevel="1" x14ac:dyDescent="0.3">
      <c r="A382" s="2367" t="s">
        <v>444</v>
      </c>
      <c r="B382" s="1718" t="s">
        <v>1514</v>
      </c>
      <c r="C382" s="1718"/>
      <c r="D382" s="1718"/>
      <c r="E382" s="1718"/>
      <c r="F382" s="1718"/>
      <c r="G382" s="385" t="s">
        <v>12</v>
      </c>
      <c r="H382" s="1252">
        <f>H383+H384</f>
        <v>230072.38</v>
      </c>
      <c r="I382" s="1252">
        <f>I383+I384</f>
        <v>85729.13</v>
      </c>
      <c r="J382" s="389">
        <f>J383+J384</f>
        <v>144343.25</v>
      </c>
      <c r="K382" s="389">
        <v>0</v>
      </c>
      <c r="L382" s="389">
        <v>0</v>
      </c>
      <c r="M382" s="389">
        <v>0</v>
      </c>
      <c r="N382" s="2337"/>
      <c r="O382" s="393">
        <v>4</v>
      </c>
      <c r="P382" s="275" t="s">
        <v>1124</v>
      </c>
    </row>
    <row r="383" spans="1:25" s="1" customFormat="1" ht="26.4" outlineLevel="1" x14ac:dyDescent="0.3">
      <c r="A383" s="2367"/>
      <c r="B383" s="1718"/>
      <c r="C383" s="1718"/>
      <c r="D383" s="1718"/>
      <c r="E383" s="1718"/>
      <c r="F383" s="1718"/>
      <c r="G383" s="385" t="s">
        <v>13</v>
      </c>
      <c r="H383" s="389">
        <f>SUM(I383:M383)</f>
        <v>215908.75</v>
      </c>
      <c r="I383" s="1252">
        <f>I386+I392+I395+I398</f>
        <v>78782.66</v>
      </c>
      <c r="J383" s="389">
        <f>J386+J392+J395+J398</f>
        <v>137126.09</v>
      </c>
      <c r="K383" s="389">
        <v>0</v>
      </c>
      <c r="L383" s="389">
        <v>0</v>
      </c>
      <c r="M383" s="389">
        <v>0</v>
      </c>
      <c r="N383" s="2337"/>
      <c r="O383" s="271"/>
      <c r="P383" s="275"/>
    </row>
    <row r="384" spans="1:25" s="1" customFormat="1" ht="21" customHeight="1" outlineLevel="1" x14ac:dyDescent="0.3">
      <c r="A384" s="2367"/>
      <c r="B384" s="1718"/>
      <c r="C384" s="1718"/>
      <c r="D384" s="1718"/>
      <c r="E384" s="1718"/>
      <c r="F384" s="1718"/>
      <c r="G384" s="385" t="s">
        <v>14</v>
      </c>
      <c r="H384" s="389">
        <f>SUM(I384:M384)</f>
        <v>14163.63</v>
      </c>
      <c r="I384" s="389">
        <f>I387+I393+I396+I399</f>
        <v>6946.47</v>
      </c>
      <c r="J384" s="389">
        <f>J387+J393+J396+J399</f>
        <v>7217.16</v>
      </c>
      <c r="K384" s="389">
        <v>0</v>
      </c>
      <c r="L384" s="389">
        <v>0</v>
      </c>
      <c r="M384" s="389">
        <v>0</v>
      </c>
      <c r="N384" s="2337"/>
      <c r="O384" s="272"/>
      <c r="P384" s="275"/>
    </row>
    <row r="385" spans="1:24" s="1" customFormat="1" ht="27" customHeight="1" outlineLevel="1" x14ac:dyDescent="0.3">
      <c r="A385" s="1717" t="s">
        <v>443</v>
      </c>
      <c r="B385" s="2414" t="s">
        <v>177</v>
      </c>
      <c r="C385" s="1718" t="s">
        <v>208</v>
      </c>
      <c r="D385" s="1718" t="s">
        <v>178</v>
      </c>
      <c r="E385" s="1719">
        <v>29800</v>
      </c>
      <c r="F385" s="389">
        <f>F386+F387</f>
        <v>0</v>
      </c>
      <c r="G385" s="385" t="s">
        <v>12</v>
      </c>
      <c r="H385" s="389">
        <f>H386+H387</f>
        <v>29799.9</v>
      </c>
      <c r="I385" s="389">
        <f>I386+I387</f>
        <v>11249.9</v>
      </c>
      <c r="J385" s="389">
        <f>J386/0.95</f>
        <v>18550</v>
      </c>
      <c r="K385" s="389">
        <v>0</v>
      </c>
      <c r="L385" s="389">
        <v>0</v>
      </c>
      <c r="M385" s="389">
        <v>0</v>
      </c>
      <c r="N385" s="2337"/>
      <c r="O385" s="2294" t="s">
        <v>16</v>
      </c>
      <c r="P385" s="2337" t="s">
        <v>1555</v>
      </c>
    </row>
    <row r="386" spans="1:24" s="1" customFormat="1" ht="26.4" outlineLevel="1" x14ac:dyDescent="0.3">
      <c r="A386" s="1717"/>
      <c r="B386" s="2414"/>
      <c r="C386" s="1718"/>
      <c r="D386" s="1718"/>
      <c r="E386" s="1719"/>
      <c r="F386" s="389">
        <v>0</v>
      </c>
      <c r="G386" s="385" t="s">
        <v>13</v>
      </c>
      <c r="H386" s="389">
        <f>SUM(I386:M386)</f>
        <v>28309.9</v>
      </c>
      <c r="I386" s="1253">
        <f>(25175+3135-17622.5)-0.1</f>
        <v>10687.4</v>
      </c>
      <c r="J386" s="389">
        <v>17622.5</v>
      </c>
      <c r="K386" s="389">
        <v>0</v>
      </c>
      <c r="L386" s="389">
        <v>0</v>
      </c>
      <c r="M386" s="389">
        <v>0</v>
      </c>
      <c r="N386" s="2337"/>
      <c r="O386" s="2334"/>
      <c r="P386" s="2337"/>
      <c r="X386" s="1">
        <v>1</v>
      </c>
    </row>
    <row r="387" spans="1:24" s="1" customFormat="1" ht="52.8" outlineLevel="1" x14ac:dyDescent="0.3">
      <c r="A387" s="1717"/>
      <c r="B387" s="2414"/>
      <c r="C387" s="1718"/>
      <c r="D387" s="1718"/>
      <c r="E387" s="1719"/>
      <c r="F387" s="389">
        <v>0</v>
      </c>
      <c r="G387" s="385" t="s">
        <v>14</v>
      </c>
      <c r="H387" s="389">
        <f>SUM(I387:M387)</f>
        <v>1490</v>
      </c>
      <c r="I387" s="389">
        <f>1325+165-927.5</f>
        <v>562.5</v>
      </c>
      <c r="J387" s="389">
        <f>J385*0.05</f>
        <v>927.5</v>
      </c>
      <c r="K387" s="389">
        <v>0</v>
      </c>
      <c r="L387" s="389">
        <v>0</v>
      </c>
      <c r="M387" s="389">
        <v>0</v>
      </c>
      <c r="N387" s="2337"/>
      <c r="O387" s="2295"/>
      <c r="P387" s="2337"/>
    </row>
    <row r="388" spans="1:24" s="1" customFormat="1" ht="29.25" customHeight="1" outlineLevel="1" x14ac:dyDescent="0.3">
      <c r="A388" s="1717"/>
      <c r="B388" s="1718" t="s">
        <v>121</v>
      </c>
      <c r="C388" s="1718">
        <v>2018</v>
      </c>
      <c r="D388" s="1718"/>
      <c r="E388" s="1727">
        <v>3300</v>
      </c>
      <c r="F388" s="389">
        <f>F389+F390</f>
        <v>0</v>
      </c>
      <c r="G388" s="385" t="s">
        <v>12</v>
      </c>
      <c r="H388" s="389">
        <f>H389+H390</f>
        <v>3300</v>
      </c>
      <c r="I388" s="389">
        <f>I389+I390</f>
        <v>3300</v>
      </c>
      <c r="J388" s="389">
        <v>0</v>
      </c>
      <c r="K388" s="389">
        <v>0</v>
      </c>
      <c r="L388" s="389">
        <v>0</v>
      </c>
      <c r="M388" s="389">
        <v>0</v>
      </c>
      <c r="N388" s="2337"/>
      <c r="O388" s="2294" t="s">
        <v>16</v>
      </c>
      <c r="P388" s="2337"/>
    </row>
    <row r="389" spans="1:24" s="1" customFormat="1" ht="26.4" outlineLevel="1" x14ac:dyDescent="0.3">
      <c r="A389" s="1717"/>
      <c r="B389" s="1718"/>
      <c r="C389" s="1718"/>
      <c r="D389" s="1718"/>
      <c r="E389" s="1727"/>
      <c r="F389" s="389">
        <v>0</v>
      </c>
      <c r="G389" s="385" t="s">
        <v>13</v>
      </c>
      <c r="H389" s="389">
        <f>SUM(I389:M389)</f>
        <v>3135</v>
      </c>
      <c r="I389" s="389">
        <v>3135</v>
      </c>
      <c r="J389" s="389">
        <v>0</v>
      </c>
      <c r="K389" s="389">
        <v>0</v>
      </c>
      <c r="L389" s="389">
        <v>0</v>
      </c>
      <c r="M389" s="389">
        <v>0</v>
      </c>
      <c r="N389" s="2337"/>
      <c r="O389" s="2334"/>
      <c r="P389" s="2337"/>
    </row>
    <row r="390" spans="1:24" s="1" customFormat="1" ht="30.75" customHeight="1" outlineLevel="1" x14ac:dyDescent="0.3">
      <c r="A390" s="1717"/>
      <c r="B390" s="1718"/>
      <c r="C390" s="1718"/>
      <c r="D390" s="1718"/>
      <c r="E390" s="1727"/>
      <c r="F390" s="389">
        <v>0</v>
      </c>
      <c r="G390" s="385" t="s">
        <v>14</v>
      </c>
      <c r="H390" s="389">
        <f>SUM(I390:M390)</f>
        <v>165</v>
      </c>
      <c r="I390" s="389">
        <v>165</v>
      </c>
      <c r="J390" s="389">
        <v>0</v>
      </c>
      <c r="K390" s="389">
        <v>0</v>
      </c>
      <c r="L390" s="389">
        <v>0</v>
      </c>
      <c r="M390" s="389">
        <v>0</v>
      </c>
      <c r="N390" s="2337"/>
      <c r="O390" s="2295"/>
      <c r="P390" s="2337"/>
    </row>
    <row r="391" spans="1:24" s="1" customFormat="1" ht="15" customHeight="1" outlineLevel="1" x14ac:dyDescent="0.3">
      <c r="A391" s="1717" t="s">
        <v>956</v>
      </c>
      <c r="B391" s="1718" t="s">
        <v>181</v>
      </c>
      <c r="C391" s="1718" t="s">
        <v>208</v>
      </c>
      <c r="D391" s="2375" t="s">
        <v>180</v>
      </c>
      <c r="E391" s="1719">
        <f>H391</f>
        <v>87791.14</v>
      </c>
      <c r="F391" s="389">
        <f>F392+F393</f>
        <v>0</v>
      </c>
      <c r="G391" s="385" t="s">
        <v>12</v>
      </c>
      <c r="H391" s="389">
        <f>H392+H393</f>
        <v>87791.14</v>
      </c>
      <c r="I391" s="389">
        <f>I392+I393</f>
        <v>32982.080000000002</v>
      </c>
      <c r="J391" s="389">
        <f>J392/0.95</f>
        <v>54809.06</v>
      </c>
      <c r="K391" s="389">
        <v>0</v>
      </c>
      <c r="L391" s="389">
        <v>0</v>
      </c>
      <c r="M391" s="389">
        <v>0</v>
      </c>
      <c r="N391" s="2337"/>
      <c r="O391" s="2294" t="s">
        <v>16</v>
      </c>
      <c r="P391" s="2337" t="s">
        <v>1555</v>
      </c>
    </row>
    <row r="392" spans="1:24" s="1" customFormat="1" ht="26.4" outlineLevel="1" x14ac:dyDescent="0.3">
      <c r="A392" s="1717"/>
      <c r="B392" s="1718"/>
      <c r="C392" s="1718"/>
      <c r="D392" s="2375"/>
      <c r="E392" s="1719"/>
      <c r="F392" s="389">
        <v>0</v>
      </c>
      <c r="G392" s="385" t="s">
        <v>13</v>
      </c>
      <c r="H392" s="389">
        <f>SUM(I392:M392)</f>
        <v>83401.58</v>
      </c>
      <c r="I392" s="389">
        <f>74383.73+9017.85-52068.61</f>
        <v>31332.97</v>
      </c>
      <c r="J392" s="389">
        <v>52068.61</v>
      </c>
      <c r="K392" s="389">
        <v>0</v>
      </c>
      <c r="L392" s="389">
        <v>0</v>
      </c>
      <c r="M392" s="389">
        <v>0</v>
      </c>
      <c r="N392" s="2337"/>
      <c r="O392" s="2334"/>
      <c r="P392" s="2337"/>
      <c r="X392" s="1">
        <v>1</v>
      </c>
    </row>
    <row r="393" spans="1:24" s="1" customFormat="1" ht="52.8" outlineLevel="1" x14ac:dyDescent="0.3">
      <c r="A393" s="1717"/>
      <c r="B393" s="1718"/>
      <c r="C393" s="1718"/>
      <c r="D393" s="2375"/>
      <c r="E393" s="1719"/>
      <c r="F393" s="389">
        <v>0</v>
      </c>
      <c r="G393" s="385" t="s">
        <v>14</v>
      </c>
      <c r="H393" s="389">
        <f>SUM(I393:M393)</f>
        <v>4389.5600000000004</v>
      </c>
      <c r="I393" s="389">
        <f>3914.94+474.62-2740.45</f>
        <v>1649.11</v>
      </c>
      <c r="J393" s="389">
        <f>J391*0.05</f>
        <v>2740.45</v>
      </c>
      <c r="K393" s="389">
        <v>0</v>
      </c>
      <c r="L393" s="389">
        <v>0</v>
      </c>
      <c r="M393" s="389">
        <v>0</v>
      </c>
      <c r="N393" s="2337"/>
      <c r="O393" s="2334"/>
      <c r="P393" s="2337"/>
    </row>
    <row r="394" spans="1:24" s="1" customFormat="1" outlineLevel="1" x14ac:dyDescent="0.3">
      <c r="A394" s="1717" t="s">
        <v>957</v>
      </c>
      <c r="B394" s="1718" t="s">
        <v>182</v>
      </c>
      <c r="C394" s="1718" t="s">
        <v>208</v>
      </c>
      <c r="D394" s="2375"/>
      <c r="E394" s="1719">
        <v>26281.34</v>
      </c>
      <c r="F394" s="389">
        <f>F395+F396</f>
        <v>0</v>
      </c>
      <c r="G394" s="385" t="s">
        <v>12</v>
      </c>
      <c r="H394" s="389">
        <f>H395+H396</f>
        <v>26281.34</v>
      </c>
      <c r="I394" s="389">
        <f>I395+I396</f>
        <v>11297.15</v>
      </c>
      <c r="J394" s="389">
        <f>J395/0.95</f>
        <v>14984.19</v>
      </c>
      <c r="K394" s="389">
        <v>0</v>
      </c>
      <c r="L394" s="389">
        <v>0</v>
      </c>
      <c r="M394" s="389">
        <v>0</v>
      </c>
      <c r="N394" s="2337"/>
      <c r="O394" s="2334"/>
      <c r="P394" s="2337" t="s">
        <v>1555</v>
      </c>
    </row>
    <row r="395" spans="1:24" s="1" customFormat="1" ht="26.4" outlineLevel="1" x14ac:dyDescent="0.3">
      <c r="A395" s="1717"/>
      <c r="B395" s="1718"/>
      <c r="C395" s="1718"/>
      <c r="D395" s="2375"/>
      <c r="E395" s="1719"/>
      <c r="F395" s="389">
        <v>0</v>
      </c>
      <c r="G395" s="385" t="s">
        <v>13</v>
      </c>
      <c r="H395" s="389">
        <f>SUM(I395:M395)</f>
        <v>24967.27</v>
      </c>
      <c r="I395" s="389">
        <f>20335.68+4631.59-14234.98</f>
        <v>10732.29</v>
      </c>
      <c r="J395" s="389">
        <v>14234.98</v>
      </c>
      <c r="K395" s="389">
        <v>0</v>
      </c>
      <c r="L395" s="389">
        <v>0</v>
      </c>
      <c r="M395" s="389">
        <v>0</v>
      </c>
      <c r="N395" s="2337"/>
      <c r="O395" s="2334"/>
      <c r="P395" s="2337"/>
      <c r="X395" s="1">
        <v>1</v>
      </c>
    </row>
    <row r="396" spans="1:24" s="1" customFormat="1" ht="39" customHeight="1" outlineLevel="1" x14ac:dyDescent="0.3">
      <c r="A396" s="1717"/>
      <c r="B396" s="1718"/>
      <c r="C396" s="1718"/>
      <c r="D396" s="2375"/>
      <c r="E396" s="1719"/>
      <c r="F396" s="389">
        <v>0</v>
      </c>
      <c r="G396" s="385" t="s">
        <v>14</v>
      </c>
      <c r="H396" s="389">
        <f>SUM(I396:M396)</f>
        <v>1314.07</v>
      </c>
      <c r="I396" s="389">
        <f>1070.3+243.77-749.21</f>
        <v>564.86</v>
      </c>
      <c r="J396" s="389">
        <f>J394*0.05</f>
        <v>749.21</v>
      </c>
      <c r="K396" s="389">
        <v>0</v>
      </c>
      <c r="L396" s="389">
        <v>0</v>
      </c>
      <c r="M396" s="389">
        <v>0</v>
      </c>
      <c r="N396" s="2337"/>
      <c r="O396" s="2295"/>
      <c r="P396" s="2337"/>
    </row>
    <row r="397" spans="1:24" s="1" customFormat="1" outlineLevel="1" x14ac:dyDescent="0.3">
      <c r="A397" s="1717" t="s">
        <v>958</v>
      </c>
      <c r="B397" s="1718" t="s">
        <v>184</v>
      </c>
      <c r="C397" s="1718" t="s">
        <v>208</v>
      </c>
      <c r="D397" s="2375" t="s">
        <v>183</v>
      </c>
      <c r="E397" s="1719">
        <f>H397</f>
        <v>86200</v>
      </c>
      <c r="F397" s="1214">
        <f>F398+F399</f>
        <v>0</v>
      </c>
      <c r="G397" s="1213" t="s">
        <v>12</v>
      </c>
      <c r="H397" s="1214">
        <f>H398+H399</f>
        <v>86200</v>
      </c>
      <c r="I397" s="1214">
        <f>I398+I399</f>
        <v>30200</v>
      </c>
      <c r="J397" s="389">
        <f>J398/0.95</f>
        <v>56000</v>
      </c>
      <c r="K397" s="389">
        <v>0</v>
      </c>
      <c r="L397" s="389">
        <v>0</v>
      </c>
      <c r="M397" s="389">
        <v>0</v>
      </c>
      <c r="N397" s="2337"/>
      <c r="O397" s="2303"/>
      <c r="P397" s="2337" t="s">
        <v>1555</v>
      </c>
    </row>
    <row r="398" spans="1:24" s="1" customFormat="1" ht="26.4" outlineLevel="1" x14ac:dyDescent="0.3">
      <c r="A398" s="1717"/>
      <c r="B398" s="1718"/>
      <c r="C398" s="1718"/>
      <c r="D398" s="2375"/>
      <c r="E398" s="1719"/>
      <c r="F398" s="1214">
        <v>0</v>
      </c>
      <c r="G398" s="1213" t="s">
        <v>13</v>
      </c>
      <c r="H398" s="1214">
        <f>SUM(I398:M398)</f>
        <v>79230</v>
      </c>
      <c r="I398" s="1214">
        <f>76000+3230-53200</f>
        <v>26030</v>
      </c>
      <c r="J398" s="389">
        <v>53200</v>
      </c>
      <c r="K398" s="389">
        <v>0</v>
      </c>
      <c r="L398" s="389">
        <v>0</v>
      </c>
      <c r="M398" s="389">
        <v>0</v>
      </c>
      <c r="N398" s="2337"/>
      <c r="O398" s="2304"/>
      <c r="P398" s="2337"/>
      <c r="X398" s="1">
        <v>1</v>
      </c>
    </row>
    <row r="399" spans="1:24" s="1" customFormat="1" ht="52.8" outlineLevel="1" x14ac:dyDescent="0.3">
      <c r="A399" s="1717"/>
      <c r="B399" s="1718"/>
      <c r="C399" s="1718"/>
      <c r="D399" s="2375"/>
      <c r="E399" s="1719"/>
      <c r="F399" s="1214">
        <v>0</v>
      </c>
      <c r="G399" s="1213" t="s">
        <v>14</v>
      </c>
      <c r="H399" s="1214">
        <f>SUM(I399:M399)</f>
        <v>6970</v>
      </c>
      <c r="I399" s="1214">
        <f>4000+170</f>
        <v>4170</v>
      </c>
      <c r="J399" s="389">
        <f>J397*0.05</f>
        <v>2800</v>
      </c>
      <c r="K399" s="389">
        <v>0</v>
      </c>
      <c r="L399" s="389">
        <v>0</v>
      </c>
      <c r="M399" s="389">
        <v>0</v>
      </c>
      <c r="N399" s="2337"/>
      <c r="O399" s="2305"/>
      <c r="P399" s="2337"/>
    </row>
    <row r="400" spans="1:24" s="1" customFormat="1" outlineLevel="1" x14ac:dyDescent="0.3">
      <c r="A400" s="1717"/>
      <c r="B400" s="1718" t="s">
        <v>121</v>
      </c>
      <c r="C400" s="1718">
        <v>2018</v>
      </c>
      <c r="D400" s="2375"/>
      <c r="E400" s="1727">
        <v>3400</v>
      </c>
      <c r="F400" s="1214">
        <f>F401+F402</f>
        <v>0</v>
      </c>
      <c r="G400" s="1213" t="s">
        <v>12</v>
      </c>
      <c r="H400" s="1214">
        <f>H401+H402</f>
        <v>3400</v>
      </c>
      <c r="I400" s="1214">
        <v>0</v>
      </c>
      <c r="J400" s="389">
        <v>0</v>
      </c>
      <c r="K400" s="1057">
        <v>0</v>
      </c>
      <c r="L400" s="1057">
        <v>0</v>
      </c>
      <c r="M400" s="389">
        <v>0</v>
      </c>
      <c r="N400" s="2337"/>
      <c r="O400" s="2294" t="s">
        <v>16</v>
      </c>
      <c r="P400" s="2337"/>
    </row>
    <row r="401" spans="1:25" s="1" customFormat="1" ht="26.4" outlineLevel="1" x14ac:dyDescent="0.3">
      <c r="A401" s="1717"/>
      <c r="B401" s="1718"/>
      <c r="C401" s="1718"/>
      <c r="D401" s="2375"/>
      <c r="E401" s="1727"/>
      <c r="F401" s="1214">
        <v>0</v>
      </c>
      <c r="G401" s="1213" t="s">
        <v>13</v>
      </c>
      <c r="H401" s="1214">
        <v>3230</v>
      </c>
      <c r="I401" s="1214">
        <v>0</v>
      </c>
      <c r="J401" s="389">
        <v>0</v>
      </c>
      <c r="K401" s="1057">
        <v>0</v>
      </c>
      <c r="L401" s="1057">
        <v>0</v>
      </c>
      <c r="M401" s="389">
        <v>0</v>
      </c>
      <c r="N401" s="2337"/>
      <c r="O401" s="2334"/>
      <c r="P401" s="2337"/>
    </row>
    <row r="402" spans="1:25" s="1" customFormat="1" ht="52.8" outlineLevel="1" x14ac:dyDescent="0.3">
      <c r="A402" s="1717"/>
      <c r="B402" s="1718"/>
      <c r="C402" s="1718"/>
      <c r="D402" s="2375"/>
      <c r="E402" s="1727"/>
      <c r="F402" s="1214">
        <v>0</v>
      </c>
      <c r="G402" s="1213" t="s">
        <v>14</v>
      </c>
      <c r="H402" s="1214">
        <v>170</v>
      </c>
      <c r="I402" s="1214">
        <v>0</v>
      </c>
      <c r="J402" s="389">
        <v>0</v>
      </c>
      <c r="K402" s="1057">
        <v>0</v>
      </c>
      <c r="L402" s="1057">
        <v>0</v>
      </c>
      <c r="M402" s="389">
        <v>0</v>
      </c>
      <c r="N402" s="2337"/>
      <c r="O402" s="2334"/>
      <c r="P402" s="2337"/>
    </row>
    <row r="403" spans="1:25" s="1" customFormat="1" outlineLevel="1" x14ac:dyDescent="0.3">
      <c r="A403" s="2367" t="s">
        <v>959</v>
      </c>
      <c r="B403" s="1718" t="s">
        <v>32</v>
      </c>
      <c r="C403" s="1718"/>
      <c r="D403" s="1718"/>
      <c r="E403" s="1718"/>
      <c r="F403" s="1718"/>
      <c r="G403" s="385" t="s">
        <v>12</v>
      </c>
      <c r="H403" s="389">
        <f>H404+H405</f>
        <v>169419.4</v>
      </c>
      <c r="I403" s="389">
        <f>I404+I405</f>
        <v>14072.2</v>
      </c>
      <c r="J403" s="389">
        <f>J404+J405</f>
        <v>77569.42</v>
      </c>
      <c r="K403" s="389">
        <f t="shared" ref="K403:M403" si="242">K404+K405</f>
        <v>77777.78</v>
      </c>
      <c r="L403" s="389">
        <f t="shared" si="242"/>
        <v>0</v>
      </c>
      <c r="M403" s="389">
        <f t="shared" si="242"/>
        <v>0</v>
      </c>
      <c r="N403" s="2337"/>
      <c r="O403" s="2295"/>
      <c r="P403" s="2337"/>
    </row>
    <row r="404" spans="1:25" s="1" customFormat="1" ht="15" customHeight="1" outlineLevel="1" x14ac:dyDescent="0.3">
      <c r="A404" s="2367"/>
      <c r="B404" s="1718"/>
      <c r="C404" s="1718"/>
      <c r="D404" s="1718"/>
      <c r="E404" s="1718"/>
      <c r="F404" s="1718"/>
      <c r="G404" s="385" t="s">
        <v>13</v>
      </c>
      <c r="H404" s="389">
        <f>SUM(I404:M404)</f>
        <v>139812.48000000001</v>
      </c>
      <c r="I404" s="389">
        <f>+I407</f>
        <v>0</v>
      </c>
      <c r="J404" s="389">
        <f>+J407</f>
        <v>69812.479999999996</v>
      </c>
      <c r="K404" s="389">
        <f t="shared" ref="K404:M405" si="243">+K407</f>
        <v>70000</v>
      </c>
      <c r="L404" s="389">
        <f t="shared" si="243"/>
        <v>0</v>
      </c>
      <c r="M404" s="389">
        <f t="shared" si="243"/>
        <v>0</v>
      </c>
      <c r="N404" s="2337"/>
      <c r="O404" s="1648">
        <v>1</v>
      </c>
      <c r="P404" s="2337" t="s">
        <v>1556</v>
      </c>
    </row>
    <row r="405" spans="1:25" s="1" customFormat="1" ht="52.8" outlineLevel="1" x14ac:dyDescent="0.3">
      <c r="A405" s="2367"/>
      <c r="B405" s="1718"/>
      <c r="C405" s="1718"/>
      <c r="D405" s="1718"/>
      <c r="E405" s="1718"/>
      <c r="F405" s="1718"/>
      <c r="G405" s="385" t="s">
        <v>14</v>
      </c>
      <c r="H405" s="389">
        <f>SUM(I405:M405)</f>
        <v>29606.92</v>
      </c>
      <c r="I405" s="389">
        <f>+I408</f>
        <v>14072.2</v>
      </c>
      <c r="J405" s="389">
        <f>+J408</f>
        <v>7756.94</v>
      </c>
      <c r="K405" s="389">
        <f t="shared" si="243"/>
        <v>7777.78</v>
      </c>
      <c r="L405" s="389">
        <f t="shared" si="243"/>
        <v>0</v>
      </c>
      <c r="M405" s="389">
        <f t="shared" si="243"/>
        <v>0</v>
      </c>
      <c r="N405" s="2337"/>
      <c r="O405" s="1649"/>
      <c r="P405" s="2337"/>
    </row>
    <row r="406" spans="1:25" s="1" customFormat="1" ht="17.25" customHeight="1" outlineLevel="1" x14ac:dyDescent="0.3">
      <c r="A406" s="1717" t="s">
        <v>960</v>
      </c>
      <c r="B406" s="1718" t="s">
        <v>186</v>
      </c>
      <c r="C406" s="1718" t="s">
        <v>334</v>
      </c>
      <c r="D406" s="1718" t="s">
        <v>185</v>
      </c>
      <c r="E406" s="1719">
        <v>169419.4</v>
      </c>
      <c r="F406" s="1214">
        <f>F407+F408</f>
        <v>0</v>
      </c>
      <c r="G406" s="385" t="s">
        <v>12</v>
      </c>
      <c r="H406" s="389">
        <f>H407+H408</f>
        <v>169419.4</v>
      </c>
      <c r="I406" s="389">
        <f t="shared" ref="I406" si="244">I407+I408</f>
        <v>14072.2</v>
      </c>
      <c r="J406" s="389">
        <f>J407+J408</f>
        <v>77569.42</v>
      </c>
      <c r="K406" s="389">
        <f>K407+K408</f>
        <v>77777.78</v>
      </c>
      <c r="L406" s="389"/>
      <c r="M406" s="389"/>
      <c r="N406" s="2337"/>
      <c r="O406" s="1650"/>
      <c r="P406" s="2337"/>
    </row>
    <row r="407" spans="1:25" s="1" customFormat="1" ht="15" customHeight="1" outlineLevel="1" x14ac:dyDescent="0.3">
      <c r="A407" s="1717"/>
      <c r="B407" s="1718"/>
      <c r="C407" s="1718"/>
      <c r="D407" s="1718"/>
      <c r="E407" s="1719"/>
      <c r="F407" s="1214">
        <v>0</v>
      </c>
      <c r="G407" s="385" t="s">
        <v>13</v>
      </c>
      <c r="H407" s="389">
        <f>I407+J407+K407+L407+M407</f>
        <v>139812.48000000001</v>
      </c>
      <c r="I407" s="389">
        <v>0</v>
      </c>
      <c r="J407" s="389">
        <v>69812.479999999996</v>
      </c>
      <c r="K407" s="389">
        <v>70000</v>
      </c>
      <c r="L407" s="389"/>
      <c r="M407" s="389"/>
      <c r="N407" s="2337"/>
      <c r="O407" s="2303" t="s">
        <v>16</v>
      </c>
      <c r="P407" s="275"/>
    </row>
    <row r="408" spans="1:25" s="1" customFormat="1" ht="52.8" outlineLevel="1" x14ac:dyDescent="0.3">
      <c r="A408" s="1717"/>
      <c r="B408" s="1718"/>
      <c r="C408" s="1718"/>
      <c r="D408" s="1718"/>
      <c r="E408" s="1719"/>
      <c r="F408" s="1214">
        <v>0</v>
      </c>
      <c r="G408" s="385" t="s">
        <v>14</v>
      </c>
      <c r="H408" s="389">
        <f>I408+J408+K408+L408+M408</f>
        <v>29606.92</v>
      </c>
      <c r="I408" s="389">
        <v>14072.2</v>
      </c>
      <c r="J408" s="389">
        <v>7756.94</v>
      </c>
      <c r="K408" s="389">
        <v>7777.78</v>
      </c>
      <c r="L408" s="389"/>
      <c r="M408" s="389"/>
      <c r="N408" s="2337"/>
      <c r="O408" s="2304"/>
      <c r="P408" s="275" t="s">
        <v>1557</v>
      </c>
      <c r="Y408" s="1">
        <v>1</v>
      </c>
    </row>
    <row r="409" spans="1:25" s="1" customFormat="1" ht="52.8" outlineLevel="1" x14ac:dyDescent="0.3">
      <c r="A409" s="1717"/>
      <c r="B409" s="1213" t="s">
        <v>121</v>
      </c>
      <c r="C409" s="1213">
        <v>2018</v>
      </c>
      <c r="D409" s="1718"/>
      <c r="E409" s="1214">
        <v>14072.2</v>
      </c>
      <c r="F409" s="1214"/>
      <c r="G409" s="385" t="s">
        <v>14</v>
      </c>
      <c r="H409" s="389">
        <f t="shared" ref="H409" si="245">I409+J409+K409+L409+M409</f>
        <v>14072.2</v>
      </c>
      <c r="I409" s="389">
        <v>14072.2</v>
      </c>
      <c r="J409" s="389"/>
      <c r="K409" s="389"/>
      <c r="L409" s="389"/>
      <c r="M409" s="389"/>
      <c r="N409" s="2337"/>
      <c r="O409" s="2304"/>
      <c r="P409" s="275"/>
    </row>
    <row r="410" spans="1:25" s="1" customFormat="1" ht="26.4" outlineLevel="1" x14ac:dyDescent="0.3">
      <c r="A410" s="2367" t="s">
        <v>961</v>
      </c>
      <c r="B410" s="1718" t="s">
        <v>335</v>
      </c>
      <c r="C410" s="1718"/>
      <c r="D410" s="1718"/>
      <c r="E410" s="1718"/>
      <c r="F410" s="1718"/>
      <c r="G410" s="385" t="s">
        <v>12</v>
      </c>
      <c r="H410" s="389">
        <f>H411+H412</f>
        <v>80710.2</v>
      </c>
      <c r="I410" s="389">
        <f>I411+I412</f>
        <v>80710.2</v>
      </c>
      <c r="J410" s="389">
        <f>J411+J412</f>
        <v>0</v>
      </c>
      <c r="K410" s="389">
        <v>0</v>
      </c>
      <c r="L410" s="389">
        <v>0</v>
      </c>
      <c r="M410" s="389">
        <v>0</v>
      </c>
      <c r="N410" s="2337"/>
      <c r="O410" s="1648">
        <v>2</v>
      </c>
      <c r="P410" s="275" t="s">
        <v>1558</v>
      </c>
    </row>
    <row r="411" spans="1:25" s="1" customFormat="1" ht="26.4" outlineLevel="1" x14ac:dyDescent="0.3">
      <c r="A411" s="2367"/>
      <c r="B411" s="1718"/>
      <c r="C411" s="1718"/>
      <c r="D411" s="1718"/>
      <c r="E411" s="1718"/>
      <c r="F411" s="1718"/>
      <c r="G411" s="385" t="s">
        <v>13</v>
      </c>
      <c r="H411" s="389">
        <f>SUM(I411:M411)</f>
        <v>73398.7</v>
      </c>
      <c r="I411" s="389">
        <f>I414+I420</f>
        <v>73398.7</v>
      </c>
      <c r="J411" s="389">
        <f>J414</f>
        <v>0</v>
      </c>
      <c r="K411" s="389">
        <v>0</v>
      </c>
      <c r="L411" s="389">
        <v>0</v>
      </c>
      <c r="M411" s="389">
        <v>0</v>
      </c>
      <c r="N411" s="2337"/>
      <c r="O411" s="1649"/>
      <c r="P411" s="275"/>
    </row>
    <row r="412" spans="1:25" s="1" customFormat="1" ht="35.25" customHeight="1" outlineLevel="1" x14ac:dyDescent="0.3">
      <c r="A412" s="2367"/>
      <c r="B412" s="1718"/>
      <c r="C412" s="1718"/>
      <c r="D412" s="1718"/>
      <c r="E412" s="1718"/>
      <c r="F412" s="1718"/>
      <c r="G412" s="385" t="s">
        <v>14</v>
      </c>
      <c r="H412" s="389">
        <f>SUM(I412:M412)</f>
        <v>7311.5</v>
      </c>
      <c r="I412" s="389">
        <f>I415+I421</f>
        <v>7311.5</v>
      </c>
      <c r="J412" s="389">
        <f>J415</f>
        <v>0</v>
      </c>
      <c r="K412" s="389">
        <v>0</v>
      </c>
      <c r="L412" s="389">
        <v>0</v>
      </c>
      <c r="M412" s="389">
        <v>0</v>
      </c>
      <c r="N412" s="2337"/>
      <c r="O412" s="1650"/>
      <c r="P412" s="275"/>
    </row>
    <row r="413" spans="1:25" s="1" customFormat="1" outlineLevel="1" x14ac:dyDescent="0.3">
      <c r="A413" s="1717" t="s">
        <v>962</v>
      </c>
      <c r="B413" s="1718" t="s">
        <v>187</v>
      </c>
      <c r="C413" s="1718">
        <v>2018</v>
      </c>
      <c r="D413" s="1718" t="s">
        <v>188</v>
      </c>
      <c r="E413" s="1719">
        <f>H413</f>
        <v>62710.2</v>
      </c>
      <c r="F413" s="1214">
        <f>F414+F415</f>
        <v>0</v>
      </c>
      <c r="G413" s="385" t="s">
        <v>12</v>
      </c>
      <c r="H413" s="389">
        <f>H414+H415</f>
        <v>62710.2</v>
      </c>
      <c r="I413" s="389">
        <f>I414+I415</f>
        <v>62710.2</v>
      </c>
      <c r="J413" s="389">
        <v>0</v>
      </c>
      <c r="K413" s="389">
        <v>0</v>
      </c>
      <c r="L413" s="389">
        <v>0</v>
      </c>
      <c r="M413" s="389">
        <v>0</v>
      </c>
      <c r="N413" s="2337"/>
      <c r="O413" s="2294" t="s">
        <v>16</v>
      </c>
      <c r="P413" s="2337" t="s">
        <v>1559</v>
      </c>
    </row>
    <row r="414" spans="1:25" s="1" customFormat="1" ht="26.4" outlineLevel="1" x14ac:dyDescent="0.3">
      <c r="A414" s="1717"/>
      <c r="B414" s="1718"/>
      <c r="C414" s="1718"/>
      <c r="D414" s="1718"/>
      <c r="E414" s="1719"/>
      <c r="F414" s="1214">
        <v>0</v>
      </c>
      <c r="G414" s="385" t="s">
        <v>13</v>
      </c>
      <c r="H414" s="389">
        <f>I414+J414+K414+L414+M414</f>
        <v>59574.7</v>
      </c>
      <c r="I414" s="389">
        <f>57000+2574.7</f>
        <v>59574.7</v>
      </c>
      <c r="J414" s="389">
        <v>0</v>
      </c>
      <c r="K414" s="389">
        <v>0</v>
      </c>
      <c r="L414" s="389">
        <v>0</v>
      </c>
      <c r="M414" s="389">
        <v>0</v>
      </c>
      <c r="N414" s="2337"/>
      <c r="O414" s="2334"/>
      <c r="P414" s="2337"/>
      <c r="W414" s="1">
        <v>1</v>
      </c>
    </row>
    <row r="415" spans="1:25" s="1" customFormat="1" ht="37.5" customHeight="1" outlineLevel="1" x14ac:dyDescent="0.3">
      <c r="A415" s="1717"/>
      <c r="B415" s="1718"/>
      <c r="C415" s="1718"/>
      <c r="D415" s="1718"/>
      <c r="E415" s="1719"/>
      <c r="F415" s="1214">
        <v>0</v>
      </c>
      <c r="G415" s="385" t="s">
        <v>14</v>
      </c>
      <c r="H415" s="389">
        <f>SUM(I415:M415)</f>
        <v>3135.5</v>
      </c>
      <c r="I415" s="389">
        <f>3000+135.5</f>
        <v>3135.5</v>
      </c>
      <c r="J415" s="389">
        <v>0</v>
      </c>
      <c r="K415" s="389">
        <v>0</v>
      </c>
      <c r="L415" s="389">
        <v>0</v>
      </c>
      <c r="M415" s="389">
        <v>0</v>
      </c>
      <c r="N415" s="2337"/>
      <c r="O415" s="2295"/>
      <c r="P415" s="2337"/>
    </row>
    <row r="416" spans="1:25" s="1" customFormat="1" outlineLevel="1" x14ac:dyDescent="0.3">
      <c r="A416" s="1717"/>
      <c r="B416" s="1718" t="s">
        <v>121</v>
      </c>
      <c r="C416" s="1786"/>
      <c r="D416" s="1718"/>
      <c r="E416" s="1719">
        <f>H416</f>
        <v>2710.2</v>
      </c>
      <c r="F416" s="1214">
        <f>F417+F418</f>
        <v>0</v>
      </c>
      <c r="G416" s="385" t="s">
        <v>12</v>
      </c>
      <c r="H416" s="389">
        <f>H418+H417</f>
        <v>2710.2</v>
      </c>
      <c r="I416" s="389">
        <f>I417+I418</f>
        <v>2710.2</v>
      </c>
      <c r="J416" s="389">
        <v>0</v>
      </c>
      <c r="K416" s="389">
        <v>0</v>
      </c>
      <c r="L416" s="389">
        <v>0</v>
      </c>
      <c r="M416" s="389">
        <v>0</v>
      </c>
      <c r="N416" s="2337"/>
      <c r="O416" s="2303"/>
      <c r="P416" s="2337"/>
    </row>
    <row r="417" spans="1:25" s="1" customFormat="1" ht="26.4" outlineLevel="1" x14ac:dyDescent="0.3">
      <c r="A417" s="1717"/>
      <c r="B417" s="1718"/>
      <c r="C417" s="1786"/>
      <c r="D417" s="1718"/>
      <c r="E417" s="1718"/>
      <c r="F417" s="1214">
        <v>0</v>
      </c>
      <c r="G417" s="385" t="s">
        <v>13</v>
      </c>
      <c r="H417" s="389">
        <f>I417+J417+K417+L417+M417</f>
        <v>2574.6999999999998</v>
      </c>
      <c r="I417" s="389">
        <v>2574.6999999999998</v>
      </c>
      <c r="J417" s="389">
        <v>0</v>
      </c>
      <c r="K417" s="389">
        <v>0</v>
      </c>
      <c r="L417" s="389">
        <v>0</v>
      </c>
      <c r="M417" s="389">
        <v>0</v>
      </c>
      <c r="N417" s="2337"/>
      <c r="O417" s="2304"/>
      <c r="P417" s="2337"/>
    </row>
    <row r="418" spans="1:25" s="1" customFormat="1" ht="29.25" customHeight="1" outlineLevel="1" x14ac:dyDescent="0.3">
      <c r="A418" s="1717"/>
      <c r="B418" s="1718"/>
      <c r="C418" s="1786"/>
      <c r="D418" s="1718"/>
      <c r="E418" s="1718"/>
      <c r="F418" s="1214">
        <v>0</v>
      </c>
      <c r="G418" s="385" t="s">
        <v>14</v>
      </c>
      <c r="H418" s="389">
        <f>I418+J418+K418+L418+M418</f>
        <v>135.5</v>
      </c>
      <c r="I418" s="389">
        <v>135.5</v>
      </c>
      <c r="J418" s="389">
        <v>0</v>
      </c>
      <c r="K418" s="389">
        <v>0</v>
      </c>
      <c r="L418" s="389">
        <v>0</v>
      </c>
      <c r="M418" s="389">
        <v>0</v>
      </c>
      <c r="N418" s="2337"/>
      <c r="O418" s="2305"/>
      <c r="P418" s="2337"/>
    </row>
    <row r="419" spans="1:25" s="1" customFormat="1" ht="15" customHeight="1" outlineLevel="1" x14ac:dyDescent="0.3">
      <c r="A419" s="2367" t="s">
        <v>976</v>
      </c>
      <c r="B419" s="2021" t="s">
        <v>1656</v>
      </c>
      <c r="C419" s="1718">
        <v>2018</v>
      </c>
      <c r="D419" s="1718" t="s">
        <v>819</v>
      </c>
      <c r="E419" s="1719">
        <v>18000</v>
      </c>
      <c r="F419" s="1214">
        <f>F420+F421</f>
        <v>0</v>
      </c>
      <c r="G419" s="385" t="s">
        <v>12</v>
      </c>
      <c r="H419" s="389">
        <f>H420+H421</f>
        <v>18000</v>
      </c>
      <c r="I419" s="389">
        <f>I420+I421</f>
        <v>18000</v>
      </c>
      <c r="J419" s="389"/>
      <c r="K419" s="389"/>
      <c r="L419" s="389"/>
      <c r="M419" s="389"/>
      <c r="N419" s="2337"/>
      <c r="O419" s="2303" t="s">
        <v>16</v>
      </c>
      <c r="P419" s="2337" t="s">
        <v>1560</v>
      </c>
    </row>
    <row r="420" spans="1:25" s="1" customFormat="1" ht="26.4" outlineLevel="1" x14ac:dyDescent="0.3">
      <c r="A420" s="2367"/>
      <c r="B420" s="2021"/>
      <c r="C420" s="1718"/>
      <c r="D420" s="1718"/>
      <c r="E420" s="1719"/>
      <c r="F420" s="1214">
        <v>0</v>
      </c>
      <c r="G420" s="385" t="s">
        <v>13</v>
      </c>
      <c r="H420" s="389">
        <f>I420+J420+L420++K420+M420</f>
        <v>13824</v>
      </c>
      <c r="I420" s="389">
        <v>13824</v>
      </c>
      <c r="J420" s="389"/>
      <c r="K420" s="389"/>
      <c r="L420" s="389"/>
      <c r="M420" s="389"/>
      <c r="N420" s="2337"/>
      <c r="O420" s="2304"/>
      <c r="P420" s="2337"/>
      <c r="W420" s="1">
        <v>1</v>
      </c>
    </row>
    <row r="421" spans="1:25" s="1" customFormat="1" ht="30.75" customHeight="1" outlineLevel="1" x14ac:dyDescent="0.3">
      <c r="A421" s="2367"/>
      <c r="B421" s="2021"/>
      <c r="C421" s="1718"/>
      <c r="D421" s="1718"/>
      <c r="E421" s="1719"/>
      <c r="F421" s="1214">
        <v>0</v>
      </c>
      <c r="G421" s="385" t="s">
        <v>14</v>
      </c>
      <c r="H421" s="389">
        <f>I421+J421+L421++K421+M421</f>
        <v>4176</v>
      </c>
      <c r="I421" s="389">
        <v>4176</v>
      </c>
      <c r="J421" s="389"/>
      <c r="K421" s="389"/>
      <c r="L421" s="389"/>
      <c r="M421" s="389"/>
      <c r="N421" s="2337"/>
      <c r="O421" s="2304"/>
      <c r="P421" s="2337"/>
    </row>
    <row r="422" spans="1:25" s="1" customFormat="1" outlineLevel="1" x14ac:dyDescent="0.3">
      <c r="A422" s="2367" t="s">
        <v>963</v>
      </c>
      <c r="B422" s="1718" t="s">
        <v>142</v>
      </c>
      <c r="C422" s="1718"/>
      <c r="D422" s="1718"/>
      <c r="E422" s="1718"/>
      <c r="F422" s="1718"/>
      <c r="G422" s="385" t="s">
        <v>12</v>
      </c>
      <c r="H422" s="389">
        <f>H423+H424</f>
        <v>208000</v>
      </c>
      <c r="I422" s="389">
        <f>I423+I424</f>
        <v>10000</v>
      </c>
      <c r="J422" s="389">
        <f>J423+J424</f>
        <v>86888.89</v>
      </c>
      <c r="K422" s="389">
        <f>K423+K424</f>
        <v>111111.11</v>
      </c>
      <c r="L422" s="389">
        <v>0</v>
      </c>
      <c r="M422" s="389">
        <v>0</v>
      </c>
      <c r="N422" s="2337"/>
      <c r="O422" s="2304"/>
      <c r="P422" s="2337" t="s">
        <v>1561</v>
      </c>
    </row>
    <row r="423" spans="1:25" s="1" customFormat="1" ht="26.4" outlineLevel="1" x14ac:dyDescent="0.3">
      <c r="A423" s="2367"/>
      <c r="B423" s="1718"/>
      <c r="C423" s="1718"/>
      <c r="D423" s="1718"/>
      <c r="E423" s="1718"/>
      <c r="F423" s="1718"/>
      <c r="G423" s="385" t="s">
        <v>13</v>
      </c>
      <c r="H423" s="389">
        <f>SUM(I423:M423)</f>
        <v>187200</v>
      </c>
      <c r="I423" s="389">
        <f t="shared" ref="I423:K424" si="246">I426</f>
        <v>9000</v>
      </c>
      <c r="J423" s="389">
        <f t="shared" si="246"/>
        <v>78200</v>
      </c>
      <c r="K423" s="389">
        <f t="shared" si="246"/>
        <v>100000</v>
      </c>
      <c r="L423" s="389">
        <v>0</v>
      </c>
      <c r="M423" s="389">
        <v>0</v>
      </c>
      <c r="N423" s="2337"/>
      <c r="O423" s="2304"/>
      <c r="P423" s="2337"/>
    </row>
    <row r="424" spans="1:25" s="1" customFormat="1" ht="25.5" customHeight="1" outlineLevel="1" x14ac:dyDescent="0.3">
      <c r="A424" s="2367"/>
      <c r="B424" s="1718"/>
      <c r="C424" s="1718"/>
      <c r="D424" s="1718"/>
      <c r="E424" s="1718"/>
      <c r="F424" s="1718"/>
      <c r="G424" s="385" t="s">
        <v>14</v>
      </c>
      <c r="H424" s="389">
        <f>SUM(I424:M424)</f>
        <v>20800</v>
      </c>
      <c r="I424" s="389">
        <f t="shared" si="246"/>
        <v>1000</v>
      </c>
      <c r="J424" s="389">
        <f t="shared" si="246"/>
        <v>8688.89</v>
      </c>
      <c r="K424" s="389">
        <f t="shared" si="246"/>
        <v>11111.11</v>
      </c>
      <c r="L424" s="389">
        <v>0</v>
      </c>
      <c r="M424" s="389">
        <v>0</v>
      </c>
      <c r="N424" s="2337"/>
      <c r="O424" s="2305"/>
      <c r="P424" s="2337"/>
    </row>
    <row r="425" spans="1:25" s="1" customFormat="1" outlineLevel="1" x14ac:dyDescent="0.3">
      <c r="A425" s="1717" t="s">
        <v>964</v>
      </c>
      <c r="B425" s="1718" t="s">
        <v>190</v>
      </c>
      <c r="C425" s="1718" t="s">
        <v>334</v>
      </c>
      <c r="D425" s="1718" t="s">
        <v>189</v>
      </c>
      <c r="E425" s="1719">
        <v>208000</v>
      </c>
      <c r="F425" s="1214">
        <f>F426+F427</f>
        <v>0</v>
      </c>
      <c r="G425" s="385" t="s">
        <v>12</v>
      </c>
      <c r="H425" s="389">
        <f>H426+H427</f>
        <v>208000</v>
      </c>
      <c r="I425" s="389">
        <f>I426/0.9</f>
        <v>10000</v>
      </c>
      <c r="J425" s="389">
        <f>J426/0.9</f>
        <v>86888.89</v>
      </c>
      <c r="K425" s="389">
        <f>K426/0.9</f>
        <v>111111.11</v>
      </c>
      <c r="L425" s="389">
        <v>0</v>
      </c>
      <c r="M425" s="389">
        <v>0</v>
      </c>
      <c r="N425" s="2337"/>
      <c r="O425" s="2303">
        <v>1</v>
      </c>
      <c r="P425" s="2337" t="s">
        <v>1562</v>
      </c>
    </row>
    <row r="426" spans="1:25" s="1" customFormat="1" ht="26.4" outlineLevel="1" x14ac:dyDescent="0.3">
      <c r="A426" s="1717"/>
      <c r="B426" s="1718"/>
      <c r="C426" s="1718"/>
      <c r="D426" s="1718"/>
      <c r="E426" s="1719"/>
      <c r="F426" s="1214">
        <v>0</v>
      </c>
      <c r="G426" s="385" t="s">
        <v>13</v>
      </c>
      <c r="H426" s="389">
        <f>I426+J426+K426+L426+M426</f>
        <v>187200</v>
      </c>
      <c r="I426" s="389">
        <f>78200+9000-78200</f>
        <v>9000</v>
      </c>
      <c r="J426" s="389">
        <v>78200</v>
      </c>
      <c r="K426" s="389">
        <v>100000</v>
      </c>
      <c r="L426" s="389">
        <v>0</v>
      </c>
      <c r="M426" s="389">
        <v>0</v>
      </c>
      <c r="N426" s="2337"/>
      <c r="O426" s="2304"/>
      <c r="P426" s="2337"/>
    </row>
    <row r="427" spans="1:25" s="1" customFormat="1" ht="52.8" outlineLevel="1" x14ac:dyDescent="0.3">
      <c r="A427" s="1717"/>
      <c r="B427" s="1718"/>
      <c r="C427" s="1718"/>
      <c r="D427" s="1718"/>
      <c r="E427" s="1719"/>
      <c r="F427" s="1214">
        <v>0</v>
      </c>
      <c r="G427" s="385" t="s">
        <v>14</v>
      </c>
      <c r="H427" s="389">
        <f>I427+J427+K427+L427+M427</f>
        <v>20800</v>
      </c>
      <c r="I427" s="389">
        <f>I425*0.1</f>
        <v>1000</v>
      </c>
      <c r="J427" s="389">
        <f>J425*0.1</f>
        <v>8688.89</v>
      </c>
      <c r="K427" s="389">
        <f>K425*0.1</f>
        <v>11111.11</v>
      </c>
      <c r="L427" s="389">
        <v>0</v>
      </c>
      <c r="M427" s="389">
        <v>0</v>
      </c>
      <c r="N427" s="2337"/>
      <c r="O427" s="2305"/>
      <c r="P427" s="2337"/>
      <c r="Y427" s="1">
        <v>1</v>
      </c>
    </row>
    <row r="428" spans="1:25" s="1" customFormat="1" outlineLevel="1" x14ac:dyDescent="0.3">
      <c r="A428" s="1717"/>
      <c r="B428" s="1718" t="s">
        <v>121</v>
      </c>
      <c r="C428" s="1718">
        <v>2018</v>
      </c>
      <c r="D428" s="1718"/>
      <c r="E428" s="1719">
        <v>10000</v>
      </c>
      <c r="F428" s="1214">
        <f>F429+F430</f>
        <v>0</v>
      </c>
      <c r="G428" s="385" t="s">
        <v>12</v>
      </c>
      <c r="H428" s="389">
        <f>H430+H429</f>
        <v>10000</v>
      </c>
      <c r="I428" s="389">
        <f>I429+I430</f>
        <v>10000</v>
      </c>
      <c r="J428" s="389">
        <v>0</v>
      </c>
      <c r="K428" s="389">
        <v>0</v>
      </c>
      <c r="L428" s="389">
        <v>0</v>
      </c>
      <c r="M428" s="389">
        <v>0</v>
      </c>
      <c r="N428" s="2337"/>
      <c r="O428" s="2294" t="s">
        <v>16</v>
      </c>
      <c r="P428" s="2337"/>
    </row>
    <row r="429" spans="1:25" s="1" customFormat="1" ht="26.4" outlineLevel="1" x14ac:dyDescent="0.3">
      <c r="A429" s="1717"/>
      <c r="B429" s="1718"/>
      <c r="C429" s="1718"/>
      <c r="D429" s="1718"/>
      <c r="E429" s="1719"/>
      <c r="F429" s="1214">
        <v>0</v>
      </c>
      <c r="G429" s="385" t="s">
        <v>13</v>
      </c>
      <c r="H429" s="389">
        <f>I429+J429+K429+L429+M429</f>
        <v>9000</v>
      </c>
      <c r="I429" s="389">
        <v>9000</v>
      </c>
      <c r="J429" s="389">
        <v>0</v>
      </c>
      <c r="K429" s="389">
        <v>0</v>
      </c>
      <c r="L429" s="389">
        <v>0</v>
      </c>
      <c r="M429" s="389">
        <v>0</v>
      </c>
      <c r="N429" s="2337"/>
      <c r="O429" s="2334"/>
      <c r="P429" s="2337"/>
    </row>
    <row r="430" spans="1:25" s="1" customFormat="1" ht="37.5" customHeight="1" outlineLevel="1" x14ac:dyDescent="0.3">
      <c r="A430" s="1717"/>
      <c r="B430" s="1718"/>
      <c r="C430" s="1718"/>
      <c r="D430" s="1718"/>
      <c r="E430" s="1719"/>
      <c r="F430" s="1214">
        <v>0</v>
      </c>
      <c r="G430" s="385" t="s">
        <v>14</v>
      </c>
      <c r="H430" s="389">
        <f>I430+J430+K430+L430+M430</f>
        <v>1000</v>
      </c>
      <c r="I430" s="389">
        <v>1000</v>
      </c>
      <c r="J430" s="389">
        <v>0</v>
      </c>
      <c r="K430" s="389">
        <v>0</v>
      </c>
      <c r="L430" s="389">
        <v>0</v>
      </c>
      <c r="M430" s="389">
        <v>0</v>
      </c>
      <c r="N430" s="2337"/>
      <c r="O430" s="2295"/>
      <c r="P430" s="2337"/>
    </row>
    <row r="431" spans="1:25" s="1" customFormat="1" ht="16.5" customHeight="1" outlineLevel="1" x14ac:dyDescent="0.3">
      <c r="A431" s="2367" t="s">
        <v>969</v>
      </c>
      <c r="B431" s="1718" t="s">
        <v>173</v>
      </c>
      <c r="C431" s="1718"/>
      <c r="D431" s="1718"/>
      <c r="E431" s="1718"/>
      <c r="F431" s="1718"/>
      <c r="G431" s="385" t="s">
        <v>12</v>
      </c>
      <c r="H431" s="389">
        <f>H432+H433</f>
        <v>24965.08</v>
      </c>
      <c r="I431" s="389">
        <f>I432+I433</f>
        <v>24965.08</v>
      </c>
      <c r="J431" s="389">
        <v>0</v>
      </c>
      <c r="K431" s="389">
        <v>0</v>
      </c>
      <c r="L431" s="389">
        <v>0</v>
      </c>
      <c r="M431" s="389">
        <v>0</v>
      </c>
      <c r="N431" s="2337"/>
      <c r="O431" s="2303">
        <v>1</v>
      </c>
      <c r="P431" s="2337" t="s">
        <v>1563</v>
      </c>
    </row>
    <row r="432" spans="1:25" s="1" customFormat="1" ht="30" customHeight="1" outlineLevel="1" x14ac:dyDescent="0.3">
      <c r="A432" s="2367"/>
      <c r="B432" s="1718"/>
      <c r="C432" s="1718"/>
      <c r="D432" s="1718"/>
      <c r="E432" s="1718"/>
      <c r="F432" s="1718"/>
      <c r="G432" s="385" t="s">
        <v>13</v>
      </c>
      <c r="H432" s="389">
        <f>I432+J432+K432+L432+M432</f>
        <v>23716.81</v>
      </c>
      <c r="I432" s="389">
        <f>I435</f>
        <v>23716.81</v>
      </c>
      <c r="J432" s="389">
        <v>0</v>
      </c>
      <c r="K432" s="389">
        <v>0</v>
      </c>
      <c r="L432" s="389">
        <v>0</v>
      </c>
      <c r="M432" s="389">
        <v>0</v>
      </c>
      <c r="N432" s="2337"/>
      <c r="O432" s="2304"/>
      <c r="P432" s="2337"/>
    </row>
    <row r="433" spans="1:24" s="1" customFormat="1" ht="27.75" customHeight="1" outlineLevel="1" x14ac:dyDescent="0.3">
      <c r="A433" s="2367"/>
      <c r="B433" s="1718"/>
      <c r="C433" s="1718"/>
      <c r="D433" s="1718"/>
      <c r="E433" s="1718"/>
      <c r="F433" s="1718"/>
      <c r="G433" s="385" t="s">
        <v>14</v>
      </c>
      <c r="H433" s="389">
        <f>I433+J433+K433+L433+M433</f>
        <v>1248.27</v>
      </c>
      <c r="I433" s="389">
        <f>I436</f>
        <v>1248.27</v>
      </c>
      <c r="J433" s="389">
        <v>0</v>
      </c>
      <c r="K433" s="389">
        <v>0</v>
      </c>
      <c r="L433" s="389">
        <v>0</v>
      </c>
      <c r="M433" s="389">
        <v>0</v>
      </c>
      <c r="N433" s="2337"/>
      <c r="O433" s="2305"/>
      <c r="P433" s="2337"/>
    </row>
    <row r="434" spans="1:24" s="1" customFormat="1" ht="14.25" customHeight="1" outlineLevel="1" x14ac:dyDescent="0.3">
      <c r="A434" s="2367" t="s">
        <v>970</v>
      </c>
      <c r="B434" s="1718" t="s">
        <v>204</v>
      </c>
      <c r="C434" s="1718">
        <v>2018</v>
      </c>
      <c r="D434" s="1718" t="s">
        <v>210</v>
      </c>
      <c r="E434" s="1719">
        <v>24965.06</v>
      </c>
      <c r="F434" s="1214">
        <f>F435+F436</f>
        <v>0</v>
      </c>
      <c r="G434" s="385" t="s">
        <v>12</v>
      </c>
      <c r="H434" s="389">
        <f>H435+H436</f>
        <v>24965.08</v>
      </c>
      <c r="I434" s="389">
        <f>I435+I436</f>
        <v>24965.08</v>
      </c>
      <c r="J434" s="389">
        <v>0</v>
      </c>
      <c r="K434" s="389">
        <v>0</v>
      </c>
      <c r="L434" s="389">
        <v>0</v>
      </c>
      <c r="M434" s="389">
        <v>0</v>
      </c>
      <c r="N434" s="2337"/>
      <c r="O434" s="2294" t="s">
        <v>16</v>
      </c>
      <c r="P434" s="394"/>
    </row>
    <row r="435" spans="1:24" s="1" customFormat="1" ht="35.25" customHeight="1" outlineLevel="1" x14ac:dyDescent="0.3">
      <c r="A435" s="2367"/>
      <c r="B435" s="1718"/>
      <c r="C435" s="1718"/>
      <c r="D435" s="1718"/>
      <c r="E435" s="1719"/>
      <c r="F435" s="1214">
        <v>0</v>
      </c>
      <c r="G435" s="385" t="s">
        <v>13</v>
      </c>
      <c r="H435" s="389">
        <f>I435+J435+K435+L435+M435</f>
        <v>23716.81</v>
      </c>
      <c r="I435" s="389">
        <f>23163.31+553.5</f>
        <v>23716.81</v>
      </c>
      <c r="J435" s="389">
        <v>0</v>
      </c>
      <c r="K435" s="389">
        <v>0</v>
      </c>
      <c r="L435" s="389">
        <v>0</v>
      </c>
      <c r="M435" s="389">
        <v>0</v>
      </c>
      <c r="N435" s="2337"/>
      <c r="O435" s="2334"/>
      <c r="P435" s="394" t="s">
        <v>1564</v>
      </c>
      <c r="W435" s="1">
        <v>1</v>
      </c>
    </row>
    <row r="436" spans="1:24" s="1" customFormat="1" ht="31.5" customHeight="1" outlineLevel="1" x14ac:dyDescent="0.3">
      <c r="A436" s="2367"/>
      <c r="B436" s="1718"/>
      <c r="C436" s="1718"/>
      <c r="D436" s="1718"/>
      <c r="E436" s="1719"/>
      <c r="F436" s="1214">
        <v>0</v>
      </c>
      <c r="G436" s="385" t="s">
        <v>14</v>
      </c>
      <c r="H436" s="389">
        <f>I436+J436+K436+L436+M436</f>
        <v>1248.27</v>
      </c>
      <c r="I436" s="389">
        <f>1219.12+29.15</f>
        <v>1248.27</v>
      </c>
      <c r="J436" s="389">
        <v>0</v>
      </c>
      <c r="K436" s="389">
        <v>0</v>
      </c>
      <c r="L436" s="389">
        <v>0</v>
      </c>
      <c r="M436" s="389">
        <v>0</v>
      </c>
      <c r="N436" s="2337"/>
      <c r="O436" s="2295"/>
      <c r="P436" s="394"/>
    </row>
    <row r="437" spans="1:24" s="1" customFormat="1" ht="15.75" customHeight="1" outlineLevel="1" x14ac:dyDescent="0.3">
      <c r="A437" s="2367" t="s">
        <v>973</v>
      </c>
      <c r="B437" s="1718" t="s">
        <v>1515</v>
      </c>
      <c r="C437" s="1718"/>
      <c r="D437" s="1718"/>
      <c r="E437" s="1718"/>
      <c r="F437" s="1718"/>
      <c r="G437" s="385" t="s">
        <v>12</v>
      </c>
      <c r="H437" s="389">
        <f>H438+H439</f>
        <v>87822.25</v>
      </c>
      <c r="I437" s="389">
        <f>I438+I439</f>
        <v>8782.2199999999993</v>
      </c>
      <c r="J437" s="389">
        <f>J438+J439</f>
        <v>79040.03</v>
      </c>
      <c r="K437" s="389">
        <v>0</v>
      </c>
      <c r="L437" s="389">
        <v>0</v>
      </c>
      <c r="M437" s="389">
        <v>0</v>
      </c>
      <c r="N437" s="2337"/>
      <c r="O437" s="395" t="s">
        <v>1119</v>
      </c>
      <c r="P437" s="394"/>
    </row>
    <row r="438" spans="1:24" s="1" customFormat="1" ht="30.75" customHeight="1" outlineLevel="1" x14ac:dyDescent="0.3">
      <c r="A438" s="2367"/>
      <c r="B438" s="1718"/>
      <c r="C438" s="1718"/>
      <c r="D438" s="1718"/>
      <c r="E438" s="1718"/>
      <c r="F438" s="1718"/>
      <c r="G438" s="385" t="s">
        <v>13</v>
      </c>
      <c r="H438" s="389">
        <f>I438+J438+K438+L438+M438</f>
        <v>83431.14</v>
      </c>
      <c r="I438" s="389">
        <f>I441+I444+I447</f>
        <v>8343.11</v>
      </c>
      <c r="J438" s="389">
        <f>J441+J444+J447</f>
        <v>75088.03</v>
      </c>
      <c r="K438" s="389">
        <v>0</v>
      </c>
      <c r="L438" s="389">
        <v>0</v>
      </c>
      <c r="M438" s="389">
        <v>0</v>
      </c>
      <c r="N438" s="2337"/>
      <c r="O438" s="395" t="s">
        <v>702</v>
      </c>
      <c r="P438" s="394" t="s">
        <v>1565</v>
      </c>
    </row>
    <row r="439" spans="1:24" s="1" customFormat="1" ht="27.75" customHeight="1" outlineLevel="1" x14ac:dyDescent="0.3">
      <c r="A439" s="2367"/>
      <c r="B439" s="1718"/>
      <c r="C439" s="1718"/>
      <c r="D439" s="1718"/>
      <c r="E439" s="1718"/>
      <c r="F439" s="1718"/>
      <c r="G439" s="385" t="s">
        <v>14</v>
      </c>
      <c r="H439" s="389">
        <f>I439+J439+K439+L439+M439</f>
        <v>4391.1099999999997</v>
      </c>
      <c r="I439" s="389">
        <f>I442+I445+I448</f>
        <v>439.11</v>
      </c>
      <c r="J439" s="389">
        <f>J442+J445+J448</f>
        <v>3952</v>
      </c>
      <c r="K439" s="389">
        <v>0</v>
      </c>
      <c r="L439" s="389">
        <v>0</v>
      </c>
      <c r="M439" s="389">
        <v>0</v>
      </c>
      <c r="N439" s="2337"/>
      <c r="O439" s="395" t="s">
        <v>621</v>
      </c>
      <c r="P439" s="394" t="s">
        <v>1120</v>
      </c>
    </row>
    <row r="440" spans="1:24" s="1" customFormat="1" ht="14.25" customHeight="1" outlineLevel="1" x14ac:dyDescent="0.3">
      <c r="A440" s="2367" t="s">
        <v>974</v>
      </c>
      <c r="B440" s="1718" t="s">
        <v>1045</v>
      </c>
      <c r="C440" s="1718" t="s">
        <v>208</v>
      </c>
      <c r="D440" s="1718" t="s">
        <v>1048</v>
      </c>
      <c r="E440" s="1719">
        <v>50000</v>
      </c>
      <c r="F440" s="389">
        <f>F441+F442</f>
        <v>0</v>
      </c>
      <c r="G440" s="385" t="s">
        <v>12</v>
      </c>
      <c r="H440" s="389">
        <f>H441+H442</f>
        <v>50000</v>
      </c>
      <c r="I440" s="389">
        <f>I441/0.95</f>
        <v>5000</v>
      </c>
      <c r="J440" s="389">
        <f>J441/0.95</f>
        <v>45000</v>
      </c>
      <c r="K440" s="389">
        <v>0</v>
      </c>
      <c r="L440" s="389">
        <v>0</v>
      </c>
      <c r="M440" s="389">
        <v>0</v>
      </c>
      <c r="N440" s="2337"/>
      <c r="O440" s="2294" t="s">
        <v>16</v>
      </c>
      <c r="P440" s="394"/>
    </row>
    <row r="441" spans="1:24" s="1" customFormat="1" ht="30" customHeight="1" outlineLevel="1" x14ac:dyDescent="0.3">
      <c r="A441" s="2367"/>
      <c r="B441" s="1718"/>
      <c r="C441" s="1718"/>
      <c r="D441" s="1718"/>
      <c r="E441" s="1719"/>
      <c r="F441" s="389">
        <v>0</v>
      </c>
      <c r="G441" s="385" t="s">
        <v>13</v>
      </c>
      <c r="H441" s="389">
        <f>I441+J441+K441+L441+M441</f>
        <v>47500</v>
      </c>
      <c r="I441" s="389">
        <v>4750</v>
      </c>
      <c r="J441" s="389">
        <v>42750</v>
      </c>
      <c r="K441" s="389">
        <v>0</v>
      </c>
      <c r="L441" s="389">
        <v>0</v>
      </c>
      <c r="M441" s="389">
        <v>0</v>
      </c>
      <c r="N441" s="2337"/>
      <c r="O441" s="2334"/>
      <c r="P441" s="394" t="s">
        <v>1566</v>
      </c>
      <c r="X441" s="1">
        <v>1</v>
      </c>
    </row>
    <row r="442" spans="1:24" s="1" customFormat="1" ht="40.5" customHeight="1" outlineLevel="1" x14ac:dyDescent="0.3">
      <c r="A442" s="2367"/>
      <c r="B442" s="1718"/>
      <c r="C442" s="1718"/>
      <c r="D442" s="1718"/>
      <c r="E442" s="1719"/>
      <c r="F442" s="389">
        <v>0</v>
      </c>
      <c r="G442" s="385" t="s">
        <v>14</v>
      </c>
      <c r="H442" s="389">
        <f>I442+J442+K442+L442+M442</f>
        <v>2500</v>
      </c>
      <c r="I442" s="389">
        <f>I440*0.05</f>
        <v>250</v>
      </c>
      <c r="J442" s="389">
        <f>J440*0.05</f>
        <v>2250</v>
      </c>
      <c r="K442" s="389">
        <v>0</v>
      </c>
      <c r="L442" s="389">
        <v>0</v>
      </c>
      <c r="M442" s="389">
        <v>0</v>
      </c>
      <c r="N442" s="2337"/>
      <c r="O442" s="2295"/>
      <c r="P442" s="394"/>
    </row>
    <row r="443" spans="1:24" s="1" customFormat="1" ht="39.6" outlineLevel="1" x14ac:dyDescent="0.3">
      <c r="A443" s="2367" t="s">
        <v>1049</v>
      </c>
      <c r="B443" s="2424" t="s">
        <v>1046</v>
      </c>
      <c r="C443" s="2424">
        <v>2018</v>
      </c>
      <c r="D443" s="2424" t="s">
        <v>1051</v>
      </c>
      <c r="E443" s="2377">
        <v>5400</v>
      </c>
      <c r="F443" s="305">
        <f>F445+F444</f>
        <v>0</v>
      </c>
      <c r="G443" s="875" t="s">
        <v>12</v>
      </c>
      <c r="H443" s="305">
        <f>H444+H445</f>
        <v>0</v>
      </c>
      <c r="I443" s="305">
        <f>I444/0.95</f>
        <v>0</v>
      </c>
      <c r="J443" s="305">
        <v>0</v>
      </c>
      <c r="K443" s="305">
        <v>0</v>
      </c>
      <c r="L443" s="305">
        <v>0</v>
      </c>
      <c r="M443" s="305">
        <v>0</v>
      </c>
      <c r="N443" s="2337"/>
      <c r="O443" s="2303" t="s">
        <v>16</v>
      </c>
      <c r="P443" s="394" t="s">
        <v>1567</v>
      </c>
    </row>
    <row r="444" spans="1:24" s="1" customFormat="1" ht="33" customHeight="1" outlineLevel="1" x14ac:dyDescent="0.3">
      <c r="A444" s="2367"/>
      <c r="B444" s="2424"/>
      <c r="C444" s="2424"/>
      <c r="D444" s="2424"/>
      <c r="E444" s="2377"/>
      <c r="F444" s="305">
        <v>0</v>
      </c>
      <c r="G444" s="875" t="s">
        <v>13</v>
      </c>
      <c r="H444" s="305">
        <f>I444+J444+K444+L444+M444</f>
        <v>0</v>
      </c>
      <c r="I444" s="305">
        <f>5130*0</f>
        <v>0</v>
      </c>
      <c r="J444" s="305">
        <v>0</v>
      </c>
      <c r="K444" s="305">
        <v>0</v>
      </c>
      <c r="L444" s="305">
        <v>0</v>
      </c>
      <c r="M444" s="305">
        <v>0</v>
      </c>
      <c r="N444" s="2337"/>
      <c r="O444" s="2304"/>
      <c r="P444" s="2337"/>
    </row>
    <row r="445" spans="1:24" s="1" customFormat="1" ht="25.5" customHeight="1" outlineLevel="1" x14ac:dyDescent="0.3">
      <c r="A445" s="2367"/>
      <c r="B445" s="2424"/>
      <c r="C445" s="2424"/>
      <c r="D445" s="2424"/>
      <c r="E445" s="2377"/>
      <c r="F445" s="305">
        <v>0</v>
      </c>
      <c r="G445" s="875" t="s">
        <v>14</v>
      </c>
      <c r="H445" s="305">
        <f>I445+J445+K445+L445+M445</f>
        <v>0</v>
      </c>
      <c r="I445" s="305">
        <f>I443*0.05</f>
        <v>0</v>
      </c>
      <c r="J445" s="305">
        <v>0</v>
      </c>
      <c r="K445" s="305">
        <v>0</v>
      </c>
      <c r="L445" s="305">
        <v>0</v>
      </c>
      <c r="M445" s="305">
        <v>0</v>
      </c>
      <c r="N445" s="2337"/>
      <c r="O445" s="2304"/>
      <c r="P445" s="2337"/>
    </row>
    <row r="446" spans="1:24" s="1" customFormat="1" outlineLevel="1" x14ac:dyDescent="0.3">
      <c r="A446" s="2367" t="s">
        <v>1050</v>
      </c>
      <c r="B446" s="1718" t="s">
        <v>1047</v>
      </c>
      <c r="C446" s="1718" t="s">
        <v>208</v>
      </c>
      <c r="D446" s="1718"/>
      <c r="E446" s="1719">
        <v>37822.25</v>
      </c>
      <c r="F446" s="389">
        <f>F447+F448</f>
        <v>0</v>
      </c>
      <c r="G446" s="385" t="s">
        <v>12</v>
      </c>
      <c r="H446" s="389">
        <f>H447+H448</f>
        <v>37822.25</v>
      </c>
      <c r="I446" s="389">
        <f>I447/0.95</f>
        <v>3782.22</v>
      </c>
      <c r="J446" s="389">
        <f>J447/0.95</f>
        <v>34040.03</v>
      </c>
      <c r="K446" s="389">
        <v>0</v>
      </c>
      <c r="L446" s="389">
        <v>0</v>
      </c>
      <c r="M446" s="389">
        <v>0</v>
      </c>
      <c r="N446" s="2337"/>
      <c r="O446" s="272"/>
      <c r="P446" s="2337"/>
    </row>
    <row r="447" spans="1:24" s="47" customFormat="1" ht="21.75" customHeight="1" outlineLevel="1" x14ac:dyDescent="0.3">
      <c r="A447" s="2367"/>
      <c r="B447" s="1718"/>
      <c r="C447" s="1718"/>
      <c r="D447" s="1718"/>
      <c r="E447" s="1719"/>
      <c r="F447" s="389">
        <v>0</v>
      </c>
      <c r="G447" s="385" t="s">
        <v>13</v>
      </c>
      <c r="H447" s="389">
        <f>I447+J447+K447+L447+M447</f>
        <v>35931.14</v>
      </c>
      <c r="I447" s="389">
        <v>3593.11</v>
      </c>
      <c r="J447" s="389">
        <v>32338.03</v>
      </c>
      <c r="K447" s="389">
        <v>0</v>
      </c>
      <c r="L447" s="389">
        <v>0</v>
      </c>
      <c r="M447" s="389">
        <v>0</v>
      </c>
      <c r="N447" s="2337"/>
      <c r="O447" s="2303" t="s">
        <v>16</v>
      </c>
      <c r="P447" s="1116" t="s">
        <v>1566</v>
      </c>
      <c r="Q447" s="1"/>
    </row>
    <row r="448" spans="1:24" s="47" customFormat="1" ht="31.5" customHeight="1" outlineLevel="1" x14ac:dyDescent="0.3">
      <c r="A448" s="2367"/>
      <c r="B448" s="1718"/>
      <c r="C448" s="1718"/>
      <c r="D448" s="1718"/>
      <c r="E448" s="1719"/>
      <c r="F448" s="389">
        <v>0</v>
      </c>
      <c r="G448" s="385" t="s">
        <v>14</v>
      </c>
      <c r="H448" s="389">
        <f>I448+J448+K448+L448+M448</f>
        <v>1891.11</v>
      </c>
      <c r="I448" s="389">
        <f>I446*0.05</f>
        <v>189.11</v>
      </c>
      <c r="J448" s="389">
        <f>J446*0.05</f>
        <v>1702</v>
      </c>
      <c r="K448" s="389">
        <v>0</v>
      </c>
      <c r="L448" s="389">
        <v>0</v>
      </c>
      <c r="M448" s="389">
        <v>0</v>
      </c>
      <c r="N448" s="2337"/>
      <c r="O448" s="2305"/>
      <c r="P448" s="388"/>
      <c r="Q448" s="1"/>
      <c r="X448" s="47">
        <v>1</v>
      </c>
    </row>
    <row r="449" spans="1:28" s="47" customFormat="1" ht="29.25" customHeight="1" outlineLevel="1" x14ac:dyDescent="0.3">
      <c r="A449" s="1356" t="s">
        <v>703</v>
      </c>
      <c r="B449" s="2434" t="s">
        <v>757</v>
      </c>
      <c r="C449" s="2435"/>
      <c r="D449" s="2435"/>
      <c r="E449" s="2436"/>
      <c r="F449" s="69"/>
      <c r="G449" s="390"/>
      <c r="H449" s="69">
        <f>I449+J449+K449+L449+M449</f>
        <v>2</v>
      </c>
      <c r="I449" s="1252">
        <f>(0.82+0.25)+0.1</f>
        <v>1.17</v>
      </c>
      <c r="J449" s="825">
        <f>0.4+0.43</f>
        <v>0.83</v>
      </c>
      <c r="K449" s="389"/>
      <c r="L449" s="389"/>
      <c r="M449" s="389"/>
      <c r="N449" s="394"/>
      <c r="O449" s="626"/>
      <c r="P449" s="626"/>
      <c r="Q449" s="1"/>
    </row>
    <row r="450" spans="1:28" s="1" customFormat="1" ht="29.25" customHeight="1" x14ac:dyDescent="0.3">
      <c r="A450" s="2378" t="s">
        <v>1408</v>
      </c>
      <c r="B450" s="2378"/>
      <c r="C450" s="2378"/>
      <c r="D450" s="2378"/>
      <c r="E450" s="2378"/>
      <c r="F450" s="873">
        <f>F451+F452</f>
        <v>51918.27</v>
      </c>
      <c r="G450" s="877" t="s">
        <v>42</v>
      </c>
      <c r="H450" s="873">
        <f>H451+H452</f>
        <v>2113865.75</v>
      </c>
      <c r="I450" s="873">
        <f>I452+I451</f>
        <v>769625.31</v>
      </c>
      <c r="J450" s="873">
        <f>J451+J452</f>
        <v>1105351.55</v>
      </c>
      <c r="K450" s="873">
        <f t="shared" ref="K450:L450" si="247">K451+K452</f>
        <v>238888.89</v>
      </c>
      <c r="L450" s="873">
        <f t="shared" si="247"/>
        <v>0</v>
      </c>
      <c r="M450" s="873">
        <v>0</v>
      </c>
      <c r="N450" s="879"/>
      <c r="O450" s="994">
        <f>SUM(O451:O455)</f>
        <v>2</v>
      </c>
      <c r="P450" s="72"/>
      <c r="Q450" s="47"/>
    </row>
    <row r="451" spans="1:28" s="1" customFormat="1" ht="43.5" customHeight="1" x14ac:dyDescent="0.3">
      <c r="A451" s="2378"/>
      <c r="B451" s="2378"/>
      <c r="C451" s="2378"/>
      <c r="D451" s="2378"/>
      <c r="E451" s="2378"/>
      <c r="F451" s="873">
        <f>H401+F361+F358+F352+F346</f>
        <v>48821.45</v>
      </c>
      <c r="G451" s="877" t="s">
        <v>13</v>
      </c>
      <c r="H451" s="964">
        <f>I451+J451+K451+L451+M451</f>
        <v>1957601</v>
      </c>
      <c r="I451" s="1252">
        <f>I343+I349+I367+I373+I383+I404+I411+I423+I432+I438+I449</f>
        <v>700663</v>
      </c>
      <c r="J451" s="964">
        <f t="shared" ref="J451:M451" si="248">J343+J349+J367+J373+J383+J404+J411+J423+J432+J438+J449</f>
        <v>1039438</v>
      </c>
      <c r="K451" s="964">
        <f>K343+K349+K367+K373+K383+K404+K411+K423+K432+K438+K449</f>
        <v>217500</v>
      </c>
      <c r="L451" s="964">
        <f>L343+L349+L367+L373+L383+L404+L411+L423+L432+L438+L449</f>
        <v>0</v>
      </c>
      <c r="M451" s="873">
        <f t="shared" si="248"/>
        <v>0</v>
      </c>
      <c r="N451" s="879"/>
      <c r="O451" s="880"/>
      <c r="P451" s="1169" t="s">
        <v>1635</v>
      </c>
      <c r="Q451" s="47"/>
      <c r="W451" s="1128">
        <f>SUM(W343:W450)</f>
        <v>4</v>
      </c>
      <c r="X451" s="1128">
        <f>SUM(X343:X450)</f>
        <v>10</v>
      </c>
      <c r="Y451" s="1128">
        <f>SUM(Y343:Y450)</f>
        <v>3</v>
      </c>
      <c r="Z451" s="1128">
        <f>SUM(Z343:Z450)</f>
        <v>0</v>
      </c>
    </row>
    <row r="452" spans="1:28" s="1" customFormat="1" ht="57" customHeight="1" x14ac:dyDescent="0.3">
      <c r="A452" s="2378"/>
      <c r="B452" s="2378"/>
      <c r="C452" s="2378"/>
      <c r="D452" s="2378"/>
      <c r="E452" s="2378"/>
      <c r="F452" s="873">
        <f>F408+H402+F381+F362+F359+F353+F347</f>
        <v>3096.82</v>
      </c>
      <c r="G452" s="878" t="s">
        <v>34</v>
      </c>
      <c r="H452" s="993">
        <f>I452+J452+K452+L452+M452</f>
        <v>156264.75</v>
      </c>
      <c r="I452" s="993">
        <f>I344+I350+I368+I374+I384+I405+I412+I424+I433+I439</f>
        <v>68962.31</v>
      </c>
      <c r="J452" s="993">
        <f>J344+J350+J368+J374+J384+J405+J412+J424+J433+J439</f>
        <v>65913.55</v>
      </c>
      <c r="K452" s="993">
        <f t="shared" ref="K452:M452" si="249">K344+K350+K368+K374+K384+K405+K412+K424+K433+K439</f>
        <v>21388.89</v>
      </c>
      <c r="L452" s="993">
        <f t="shared" si="249"/>
        <v>0</v>
      </c>
      <c r="M452" s="993">
        <f t="shared" si="249"/>
        <v>0</v>
      </c>
      <c r="N452" s="879"/>
      <c r="O452" s="881"/>
      <c r="P452" s="72"/>
      <c r="Q452" s="47"/>
    </row>
    <row r="453" spans="1:28" s="1" customFormat="1" ht="39" customHeight="1" x14ac:dyDescent="0.3">
      <c r="A453" s="2384" t="s">
        <v>1370</v>
      </c>
      <c r="B453" s="2385"/>
      <c r="C453" s="2385"/>
      <c r="D453" s="2385"/>
      <c r="E453" s="2386"/>
      <c r="F453" s="873"/>
      <c r="G453" s="878" t="s">
        <v>33</v>
      </c>
      <c r="H453" s="873">
        <f>H454+H455</f>
        <v>1957601</v>
      </c>
      <c r="I453" s="873">
        <f>I454+I455</f>
        <v>700663</v>
      </c>
      <c r="J453" s="873">
        <f>J454+J455</f>
        <v>1039438</v>
      </c>
      <c r="K453" s="873">
        <f>K454+K455</f>
        <v>217500</v>
      </c>
      <c r="L453" s="873"/>
      <c r="M453" s="873"/>
      <c r="N453" s="882"/>
      <c r="O453" s="881"/>
      <c r="P453" s="126"/>
      <c r="Q453" s="276">
        <v>2018</v>
      </c>
      <c r="R453" s="276">
        <v>2019</v>
      </c>
      <c r="S453" s="276">
        <v>2020</v>
      </c>
      <c r="T453" s="276" t="s">
        <v>1126</v>
      </c>
    </row>
    <row r="454" spans="1:28" s="1" customFormat="1" ht="49.5" customHeight="1" x14ac:dyDescent="0.3">
      <c r="A454" s="2387"/>
      <c r="B454" s="2388"/>
      <c r="C454" s="2388"/>
      <c r="D454" s="2388"/>
      <c r="E454" s="2389"/>
      <c r="F454" s="873"/>
      <c r="G454" s="1003" t="s">
        <v>348</v>
      </c>
      <c r="H454" s="589">
        <f>I454+J454+K454</f>
        <v>1156286</v>
      </c>
      <c r="I454" s="1254">
        <f>I361+I373+I383+I404+I411+I423+I432+I438+0.82+0.1</f>
        <v>406609</v>
      </c>
      <c r="J454" s="589">
        <f>J361+J373+J383+J404+J411+J423+J432+J438+0.4</f>
        <v>579677</v>
      </c>
      <c r="K454" s="589">
        <f t="shared" ref="K454:M454" si="250">K361+K373+K383+K404+K411+K423+K432+K438+K449</f>
        <v>170000</v>
      </c>
      <c r="L454" s="993">
        <f t="shared" si="250"/>
        <v>0</v>
      </c>
      <c r="M454" s="993">
        <f t="shared" si="250"/>
        <v>0</v>
      </c>
      <c r="N454" s="882" t="s">
        <v>1127</v>
      </c>
      <c r="O454" s="970">
        <f>0.82+0.4+0.1</f>
        <v>1.32</v>
      </c>
      <c r="P454" s="72" t="s">
        <v>1125</v>
      </c>
      <c r="Q454" s="277">
        <f>O349+O410+O431+O438</f>
        <v>5</v>
      </c>
      <c r="R454" s="277">
        <f>O372+O382+O439</f>
        <v>6</v>
      </c>
      <c r="S454" s="277">
        <f>O404+O425</f>
        <v>2</v>
      </c>
      <c r="T454" s="277">
        <f>S454+R454+Q454</f>
        <v>13</v>
      </c>
    </row>
    <row r="455" spans="1:28" s="1" customFormat="1" ht="39.75" customHeight="1" x14ac:dyDescent="0.3">
      <c r="A455" s="2390"/>
      <c r="B455" s="2391"/>
      <c r="C455" s="2391"/>
      <c r="D455" s="2391"/>
      <c r="E455" s="2392"/>
      <c r="F455" s="873" t="s">
        <v>928</v>
      </c>
      <c r="G455" s="1002" t="s">
        <v>349</v>
      </c>
      <c r="H455" s="864">
        <f>I455+J455+K455</f>
        <v>801315</v>
      </c>
      <c r="I455" s="864">
        <f>I343+I352+I358+I367+0.25</f>
        <v>294054</v>
      </c>
      <c r="J455" s="864">
        <f>J343+J352+J358+J367+0.43</f>
        <v>459761</v>
      </c>
      <c r="K455" s="864">
        <f>K343+K352+K358+K367</f>
        <v>47500</v>
      </c>
      <c r="L455" s="993">
        <f t="shared" ref="L455:M455" si="251">L343+L352+L358+L367</f>
        <v>0</v>
      </c>
      <c r="M455" s="873">
        <f t="shared" si="251"/>
        <v>0</v>
      </c>
      <c r="N455" s="882" t="s">
        <v>1128</v>
      </c>
      <c r="O455" s="881">
        <f>0.25+0.43</f>
        <v>0.68</v>
      </c>
      <c r="P455" s="72" t="s">
        <v>349</v>
      </c>
      <c r="Q455" s="1">
        <f>0</f>
        <v>0</v>
      </c>
      <c r="R455" s="310">
        <f>O342+O350</f>
        <v>3</v>
      </c>
      <c r="S455" s="310">
        <f>O367</f>
        <v>0</v>
      </c>
      <c r="T455" s="310">
        <f>Q455+R455+S455</f>
        <v>3</v>
      </c>
    </row>
    <row r="456" spans="1:28" s="1" customFormat="1" ht="39.75" customHeight="1" x14ac:dyDescent="0.3">
      <c r="A456" s="1357"/>
      <c r="B456" s="392"/>
      <c r="C456" s="392"/>
      <c r="D456" s="392"/>
      <c r="E456" s="392"/>
      <c r="F456" s="12"/>
      <c r="G456" s="378"/>
      <c r="H456" s="12"/>
      <c r="I456" s="12"/>
      <c r="J456" s="12"/>
      <c r="K456" s="12"/>
      <c r="L456" s="12"/>
      <c r="M456" s="12"/>
      <c r="N456" s="59"/>
      <c r="O456" s="630"/>
      <c r="P456" s="72"/>
      <c r="R456" s="310"/>
      <c r="S456" s="310"/>
      <c r="T456" s="310"/>
    </row>
    <row r="457" spans="1:28" s="1" customFormat="1" ht="39.75" customHeight="1" x14ac:dyDescent="0.3">
      <c r="A457" s="2397" t="s">
        <v>1410</v>
      </c>
      <c r="B457" s="2397"/>
      <c r="C457" s="2397"/>
      <c r="D457" s="2397"/>
      <c r="E457" s="2397"/>
      <c r="F457" s="12"/>
      <c r="G457" s="378"/>
      <c r="H457" s="12"/>
      <c r="I457" s="12"/>
      <c r="J457" s="12"/>
      <c r="K457" s="12"/>
      <c r="L457" s="12"/>
      <c r="M457" s="12"/>
      <c r="N457" s="59"/>
      <c r="O457" s="630"/>
      <c r="P457" s="72"/>
      <c r="R457" s="310"/>
      <c r="S457" s="310"/>
      <c r="T457" s="310"/>
    </row>
    <row r="458" spans="1:28" s="1" customFormat="1" ht="91.5" customHeight="1" x14ac:dyDescent="0.3">
      <c r="A458" s="2381" t="s">
        <v>1412</v>
      </c>
      <c r="B458" s="2382"/>
      <c r="C458" s="2382"/>
      <c r="D458" s="2382"/>
      <c r="E458" s="2382"/>
      <c r="F458" s="2382"/>
      <c r="G458" s="2382"/>
      <c r="H458" s="2382"/>
      <c r="I458" s="2382"/>
      <c r="J458" s="2382"/>
      <c r="K458" s="2382"/>
      <c r="L458" s="2382"/>
      <c r="M458" s="2382"/>
      <c r="N458" s="2382"/>
      <c r="O458" s="2383"/>
      <c r="P458" s="72"/>
      <c r="R458" s="310"/>
      <c r="S458" s="310"/>
      <c r="T458" s="310"/>
    </row>
    <row r="459" spans="1:28" s="6" customFormat="1" ht="18.75" customHeight="1" x14ac:dyDescent="0.3">
      <c r="A459" s="2398" t="s">
        <v>1411</v>
      </c>
      <c r="B459" s="2399"/>
      <c r="C459" s="2399"/>
      <c r="D459" s="2399"/>
      <c r="E459" s="2400"/>
      <c r="F459" s="633"/>
      <c r="G459" s="633"/>
      <c r="H459" s="634" t="s">
        <v>92</v>
      </c>
      <c r="I459" s="634" t="s">
        <v>93</v>
      </c>
      <c r="J459" s="634" t="s">
        <v>94</v>
      </c>
      <c r="K459" s="634" t="s">
        <v>95</v>
      </c>
      <c r="L459" s="634" t="s">
        <v>226</v>
      </c>
      <c r="M459" s="633"/>
      <c r="N459" s="633"/>
      <c r="O459" s="633"/>
      <c r="P459" s="190"/>
      <c r="Q459" s="1"/>
    </row>
    <row r="460" spans="1:28" s="6" customFormat="1" ht="37.5" customHeight="1" x14ac:dyDescent="0.3">
      <c r="A460" s="2401"/>
      <c r="B460" s="2402"/>
      <c r="C460" s="2402"/>
      <c r="D460" s="2402"/>
      <c r="E460" s="2403"/>
      <c r="F460" s="584" t="s">
        <v>1126</v>
      </c>
      <c r="G460" s="627">
        <f>G461+G462</f>
        <v>3709799.08</v>
      </c>
      <c r="H460" s="627">
        <f>H461+H462</f>
        <v>2019929.68</v>
      </c>
      <c r="I460" s="627">
        <f t="shared" ref="I460:L460" si="252">I461+I462</f>
        <v>1164064.83</v>
      </c>
      <c r="J460" s="627">
        <f t="shared" si="252"/>
        <v>525804.56999999995</v>
      </c>
      <c r="K460" s="627">
        <f t="shared" si="252"/>
        <v>0</v>
      </c>
      <c r="L460" s="627">
        <f t="shared" si="252"/>
        <v>0</v>
      </c>
      <c r="M460" s="584"/>
      <c r="N460" s="584"/>
      <c r="O460" s="609"/>
      <c r="P460" s="190"/>
      <c r="Q460" s="1"/>
    </row>
    <row r="461" spans="1:28" s="6" customFormat="1" ht="45.75" customHeight="1" x14ac:dyDescent="0.3">
      <c r="A461" s="2401"/>
      <c r="B461" s="2402"/>
      <c r="C461" s="2402"/>
      <c r="D461" s="2402"/>
      <c r="E461" s="2403"/>
      <c r="F461" s="387" t="s">
        <v>13</v>
      </c>
      <c r="G461" s="627">
        <f>H461+I461+J461+K461+L461</f>
        <v>3441126.95</v>
      </c>
      <c r="H461" s="627">
        <f>H468+H745+H836+H903+H975</f>
        <v>1871638.95</v>
      </c>
      <c r="I461" s="627">
        <f>I468+I745+I836+I903+I975</f>
        <v>1085303</v>
      </c>
      <c r="J461" s="627">
        <f t="shared" ref="J461:L462" si="253">J468+J745+J836+J903</f>
        <v>484185</v>
      </c>
      <c r="K461" s="627">
        <f t="shared" si="253"/>
        <v>0</v>
      </c>
      <c r="L461" s="627">
        <f t="shared" si="253"/>
        <v>0</v>
      </c>
      <c r="M461" s="584"/>
      <c r="N461" s="584"/>
      <c r="O461" s="191"/>
      <c r="P461" s="191" t="s">
        <v>1617</v>
      </c>
      <c r="Q461" s="92"/>
    </row>
    <row r="462" spans="1:28" s="6" customFormat="1" ht="39.75" customHeight="1" x14ac:dyDescent="0.3">
      <c r="A462" s="2404"/>
      <c r="B462" s="2405"/>
      <c r="C462" s="2405"/>
      <c r="D462" s="2405"/>
      <c r="E462" s="2406"/>
      <c r="F462" s="387" t="s">
        <v>14</v>
      </c>
      <c r="G462" s="627">
        <f>H462+I462+J462+K462+L462</f>
        <v>268672.13</v>
      </c>
      <c r="H462" s="627">
        <f>H469+H746+H837+H904+H976</f>
        <v>148290.73000000001</v>
      </c>
      <c r="I462" s="627">
        <f>I469+I746+I837+I904+I976</f>
        <v>78761.83</v>
      </c>
      <c r="J462" s="627">
        <f t="shared" si="253"/>
        <v>41619.57</v>
      </c>
      <c r="K462" s="627">
        <f t="shared" si="253"/>
        <v>0</v>
      </c>
      <c r="L462" s="627">
        <f t="shared" si="253"/>
        <v>0</v>
      </c>
      <c r="M462" s="584"/>
      <c r="N462" s="584"/>
      <c r="O462" s="96"/>
      <c r="P462" s="96"/>
    </row>
    <row r="463" spans="1:28" s="637" customFormat="1" ht="25.5" customHeight="1" x14ac:dyDescent="0.3">
      <c r="A463" s="2393" t="s">
        <v>777</v>
      </c>
      <c r="B463" s="2393"/>
      <c r="C463" s="2393"/>
      <c r="D463" s="2393"/>
      <c r="E463" s="2393"/>
      <c r="F463" s="2393"/>
      <c r="G463" s="2393"/>
      <c r="H463" s="2393"/>
      <c r="I463" s="2393"/>
      <c r="J463" s="2393"/>
      <c r="K463" s="2393"/>
      <c r="L463" s="2393"/>
      <c r="M463" s="2393"/>
      <c r="N463" s="2393"/>
      <c r="O463" s="2394"/>
      <c r="P463" s="635"/>
      <c r="Q463" s="636"/>
      <c r="R463" s="636"/>
      <c r="S463" s="636"/>
      <c r="T463" s="636"/>
      <c r="U463" s="636"/>
      <c r="V463" s="636"/>
      <c r="W463" s="636"/>
      <c r="X463" s="636"/>
      <c r="Y463" s="636"/>
      <c r="Z463" s="636"/>
      <c r="AA463" s="636"/>
      <c r="AB463" s="636"/>
    </row>
    <row r="464" spans="1:28" s="192" customFormat="1" ht="37.5" customHeight="1" x14ac:dyDescent="0.3">
      <c r="A464" s="2395" t="s">
        <v>778</v>
      </c>
      <c r="B464" s="2395"/>
      <c r="C464" s="2395"/>
      <c r="D464" s="2395"/>
      <c r="E464" s="2395"/>
      <c r="F464" s="2395"/>
      <c r="G464" s="2395"/>
      <c r="H464" s="2395"/>
      <c r="I464" s="2395"/>
      <c r="J464" s="2395"/>
      <c r="K464" s="2395"/>
      <c r="L464" s="2395"/>
      <c r="M464" s="2395"/>
      <c r="N464" s="2395"/>
      <c r="O464" s="2396"/>
      <c r="P464" s="191">
        <v>2020</v>
      </c>
      <c r="Q464" s="6"/>
    </row>
    <row r="465" spans="1:27" s="656" customFormat="1" ht="22.5" customHeight="1" x14ac:dyDescent="0.3">
      <c r="A465" s="2379" t="s">
        <v>368</v>
      </c>
      <c r="B465" s="2380" t="s">
        <v>369</v>
      </c>
      <c r="C465" s="2380"/>
      <c r="D465" s="2380"/>
      <c r="E465" s="2380"/>
      <c r="F465" s="1767" t="s">
        <v>62</v>
      </c>
      <c r="G465" s="1767" t="s">
        <v>370</v>
      </c>
      <c r="H465" s="1767"/>
      <c r="I465" s="1767"/>
      <c r="J465" s="1767"/>
      <c r="K465" s="1767"/>
      <c r="L465" s="1767"/>
      <c r="M465" s="652"/>
      <c r="N465" s="652"/>
      <c r="O465" s="653"/>
      <c r="P465" s="654"/>
      <c r="Q465" s="655"/>
    </row>
    <row r="466" spans="1:27" s="656" customFormat="1" ht="40.5" customHeight="1" x14ac:dyDescent="0.3">
      <c r="A466" s="2379"/>
      <c r="B466" s="2380"/>
      <c r="C466" s="2380"/>
      <c r="D466" s="2380"/>
      <c r="E466" s="2380"/>
      <c r="F466" s="1767"/>
      <c r="G466" s="572" t="s">
        <v>33</v>
      </c>
      <c r="H466" s="572" t="s">
        <v>4</v>
      </c>
      <c r="I466" s="572" t="s">
        <v>91</v>
      </c>
      <c r="J466" s="575" t="s">
        <v>90</v>
      </c>
      <c r="K466" s="572" t="s">
        <v>89</v>
      </c>
      <c r="L466" s="572" t="s">
        <v>221</v>
      </c>
      <c r="M466" s="652"/>
      <c r="N466" s="652"/>
      <c r="O466" s="652"/>
      <c r="P466" s="657"/>
      <c r="Q466" s="655"/>
    </row>
    <row r="467" spans="1:27" s="648" customFormat="1" ht="34.5" customHeight="1" x14ac:dyDescent="0.3">
      <c r="A467" s="2314" t="s">
        <v>776</v>
      </c>
      <c r="B467" s="2431" t="s">
        <v>16</v>
      </c>
      <c r="C467" s="2431"/>
      <c r="D467" s="2431"/>
      <c r="E467" s="2431"/>
      <c r="F467" s="645" t="s">
        <v>12</v>
      </c>
      <c r="G467" s="682">
        <f>G468+G469</f>
        <v>1958704.9</v>
      </c>
      <c r="H467" s="682">
        <f>H468+H469</f>
        <v>1036827.55</v>
      </c>
      <c r="I467" s="682">
        <f>I468+I469</f>
        <v>615298.06999999995</v>
      </c>
      <c r="J467" s="682">
        <f>J468+J469</f>
        <v>306579.28000000003</v>
      </c>
      <c r="K467" s="682"/>
      <c r="L467" s="682"/>
      <c r="M467" s="1004"/>
      <c r="N467" s="1004"/>
      <c r="O467" s="1004"/>
      <c r="P467" s="647"/>
    </row>
    <row r="468" spans="1:27" s="648" customFormat="1" ht="49.5" customHeight="1" x14ac:dyDescent="0.35">
      <c r="A468" s="2314"/>
      <c r="B468" s="2431"/>
      <c r="C468" s="2431"/>
      <c r="D468" s="2431"/>
      <c r="E468" s="2431"/>
      <c r="F468" s="645" t="s">
        <v>13</v>
      </c>
      <c r="G468" s="1005">
        <f>H468+I468+J468+K468+L468</f>
        <v>1829357</v>
      </c>
      <c r="H468" s="1005">
        <f>H471+H489+H528+H540+H612+H624+H654+H684+H705+H711+H732+H648+H720+H726+H743+H642+H738</f>
        <v>979114</v>
      </c>
      <c r="I468" s="1005">
        <f>I471+I612+I648+I654+I743</f>
        <v>574322</v>
      </c>
      <c r="J468" s="1006">
        <f>J471+J612+J648+J654+J743</f>
        <v>275921</v>
      </c>
      <c r="K468" s="684">
        <f t="shared" ref="J468:L469" si="254">K471+K489+K528+K540+K624+K654+K684+K705+K711</f>
        <v>0</v>
      </c>
      <c r="L468" s="684">
        <f t="shared" si="254"/>
        <v>0</v>
      </c>
      <c r="M468" s="650"/>
      <c r="N468" s="650"/>
      <c r="O468" s="650"/>
      <c r="P468" s="1173" t="s">
        <v>1568</v>
      </c>
      <c r="Q468" s="1367" t="s">
        <v>1663</v>
      </c>
      <c r="W468" s="648">
        <v>2018</v>
      </c>
      <c r="X468" s="648">
        <v>2019</v>
      </c>
      <c r="Y468" s="648">
        <v>2020</v>
      </c>
      <c r="Z468" s="648">
        <v>2021</v>
      </c>
      <c r="AA468" s="648">
        <v>2022</v>
      </c>
    </row>
    <row r="469" spans="1:27" s="648" customFormat="1" ht="49.5" customHeight="1" x14ac:dyDescent="0.3">
      <c r="A469" s="2314"/>
      <c r="B469" s="2431"/>
      <c r="C469" s="2431"/>
      <c r="D469" s="2431"/>
      <c r="E469" s="2431"/>
      <c r="F469" s="645" t="s">
        <v>14</v>
      </c>
      <c r="G469" s="684">
        <f>H469+I469+J469+K469+L469</f>
        <v>129347.9</v>
      </c>
      <c r="H469" s="1005">
        <f>H472+H490+H529+H541+H613+H625+H655+H685+H706+H712+H733+H649+H721+H727+H643+H739</f>
        <v>57713.55</v>
      </c>
      <c r="I469" s="1005">
        <f>I472+I613+I649+I655</f>
        <v>40976.07</v>
      </c>
      <c r="J469" s="684">
        <f t="shared" si="254"/>
        <v>30658.28</v>
      </c>
      <c r="K469" s="684">
        <f t="shared" si="254"/>
        <v>0</v>
      </c>
      <c r="L469" s="684">
        <f t="shared" si="254"/>
        <v>0</v>
      </c>
      <c r="M469" s="685"/>
      <c r="N469" s="685"/>
      <c r="O469" s="685"/>
      <c r="P469" s="888" t="e">
        <f>P468-H468</f>
        <v>#VALUE!</v>
      </c>
    </row>
    <row r="470" spans="1:27" s="663" customFormat="1" ht="18" customHeight="1" x14ac:dyDescent="0.3">
      <c r="A470" s="2314" t="s">
        <v>779</v>
      </c>
      <c r="B470" s="2315" t="s">
        <v>638</v>
      </c>
      <c r="C470" s="2315"/>
      <c r="D470" s="2315"/>
      <c r="E470" s="2315"/>
      <c r="F470" s="658" t="s">
        <v>12</v>
      </c>
      <c r="G470" s="659">
        <f t="shared" ref="G470:I470" si="255">G471+G472</f>
        <v>358861.89</v>
      </c>
      <c r="H470" s="659">
        <f>H471+H472</f>
        <v>40504.050000000003</v>
      </c>
      <c r="I470" s="659">
        <f t="shared" si="255"/>
        <v>318357.84000000003</v>
      </c>
      <c r="J470" s="659"/>
      <c r="K470" s="659"/>
      <c r="L470" s="659"/>
      <c r="M470" s="660"/>
      <c r="N470" s="660"/>
      <c r="O470" s="661"/>
      <c r="P470" s="1174" t="s">
        <v>1569</v>
      </c>
    </row>
    <row r="471" spans="1:27" s="663" customFormat="1" ht="37.5" customHeight="1" x14ac:dyDescent="0.3">
      <c r="A471" s="2314"/>
      <c r="B471" s="2315"/>
      <c r="C471" s="2315"/>
      <c r="D471" s="2315"/>
      <c r="E471" s="2315"/>
      <c r="F471" s="658" t="s">
        <v>13</v>
      </c>
      <c r="G471" s="664">
        <f>H471+I471+J471+K471+L471</f>
        <v>340918.6</v>
      </c>
      <c r="H471" s="664">
        <f>H474+H477+H480+H483+H486</f>
        <v>38478.85</v>
      </c>
      <c r="I471" s="664">
        <f>I474+I483+I486</f>
        <v>302439.75</v>
      </c>
      <c r="J471" s="664">
        <f t="shared" ref="J471:L471" si="256">J474+J477</f>
        <v>0</v>
      </c>
      <c r="K471" s="664">
        <f t="shared" si="256"/>
        <v>0</v>
      </c>
      <c r="L471" s="664">
        <f t="shared" si="256"/>
        <v>0</v>
      </c>
      <c r="M471" s="664"/>
      <c r="N471" s="664"/>
      <c r="O471" s="661"/>
      <c r="P471" s="1175"/>
    </row>
    <row r="472" spans="1:27" s="663" customFormat="1" ht="37.5" customHeight="1" x14ac:dyDescent="0.3">
      <c r="A472" s="2314"/>
      <c r="B472" s="2315"/>
      <c r="C472" s="2315"/>
      <c r="D472" s="2315"/>
      <c r="E472" s="2315"/>
      <c r="F472" s="658" t="s">
        <v>14</v>
      </c>
      <c r="G472" s="664">
        <f>SUM(H472:L472)</f>
        <v>17943.29</v>
      </c>
      <c r="H472" s="664">
        <f>H475+H478+H481+H484+H487</f>
        <v>2025.2</v>
      </c>
      <c r="I472" s="664">
        <f>I475+I484+I487</f>
        <v>15918.09</v>
      </c>
      <c r="J472" s="664">
        <f t="shared" ref="J472:L472" si="257">J475+J478</f>
        <v>0</v>
      </c>
      <c r="K472" s="664">
        <f t="shared" si="257"/>
        <v>0</v>
      </c>
      <c r="L472" s="664">
        <f t="shared" si="257"/>
        <v>0</v>
      </c>
      <c r="M472" s="661"/>
      <c r="N472" s="661"/>
      <c r="O472" s="661"/>
      <c r="P472" s="1176"/>
    </row>
    <row r="473" spans="1:27" s="640" customFormat="1" ht="18" customHeight="1" x14ac:dyDescent="0.3">
      <c r="A473" s="2314"/>
      <c r="B473" s="1718" t="s">
        <v>988</v>
      </c>
      <c r="C473" s="1718"/>
      <c r="D473" s="1718"/>
      <c r="E473" s="1718"/>
      <c r="F473" s="385" t="s">
        <v>12</v>
      </c>
      <c r="G473" s="69">
        <f>G474+G475</f>
        <v>138336</v>
      </c>
      <c r="H473" s="69">
        <v>0</v>
      </c>
      <c r="I473" s="69">
        <f>I474+I475</f>
        <v>138336</v>
      </c>
      <c r="J473" s="69"/>
      <c r="K473" s="69"/>
      <c r="L473" s="69"/>
      <c r="M473" s="609"/>
      <c r="N473" s="609"/>
      <c r="O473" s="609"/>
      <c r="P473" s="1177"/>
    </row>
    <row r="474" spans="1:27" s="640" customFormat="1" ht="18" customHeight="1" x14ac:dyDescent="0.3">
      <c r="A474" s="2314"/>
      <c r="B474" s="1718"/>
      <c r="C474" s="1718"/>
      <c r="D474" s="1718"/>
      <c r="E474" s="1718"/>
      <c r="F474" s="385" t="s">
        <v>13</v>
      </c>
      <c r="G474" s="69">
        <f>SUM(H474:L474)</f>
        <v>131419</v>
      </c>
      <c r="H474" s="69">
        <f t="shared" ref="H474" si="258">H473-H475</f>
        <v>0</v>
      </c>
      <c r="I474" s="69">
        <v>131419</v>
      </c>
      <c r="J474" s="69"/>
      <c r="K474" s="69"/>
      <c r="L474" s="69"/>
      <c r="M474" s="609"/>
      <c r="N474" s="609"/>
      <c r="O474" s="609"/>
      <c r="P474" s="1177" t="s">
        <v>1570</v>
      </c>
      <c r="X474" s="640">
        <v>1</v>
      </c>
    </row>
    <row r="475" spans="1:27" s="640" customFormat="1" ht="18" customHeight="1" x14ac:dyDescent="0.3">
      <c r="A475" s="2314"/>
      <c r="B475" s="1718"/>
      <c r="C475" s="1718"/>
      <c r="D475" s="1718"/>
      <c r="E475" s="1718"/>
      <c r="F475" s="385" t="s">
        <v>14</v>
      </c>
      <c r="G475" s="69">
        <f>SUM(H475:L475)</f>
        <v>6917</v>
      </c>
      <c r="H475" s="69">
        <f t="shared" ref="H475" si="259">ROUNDUP(0.05*H473,0)</f>
        <v>0</v>
      </c>
      <c r="I475" s="69">
        <v>6917</v>
      </c>
      <c r="J475" s="69"/>
      <c r="K475" s="69"/>
      <c r="L475" s="69"/>
      <c r="M475" s="609"/>
      <c r="N475" s="609"/>
      <c r="O475" s="609"/>
      <c r="P475" s="1177"/>
    </row>
    <row r="476" spans="1:27" s="640" customFormat="1" ht="18" customHeight="1" x14ac:dyDescent="0.3">
      <c r="A476" s="2314"/>
      <c r="B476" s="1718" t="s">
        <v>1423</v>
      </c>
      <c r="C476" s="1718"/>
      <c r="D476" s="1718"/>
      <c r="E476" s="1718"/>
      <c r="F476" s="385" t="s">
        <v>12</v>
      </c>
      <c r="G476" s="69">
        <f>G477+G478</f>
        <v>9950.99</v>
      </c>
      <c r="H476" s="69">
        <f>H477+H478</f>
        <v>9950.99</v>
      </c>
      <c r="I476" s="69"/>
      <c r="J476" s="69"/>
      <c r="K476" s="69"/>
      <c r="L476" s="69"/>
      <c r="M476" s="609"/>
      <c r="N476" s="609"/>
      <c r="O476" s="609"/>
      <c r="P476" s="1177"/>
    </row>
    <row r="477" spans="1:27" s="640" customFormat="1" ht="18" customHeight="1" x14ac:dyDescent="0.3">
      <c r="A477" s="2314"/>
      <c r="B477" s="1718"/>
      <c r="C477" s="1718"/>
      <c r="D477" s="1718"/>
      <c r="E477" s="1718"/>
      <c r="F477" s="385" t="s">
        <v>13</v>
      </c>
      <c r="G477" s="69">
        <f>SUM(H477:L477)</f>
        <v>9453.44</v>
      </c>
      <c r="H477" s="69">
        <v>9453.44</v>
      </c>
      <c r="I477" s="69"/>
      <c r="J477" s="69"/>
      <c r="K477" s="69"/>
      <c r="L477" s="69"/>
      <c r="M477" s="609"/>
      <c r="N477" s="609"/>
      <c r="O477" s="609"/>
      <c r="P477" s="1177" t="s">
        <v>1570</v>
      </c>
      <c r="W477" s="640">
        <v>1</v>
      </c>
    </row>
    <row r="478" spans="1:27" s="640" customFormat="1" ht="18" customHeight="1" x14ac:dyDescent="0.3">
      <c r="A478" s="2314"/>
      <c r="B478" s="1718"/>
      <c r="C478" s="1718"/>
      <c r="D478" s="1718"/>
      <c r="E478" s="1718"/>
      <c r="F478" s="385" t="s">
        <v>14</v>
      </c>
      <c r="G478" s="69">
        <f>SUM(H478:L478)</f>
        <v>497.55</v>
      </c>
      <c r="H478" s="69">
        <v>497.55</v>
      </c>
      <c r="I478" s="69"/>
      <c r="J478" s="69"/>
      <c r="K478" s="69"/>
      <c r="L478" s="69"/>
      <c r="M478" s="609"/>
      <c r="N478" s="609"/>
      <c r="O478" s="609"/>
      <c r="P478" s="1177"/>
    </row>
    <row r="479" spans="1:27" s="640" customFormat="1" ht="18" customHeight="1" x14ac:dyDescent="0.3">
      <c r="A479" s="2314"/>
      <c r="B479" s="1718" t="s">
        <v>1052</v>
      </c>
      <c r="C479" s="1718"/>
      <c r="D479" s="1718"/>
      <c r="E479" s="1718"/>
      <c r="F479" s="385" t="s">
        <v>12</v>
      </c>
      <c r="G479" s="69">
        <f>G480+G481</f>
        <v>30553.06</v>
      </c>
      <c r="H479" s="69">
        <f>H480/0.95</f>
        <v>30553.06</v>
      </c>
      <c r="I479" s="69"/>
      <c r="J479" s="69"/>
      <c r="K479" s="69"/>
      <c r="L479" s="69"/>
      <c r="M479" s="609"/>
      <c r="N479" s="609"/>
      <c r="O479" s="609"/>
      <c r="P479" s="1177" t="s">
        <v>1571</v>
      </c>
    </row>
    <row r="480" spans="1:27" s="640" customFormat="1" ht="18" customHeight="1" x14ac:dyDescent="0.3">
      <c r="A480" s="2314"/>
      <c r="B480" s="1718"/>
      <c r="C480" s="1718"/>
      <c r="D480" s="1718"/>
      <c r="E480" s="1718"/>
      <c r="F480" s="385" t="s">
        <v>13</v>
      </c>
      <c r="G480" s="69">
        <f>H480</f>
        <v>29025.41</v>
      </c>
      <c r="H480" s="69">
        <v>29025.41</v>
      </c>
      <c r="I480" s="69"/>
      <c r="J480" s="69"/>
      <c r="K480" s="69"/>
      <c r="L480" s="69"/>
      <c r="M480" s="609"/>
      <c r="N480" s="609"/>
      <c r="O480" s="609"/>
      <c r="P480" s="1177"/>
      <c r="W480" s="640">
        <v>1</v>
      </c>
    </row>
    <row r="481" spans="1:24" s="640" customFormat="1" ht="18" customHeight="1" x14ac:dyDescent="0.3">
      <c r="A481" s="2314"/>
      <c r="B481" s="1718"/>
      <c r="C481" s="1718"/>
      <c r="D481" s="1718"/>
      <c r="E481" s="1718"/>
      <c r="F481" s="385" t="s">
        <v>14</v>
      </c>
      <c r="G481" s="69">
        <f>H481</f>
        <v>1527.65</v>
      </c>
      <c r="H481" s="69">
        <v>1527.65</v>
      </c>
      <c r="I481" s="69"/>
      <c r="J481" s="69"/>
      <c r="K481" s="69"/>
      <c r="L481" s="69"/>
      <c r="M481" s="609"/>
      <c r="N481" s="609"/>
      <c r="O481" s="609"/>
      <c r="P481" s="1177"/>
    </row>
    <row r="482" spans="1:24" s="640" customFormat="1" ht="18" customHeight="1" x14ac:dyDescent="0.3">
      <c r="A482" s="2314"/>
      <c r="B482" s="1718" t="s">
        <v>1053</v>
      </c>
      <c r="C482" s="1718"/>
      <c r="D482" s="1718"/>
      <c r="E482" s="1718"/>
      <c r="F482" s="385" t="s">
        <v>12</v>
      </c>
      <c r="G482" s="69">
        <f>G483+G484</f>
        <v>89706.19</v>
      </c>
      <c r="H482" s="69">
        <f>H483/0.95</f>
        <v>0</v>
      </c>
      <c r="I482" s="69">
        <f>I483/0.95</f>
        <v>89706.19</v>
      </c>
      <c r="J482" s="69"/>
      <c r="K482" s="69"/>
      <c r="L482" s="69"/>
      <c r="M482" s="609"/>
      <c r="N482" s="609"/>
      <c r="O482" s="383"/>
      <c r="P482" s="1100"/>
    </row>
    <row r="483" spans="1:24" s="640" customFormat="1" ht="18" customHeight="1" x14ac:dyDescent="0.3">
      <c r="A483" s="2314"/>
      <c r="B483" s="1718"/>
      <c r="C483" s="1718"/>
      <c r="D483" s="1718"/>
      <c r="E483" s="1718"/>
      <c r="F483" s="385" t="s">
        <v>13</v>
      </c>
      <c r="G483" s="69">
        <f>H483+I483</f>
        <v>85220.88</v>
      </c>
      <c r="H483" s="69">
        <v>0</v>
      </c>
      <c r="I483" s="69">
        <f>59654.62+25566.26</f>
        <v>85220.88</v>
      </c>
      <c r="J483" s="69"/>
      <c r="K483" s="69"/>
      <c r="L483" s="69"/>
      <c r="M483" s="609"/>
      <c r="N483" s="609"/>
      <c r="O483" s="69"/>
      <c r="P483" s="1117" t="s">
        <v>1571</v>
      </c>
      <c r="X483" s="640">
        <v>1</v>
      </c>
    </row>
    <row r="484" spans="1:24" s="640" customFormat="1" ht="18" customHeight="1" x14ac:dyDescent="0.3">
      <c r="A484" s="2314"/>
      <c r="B484" s="1718"/>
      <c r="C484" s="1718"/>
      <c r="D484" s="1718"/>
      <c r="E484" s="1718"/>
      <c r="F484" s="385" t="s">
        <v>14</v>
      </c>
      <c r="G484" s="69">
        <f>H484+I484</f>
        <v>4485.3100000000004</v>
      </c>
      <c r="H484" s="69">
        <f>H482*0.05</f>
        <v>0</v>
      </c>
      <c r="I484" s="69">
        <f>I482*0.05</f>
        <v>4485.3100000000004</v>
      </c>
      <c r="J484" s="69"/>
      <c r="K484" s="69"/>
      <c r="L484" s="69"/>
      <c r="M484" s="609"/>
      <c r="N484" s="609"/>
      <c r="O484" s="609"/>
      <c r="P484" s="1177"/>
    </row>
    <row r="485" spans="1:24" s="640" customFormat="1" ht="18" customHeight="1" x14ac:dyDescent="0.3">
      <c r="A485" s="2314"/>
      <c r="B485" s="1718" t="s">
        <v>1054</v>
      </c>
      <c r="C485" s="1718"/>
      <c r="D485" s="1718"/>
      <c r="E485" s="1718"/>
      <c r="F485" s="385" t="s">
        <v>12</v>
      </c>
      <c r="G485" s="69">
        <f>G486+G487</f>
        <v>90315.65</v>
      </c>
      <c r="H485" s="69">
        <f>H486/0.95</f>
        <v>0</v>
      </c>
      <c r="I485" s="69">
        <f>I486/0.95</f>
        <v>90315.65</v>
      </c>
      <c r="J485" s="69"/>
      <c r="K485" s="69"/>
      <c r="L485" s="69"/>
      <c r="M485" s="609"/>
      <c r="N485" s="609"/>
      <c r="O485" s="609"/>
      <c r="P485" s="1177"/>
    </row>
    <row r="486" spans="1:24" s="640" customFormat="1" ht="18" customHeight="1" x14ac:dyDescent="0.3">
      <c r="A486" s="2314"/>
      <c r="B486" s="1718"/>
      <c r="C486" s="1718"/>
      <c r="D486" s="1718"/>
      <c r="E486" s="1718"/>
      <c r="F486" s="385" t="s">
        <v>13</v>
      </c>
      <c r="G486" s="69">
        <f>H486+I486</f>
        <v>85799.87</v>
      </c>
      <c r="H486" s="69">
        <v>0</v>
      </c>
      <c r="I486" s="69">
        <f>60059.91+25739.96</f>
        <v>85799.87</v>
      </c>
      <c r="J486" s="69"/>
      <c r="K486" s="69"/>
      <c r="L486" s="69"/>
      <c r="M486" s="609"/>
      <c r="N486" s="609"/>
      <c r="O486" s="609"/>
      <c r="P486" s="1177" t="s">
        <v>1571</v>
      </c>
      <c r="X486" s="640">
        <v>1</v>
      </c>
    </row>
    <row r="487" spans="1:24" s="640" customFormat="1" ht="18" customHeight="1" x14ac:dyDescent="0.3">
      <c r="A487" s="2314"/>
      <c r="B487" s="1718"/>
      <c r="C487" s="1718"/>
      <c r="D487" s="1718"/>
      <c r="E487" s="1718"/>
      <c r="F487" s="385" t="s">
        <v>14</v>
      </c>
      <c r="G487" s="69">
        <f>H487+I487</f>
        <v>4515.78</v>
      </c>
      <c r="H487" s="69">
        <f>H485*0.05</f>
        <v>0</v>
      </c>
      <c r="I487" s="69">
        <f>I485*0.05</f>
        <v>4515.78</v>
      </c>
      <c r="J487" s="69"/>
      <c r="K487" s="69"/>
      <c r="L487" s="69"/>
      <c r="M487" s="609"/>
      <c r="N487" s="609"/>
      <c r="O487" s="609"/>
      <c r="P487" s="1177"/>
    </row>
    <row r="488" spans="1:24" s="663" customFormat="1" ht="18" customHeight="1" x14ac:dyDescent="0.3">
      <c r="A488" s="2314" t="s">
        <v>780</v>
      </c>
      <c r="B488" s="2315" t="s">
        <v>86</v>
      </c>
      <c r="C488" s="2315"/>
      <c r="D488" s="2315"/>
      <c r="E488" s="2315"/>
      <c r="F488" s="658" t="s">
        <v>12</v>
      </c>
      <c r="G488" s="659">
        <f t="shared" ref="G488:I488" si="260">G489+G490</f>
        <v>141096.6</v>
      </c>
      <c r="H488" s="659">
        <f t="shared" si="260"/>
        <v>141096.6</v>
      </c>
      <c r="I488" s="659">
        <f t="shared" si="260"/>
        <v>0</v>
      </c>
      <c r="J488" s="659"/>
      <c r="K488" s="659"/>
      <c r="L488" s="659"/>
      <c r="M488" s="665">
        <v>2018</v>
      </c>
      <c r="N488" s="665">
        <v>2019</v>
      </c>
      <c r="O488" s="661"/>
      <c r="P488" s="1174" t="s">
        <v>1572</v>
      </c>
    </row>
    <row r="489" spans="1:24" s="663" customFormat="1" ht="37.5" customHeight="1" x14ac:dyDescent="0.3">
      <c r="A489" s="2314"/>
      <c r="B489" s="2315"/>
      <c r="C489" s="2315"/>
      <c r="D489" s="2315"/>
      <c r="E489" s="2315"/>
      <c r="F489" s="658" t="s">
        <v>13</v>
      </c>
      <c r="G489" s="664">
        <f>H489+I489+J489+K489+L489</f>
        <v>135668.20000000001</v>
      </c>
      <c r="H489" s="664">
        <f>H492+H495+H498+H501+H504+H507+H510+H513+H516+H519+H522+H525</f>
        <v>135668.20000000001</v>
      </c>
      <c r="I489" s="664">
        <f t="shared" ref="I489:L489" si="261">I492+I495+I498+I501</f>
        <v>0</v>
      </c>
      <c r="J489" s="664">
        <f t="shared" si="261"/>
        <v>0</v>
      </c>
      <c r="K489" s="664">
        <f t="shared" si="261"/>
        <v>0</v>
      </c>
      <c r="L489" s="664">
        <f t="shared" si="261"/>
        <v>0</v>
      </c>
      <c r="M489" s="666">
        <v>7</v>
      </c>
      <c r="N489" s="666">
        <v>0</v>
      </c>
      <c r="O489" s="661"/>
      <c r="P489" s="1175"/>
    </row>
    <row r="490" spans="1:24" s="663" customFormat="1" ht="75.75" customHeight="1" x14ac:dyDescent="0.3">
      <c r="A490" s="2314"/>
      <c r="B490" s="2315"/>
      <c r="C490" s="2315"/>
      <c r="D490" s="2315"/>
      <c r="E490" s="2315"/>
      <c r="F490" s="658" t="s">
        <v>14</v>
      </c>
      <c r="G490" s="664">
        <f>SUM(H490:L490)</f>
        <v>5428.4</v>
      </c>
      <c r="H490" s="952">
        <f>H493+H496+H499+H502+H505+H508+H511+H514+H517+H520+H523+H526</f>
        <v>5428.4</v>
      </c>
      <c r="I490" s="664">
        <f t="shared" ref="I490:L490" si="262">I493+I496+I499+I502</f>
        <v>0</v>
      </c>
      <c r="J490" s="664">
        <f t="shared" si="262"/>
        <v>0</v>
      </c>
      <c r="K490" s="664">
        <f t="shared" si="262"/>
        <v>0</v>
      </c>
      <c r="L490" s="664">
        <f t="shared" si="262"/>
        <v>0</v>
      </c>
      <c r="M490" s="661"/>
      <c r="N490" s="661"/>
      <c r="O490" s="661"/>
      <c r="P490" s="1176"/>
    </row>
    <row r="491" spans="1:24" s="640" customFormat="1" ht="18" customHeight="1" x14ac:dyDescent="0.3">
      <c r="A491" s="2314"/>
      <c r="B491" s="1718" t="s">
        <v>1708</v>
      </c>
      <c r="C491" s="1718"/>
      <c r="D491" s="1718"/>
      <c r="E491" s="1718"/>
      <c r="F491" s="385" t="s">
        <v>12</v>
      </c>
      <c r="G491" s="69">
        <f>G492+G493</f>
        <v>4662.21</v>
      </c>
      <c r="H491" s="69">
        <f>H492+H493</f>
        <v>4662.21</v>
      </c>
      <c r="I491" s="69"/>
      <c r="J491" s="69"/>
      <c r="K491" s="69"/>
      <c r="L491" s="69"/>
      <c r="M491" s="609"/>
      <c r="N491" s="609"/>
      <c r="O491" s="609"/>
      <c r="P491" s="1177"/>
    </row>
    <row r="492" spans="1:24" s="640" customFormat="1" ht="18" customHeight="1" x14ac:dyDescent="0.3">
      <c r="A492" s="2314"/>
      <c r="B492" s="1718"/>
      <c r="C492" s="1718"/>
      <c r="D492" s="1718"/>
      <c r="E492" s="1718"/>
      <c r="F492" s="385" t="s">
        <v>13</v>
      </c>
      <c r="G492" s="69">
        <f>SUM(H492:L492)</f>
        <v>4429.1000000000004</v>
      </c>
      <c r="H492" s="69">
        <v>4429.1000000000004</v>
      </c>
      <c r="I492" s="69"/>
      <c r="J492" s="69"/>
      <c r="K492" s="69"/>
      <c r="L492" s="69"/>
      <c r="M492" s="609"/>
      <c r="N492" s="609"/>
      <c r="O492" s="609"/>
      <c r="P492" s="1177" t="s">
        <v>1573</v>
      </c>
      <c r="W492" s="640">
        <v>1</v>
      </c>
    </row>
    <row r="493" spans="1:24" s="640" customFormat="1" ht="18" customHeight="1" x14ac:dyDescent="0.3">
      <c r="A493" s="2314"/>
      <c r="B493" s="1718"/>
      <c r="C493" s="1718"/>
      <c r="D493" s="1718"/>
      <c r="E493" s="1718"/>
      <c r="F493" s="385" t="s">
        <v>14</v>
      </c>
      <c r="G493" s="69">
        <f>SUM(H493:L493)</f>
        <v>233.11</v>
      </c>
      <c r="H493" s="69">
        <v>233.11</v>
      </c>
      <c r="I493" s="69"/>
      <c r="J493" s="69"/>
      <c r="K493" s="69"/>
      <c r="L493" s="69"/>
      <c r="M493" s="609"/>
      <c r="N493" s="609"/>
      <c r="O493" s="609"/>
      <c r="P493" s="1177"/>
    </row>
    <row r="494" spans="1:24" s="640" customFormat="1" ht="18" customHeight="1" x14ac:dyDescent="0.3">
      <c r="A494" s="2314"/>
      <c r="B494" s="1718" t="s">
        <v>1707</v>
      </c>
      <c r="C494" s="1718"/>
      <c r="D494" s="1718"/>
      <c r="E494" s="1718"/>
      <c r="F494" s="385" t="s">
        <v>12</v>
      </c>
      <c r="G494" s="69">
        <f>G495+G496</f>
        <v>3903.82</v>
      </c>
      <c r="H494" s="69">
        <f>H495+H496</f>
        <v>3903.82</v>
      </c>
      <c r="I494" s="69"/>
      <c r="J494" s="69"/>
      <c r="K494" s="69"/>
      <c r="L494" s="69"/>
      <c r="M494" s="609"/>
      <c r="N494" s="609"/>
      <c r="O494" s="609"/>
      <c r="P494" s="1177"/>
    </row>
    <row r="495" spans="1:24" s="640" customFormat="1" ht="18" customHeight="1" x14ac:dyDescent="0.3">
      <c r="A495" s="2314"/>
      <c r="B495" s="1718"/>
      <c r="C495" s="1718"/>
      <c r="D495" s="1718"/>
      <c r="E495" s="1718"/>
      <c r="F495" s="385" t="s">
        <v>13</v>
      </c>
      <c r="G495" s="69">
        <f>SUM(H495:L495)</f>
        <v>3708.63</v>
      </c>
      <c r="H495" s="69">
        <v>3708.63</v>
      </c>
      <c r="I495" s="69"/>
      <c r="J495" s="69"/>
      <c r="K495" s="69"/>
      <c r="L495" s="69"/>
      <c r="M495" s="609"/>
      <c r="N495" s="609"/>
      <c r="O495" s="609"/>
      <c r="P495" s="1177" t="s">
        <v>1573</v>
      </c>
      <c r="W495" s="640">
        <v>1</v>
      </c>
    </row>
    <row r="496" spans="1:24" s="640" customFormat="1" ht="18" customHeight="1" x14ac:dyDescent="0.3">
      <c r="A496" s="2314"/>
      <c r="B496" s="1718"/>
      <c r="C496" s="1718"/>
      <c r="D496" s="1718"/>
      <c r="E496" s="1718"/>
      <c r="F496" s="385" t="s">
        <v>14</v>
      </c>
      <c r="G496" s="69">
        <f>SUM(H496:L496)</f>
        <v>195.19</v>
      </c>
      <c r="H496" s="69">
        <v>195.19</v>
      </c>
      <c r="I496" s="69"/>
      <c r="J496" s="69"/>
      <c r="K496" s="69"/>
      <c r="L496" s="69"/>
      <c r="M496" s="609"/>
      <c r="N496" s="609"/>
      <c r="O496" s="609"/>
      <c r="P496" s="1177"/>
    </row>
    <row r="497" spans="1:16384" s="640" customFormat="1" ht="18" customHeight="1" x14ac:dyDescent="0.3">
      <c r="A497" s="2314"/>
      <c r="B497" s="1718" t="s">
        <v>1706</v>
      </c>
      <c r="C497" s="1718"/>
      <c r="D497" s="1718"/>
      <c r="E497" s="1718"/>
      <c r="F497" s="385" t="s">
        <v>12</v>
      </c>
      <c r="G497" s="69">
        <f>G498+G499</f>
        <v>5655.83</v>
      </c>
      <c r="H497" s="69">
        <f>H498+H499</f>
        <v>5655.83</v>
      </c>
      <c r="I497" s="69"/>
      <c r="J497" s="69"/>
      <c r="K497" s="69"/>
      <c r="L497" s="69"/>
      <c r="M497" s="609"/>
      <c r="N497" s="609"/>
      <c r="O497" s="609"/>
      <c r="P497" s="643"/>
    </row>
    <row r="498" spans="1:16384" s="640" customFormat="1" ht="18" customHeight="1" x14ac:dyDescent="0.3">
      <c r="A498" s="2314"/>
      <c r="B498" s="1718"/>
      <c r="C498" s="1718"/>
      <c r="D498" s="1718"/>
      <c r="E498" s="1718"/>
      <c r="F498" s="385" t="s">
        <v>13</v>
      </c>
      <c r="G498" s="69">
        <f>SUM(H498:L498)</f>
        <v>5373.04</v>
      </c>
      <c r="H498" s="69">
        <v>5373.04</v>
      </c>
      <c r="I498" s="69"/>
      <c r="J498" s="69"/>
      <c r="K498" s="69"/>
      <c r="L498" s="69"/>
      <c r="M498" s="609"/>
      <c r="N498" s="609"/>
      <c r="O498" s="609"/>
      <c r="P498" s="1177" t="s">
        <v>1573</v>
      </c>
      <c r="W498" s="640">
        <v>1</v>
      </c>
    </row>
    <row r="499" spans="1:16384" s="640" customFormat="1" ht="18" customHeight="1" x14ac:dyDescent="0.3">
      <c r="A499" s="2314"/>
      <c r="B499" s="1718"/>
      <c r="C499" s="1718"/>
      <c r="D499" s="1718"/>
      <c r="E499" s="1718"/>
      <c r="F499" s="385" t="s">
        <v>14</v>
      </c>
      <c r="G499" s="69">
        <f>SUM(H499:L499)</f>
        <v>282.79000000000002</v>
      </c>
      <c r="H499" s="69">
        <v>282.79000000000002</v>
      </c>
      <c r="I499" s="69"/>
      <c r="J499" s="69"/>
      <c r="K499" s="69"/>
      <c r="L499" s="69"/>
      <c r="M499" s="609"/>
      <c r="N499" s="609"/>
      <c r="O499" s="609"/>
      <c r="P499" s="1177" t="s">
        <v>1027</v>
      </c>
    </row>
    <row r="500" spans="1:16384" s="640" customFormat="1" ht="18" customHeight="1" x14ac:dyDescent="0.3">
      <c r="A500" s="2314"/>
      <c r="B500" s="1718" t="s">
        <v>1705</v>
      </c>
      <c r="C500" s="1718"/>
      <c r="D500" s="1718"/>
      <c r="E500" s="1718"/>
      <c r="F500" s="385" t="s">
        <v>12</v>
      </c>
      <c r="G500" s="69">
        <f>G501+G502</f>
        <v>80000</v>
      </c>
      <c r="H500" s="69">
        <f>H501+H502</f>
        <v>80000</v>
      </c>
      <c r="I500" s="69"/>
      <c r="J500" s="69"/>
      <c r="K500" s="69"/>
      <c r="L500" s="69"/>
      <c r="M500" s="609"/>
      <c r="N500" s="609"/>
      <c r="O500" s="609"/>
      <c r="P500" s="1177"/>
    </row>
    <row r="501" spans="1:16384" s="640" customFormat="1" ht="18" customHeight="1" x14ac:dyDescent="0.3">
      <c r="A501" s="2314"/>
      <c r="B501" s="1718"/>
      <c r="C501" s="1718"/>
      <c r="D501" s="1718"/>
      <c r="E501" s="1718"/>
      <c r="F501" s="385" t="s">
        <v>13</v>
      </c>
      <c r="G501" s="69">
        <f>SUM(H501:L501)</f>
        <v>76000</v>
      </c>
      <c r="H501" s="69">
        <v>76000</v>
      </c>
      <c r="I501" s="69"/>
      <c r="J501" s="69"/>
      <c r="K501" s="69"/>
      <c r="L501" s="69"/>
      <c r="M501" s="609"/>
      <c r="N501" s="609"/>
      <c r="O501" s="609"/>
      <c r="P501" s="1177" t="s">
        <v>1574</v>
      </c>
      <c r="W501" s="640">
        <v>2</v>
      </c>
    </row>
    <row r="502" spans="1:16384" s="640" customFormat="1" ht="18" customHeight="1" x14ac:dyDescent="0.3">
      <c r="A502" s="2314"/>
      <c r="B502" s="1718"/>
      <c r="C502" s="1718"/>
      <c r="D502" s="1718"/>
      <c r="E502" s="1718"/>
      <c r="F502" s="385" t="s">
        <v>14</v>
      </c>
      <c r="G502" s="69">
        <f>SUM(H502:L502)</f>
        <v>4000</v>
      </c>
      <c r="H502" s="69">
        <v>4000</v>
      </c>
      <c r="I502" s="69"/>
      <c r="J502" s="69"/>
      <c r="K502" s="69"/>
      <c r="L502" s="69"/>
      <c r="M502" s="609"/>
      <c r="N502" s="609"/>
      <c r="O502" s="609"/>
      <c r="P502" s="1177"/>
    </row>
    <row r="503" spans="1:16384" s="640" customFormat="1" ht="18" customHeight="1" x14ac:dyDescent="0.3">
      <c r="A503" s="2314"/>
      <c r="B503" s="1718" t="s">
        <v>1026</v>
      </c>
      <c r="C503" s="1718"/>
      <c r="D503" s="1718"/>
      <c r="E503" s="1718"/>
      <c r="F503" s="385" t="s">
        <v>12</v>
      </c>
      <c r="G503" s="69">
        <f>G504+G505</f>
        <v>6046</v>
      </c>
      <c r="H503" s="69">
        <f>H504+H505</f>
        <v>6046</v>
      </c>
      <c r="I503" s="69"/>
      <c r="J503" s="69"/>
      <c r="K503" s="69"/>
      <c r="L503" s="69"/>
      <c r="M503" s="609"/>
      <c r="N503" s="609"/>
      <c r="O503" s="609"/>
      <c r="P503" s="1178" t="s">
        <v>1575</v>
      </c>
    </row>
    <row r="504" spans="1:16384" s="640" customFormat="1" ht="18" customHeight="1" x14ac:dyDescent="0.3">
      <c r="A504" s="2314"/>
      <c r="B504" s="1718"/>
      <c r="C504" s="1718"/>
      <c r="D504" s="1718"/>
      <c r="E504" s="1718"/>
      <c r="F504" s="385" t="s">
        <v>13</v>
      </c>
      <c r="G504" s="69">
        <f>SUM(H504:L504)</f>
        <v>5743.69</v>
      </c>
      <c r="H504" s="69">
        <f>25164.95-19421.26</f>
        <v>5743.69</v>
      </c>
      <c r="I504" s="69"/>
      <c r="J504" s="69"/>
      <c r="K504" s="69"/>
      <c r="L504" s="69"/>
      <c r="M504" s="609"/>
      <c r="N504" s="609"/>
      <c r="O504" s="609"/>
      <c r="P504" s="1177"/>
      <c r="W504" s="640">
        <v>1</v>
      </c>
    </row>
    <row r="505" spans="1:16384" s="640" customFormat="1" ht="18" customHeight="1" x14ac:dyDescent="0.3">
      <c r="A505" s="2314"/>
      <c r="B505" s="1718"/>
      <c r="C505" s="1718"/>
      <c r="D505" s="1718"/>
      <c r="E505" s="1718"/>
      <c r="F505" s="385" t="s">
        <v>14</v>
      </c>
      <c r="G505" s="69">
        <f>SUM(H505:L505)</f>
        <v>302.31</v>
      </c>
      <c r="H505" s="638">
        <f>1324.48-1022.17</f>
        <v>302.31</v>
      </c>
      <c r="I505" s="69"/>
      <c r="J505" s="69"/>
      <c r="K505" s="69"/>
      <c r="L505" s="69"/>
      <c r="M505" s="609"/>
      <c r="N505" s="609"/>
      <c r="O505" s="609"/>
      <c r="P505" s="1177"/>
    </row>
    <row r="506" spans="1:16384" s="640" customFormat="1" ht="18" customHeight="1" x14ac:dyDescent="0.3">
      <c r="A506" s="2314"/>
      <c r="B506" s="1718" t="s">
        <v>1413</v>
      </c>
      <c r="C506" s="1718"/>
      <c r="D506" s="1718"/>
      <c r="E506" s="1718"/>
      <c r="F506" s="385" t="s">
        <v>12</v>
      </c>
      <c r="G506" s="69">
        <f>G507+G508</f>
        <v>3098.27</v>
      </c>
      <c r="H506" s="69">
        <f>H507+H508</f>
        <v>3098.27</v>
      </c>
      <c r="I506" s="69"/>
      <c r="J506" s="69"/>
      <c r="K506" s="69"/>
      <c r="L506" s="69"/>
      <c r="M506" s="677"/>
      <c r="N506" s="609"/>
      <c r="O506" s="609"/>
      <c r="P506" s="1177"/>
    </row>
    <row r="507" spans="1:16384" s="640" customFormat="1" ht="18" customHeight="1" x14ac:dyDescent="0.3">
      <c r="A507" s="2314"/>
      <c r="B507" s="1718"/>
      <c r="C507" s="1718"/>
      <c r="D507" s="1718"/>
      <c r="E507" s="1718"/>
      <c r="F507" s="385" t="s">
        <v>13</v>
      </c>
      <c r="G507" s="69">
        <f t="shared" ref="G507:G508" si="263">SUM(H507:L507)</f>
        <v>3098.27</v>
      </c>
      <c r="H507" s="69">
        <v>3098.27</v>
      </c>
      <c r="I507" s="69"/>
      <c r="J507" s="69"/>
      <c r="K507" s="69"/>
      <c r="L507" s="69"/>
      <c r="M507" s="677"/>
      <c r="N507" s="609"/>
      <c r="O507" s="609"/>
      <c r="P507" s="1178" t="s">
        <v>1575</v>
      </c>
      <c r="W507" s="640">
        <v>1</v>
      </c>
    </row>
    <row r="508" spans="1:16384" s="640" customFormat="1" ht="18" customHeight="1" x14ac:dyDescent="0.3">
      <c r="A508" s="2314"/>
      <c r="B508" s="1718"/>
      <c r="C508" s="1718"/>
      <c r="D508" s="1718"/>
      <c r="E508" s="1718"/>
      <c r="F508" s="385" t="s">
        <v>14</v>
      </c>
      <c r="G508" s="69">
        <f t="shared" si="263"/>
        <v>0</v>
      </c>
      <c r="H508" s="69">
        <v>0</v>
      </c>
      <c r="I508" s="69"/>
      <c r="J508" s="69"/>
      <c r="K508" s="69"/>
      <c r="L508" s="69"/>
      <c r="M508" s="677"/>
      <c r="N508" s="609"/>
      <c r="O508" s="609"/>
      <c r="P508" s="1177"/>
    </row>
    <row r="509" spans="1:16384" s="640" customFormat="1" ht="18" customHeight="1" x14ac:dyDescent="0.3">
      <c r="A509" s="2314"/>
      <c r="B509" s="1718" t="s">
        <v>1414</v>
      </c>
      <c r="C509" s="1718"/>
      <c r="D509" s="1718"/>
      <c r="E509" s="1718"/>
      <c r="F509" s="385" t="s">
        <v>12</v>
      </c>
      <c r="G509" s="69">
        <f>G510+G511</f>
        <v>3309.52</v>
      </c>
      <c r="H509" s="952">
        <f>H510+H511</f>
        <v>3309.52</v>
      </c>
      <c r="I509" s="69"/>
      <c r="J509" s="69"/>
      <c r="K509" s="69"/>
      <c r="L509" s="69"/>
      <c r="M509" s="677"/>
      <c r="N509" s="609"/>
      <c r="O509" s="609"/>
      <c r="P509" s="1177"/>
    </row>
    <row r="510" spans="1:16384" s="640" customFormat="1" ht="18" customHeight="1" x14ac:dyDescent="0.3">
      <c r="A510" s="2314"/>
      <c r="B510" s="1718"/>
      <c r="C510" s="1718"/>
      <c r="D510" s="1718"/>
      <c r="E510" s="1718"/>
      <c r="F510" s="385" t="s">
        <v>13</v>
      </c>
      <c r="G510" s="69">
        <f t="shared" ref="G510:G511" si="264">SUM(H510:L510)</f>
        <v>3309.52</v>
      </c>
      <c r="H510" s="69">
        <v>3309.52</v>
      </c>
      <c r="I510" s="69"/>
      <c r="J510" s="69"/>
      <c r="K510" s="69"/>
      <c r="L510" s="69"/>
      <c r="M510" s="677"/>
      <c r="N510" s="609"/>
      <c r="O510" s="609"/>
      <c r="P510" s="1178" t="s">
        <v>1575</v>
      </c>
      <c r="W510" s="640">
        <v>1</v>
      </c>
    </row>
    <row r="511" spans="1:16384" s="640" customFormat="1" ht="18" customHeight="1" x14ac:dyDescent="0.3">
      <c r="A511" s="2314"/>
      <c r="B511" s="1718"/>
      <c r="C511" s="1718"/>
      <c r="D511" s="1718"/>
      <c r="E511" s="1718"/>
      <c r="F511" s="385" t="s">
        <v>14</v>
      </c>
      <c r="G511" s="69">
        <f t="shared" si="264"/>
        <v>0</v>
      </c>
      <c r="H511" s="69">
        <v>0</v>
      </c>
      <c r="I511" s="69"/>
      <c r="J511" s="69"/>
      <c r="K511" s="69"/>
      <c r="L511" s="69"/>
      <c r="M511" s="677"/>
      <c r="N511" s="609"/>
      <c r="O511" s="609"/>
      <c r="P511" s="1177"/>
    </row>
    <row r="512" spans="1:16384" s="640" customFormat="1" ht="18" customHeight="1" x14ac:dyDescent="0.3">
      <c r="A512" s="2314"/>
      <c r="B512" s="1718" t="s">
        <v>1415</v>
      </c>
      <c r="C512" s="1718"/>
      <c r="D512" s="1718"/>
      <c r="E512" s="1718"/>
      <c r="F512" s="385" t="s">
        <v>12</v>
      </c>
      <c r="G512" s="69">
        <f>G513+G514</f>
        <v>2464.54</v>
      </c>
      <c r="H512" s="952">
        <f>H513+H514</f>
        <v>2464.54</v>
      </c>
      <c r="I512" s="69"/>
      <c r="J512" s="69"/>
      <c r="K512" s="69"/>
      <c r="L512" s="69"/>
      <c r="M512" s="677"/>
      <c r="N512" s="609"/>
      <c r="O512" s="69"/>
      <c r="P512" s="1117"/>
      <c r="Q512" s="2511"/>
      <c r="R512" s="1755"/>
      <c r="S512" s="1756"/>
      <c r="T512" s="1756"/>
      <c r="U512" s="1757"/>
      <c r="V512" s="385"/>
      <c r="W512" s="1170"/>
      <c r="X512" s="69"/>
      <c r="Y512" s="2511"/>
      <c r="Z512" s="1755"/>
      <c r="AA512" s="1756"/>
      <c r="AB512" s="1756"/>
      <c r="AC512" s="1757"/>
      <c r="AD512" s="385"/>
      <c r="AE512" s="69"/>
      <c r="AF512" s="69"/>
      <c r="AG512" s="2511"/>
      <c r="AH512" s="1755"/>
      <c r="AI512" s="1756"/>
      <c r="AJ512" s="1756"/>
      <c r="AK512" s="1757"/>
      <c r="AL512" s="385"/>
      <c r="AM512" s="69"/>
      <c r="AN512" s="69"/>
      <c r="AO512" s="2511"/>
      <c r="AP512" s="1755"/>
      <c r="AQ512" s="1756"/>
      <c r="AR512" s="1756"/>
      <c r="AS512" s="1757"/>
      <c r="AT512" s="385"/>
      <c r="AU512" s="69"/>
      <c r="AV512" s="69"/>
      <c r="AW512" s="2511"/>
      <c r="AX512" s="1755"/>
      <c r="AY512" s="1756"/>
      <c r="AZ512" s="1756"/>
      <c r="BA512" s="1757"/>
      <c r="BB512" s="385"/>
      <c r="BC512" s="69"/>
      <c r="BD512" s="69"/>
      <c r="BE512" s="2511"/>
      <c r="BF512" s="1755"/>
      <c r="BG512" s="1756"/>
      <c r="BH512" s="1756"/>
      <c r="BI512" s="1757"/>
      <c r="BJ512" s="385"/>
      <c r="BK512" s="69"/>
      <c r="BL512" s="69"/>
      <c r="BM512" s="2511"/>
      <c r="BN512" s="1755"/>
      <c r="BO512" s="1756"/>
      <c r="BP512" s="1756"/>
      <c r="BQ512" s="1757"/>
      <c r="BR512" s="385"/>
      <c r="BS512" s="69"/>
      <c r="BT512" s="69"/>
      <c r="BU512" s="2511"/>
      <c r="BV512" s="1755"/>
      <c r="BW512" s="1756"/>
      <c r="BX512" s="1756"/>
      <c r="BY512" s="1757"/>
      <c r="BZ512" s="385"/>
      <c r="CA512" s="69"/>
      <c r="CB512" s="69"/>
      <c r="CC512" s="2511"/>
      <c r="CD512" s="1755"/>
      <c r="CE512" s="1756"/>
      <c r="CF512" s="1756"/>
      <c r="CG512" s="1757"/>
      <c r="CH512" s="385"/>
      <c r="CI512" s="69"/>
      <c r="CJ512" s="69"/>
      <c r="CK512" s="2511"/>
      <c r="CL512" s="1755"/>
      <c r="CM512" s="1756"/>
      <c r="CN512" s="1756"/>
      <c r="CO512" s="1757"/>
      <c r="CP512" s="385"/>
      <c r="CQ512" s="69"/>
      <c r="CR512" s="69"/>
      <c r="CS512" s="2511"/>
      <c r="CT512" s="1755"/>
      <c r="CU512" s="1756"/>
      <c r="CV512" s="1756"/>
      <c r="CW512" s="1757"/>
      <c r="CX512" s="385"/>
      <c r="CY512" s="69"/>
      <c r="CZ512" s="69"/>
      <c r="DA512" s="2511"/>
      <c r="DB512" s="1755"/>
      <c r="DC512" s="1756"/>
      <c r="DD512" s="1756"/>
      <c r="DE512" s="1757"/>
      <c r="DF512" s="385"/>
      <c r="DG512" s="69"/>
      <c r="DH512" s="69"/>
      <c r="DI512" s="2511"/>
      <c r="DJ512" s="1755"/>
      <c r="DK512" s="1756"/>
      <c r="DL512" s="1756"/>
      <c r="DM512" s="1757"/>
      <c r="DN512" s="385"/>
      <c r="DO512" s="69"/>
      <c r="DP512" s="69"/>
      <c r="DQ512" s="2511"/>
      <c r="DR512" s="1755"/>
      <c r="DS512" s="1756"/>
      <c r="DT512" s="1756"/>
      <c r="DU512" s="1757"/>
      <c r="DV512" s="385"/>
      <c r="DW512" s="69"/>
      <c r="DX512" s="69"/>
      <c r="DY512" s="2511"/>
      <c r="DZ512" s="1755"/>
      <c r="EA512" s="1756"/>
      <c r="EB512" s="1756"/>
      <c r="EC512" s="1757"/>
      <c r="ED512" s="385"/>
      <c r="EE512" s="69"/>
      <c r="EF512" s="69"/>
      <c r="EG512" s="2511"/>
      <c r="EH512" s="1755"/>
      <c r="EI512" s="1756"/>
      <c r="EJ512" s="1756"/>
      <c r="EK512" s="1757"/>
      <c r="EL512" s="385"/>
      <c r="EM512" s="69"/>
      <c r="EN512" s="69"/>
      <c r="EO512" s="2511"/>
      <c r="EP512" s="1755"/>
      <c r="EQ512" s="1756"/>
      <c r="ER512" s="1756"/>
      <c r="ES512" s="1757"/>
      <c r="ET512" s="385"/>
      <c r="EU512" s="69"/>
      <c r="EV512" s="69"/>
      <c r="EW512" s="2511"/>
      <c r="EX512" s="1755"/>
      <c r="EY512" s="1756"/>
      <c r="EZ512" s="1756"/>
      <c r="FA512" s="1757"/>
      <c r="FB512" s="385"/>
      <c r="FC512" s="69"/>
      <c r="FD512" s="69"/>
      <c r="FE512" s="2511"/>
      <c r="FF512" s="1755"/>
      <c r="FG512" s="1756"/>
      <c r="FH512" s="1756"/>
      <c r="FI512" s="1757"/>
      <c r="FJ512" s="385"/>
      <c r="FK512" s="69"/>
      <c r="FL512" s="69"/>
      <c r="FM512" s="2511"/>
      <c r="FN512" s="1755"/>
      <c r="FO512" s="1756"/>
      <c r="FP512" s="1756"/>
      <c r="FQ512" s="1757"/>
      <c r="FR512" s="385"/>
      <c r="FS512" s="69"/>
      <c r="FT512" s="69"/>
      <c r="FU512" s="2511"/>
      <c r="FV512" s="1755"/>
      <c r="FW512" s="1756"/>
      <c r="FX512" s="1756"/>
      <c r="FY512" s="1757"/>
      <c r="FZ512" s="385"/>
      <c r="GA512" s="69"/>
      <c r="GB512" s="69"/>
      <c r="GC512" s="2511"/>
      <c r="GD512" s="1755"/>
      <c r="GE512" s="1756"/>
      <c r="GF512" s="1756"/>
      <c r="GG512" s="1757"/>
      <c r="GH512" s="385"/>
      <c r="GI512" s="69"/>
      <c r="GJ512" s="69"/>
      <c r="GK512" s="2511"/>
      <c r="GL512" s="1755"/>
      <c r="GM512" s="1756"/>
      <c r="GN512" s="1756"/>
      <c r="GO512" s="1757"/>
      <c r="GP512" s="385"/>
      <c r="GQ512" s="69"/>
      <c r="GR512" s="69"/>
      <c r="GS512" s="2511"/>
      <c r="GT512" s="1755"/>
      <c r="GU512" s="1756"/>
      <c r="GV512" s="1756"/>
      <c r="GW512" s="1757"/>
      <c r="GX512" s="385"/>
      <c r="GY512" s="69"/>
      <c r="GZ512" s="69"/>
      <c r="HA512" s="2511"/>
      <c r="HB512" s="1755"/>
      <c r="HC512" s="1756"/>
      <c r="HD512" s="1756"/>
      <c r="HE512" s="1757"/>
      <c r="HF512" s="385"/>
      <c r="HG512" s="69"/>
      <c r="HH512" s="69"/>
      <c r="HI512" s="2511"/>
      <c r="HJ512" s="1755"/>
      <c r="HK512" s="1756"/>
      <c r="HL512" s="1756"/>
      <c r="HM512" s="1757"/>
      <c r="HN512" s="385"/>
      <c r="HO512" s="69"/>
      <c r="HP512" s="69"/>
      <c r="HQ512" s="2511"/>
      <c r="HR512" s="1755"/>
      <c r="HS512" s="1756"/>
      <c r="HT512" s="1756"/>
      <c r="HU512" s="1757"/>
      <c r="HV512" s="385"/>
      <c r="HW512" s="69"/>
      <c r="HX512" s="69"/>
      <c r="HY512" s="2511"/>
      <c r="HZ512" s="1755"/>
      <c r="IA512" s="1756"/>
      <c r="IB512" s="1756"/>
      <c r="IC512" s="1757"/>
      <c r="ID512" s="385"/>
      <c r="IE512" s="69"/>
      <c r="IF512" s="69"/>
      <c r="IG512" s="2511"/>
      <c r="IH512" s="1755"/>
      <c r="II512" s="1756"/>
      <c r="IJ512" s="1756"/>
      <c r="IK512" s="1757"/>
      <c r="IL512" s="385"/>
      <c r="IM512" s="69"/>
      <c r="IN512" s="69"/>
      <c r="IO512" s="2511"/>
      <c r="IP512" s="1755"/>
      <c r="IQ512" s="1756"/>
      <c r="IR512" s="1756"/>
      <c r="IS512" s="1757"/>
      <c r="IT512" s="385"/>
      <c r="IU512" s="69"/>
      <c r="IV512" s="69"/>
      <c r="IW512" s="2511"/>
      <c r="IX512" s="1755"/>
      <c r="IY512" s="1756"/>
      <c r="IZ512" s="1756"/>
      <c r="JA512" s="1757"/>
      <c r="JB512" s="385"/>
      <c r="JC512" s="69"/>
      <c r="JD512" s="69"/>
      <c r="JE512" s="2511"/>
      <c r="JF512" s="1755"/>
      <c r="JG512" s="1756"/>
      <c r="JH512" s="1756"/>
      <c r="JI512" s="1757"/>
      <c r="JJ512" s="385"/>
      <c r="JK512" s="69"/>
      <c r="JL512" s="69"/>
      <c r="JM512" s="2511"/>
      <c r="JN512" s="1755"/>
      <c r="JO512" s="1756"/>
      <c r="JP512" s="1756"/>
      <c r="JQ512" s="1757"/>
      <c r="JR512" s="385"/>
      <c r="JS512" s="69"/>
      <c r="JT512" s="69"/>
      <c r="JU512" s="2511"/>
      <c r="JV512" s="1755"/>
      <c r="JW512" s="1756"/>
      <c r="JX512" s="1756"/>
      <c r="JY512" s="1757"/>
      <c r="JZ512" s="385"/>
      <c r="KA512" s="69"/>
      <c r="KB512" s="69"/>
      <c r="KC512" s="2511"/>
      <c r="KD512" s="1755"/>
      <c r="KE512" s="1756"/>
      <c r="KF512" s="1756"/>
      <c r="KG512" s="1757"/>
      <c r="KH512" s="385"/>
      <c r="KI512" s="69"/>
      <c r="KJ512" s="69"/>
      <c r="KK512" s="2511"/>
      <c r="KL512" s="1755"/>
      <c r="KM512" s="1756"/>
      <c r="KN512" s="1756"/>
      <c r="KO512" s="1757"/>
      <c r="KP512" s="385"/>
      <c r="KQ512" s="69"/>
      <c r="KR512" s="69"/>
      <c r="KS512" s="2511"/>
      <c r="KT512" s="1755"/>
      <c r="KU512" s="1756"/>
      <c r="KV512" s="1756"/>
      <c r="KW512" s="1757"/>
      <c r="KX512" s="385"/>
      <c r="KY512" s="69"/>
      <c r="KZ512" s="69"/>
      <c r="LA512" s="2511"/>
      <c r="LB512" s="1755"/>
      <c r="LC512" s="1756"/>
      <c r="LD512" s="1756"/>
      <c r="LE512" s="1757"/>
      <c r="LF512" s="385"/>
      <c r="LG512" s="69"/>
      <c r="LH512" s="69"/>
      <c r="LI512" s="2511"/>
      <c r="LJ512" s="1755"/>
      <c r="LK512" s="1756"/>
      <c r="LL512" s="1756"/>
      <c r="LM512" s="1757"/>
      <c r="LN512" s="385"/>
      <c r="LO512" s="69"/>
      <c r="LP512" s="69"/>
      <c r="LQ512" s="2511"/>
      <c r="LR512" s="1755"/>
      <c r="LS512" s="1756"/>
      <c r="LT512" s="1756"/>
      <c r="LU512" s="1757"/>
      <c r="LV512" s="385"/>
      <c r="LW512" s="69"/>
      <c r="LX512" s="69"/>
      <c r="LY512" s="2511"/>
      <c r="LZ512" s="1755"/>
      <c r="MA512" s="1756"/>
      <c r="MB512" s="1756"/>
      <c r="MC512" s="1757"/>
      <c r="MD512" s="385"/>
      <c r="ME512" s="69"/>
      <c r="MF512" s="69"/>
      <c r="MG512" s="2511"/>
      <c r="MH512" s="1755"/>
      <c r="MI512" s="1756"/>
      <c r="MJ512" s="1756"/>
      <c r="MK512" s="1757"/>
      <c r="ML512" s="385"/>
      <c r="MM512" s="69"/>
      <c r="MN512" s="69"/>
      <c r="MO512" s="2511"/>
      <c r="MP512" s="1755"/>
      <c r="MQ512" s="1756"/>
      <c r="MR512" s="1756"/>
      <c r="MS512" s="1757"/>
      <c r="MT512" s="385"/>
      <c r="MU512" s="69"/>
      <c r="MV512" s="69"/>
      <c r="MW512" s="2511"/>
      <c r="MX512" s="1755"/>
      <c r="MY512" s="1756"/>
      <c r="MZ512" s="1756"/>
      <c r="NA512" s="1757"/>
      <c r="NB512" s="385"/>
      <c r="NC512" s="69"/>
      <c r="ND512" s="69"/>
      <c r="NE512" s="2511"/>
      <c r="NF512" s="1755"/>
      <c r="NG512" s="1756"/>
      <c r="NH512" s="1756"/>
      <c r="NI512" s="1757"/>
      <c r="NJ512" s="385"/>
      <c r="NK512" s="69"/>
      <c r="NL512" s="69"/>
      <c r="NM512" s="2511"/>
      <c r="NN512" s="1755"/>
      <c r="NO512" s="1756"/>
      <c r="NP512" s="1756"/>
      <c r="NQ512" s="1757"/>
      <c r="NR512" s="385"/>
      <c r="NS512" s="69"/>
      <c r="NT512" s="69"/>
      <c r="NU512" s="2511"/>
      <c r="NV512" s="1755"/>
      <c r="NW512" s="1756"/>
      <c r="NX512" s="1756"/>
      <c r="NY512" s="1757"/>
      <c r="NZ512" s="385"/>
      <c r="OA512" s="69"/>
      <c r="OB512" s="69"/>
      <c r="OC512" s="2511"/>
      <c r="OD512" s="1755"/>
      <c r="OE512" s="1756"/>
      <c r="OF512" s="1756"/>
      <c r="OG512" s="1757"/>
      <c r="OH512" s="385"/>
      <c r="OI512" s="69"/>
      <c r="OJ512" s="69"/>
      <c r="OK512" s="2511"/>
      <c r="OL512" s="1755"/>
      <c r="OM512" s="1756"/>
      <c r="ON512" s="1756"/>
      <c r="OO512" s="1757"/>
      <c r="OP512" s="385"/>
      <c r="OQ512" s="69"/>
      <c r="OR512" s="69"/>
      <c r="OS512" s="2511"/>
      <c r="OT512" s="1755"/>
      <c r="OU512" s="1756"/>
      <c r="OV512" s="1756"/>
      <c r="OW512" s="1757"/>
      <c r="OX512" s="385"/>
      <c r="OY512" s="69"/>
      <c r="OZ512" s="69"/>
      <c r="PA512" s="2511"/>
      <c r="PB512" s="1755"/>
      <c r="PC512" s="1756"/>
      <c r="PD512" s="1756"/>
      <c r="PE512" s="1757"/>
      <c r="PF512" s="385"/>
      <c r="PG512" s="69"/>
      <c r="PH512" s="69"/>
      <c r="PI512" s="2511"/>
      <c r="PJ512" s="1755"/>
      <c r="PK512" s="1756"/>
      <c r="PL512" s="1756"/>
      <c r="PM512" s="1757"/>
      <c r="PN512" s="385"/>
      <c r="PO512" s="69"/>
      <c r="PP512" s="69"/>
      <c r="PQ512" s="2511"/>
      <c r="PR512" s="1755"/>
      <c r="PS512" s="1756"/>
      <c r="PT512" s="1756"/>
      <c r="PU512" s="1757"/>
      <c r="PV512" s="385"/>
      <c r="PW512" s="69"/>
      <c r="PX512" s="69"/>
      <c r="PY512" s="2511"/>
      <c r="PZ512" s="1755"/>
      <c r="QA512" s="1756"/>
      <c r="QB512" s="1756"/>
      <c r="QC512" s="1757"/>
      <c r="QD512" s="385"/>
      <c r="QE512" s="69"/>
      <c r="QF512" s="69"/>
      <c r="QG512" s="2511"/>
      <c r="QH512" s="1755"/>
      <c r="QI512" s="1756"/>
      <c r="QJ512" s="1756"/>
      <c r="QK512" s="1757"/>
      <c r="QL512" s="385"/>
      <c r="QM512" s="69"/>
      <c r="QN512" s="69"/>
      <c r="QO512" s="2511"/>
      <c r="QP512" s="1755"/>
      <c r="QQ512" s="1756"/>
      <c r="QR512" s="1756"/>
      <c r="QS512" s="1757"/>
      <c r="QT512" s="385"/>
      <c r="QU512" s="69"/>
      <c r="QV512" s="69"/>
      <c r="QW512" s="2511"/>
      <c r="QX512" s="1755"/>
      <c r="QY512" s="1756"/>
      <c r="QZ512" s="1756"/>
      <c r="RA512" s="1757"/>
      <c r="RB512" s="385"/>
      <c r="RC512" s="69"/>
      <c r="RD512" s="69"/>
      <c r="RE512" s="2511"/>
      <c r="RF512" s="1755"/>
      <c r="RG512" s="1756"/>
      <c r="RH512" s="1756"/>
      <c r="RI512" s="1757"/>
      <c r="RJ512" s="385"/>
      <c r="RK512" s="69"/>
      <c r="RL512" s="69"/>
      <c r="RM512" s="2511"/>
      <c r="RN512" s="1755"/>
      <c r="RO512" s="1756"/>
      <c r="RP512" s="1756"/>
      <c r="RQ512" s="1757"/>
      <c r="RR512" s="385"/>
      <c r="RS512" s="69"/>
      <c r="RT512" s="69"/>
      <c r="RU512" s="2511"/>
      <c r="RV512" s="1755"/>
      <c r="RW512" s="1756"/>
      <c r="RX512" s="1756"/>
      <c r="RY512" s="1757"/>
      <c r="RZ512" s="385"/>
      <c r="SA512" s="69"/>
      <c r="SB512" s="69"/>
      <c r="SC512" s="2511"/>
      <c r="SD512" s="1755"/>
      <c r="SE512" s="1756"/>
      <c r="SF512" s="1756"/>
      <c r="SG512" s="1757"/>
      <c r="SH512" s="385"/>
      <c r="SI512" s="69"/>
      <c r="SJ512" s="69"/>
      <c r="SK512" s="2511"/>
      <c r="SL512" s="1755"/>
      <c r="SM512" s="1756"/>
      <c r="SN512" s="1756"/>
      <c r="SO512" s="1757"/>
      <c r="SP512" s="385"/>
      <c r="SQ512" s="69"/>
      <c r="SR512" s="69"/>
      <c r="SS512" s="2511"/>
      <c r="ST512" s="1755"/>
      <c r="SU512" s="1756"/>
      <c r="SV512" s="1756"/>
      <c r="SW512" s="1757"/>
      <c r="SX512" s="385"/>
      <c r="SY512" s="69"/>
      <c r="SZ512" s="69"/>
      <c r="TA512" s="2511"/>
      <c r="TB512" s="1755"/>
      <c r="TC512" s="1756"/>
      <c r="TD512" s="1756"/>
      <c r="TE512" s="1757"/>
      <c r="TF512" s="385"/>
      <c r="TG512" s="69"/>
      <c r="TH512" s="69"/>
      <c r="TI512" s="2511"/>
      <c r="TJ512" s="1755"/>
      <c r="TK512" s="1756"/>
      <c r="TL512" s="1756"/>
      <c r="TM512" s="1757"/>
      <c r="TN512" s="385"/>
      <c r="TO512" s="69"/>
      <c r="TP512" s="69"/>
      <c r="TQ512" s="2511"/>
      <c r="TR512" s="1755"/>
      <c r="TS512" s="1756"/>
      <c r="TT512" s="1756"/>
      <c r="TU512" s="1757"/>
      <c r="TV512" s="385"/>
      <c r="TW512" s="69"/>
      <c r="TX512" s="69"/>
      <c r="TY512" s="2511"/>
      <c r="TZ512" s="1755"/>
      <c r="UA512" s="1756"/>
      <c r="UB512" s="1756"/>
      <c r="UC512" s="1757"/>
      <c r="UD512" s="385"/>
      <c r="UE512" s="69"/>
      <c r="UF512" s="69"/>
      <c r="UG512" s="2511"/>
      <c r="UH512" s="1755"/>
      <c r="UI512" s="1756"/>
      <c r="UJ512" s="1756"/>
      <c r="UK512" s="1757"/>
      <c r="UL512" s="385"/>
      <c r="UM512" s="69"/>
      <c r="UN512" s="69"/>
      <c r="UO512" s="2511"/>
      <c r="UP512" s="1755"/>
      <c r="UQ512" s="1756"/>
      <c r="UR512" s="1756"/>
      <c r="US512" s="1757"/>
      <c r="UT512" s="385"/>
      <c r="UU512" s="69"/>
      <c r="UV512" s="69"/>
      <c r="UW512" s="2511"/>
      <c r="UX512" s="1755"/>
      <c r="UY512" s="1756"/>
      <c r="UZ512" s="1756"/>
      <c r="VA512" s="1757"/>
      <c r="VB512" s="385"/>
      <c r="VC512" s="69"/>
      <c r="VD512" s="69"/>
      <c r="VE512" s="2511"/>
      <c r="VF512" s="1755"/>
      <c r="VG512" s="1756"/>
      <c r="VH512" s="1756"/>
      <c r="VI512" s="1757"/>
      <c r="VJ512" s="385"/>
      <c r="VK512" s="69"/>
      <c r="VL512" s="69"/>
      <c r="VM512" s="2511"/>
      <c r="VN512" s="1755"/>
      <c r="VO512" s="1756"/>
      <c r="VP512" s="1756"/>
      <c r="VQ512" s="1757"/>
      <c r="VR512" s="385"/>
      <c r="VS512" s="69"/>
      <c r="VT512" s="69"/>
      <c r="VU512" s="2511"/>
      <c r="VV512" s="1755"/>
      <c r="VW512" s="1756"/>
      <c r="VX512" s="1756"/>
      <c r="VY512" s="1757"/>
      <c r="VZ512" s="385"/>
      <c r="WA512" s="69"/>
      <c r="WB512" s="69"/>
      <c r="WC512" s="2511"/>
      <c r="WD512" s="1755"/>
      <c r="WE512" s="1756"/>
      <c r="WF512" s="1756"/>
      <c r="WG512" s="1757"/>
      <c r="WH512" s="385"/>
      <c r="WI512" s="69"/>
      <c r="WJ512" s="69"/>
      <c r="WK512" s="2511"/>
      <c r="WL512" s="1755"/>
      <c r="WM512" s="1756"/>
      <c r="WN512" s="1756"/>
      <c r="WO512" s="1757"/>
      <c r="WP512" s="385"/>
      <c r="WQ512" s="69"/>
      <c r="WR512" s="69"/>
      <c r="WS512" s="2511"/>
      <c r="WT512" s="1755"/>
      <c r="WU512" s="1756"/>
      <c r="WV512" s="1756"/>
      <c r="WW512" s="1757"/>
      <c r="WX512" s="385"/>
      <c r="WY512" s="69"/>
      <c r="WZ512" s="69"/>
      <c r="XA512" s="2511"/>
      <c r="XB512" s="1755"/>
      <c r="XC512" s="1756"/>
      <c r="XD512" s="1756"/>
      <c r="XE512" s="1757"/>
      <c r="XF512" s="385"/>
      <c r="XG512" s="69"/>
      <c r="XH512" s="69"/>
      <c r="XI512" s="2511"/>
      <c r="XJ512" s="1755"/>
      <c r="XK512" s="1756"/>
      <c r="XL512" s="1756"/>
      <c r="XM512" s="1757"/>
      <c r="XN512" s="385"/>
      <c r="XO512" s="69"/>
      <c r="XP512" s="69"/>
      <c r="XQ512" s="2511"/>
      <c r="XR512" s="1755"/>
      <c r="XS512" s="1756"/>
      <c r="XT512" s="1756"/>
      <c r="XU512" s="1757"/>
      <c r="XV512" s="385"/>
      <c r="XW512" s="69"/>
      <c r="XX512" s="69"/>
      <c r="XY512" s="2511"/>
      <c r="XZ512" s="1755"/>
      <c r="YA512" s="1756"/>
      <c r="YB512" s="1756"/>
      <c r="YC512" s="1757"/>
      <c r="YD512" s="385"/>
      <c r="YE512" s="69"/>
      <c r="YF512" s="69"/>
      <c r="YG512" s="2511"/>
      <c r="YH512" s="1755"/>
      <c r="YI512" s="1756"/>
      <c r="YJ512" s="1756"/>
      <c r="YK512" s="1757"/>
      <c r="YL512" s="385"/>
      <c r="YM512" s="69"/>
      <c r="YN512" s="69"/>
      <c r="YO512" s="2511"/>
      <c r="YP512" s="1755"/>
      <c r="YQ512" s="1756"/>
      <c r="YR512" s="1756"/>
      <c r="YS512" s="1757"/>
      <c r="YT512" s="385"/>
      <c r="YU512" s="69"/>
      <c r="YV512" s="69"/>
      <c r="YW512" s="2511"/>
      <c r="YX512" s="1755"/>
      <c r="YY512" s="1756"/>
      <c r="YZ512" s="1756"/>
      <c r="ZA512" s="1757"/>
      <c r="ZB512" s="385"/>
      <c r="ZC512" s="69"/>
      <c r="ZD512" s="69"/>
      <c r="ZE512" s="2511"/>
      <c r="ZF512" s="1755"/>
      <c r="ZG512" s="1756"/>
      <c r="ZH512" s="1756"/>
      <c r="ZI512" s="1757"/>
      <c r="ZJ512" s="385"/>
      <c r="ZK512" s="69"/>
      <c r="ZL512" s="69"/>
      <c r="ZM512" s="2511"/>
      <c r="ZN512" s="1755"/>
      <c r="ZO512" s="1756"/>
      <c r="ZP512" s="1756"/>
      <c r="ZQ512" s="1757"/>
      <c r="ZR512" s="385"/>
      <c r="ZS512" s="69"/>
      <c r="ZT512" s="69"/>
      <c r="ZU512" s="2511"/>
      <c r="ZV512" s="1755"/>
      <c r="ZW512" s="1756"/>
      <c r="ZX512" s="1756"/>
      <c r="ZY512" s="1757"/>
      <c r="ZZ512" s="385"/>
      <c r="AAA512" s="69"/>
      <c r="AAB512" s="69"/>
      <c r="AAC512" s="2511"/>
      <c r="AAD512" s="1755"/>
      <c r="AAE512" s="1756"/>
      <c r="AAF512" s="1756"/>
      <c r="AAG512" s="1757"/>
      <c r="AAH512" s="385"/>
      <c r="AAI512" s="69"/>
      <c r="AAJ512" s="69"/>
      <c r="AAK512" s="2511"/>
      <c r="AAL512" s="1755"/>
      <c r="AAM512" s="1756"/>
      <c r="AAN512" s="1756"/>
      <c r="AAO512" s="1757"/>
      <c r="AAP512" s="385"/>
      <c r="AAQ512" s="69"/>
      <c r="AAR512" s="69"/>
      <c r="AAS512" s="2511"/>
      <c r="AAT512" s="1755"/>
      <c r="AAU512" s="1756"/>
      <c r="AAV512" s="1756"/>
      <c r="AAW512" s="1757"/>
      <c r="AAX512" s="385"/>
      <c r="AAY512" s="69"/>
      <c r="AAZ512" s="69"/>
      <c r="ABA512" s="2511"/>
      <c r="ABB512" s="1755"/>
      <c r="ABC512" s="1756"/>
      <c r="ABD512" s="1756"/>
      <c r="ABE512" s="1757"/>
      <c r="ABF512" s="385"/>
      <c r="ABG512" s="69"/>
      <c r="ABH512" s="69"/>
      <c r="ABI512" s="2511"/>
      <c r="ABJ512" s="1755"/>
      <c r="ABK512" s="1756"/>
      <c r="ABL512" s="1756"/>
      <c r="ABM512" s="1757"/>
      <c r="ABN512" s="385"/>
      <c r="ABO512" s="69"/>
      <c r="ABP512" s="69"/>
      <c r="ABQ512" s="2511"/>
      <c r="ABR512" s="1755"/>
      <c r="ABS512" s="1756"/>
      <c r="ABT512" s="1756"/>
      <c r="ABU512" s="1757"/>
      <c r="ABV512" s="385"/>
      <c r="ABW512" s="69"/>
      <c r="ABX512" s="69"/>
      <c r="ABY512" s="2511"/>
      <c r="ABZ512" s="1755"/>
      <c r="ACA512" s="1756"/>
      <c r="ACB512" s="1756"/>
      <c r="ACC512" s="1757"/>
      <c r="ACD512" s="385"/>
      <c r="ACE512" s="69"/>
      <c r="ACF512" s="69"/>
      <c r="ACG512" s="2511"/>
      <c r="ACH512" s="1755"/>
      <c r="ACI512" s="1756"/>
      <c r="ACJ512" s="1756"/>
      <c r="ACK512" s="1757"/>
      <c r="ACL512" s="385"/>
      <c r="ACM512" s="69"/>
      <c r="ACN512" s="69"/>
      <c r="ACO512" s="2511"/>
      <c r="ACP512" s="1755"/>
      <c r="ACQ512" s="1756"/>
      <c r="ACR512" s="1756"/>
      <c r="ACS512" s="1757"/>
      <c r="ACT512" s="385"/>
      <c r="ACU512" s="69"/>
      <c r="ACV512" s="69"/>
      <c r="ACW512" s="2511"/>
      <c r="ACX512" s="1755"/>
      <c r="ACY512" s="1756"/>
      <c r="ACZ512" s="1756"/>
      <c r="ADA512" s="1757"/>
      <c r="ADB512" s="385"/>
      <c r="ADC512" s="69"/>
      <c r="ADD512" s="69"/>
      <c r="ADE512" s="2511"/>
      <c r="ADF512" s="1755"/>
      <c r="ADG512" s="1756"/>
      <c r="ADH512" s="1756"/>
      <c r="ADI512" s="1757"/>
      <c r="ADJ512" s="385"/>
      <c r="ADK512" s="69"/>
      <c r="ADL512" s="69"/>
      <c r="ADM512" s="2511"/>
      <c r="ADN512" s="1755"/>
      <c r="ADO512" s="1756"/>
      <c r="ADP512" s="1756"/>
      <c r="ADQ512" s="1757"/>
      <c r="ADR512" s="385"/>
      <c r="ADS512" s="69"/>
      <c r="ADT512" s="69"/>
      <c r="ADU512" s="2511"/>
      <c r="ADV512" s="1755"/>
      <c r="ADW512" s="1756"/>
      <c r="ADX512" s="1756"/>
      <c r="ADY512" s="1757"/>
      <c r="ADZ512" s="385"/>
      <c r="AEA512" s="69"/>
      <c r="AEB512" s="69"/>
      <c r="AEC512" s="2511"/>
      <c r="AED512" s="1755"/>
      <c r="AEE512" s="1756"/>
      <c r="AEF512" s="1756"/>
      <c r="AEG512" s="1757"/>
      <c r="AEH512" s="385"/>
      <c r="AEI512" s="69"/>
      <c r="AEJ512" s="69"/>
      <c r="AEK512" s="2511"/>
      <c r="AEL512" s="1755"/>
      <c r="AEM512" s="1756"/>
      <c r="AEN512" s="1756"/>
      <c r="AEO512" s="1757"/>
      <c r="AEP512" s="385"/>
      <c r="AEQ512" s="69"/>
      <c r="AER512" s="69"/>
      <c r="AES512" s="2511"/>
      <c r="AET512" s="1755"/>
      <c r="AEU512" s="1756"/>
      <c r="AEV512" s="1756"/>
      <c r="AEW512" s="1757"/>
      <c r="AEX512" s="385"/>
      <c r="AEY512" s="69"/>
      <c r="AEZ512" s="69"/>
      <c r="AFA512" s="2511"/>
      <c r="AFB512" s="1755"/>
      <c r="AFC512" s="1756"/>
      <c r="AFD512" s="1756"/>
      <c r="AFE512" s="1757"/>
      <c r="AFF512" s="385"/>
      <c r="AFG512" s="69"/>
      <c r="AFH512" s="69"/>
      <c r="AFI512" s="2511"/>
      <c r="AFJ512" s="1755"/>
      <c r="AFK512" s="1756"/>
      <c r="AFL512" s="1756"/>
      <c r="AFM512" s="1757"/>
      <c r="AFN512" s="385"/>
      <c r="AFO512" s="69"/>
      <c r="AFP512" s="69"/>
      <c r="AFQ512" s="2511"/>
      <c r="AFR512" s="1755"/>
      <c r="AFS512" s="1756"/>
      <c r="AFT512" s="1756"/>
      <c r="AFU512" s="1757"/>
      <c r="AFV512" s="385"/>
      <c r="AFW512" s="69"/>
      <c r="AFX512" s="69"/>
      <c r="AFY512" s="2511"/>
      <c r="AFZ512" s="1755"/>
      <c r="AGA512" s="1756"/>
      <c r="AGB512" s="1756"/>
      <c r="AGC512" s="1757"/>
      <c r="AGD512" s="385"/>
      <c r="AGE512" s="69"/>
      <c r="AGF512" s="69"/>
      <c r="AGG512" s="2511"/>
      <c r="AGH512" s="1755"/>
      <c r="AGI512" s="1756"/>
      <c r="AGJ512" s="1756"/>
      <c r="AGK512" s="1757"/>
      <c r="AGL512" s="385"/>
      <c r="AGM512" s="69"/>
      <c r="AGN512" s="69"/>
      <c r="AGO512" s="2511"/>
      <c r="AGP512" s="1755"/>
      <c r="AGQ512" s="1756"/>
      <c r="AGR512" s="1756"/>
      <c r="AGS512" s="1757"/>
      <c r="AGT512" s="385"/>
      <c r="AGU512" s="69"/>
      <c r="AGV512" s="69"/>
      <c r="AGW512" s="2511"/>
      <c r="AGX512" s="1755"/>
      <c r="AGY512" s="1756"/>
      <c r="AGZ512" s="1756"/>
      <c r="AHA512" s="1757"/>
      <c r="AHB512" s="385"/>
      <c r="AHC512" s="69"/>
      <c r="AHD512" s="69"/>
      <c r="AHE512" s="2511"/>
      <c r="AHF512" s="1755"/>
      <c r="AHG512" s="1756"/>
      <c r="AHH512" s="1756"/>
      <c r="AHI512" s="1757"/>
      <c r="AHJ512" s="385"/>
      <c r="AHK512" s="69"/>
      <c r="AHL512" s="69"/>
      <c r="AHM512" s="2511"/>
      <c r="AHN512" s="1755"/>
      <c r="AHO512" s="1756"/>
      <c r="AHP512" s="1756"/>
      <c r="AHQ512" s="1757"/>
      <c r="AHR512" s="385"/>
      <c r="AHS512" s="69"/>
      <c r="AHT512" s="69"/>
      <c r="AHU512" s="2511"/>
      <c r="AHV512" s="1755"/>
      <c r="AHW512" s="1756"/>
      <c r="AHX512" s="1756"/>
      <c r="AHY512" s="1757"/>
      <c r="AHZ512" s="385"/>
      <c r="AIA512" s="69"/>
      <c r="AIB512" s="69"/>
      <c r="AIC512" s="2511"/>
      <c r="AID512" s="1755"/>
      <c r="AIE512" s="1756"/>
      <c r="AIF512" s="1756"/>
      <c r="AIG512" s="1757"/>
      <c r="AIH512" s="385"/>
      <c r="AII512" s="69"/>
      <c r="AIJ512" s="69"/>
      <c r="AIK512" s="2511"/>
      <c r="AIL512" s="1755"/>
      <c r="AIM512" s="1756"/>
      <c r="AIN512" s="1756"/>
      <c r="AIO512" s="1757"/>
      <c r="AIP512" s="385"/>
      <c r="AIQ512" s="69"/>
      <c r="AIR512" s="69"/>
      <c r="AIS512" s="2511"/>
      <c r="AIT512" s="1755"/>
      <c r="AIU512" s="1756"/>
      <c r="AIV512" s="1756"/>
      <c r="AIW512" s="1757"/>
      <c r="AIX512" s="385"/>
      <c r="AIY512" s="69"/>
      <c r="AIZ512" s="69"/>
      <c r="AJA512" s="2511"/>
      <c r="AJB512" s="1755"/>
      <c r="AJC512" s="1756"/>
      <c r="AJD512" s="1756"/>
      <c r="AJE512" s="1757"/>
      <c r="AJF512" s="385"/>
      <c r="AJG512" s="69"/>
      <c r="AJH512" s="69"/>
      <c r="AJI512" s="2511"/>
      <c r="AJJ512" s="1755"/>
      <c r="AJK512" s="1756"/>
      <c r="AJL512" s="1756"/>
      <c r="AJM512" s="1757"/>
      <c r="AJN512" s="385"/>
      <c r="AJO512" s="69"/>
      <c r="AJP512" s="69"/>
      <c r="AJQ512" s="2511"/>
      <c r="AJR512" s="1755"/>
      <c r="AJS512" s="1756"/>
      <c r="AJT512" s="1756"/>
      <c r="AJU512" s="1757"/>
      <c r="AJV512" s="385"/>
      <c r="AJW512" s="69"/>
      <c r="AJX512" s="69"/>
      <c r="AJY512" s="2511"/>
      <c r="AJZ512" s="1755"/>
      <c r="AKA512" s="1756"/>
      <c r="AKB512" s="1756"/>
      <c r="AKC512" s="1757"/>
      <c r="AKD512" s="385"/>
      <c r="AKE512" s="69"/>
      <c r="AKF512" s="69"/>
      <c r="AKG512" s="2511"/>
      <c r="AKH512" s="1755"/>
      <c r="AKI512" s="1756"/>
      <c r="AKJ512" s="1756"/>
      <c r="AKK512" s="1757"/>
      <c r="AKL512" s="385"/>
      <c r="AKM512" s="69"/>
      <c r="AKN512" s="69"/>
      <c r="AKO512" s="2511"/>
      <c r="AKP512" s="1755"/>
      <c r="AKQ512" s="1756"/>
      <c r="AKR512" s="1756"/>
      <c r="AKS512" s="1757"/>
      <c r="AKT512" s="385"/>
      <c r="AKU512" s="69"/>
      <c r="AKV512" s="69"/>
      <c r="AKW512" s="2511"/>
      <c r="AKX512" s="1755"/>
      <c r="AKY512" s="1756"/>
      <c r="AKZ512" s="1756"/>
      <c r="ALA512" s="1757"/>
      <c r="ALB512" s="385"/>
      <c r="ALC512" s="69"/>
      <c r="ALD512" s="69"/>
      <c r="ALE512" s="2511"/>
      <c r="ALF512" s="1755"/>
      <c r="ALG512" s="1756"/>
      <c r="ALH512" s="1756"/>
      <c r="ALI512" s="1757"/>
      <c r="ALJ512" s="385"/>
      <c r="ALK512" s="69"/>
      <c r="ALL512" s="69"/>
      <c r="ALM512" s="2511"/>
      <c r="ALN512" s="1755"/>
      <c r="ALO512" s="1756"/>
      <c r="ALP512" s="1756"/>
      <c r="ALQ512" s="1757"/>
      <c r="ALR512" s="385"/>
      <c r="ALS512" s="69"/>
      <c r="ALT512" s="69"/>
      <c r="ALU512" s="2511"/>
      <c r="ALV512" s="1755"/>
      <c r="ALW512" s="1756"/>
      <c r="ALX512" s="1756"/>
      <c r="ALY512" s="1757"/>
      <c r="ALZ512" s="385"/>
      <c r="AMA512" s="69"/>
      <c r="AMB512" s="69"/>
      <c r="AMC512" s="2511"/>
      <c r="AMD512" s="1755"/>
      <c r="AME512" s="1756"/>
      <c r="AMF512" s="1756"/>
      <c r="AMG512" s="1757"/>
      <c r="AMH512" s="385"/>
      <c r="AMI512" s="69"/>
      <c r="AMJ512" s="69"/>
      <c r="AMK512" s="2511"/>
      <c r="AML512" s="1755"/>
      <c r="AMM512" s="1756"/>
      <c r="AMN512" s="1756"/>
      <c r="AMO512" s="1757"/>
      <c r="AMP512" s="385"/>
      <c r="AMQ512" s="69"/>
      <c r="AMR512" s="69"/>
      <c r="AMS512" s="2511"/>
      <c r="AMT512" s="1755"/>
      <c r="AMU512" s="1756"/>
      <c r="AMV512" s="1756"/>
      <c r="AMW512" s="1757"/>
      <c r="AMX512" s="385"/>
      <c r="AMY512" s="69"/>
      <c r="AMZ512" s="69"/>
      <c r="ANA512" s="2511"/>
      <c r="ANB512" s="1755"/>
      <c r="ANC512" s="1756"/>
      <c r="AND512" s="1756"/>
      <c r="ANE512" s="1757"/>
      <c r="ANF512" s="385"/>
      <c r="ANG512" s="69"/>
      <c r="ANH512" s="69"/>
      <c r="ANI512" s="2511"/>
      <c r="ANJ512" s="1755"/>
      <c r="ANK512" s="1756"/>
      <c r="ANL512" s="1756"/>
      <c r="ANM512" s="1757"/>
      <c r="ANN512" s="385"/>
      <c r="ANO512" s="69"/>
      <c r="ANP512" s="69"/>
      <c r="ANQ512" s="2511"/>
      <c r="ANR512" s="1755"/>
      <c r="ANS512" s="1756"/>
      <c r="ANT512" s="1756"/>
      <c r="ANU512" s="1757"/>
      <c r="ANV512" s="385"/>
      <c r="ANW512" s="69"/>
      <c r="ANX512" s="69"/>
      <c r="ANY512" s="2511"/>
      <c r="ANZ512" s="1755"/>
      <c r="AOA512" s="1756"/>
      <c r="AOB512" s="1756"/>
      <c r="AOC512" s="1757"/>
      <c r="AOD512" s="385"/>
      <c r="AOE512" s="69"/>
      <c r="AOF512" s="69"/>
      <c r="AOG512" s="2511"/>
      <c r="AOH512" s="1755"/>
      <c r="AOI512" s="1756"/>
      <c r="AOJ512" s="1756"/>
      <c r="AOK512" s="1757"/>
      <c r="AOL512" s="385"/>
      <c r="AOM512" s="69"/>
      <c r="AON512" s="69"/>
      <c r="AOO512" s="2511"/>
      <c r="AOP512" s="1755"/>
      <c r="AOQ512" s="1756"/>
      <c r="AOR512" s="1756"/>
      <c r="AOS512" s="1757"/>
      <c r="AOT512" s="385"/>
      <c r="AOU512" s="69"/>
      <c r="AOV512" s="69"/>
      <c r="AOW512" s="2511"/>
      <c r="AOX512" s="1755"/>
      <c r="AOY512" s="1756"/>
      <c r="AOZ512" s="1756"/>
      <c r="APA512" s="1757"/>
      <c r="APB512" s="385"/>
      <c r="APC512" s="69"/>
      <c r="APD512" s="69"/>
      <c r="APE512" s="2511"/>
      <c r="APF512" s="1755"/>
      <c r="APG512" s="1756"/>
      <c r="APH512" s="1756"/>
      <c r="API512" s="1757"/>
      <c r="APJ512" s="385"/>
      <c r="APK512" s="69"/>
      <c r="APL512" s="69"/>
      <c r="APM512" s="2511"/>
      <c r="APN512" s="1755"/>
      <c r="APO512" s="1756"/>
      <c r="APP512" s="1756"/>
      <c r="APQ512" s="1757"/>
      <c r="APR512" s="385"/>
      <c r="APS512" s="69"/>
      <c r="APT512" s="69"/>
      <c r="APU512" s="2511"/>
      <c r="APV512" s="1755"/>
      <c r="APW512" s="1756"/>
      <c r="APX512" s="1756"/>
      <c r="APY512" s="1757"/>
      <c r="APZ512" s="385"/>
      <c r="AQA512" s="69"/>
      <c r="AQB512" s="69"/>
      <c r="AQC512" s="2511"/>
      <c r="AQD512" s="1755"/>
      <c r="AQE512" s="1756"/>
      <c r="AQF512" s="1756"/>
      <c r="AQG512" s="1757"/>
      <c r="AQH512" s="385"/>
      <c r="AQI512" s="69"/>
      <c r="AQJ512" s="69"/>
      <c r="AQK512" s="2511"/>
      <c r="AQL512" s="1755"/>
      <c r="AQM512" s="1756"/>
      <c r="AQN512" s="1756"/>
      <c r="AQO512" s="1757"/>
      <c r="AQP512" s="385"/>
      <c r="AQQ512" s="69"/>
      <c r="AQR512" s="69"/>
      <c r="AQS512" s="2511"/>
      <c r="AQT512" s="1755"/>
      <c r="AQU512" s="1756"/>
      <c r="AQV512" s="1756"/>
      <c r="AQW512" s="1757"/>
      <c r="AQX512" s="385"/>
      <c r="AQY512" s="69"/>
      <c r="AQZ512" s="69"/>
      <c r="ARA512" s="2511"/>
      <c r="ARB512" s="1755"/>
      <c r="ARC512" s="1756"/>
      <c r="ARD512" s="1756"/>
      <c r="ARE512" s="1757"/>
      <c r="ARF512" s="385"/>
      <c r="ARG512" s="69"/>
      <c r="ARH512" s="69"/>
      <c r="ARI512" s="2511"/>
      <c r="ARJ512" s="1755"/>
      <c r="ARK512" s="1756"/>
      <c r="ARL512" s="1756"/>
      <c r="ARM512" s="1757"/>
      <c r="ARN512" s="385"/>
      <c r="ARO512" s="69"/>
      <c r="ARP512" s="69"/>
      <c r="ARQ512" s="2511"/>
      <c r="ARR512" s="1755"/>
      <c r="ARS512" s="1756"/>
      <c r="ART512" s="1756"/>
      <c r="ARU512" s="1757"/>
      <c r="ARV512" s="385"/>
      <c r="ARW512" s="69"/>
      <c r="ARX512" s="69"/>
      <c r="ARY512" s="2511"/>
      <c r="ARZ512" s="1755"/>
      <c r="ASA512" s="1756"/>
      <c r="ASB512" s="1756"/>
      <c r="ASC512" s="1757"/>
      <c r="ASD512" s="385"/>
      <c r="ASE512" s="69"/>
      <c r="ASF512" s="69"/>
      <c r="ASG512" s="2511"/>
      <c r="ASH512" s="1755"/>
      <c r="ASI512" s="1756"/>
      <c r="ASJ512" s="1756"/>
      <c r="ASK512" s="1757"/>
      <c r="ASL512" s="385"/>
      <c r="ASM512" s="69"/>
      <c r="ASN512" s="69"/>
      <c r="ASO512" s="2511"/>
      <c r="ASP512" s="1755"/>
      <c r="ASQ512" s="1756"/>
      <c r="ASR512" s="1756"/>
      <c r="ASS512" s="1757"/>
      <c r="AST512" s="385"/>
      <c r="ASU512" s="69"/>
      <c r="ASV512" s="69"/>
      <c r="ASW512" s="2511"/>
      <c r="ASX512" s="1755"/>
      <c r="ASY512" s="1756"/>
      <c r="ASZ512" s="1756"/>
      <c r="ATA512" s="1757"/>
      <c r="ATB512" s="385"/>
      <c r="ATC512" s="69"/>
      <c r="ATD512" s="69"/>
      <c r="ATE512" s="2511"/>
      <c r="ATF512" s="1755"/>
      <c r="ATG512" s="1756"/>
      <c r="ATH512" s="1756"/>
      <c r="ATI512" s="1757"/>
      <c r="ATJ512" s="385"/>
      <c r="ATK512" s="69"/>
      <c r="ATL512" s="69"/>
      <c r="ATM512" s="2511"/>
      <c r="ATN512" s="1755"/>
      <c r="ATO512" s="1756"/>
      <c r="ATP512" s="1756"/>
      <c r="ATQ512" s="1757"/>
      <c r="ATR512" s="385"/>
      <c r="ATS512" s="69"/>
      <c r="ATT512" s="69"/>
      <c r="ATU512" s="2511"/>
      <c r="ATV512" s="1755"/>
      <c r="ATW512" s="1756"/>
      <c r="ATX512" s="1756"/>
      <c r="ATY512" s="1757"/>
      <c r="ATZ512" s="385"/>
      <c r="AUA512" s="69"/>
      <c r="AUB512" s="69"/>
      <c r="AUC512" s="2511"/>
      <c r="AUD512" s="1755"/>
      <c r="AUE512" s="1756"/>
      <c r="AUF512" s="1756"/>
      <c r="AUG512" s="1757"/>
      <c r="AUH512" s="385"/>
      <c r="AUI512" s="69"/>
      <c r="AUJ512" s="69"/>
      <c r="AUK512" s="2511"/>
      <c r="AUL512" s="1755"/>
      <c r="AUM512" s="1756"/>
      <c r="AUN512" s="1756"/>
      <c r="AUO512" s="1757"/>
      <c r="AUP512" s="385"/>
      <c r="AUQ512" s="69"/>
      <c r="AUR512" s="69"/>
      <c r="AUS512" s="2511"/>
      <c r="AUT512" s="1755"/>
      <c r="AUU512" s="1756"/>
      <c r="AUV512" s="1756"/>
      <c r="AUW512" s="1757"/>
      <c r="AUX512" s="385"/>
      <c r="AUY512" s="69"/>
      <c r="AUZ512" s="69"/>
      <c r="AVA512" s="2511"/>
      <c r="AVB512" s="1755"/>
      <c r="AVC512" s="1756"/>
      <c r="AVD512" s="1756"/>
      <c r="AVE512" s="1757"/>
      <c r="AVF512" s="385"/>
      <c r="AVG512" s="69"/>
      <c r="AVH512" s="69"/>
      <c r="AVI512" s="2511"/>
      <c r="AVJ512" s="1755"/>
      <c r="AVK512" s="1756"/>
      <c r="AVL512" s="1756"/>
      <c r="AVM512" s="1757"/>
      <c r="AVN512" s="385"/>
      <c r="AVO512" s="69"/>
      <c r="AVP512" s="69"/>
      <c r="AVQ512" s="2511"/>
      <c r="AVR512" s="1755"/>
      <c r="AVS512" s="1756"/>
      <c r="AVT512" s="1756"/>
      <c r="AVU512" s="1757"/>
      <c r="AVV512" s="385"/>
      <c r="AVW512" s="69"/>
      <c r="AVX512" s="69"/>
      <c r="AVY512" s="2511"/>
      <c r="AVZ512" s="1755"/>
      <c r="AWA512" s="1756"/>
      <c r="AWB512" s="1756"/>
      <c r="AWC512" s="1757"/>
      <c r="AWD512" s="385"/>
      <c r="AWE512" s="69"/>
      <c r="AWF512" s="69"/>
      <c r="AWG512" s="2511"/>
      <c r="AWH512" s="1755"/>
      <c r="AWI512" s="1756"/>
      <c r="AWJ512" s="1756"/>
      <c r="AWK512" s="1757"/>
      <c r="AWL512" s="385"/>
      <c r="AWM512" s="69"/>
      <c r="AWN512" s="69"/>
      <c r="AWO512" s="2511"/>
      <c r="AWP512" s="1755"/>
      <c r="AWQ512" s="1756"/>
      <c r="AWR512" s="1756"/>
      <c r="AWS512" s="1757"/>
      <c r="AWT512" s="385"/>
      <c r="AWU512" s="69"/>
      <c r="AWV512" s="69"/>
      <c r="AWW512" s="2511"/>
      <c r="AWX512" s="1755"/>
      <c r="AWY512" s="1756"/>
      <c r="AWZ512" s="1756"/>
      <c r="AXA512" s="1757"/>
      <c r="AXB512" s="385"/>
      <c r="AXC512" s="69"/>
      <c r="AXD512" s="69"/>
      <c r="AXE512" s="2511"/>
      <c r="AXF512" s="1755"/>
      <c r="AXG512" s="1756"/>
      <c r="AXH512" s="1756"/>
      <c r="AXI512" s="1757"/>
      <c r="AXJ512" s="385"/>
      <c r="AXK512" s="69"/>
      <c r="AXL512" s="69"/>
      <c r="AXM512" s="2511"/>
      <c r="AXN512" s="1755"/>
      <c r="AXO512" s="1756"/>
      <c r="AXP512" s="1756"/>
      <c r="AXQ512" s="1757"/>
      <c r="AXR512" s="385"/>
      <c r="AXS512" s="69"/>
      <c r="AXT512" s="69"/>
      <c r="AXU512" s="2511"/>
      <c r="AXV512" s="1755"/>
      <c r="AXW512" s="1756"/>
      <c r="AXX512" s="1756"/>
      <c r="AXY512" s="1757"/>
      <c r="AXZ512" s="385"/>
      <c r="AYA512" s="69"/>
      <c r="AYB512" s="69"/>
      <c r="AYC512" s="2511"/>
      <c r="AYD512" s="1755"/>
      <c r="AYE512" s="1756"/>
      <c r="AYF512" s="1756"/>
      <c r="AYG512" s="1757"/>
      <c r="AYH512" s="385"/>
      <c r="AYI512" s="69"/>
      <c r="AYJ512" s="69"/>
      <c r="AYK512" s="2511"/>
      <c r="AYL512" s="1755"/>
      <c r="AYM512" s="1756"/>
      <c r="AYN512" s="1756"/>
      <c r="AYO512" s="1757"/>
      <c r="AYP512" s="385"/>
      <c r="AYQ512" s="69"/>
      <c r="AYR512" s="69"/>
      <c r="AYS512" s="2511"/>
      <c r="AYT512" s="1755"/>
      <c r="AYU512" s="1756"/>
      <c r="AYV512" s="1756"/>
      <c r="AYW512" s="1757"/>
      <c r="AYX512" s="385"/>
      <c r="AYY512" s="69"/>
      <c r="AYZ512" s="69"/>
      <c r="AZA512" s="2511"/>
      <c r="AZB512" s="1755"/>
      <c r="AZC512" s="1756"/>
      <c r="AZD512" s="1756"/>
      <c r="AZE512" s="1757"/>
      <c r="AZF512" s="385"/>
      <c r="AZG512" s="69"/>
      <c r="AZH512" s="69"/>
      <c r="AZI512" s="2511"/>
      <c r="AZJ512" s="1755"/>
      <c r="AZK512" s="1756"/>
      <c r="AZL512" s="1756"/>
      <c r="AZM512" s="1757"/>
      <c r="AZN512" s="385"/>
      <c r="AZO512" s="69"/>
      <c r="AZP512" s="69"/>
      <c r="AZQ512" s="2511"/>
      <c r="AZR512" s="1755"/>
      <c r="AZS512" s="1756"/>
      <c r="AZT512" s="1756"/>
      <c r="AZU512" s="1757"/>
      <c r="AZV512" s="385"/>
      <c r="AZW512" s="69"/>
      <c r="AZX512" s="69"/>
      <c r="AZY512" s="2511"/>
      <c r="AZZ512" s="1755"/>
      <c r="BAA512" s="1756"/>
      <c r="BAB512" s="1756"/>
      <c r="BAC512" s="1757"/>
      <c r="BAD512" s="385"/>
      <c r="BAE512" s="69"/>
      <c r="BAF512" s="69"/>
      <c r="BAG512" s="2511"/>
      <c r="BAH512" s="1755"/>
      <c r="BAI512" s="1756"/>
      <c r="BAJ512" s="1756"/>
      <c r="BAK512" s="1757"/>
      <c r="BAL512" s="385"/>
      <c r="BAM512" s="69"/>
      <c r="BAN512" s="69"/>
      <c r="BAO512" s="2511"/>
      <c r="BAP512" s="1755"/>
      <c r="BAQ512" s="1756"/>
      <c r="BAR512" s="1756"/>
      <c r="BAS512" s="1757"/>
      <c r="BAT512" s="385"/>
      <c r="BAU512" s="69"/>
      <c r="BAV512" s="69"/>
      <c r="BAW512" s="2511"/>
      <c r="BAX512" s="1755"/>
      <c r="BAY512" s="1756"/>
      <c r="BAZ512" s="1756"/>
      <c r="BBA512" s="1757"/>
      <c r="BBB512" s="385"/>
      <c r="BBC512" s="69"/>
      <c r="BBD512" s="69"/>
      <c r="BBE512" s="2511"/>
      <c r="BBF512" s="1755"/>
      <c r="BBG512" s="1756"/>
      <c r="BBH512" s="1756"/>
      <c r="BBI512" s="1757"/>
      <c r="BBJ512" s="385"/>
      <c r="BBK512" s="69"/>
      <c r="BBL512" s="69"/>
      <c r="BBM512" s="2511"/>
      <c r="BBN512" s="1755"/>
      <c r="BBO512" s="1756"/>
      <c r="BBP512" s="1756"/>
      <c r="BBQ512" s="1757"/>
      <c r="BBR512" s="385"/>
      <c r="BBS512" s="69"/>
      <c r="BBT512" s="69"/>
      <c r="BBU512" s="2511"/>
      <c r="BBV512" s="1755"/>
      <c r="BBW512" s="1756"/>
      <c r="BBX512" s="1756"/>
      <c r="BBY512" s="1757"/>
      <c r="BBZ512" s="385"/>
      <c r="BCA512" s="69"/>
      <c r="BCB512" s="69"/>
      <c r="BCC512" s="2511"/>
      <c r="BCD512" s="1755"/>
      <c r="BCE512" s="1756"/>
      <c r="BCF512" s="1756"/>
      <c r="BCG512" s="1757"/>
      <c r="BCH512" s="385"/>
      <c r="BCI512" s="69"/>
      <c r="BCJ512" s="69"/>
      <c r="BCK512" s="2511"/>
      <c r="BCL512" s="1755"/>
      <c r="BCM512" s="1756"/>
      <c r="BCN512" s="1756"/>
      <c r="BCO512" s="1757"/>
      <c r="BCP512" s="385"/>
      <c r="BCQ512" s="69"/>
      <c r="BCR512" s="69"/>
      <c r="BCS512" s="2511"/>
      <c r="BCT512" s="1755"/>
      <c r="BCU512" s="1756"/>
      <c r="BCV512" s="1756"/>
      <c r="BCW512" s="1757"/>
      <c r="BCX512" s="385"/>
      <c r="BCY512" s="69"/>
      <c r="BCZ512" s="69"/>
      <c r="BDA512" s="2511"/>
      <c r="BDB512" s="1755"/>
      <c r="BDC512" s="1756"/>
      <c r="BDD512" s="1756"/>
      <c r="BDE512" s="1757"/>
      <c r="BDF512" s="385"/>
      <c r="BDG512" s="69"/>
      <c r="BDH512" s="69"/>
      <c r="BDI512" s="2511"/>
      <c r="BDJ512" s="1755"/>
      <c r="BDK512" s="1756"/>
      <c r="BDL512" s="1756"/>
      <c r="BDM512" s="1757"/>
      <c r="BDN512" s="385"/>
      <c r="BDO512" s="69"/>
      <c r="BDP512" s="69"/>
      <c r="BDQ512" s="2511"/>
      <c r="BDR512" s="1755"/>
      <c r="BDS512" s="1756"/>
      <c r="BDT512" s="1756"/>
      <c r="BDU512" s="1757"/>
      <c r="BDV512" s="385"/>
      <c r="BDW512" s="69"/>
      <c r="BDX512" s="69"/>
      <c r="BDY512" s="2511"/>
      <c r="BDZ512" s="1755"/>
      <c r="BEA512" s="1756"/>
      <c r="BEB512" s="1756"/>
      <c r="BEC512" s="1757"/>
      <c r="BED512" s="385"/>
      <c r="BEE512" s="69"/>
      <c r="BEF512" s="69"/>
      <c r="BEG512" s="2511"/>
      <c r="BEH512" s="1755"/>
      <c r="BEI512" s="1756"/>
      <c r="BEJ512" s="1756"/>
      <c r="BEK512" s="1757"/>
      <c r="BEL512" s="385"/>
      <c r="BEM512" s="69"/>
      <c r="BEN512" s="69"/>
      <c r="BEO512" s="2511"/>
      <c r="BEP512" s="1755"/>
      <c r="BEQ512" s="1756"/>
      <c r="BER512" s="1756"/>
      <c r="BES512" s="1757"/>
      <c r="BET512" s="385"/>
      <c r="BEU512" s="69"/>
      <c r="BEV512" s="69"/>
      <c r="BEW512" s="2511"/>
      <c r="BEX512" s="1755"/>
      <c r="BEY512" s="1756"/>
      <c r="BEZ512" s="1756"/>
      <c r="BFA512" s="1757"/>
      <c r="BFB512" s="385"/>
      <c r="BFC512" s="69"/>
      <c r="BFD512" s="69"/>
      <c r="BFE512" s="2511"/>
      <c r="BFF512" s="1755"/>
      <c r="BFG512" s="1756"/>
      <c r="BFH512" s="1756"/>
      <c r="BFI512" s="1757"/>
      <c r="BFJ512" s="385"/>
      <c r="BFK512" s="69"/>
      <c r="BFL512" s="69"/>
      <c r="BFM512" s="2511"/>
      <c r="BFN512" s="1755"/>
      <c r="BFO512" s="1756"/>
      <c r="BFP512" s="1756"/>
      <c r="BFQ512" s="1757"/>
      <c r="BFR512" s="385"/>
      <c r="BFS512" s="69"/>
      <c r="BFT512" s="69"/>
      <c r="BFU512" s="2511"/>
      <c r="BFV512" s="1755"/>
      <c r="BFW512" s="1756"/>
      <c r="BFX512" s="1756"/>
      <c r="BFY512" s="1757"/>
      <c r="BFZ512" s="385"/>
      <c r="BGA512" s="69"/>
      <c r="BGB512" s="69"/>
      <c r="BGC512" s="2511"/>
      <c r="BGD512" s="1755"/>
      <c r="BGE512" s="1756"/>
      <c r="BGF512" s="1756"/>
      <c r="BGG512" s="1757"/>
      <c r="BGH512" s="385"/>
      <c r="BGI512" s="69"/>
      <c r="BGJ512" s="69"/>
      <c r="BGK512" s="2511"/>
      <c r="BGL512" s="1755"/>
      <c r="BGM512" s="1756"/>
      <c r="BGN512" s="1756"/>
      <c r="BGO512" s="1757"/>
      <c r="BGP512" s="385"/>
      <c r="BGQ512" s="69"/>
      <c r="BGR512" s="69"/>
      <c r="BGS512" s="2511"/>
      <c r="BGT512" s="1755"/>
      <c r="BGU512" s="1756"/>
      <c r="BGV512" s="1756"/>
      <c r="BGW512" s="1757"/>
      <c r="BGX512" s="385"/>
      <c r="BGY512" s="69"/>
      <c r="BGZ512" s="69"/>
      <c r="BHA512" s="2511"/>
      <c r="BHB512" s="1755"/>
      <c r="BHC512" s="1756"/>
      <c r="BHD512" s="1756"/>
      <c r="BHE512" s="1757"/>
      <c r="BHF512" s="385"/>
      <c r="BHG512" s="69"/>
      <c r="BHH512" s="69"/>
      <c r="BHI512" s="2511"/>
      <c r="BHJ512" s="1755"/>
      <c r="BHK512" s="1756"/>
      <c r="BHL512" s="1756"/>
      <c r="BHM512" s="1757"/>
      <c r="BHN512" s="385"/>
      <c r="BHO512" s="69"/>
      <c r="BHP512" s="69"/>
      <c r="BHQ512" s="2511"/>
      <c r="BHR512" s="1755"/>
      <c r="BHS512" s="1756"/>
      <c r="BHT512" s="1756"/>
      <c r="BHU512" s="1757"/>
      <c r="BHV512" s="385"/>
      <c r="BHW512" s="69"/>
      <c r="BHX512" s="69"/>
      <c r="BHY512" s="2511"/>
      <c r="BHZ512" s="1755"/>
      <c r="BIA512" s="1756"/>
      <c r="BIB512" s="1756"/>
      <c r="BIC512" s="1757"/>
      <c r="BID512" s="385"/>
      <c r="BIE512" s="69"/>
      <c r="BIF512" s="69"/>
      <c r="BIG512" s="2511"/>
      <c r="BIH512" s="1755"/>
      <c r="BII512" s="1756"/>
      <c r="BIJ512" s="1756"/>
      <c r="BIK512" s="1757"/>
      <c r="BIL512" s="385"/>
      <c r="BIM512" s="69"/>
      <c r="BIN512" s="69"/>
      <c r="BIO512" s="2511"/>
      <c r="BIP512" s="1755"/>
      <c r="BIQ512" s="1756"/>
      <c r="BIR512" s="1756"/>
      <c r="BIS512" s="1757"/>
      <c r="BIT512" s="385"/>
      <c r="BIU512" s="69"/>
      <c r="BIV512" s="69"/>
      <c r="BIW512" s="2511"/>
      <c r="BIX512" s="1755"/>
      <c r="BIY512" s="1756"/>
      <c r="BIZ512" s="1756"/>
      <c r="BJA512" s="1757"/>
      <c r="BJB512" s="385"/>
      <c r="BJC512" s="69"/>
      <c r="BJD512" s="69"/>
      <c r="BJE512" s="2511"/>
      <c r="BJF512" s="1755"/>
      <c r="BJG512" s="1756"/>
      <c r="BJH512" s="1756"/>
      <c r="BJI512" s="1757"/>
      <c r="BJJ512" s="385"/>
      <c r="BJK512" s="69"/>
      <c r="BJL512" s="69"/>
      <c r="BJM512" s="2511"/>
      <c r="BJN512" s="1755"/>
      <c r="BJO512" s="1756"/>
      <c r="BJP512" s="1756"/>
      <c r="BJQ512" s="1757"/>
      <c r="BJR512" s="385"/>
      <c r="BJS512" s="69"/>
      <c r="BJT512" s="69"/>
      <c r="BJU512" s="2511"/>
      <c r="BJV512" s="1755"/>
      <c r="BJW512" s="1756"/>
      <c r="BJX512" s="1756"/>
      <c r="BJY512" s="1757"/>
      <c r="BJZ512" s="385"/>
      <c r="BKA512" s="69"/>
      <c r="BKB512" s="69"/>
      <c r="BKC512" s="2511"/>
      <c r="BKD512" s="1755"/>
      <c r="BKE512" s="1756"/>
      <c r="BKF512" s="1756"/>
      <c r="BKG512" s="1757"/>
      <c r="BKH512" s="385"/>
      <c r="BKI512" s="69"/>
      <c r="BKJ512" s="69"/>
      <c r="BKK512" s="2511"/>
      <c r="BKL512" s="1755"/>
      <c r="BKM512" s="1756"/>
      <c r="BKN512" s="1756"/>
      <c r="BKO512" s="1757"/>
      <c r="BKP512" s="385"/>
      <c r="BKQ512" s="69"/>
      <c r="BKR512" s="69"/>
      <c r="BKS512" s="2511"/>
      <c r="BKT512" s="1755"/>
      <c r="BKU512" s="1756"/>
      <c r="BKV512" s="1756"/>
      <c r="BKW512" s="1757"/>
      <c r="BKX512" s="385"/>
      <c r="BKY512" s="69"/>
      <c r="BKZ512" s="69"/>
      <c r="BLA512" s="2511"/>
      <c r="BLB512" s="1755"/>
      <c r="BLC512" s="1756"/>
      <c r="BLD512" s="1756"/>
      <c r="BLE512" s="1757"/>
      <c r="BLF512" s="385"/>
      <c r="BLG512" s="69"/>
      <c r="BLH512" s="69"/>
      <c r="BLI512" s="2511"/>
      <c r="BLJ512" s="1755"/>
      <c r="BLK512" s="1756"/>
      <c r="BLL512" s="1756"/>
      <c r="BLM512" s="1757"/>
      <c r="BLN512" s="385"/>
      <c r="BLO512" s="69"/>
      <c r="BLP512" s="69"/>
      <c r="BLQ512" s="2511"/>
      <c r="BLR512" s="1755"/>
      <c r="BLS512" s="1756"/>
      <c r="BLT512" s="1756"/>
      <c r="BLU512" s="1757"/>
      <c r="BLV512" s="385"/>
      <c r="BLW512" s="69"/>
      <c r="BLX512" s="69"/>
      <c r="BLY512" s="2511"/>
      <c r="BLZ512" s="1755"/>
      <c r="BMA512" s="1756"/>
      <c r="BMB512" s="1756"/>
      <c r="BMC512" s="1757"/>
      <c r="BMD512" s="385"/>
      <c r="BME512" s="69"/>
      <c r="BMF512" s="69"/>
      <c r="BMG512" s="2511"/>
      <c r="BMH512" s="1755"/>
      <c r="BMI512" s="1756"/>
      <c r="BMJ512" s="1756"/>
      <c r="BMK512" s="1757"/>
      <c r="BML512" s="385"/>
      <c r="BMM512" s="69"/>
      <c r="BMN512" s="69"/>
      <c r="BMO512" s="2511"/>
      <c r="BMP512" s="1755"/>
      <c r="BMQ512" s="1756"/>
      <c r="BMR512" s="1756"/>
      <c r="BMS512" s="1757"/>
      <c r="BMT512" s="385"/>
      <c r="BMU512" s="69"/>
      <c r="BMV512" s="69"/>
      <c r="BMW512" s="2511"/>
      <c r="BMX512" s="1755"/>
      <c r="BMY512" s="1756"/>
      <c r="BMZ512" s="1756"/>
      <c r="BNA512" s="1757"/>
      <c r="BNB512" s="385"/>
      <c r="BNC512" s="69"/>
      <c r="BND512" s="69"/>
      <c r="BNE512" s="2511"/>
      <c r="BNF512" s="1755"/>
      <c r="BNG512" s="1756"/>
      <c r="BNH512" s="1756"/>
      <c r="BNI512" s="1757"/>
      <c r="BNJ512" s="385"/>
      <c r="BNK512" s="69"/>
      <c r="BNL512" s="69"/>
      <c r="BNM512" s="2511"/>
      <c r="BNN512" s="1755"/>
      <c r="BNO512" s="1756"/>
      <c r="BNP512" s="1756"/>
      <c r="BNQ512" s="1757"/>
      <c r="BNR512" s="385"/>
      <c r="BNS512" s="69"/>
      <c r="BNT512" s="69"/>
      <c r="BNU512" s="2511"/>
      <c r="BNV512" s="1755"/>
      <c r="BNW512" s="1756"/>
      <c r="BNX512" s="1756"/>
      <c r="BNY512" s="1757"/>
      <c r="BNZ512" s="385"/>
      <c r="BOA512" s="69"/>
      <c r="BOB512" s="69"/>
      <c r="BOC512" s="2511"/>
      <c r="BOD512" s="1755"/>
      <c r="BOE512" s="1756"/>
      <c r="BOF512" s="1756"/>
      <c r="BOG512" s="1757"/>
      <c r="BOH512" s="385"/>
      <c r="BOI512" s="69"/>
      <c r="BOJ512" s="69"/>
      <c r="BOK512" s="2511"/>
      <c r="BOL512" s="1755"/>
      <c r="BOM512" s="1756"/>
      <c r="BON512" s="1756"/>
      <c r="BOO512" s="1757"/>
      <c r="BOP512" s="385"/>
      <c r="BOQ512" s="69"/>
      <c r="BOR512" s="69"/>
      <c r="BOS512" s="2511"/>
      <c r="BOT512" s="1755"/>
      <c r="BOU512" s="1756"/>
      <c r="BOV512" s="1756"/>
      <c r="BOW512" s="1757"/>
      <c r="BOX512" s="385"/>
      <c r="BOY512" s="69"/>
      <c r="BOZ512" s="69"/>
      <c r="BPA512" s="2511"/>
      <c r="BPB512" s="1755"/>
      <c r="BPC512" s="1756"/>
      <c r="BPD512" s="1756"/>
      <c r="BPE512" s="1757"/>
      <c r="BPF512" s="385"/>
      <c r="BPG512" s="69"/>
      <c r="BPH512" s="69"/>
      <c r="BPI512" s="2511"/>
      <c r="BPJ512" s="1755"/>
      <c r="BPK512" s="1756"/>
      <c r="BPL512" s="1756"/>
      <c r="BPM512" s="1757"/>
      <c r="BPN512" s="385"/>
      <c r="BPO512" s="69"/>
      <c r="BPP512" s="69"/>
      <c r="BPQ512" s="2511"/>
      <c r="BPR512" s="1755"/>
      <c r="BPS512" s="1756"/>
      <c r="BPT512" s="1756"/>
      <c r="BPU512" s="1757"/>
      <c r="BPV512" s="385"/>
      <c r="BPW512" s="69"/>
      <c r="BPX512" s="69"/>
      <c r="BPY512" s="2511"/>
      <c r="BPZ512" s="1755"/>
      <c r="BQA512" s="1756"/>
      <c r="BQB512" s="1756"/>
      <c r="BQC512" s="1757"/>
      <c r="BQD512" s="385"/>
      <c r="BQE512" s="69"/>
      <c r="BQF512" s="69"/>
      <c r="BQG512" s="2511"/>
      <c r="BQH512" s="1755"/>
      <c r="BQI512" s="1756"/>
      <c r="BQJ512" s="1756"/>
      <c r="BQK512" s="1757"/>
      <c r="BQL512" s="385"/>
      <c r="BQM512" s="69"/>
      <c r="BQN512" s="69"/>
      <c r="BQO512" s="2511"/>
      <c r="BQP512" s="1755"/>
      <c r="BQQ512" s="1756"/>
      <c r="BQR512" s="1756"/>
      <c r="BQS512" s="1757"/>
      <c r="BQT512" s="385"/>
      <c r="BQU512" s="69"/>
      <c r="BQV512" s="69"/>
      <c r="BQW512" s="2511"/>
      <c r="BQX512" s="1755"/>
      <c r="BQY512" s="1756"/>
      <c r="BQZ512" s="1756"/>
      <c r="BRA512" s="1757"/>
      <c r="BRB512" s="385"/>
      <c r="BRC512" s="69"/>
      <c r="BRD512" s="69"/>
      <c r="BRE512" s="2511"/>
      <c r="BRF512" s="1755"/>
      <c r="BRG512" s="1756"/>
      <c r="BRH512" s="1756"/>
      <c r="BRI512" s="1757"/>
      <c r="BRJ512" s="385"/>
      <c r="BRK512" s="69"/>
      <c r="BRL512" s="69"/>
      <c r="BRM512" s="2511"/>
      <c r="BRN512" s="1755"/>
      <c r="BRO512" s="1756"/>
      <c r="BRP512" s="1756"/>
      <c r="BRQ512" s="1757"/>
      <c r="BRR512" s="385"/>
      <c r="BRS512" s="69"/>
      <c r="BRT512" s="69"/>
      <c r="BRU512" s="2511"/>
      <c r="BRV512" s="1755"/>
      <c r="BRW512" s="1756"/>
      <c r="BRX512" s="1756"/>
      <c r="BRY512" s="1757"/>
      <c r="BRZ512" s="385"/>
      <c r="BSA512" s="69"/>
      <c r="BSB512" s="69"/>
      <c r="BSC512" s="2511"/>
      <c r="BSD512" s="1755"/>
      <c r="BSE512" s="1756"/>
      <c r="BSF512" s="1756"/>
      <c r="BSG512" s="1757"/>
      <c r="BSH512" s="385"/>
      <c r="BSI512" s="69"/>
      <c r="BSJ512" s="69"/>
      <c r="BSK512" s="2511"/>
      <c r="BSL512" s="1755"/>
      <c r="BSM512" s="1756"/>
      <c r="BSN512" s="1756"/>
      <c r="BSO512" s="1757"/>
      <c r="BSP512" s="385"/>
      <c r="BSQ512" s="69"/>
      <c r="BSR512" s="69"/>
      <c r="BSS512" s="2511"/>
      <c r="BST512" s="1755"/>
      <c r="BSU512" s="1756"/>
      <c r="BSV512" s="1756"/>
      <c r="BSW512" s="1757"/>
      <c r="BSX512" s="385"/>
      <c r="BSY512" s="69"/>
      <c r="BSZ512" s="69"/>
      <c r="BTA512" s="2511"/>
      <c r="BTB512" s="1755"/>
      <c r="BTC512" s="1756"/>
      <c r="BTD512" s="1756"/>
      <c r="BTE512" s="1757"/>
      <c r="BTF512" s="385"/>
      <c r="BTG512" s="69"/>
      <c r="BTH512" s="69"/>
      <c r="BTI512" s="2511"/>
      <c r="BTJ512" s="1755"/>
      <c r="BTK512" s="1756"/>
      <c r="BTL512" s="1756"/>
      <c r="BTM512" s="1757"/>
      <c r="BTN512" s="385"/>
      <c r="BTO512" s="69"/>
      <c r="BTP512" s="69"/>
      <c r="BTQ512" s="2511"/>
      <c r="BTR512" s="1755"/>
      <c r="BTS512" s="1756"/>
      <c r="BTT512" s="1756"/>
      <c r="BTU512" s="1757"/>
      <c r="BTV512" s="385"/>
      <c r="BTW512" s="69"/>
      <c r="BTX512" s="69"/>
      <c r="BTY512" s="2511"/>
      <c r="BTZ512" s="1755"/>
      <c r="BUA512" s="1756"/>
      <c r="BUB512" s="1756"/>
      <c r="BUC512" s="1757"/>
      <c r="BUD512" s="385"/>
      <c r="BUE512" s="69"/>
      <c r="BUF512" s="69"/>
      <c r="BUG512" s="2511"/>
      <c r="BUH512" s="1755"/>
      <c r="BUI512" s="1756"/>
      <c r="BUJ512" s="1756"/>
      <c r="BUK512" s="1757"/>
      <c r="BUL512" s="385"/>
      <c r="BUM512" s="69"/>
      <c r="BUN512" s="69"/>
      <c r="BUO512" s="2511"/>
      <c r="BUP512" s="1755"/>
      <c r="BUQ512" s="1756"/>
      <c r="BUR512" s="1756"/>
      <c r="BUS512" s="1757"/>
      <c r="BUT512" s="385"/>
      <c r="BUU512" s="69"/>
      <c r="BUV512" s="69"/>
      <c r="BUW512" s="2511"/>
      <c r="BUX512" s="1755"/>
      <c r="BUY512" s="1756"/>
      <c r="BUZ512" s="1756"/>
      <c r="BVA512" s="1757"/>
      <c r="BVB512" s="385"/>
      <c r="BVC512" s="69"/>
      <c r="BVD512" s="69"/>
      <c r="BVE512" s="2511"/>
      <c r="BVF512" s="1755"/>
      <c r="BVG512" s="1756"/>
      <c r="BVH512" s="1756"/>
      <c r="BVI512" s="1757"/>
      <c r="BVJ512" s="385"/>
      <c r="BVK512" s="69"/>
      <c r="BVL512" s="69"/>
      <c r="BVM512" s="2511"/>
      <c r="BVN512" s="1755"/>
      <c r="BVO512" s="1756"/>
      <c r="BVP512" s="1756"/>
      <c r="BVQ512" s="1757"/>
      <c r="BVR512" s="385"/>
      <c r="BVS512" s="69"/>
      <c r="BVT512" s="69"/>
      <c r="BVU512" s="2511"/>
      <c r="BVV512" s="1755"/>
      <c r="BVW512" s="1756"/>
      <c r="BVX512" s="1756"/>
      <c r="BVY512" s="1757"/>
      <c r="BVZ512" s="385"/>
      <c r="BWA512" s="69"/>
      <c r="BWB512" s="69"/>
      <c r="BWC512" s="2511"/>
      <c r="BWD512" s="1755"/>
      <c r="BWE512" s="1756"/>
      <c r="BWF512" s="1756"/>
      <c r="BWG512" s="1757"/>
      <c r="BWH512" s="385"/>
      <c r="BWI512" s="69"/>
      <c r="BWJ512" s="69"/>
      <c r="BWK512" s="2511"/>
      <c r="BWL512" s="1755"/>
      <c r="BWM512" s="1756"/>
      <c r="BWN512" s="1756"/>
      <c r="BWO512" s="1757"/>
      <c r="BWP512" s="385"/>
      <c r="BWQ512" s="69"/>
      <c r="BWR512" s="69"/>
      <c r="BWS512" s="2511"/>
      <c r="BWT512" s="1755"/>
      <c r="BWU512" s="1756"/>
      <c r="BWV512" s="1756"/>
      <c r="BWW512" s="1757"/>
      <c r="BWX512" s="385"/>
      <c r="BWY512" s="69"/>
      <c r="BWZ512" s="69"/>
      <c r="BXA512" s="2511"/>
      <c r="BXB512" s="1755"/>
      <c r="BXC512" s="1756"/>
      <c r="BXD512" s="1756"/>
      <c r="BXE512" s="1757"/>
      <c r="BXF512" s="385"/>
      <c r="BXG512" s="69"/>
      <c r="BXH512" s="69"/>
      <c r="BXI512" s="2511"/>
      <c r="BXJ512" s="1755"/>
      <c r="BXK512" s="1756"/>
      <c r="BXL512" s="1756"/>
      <c r="BXM512" s="1757"/>
      <c r="BXN512" s="385"/>
      <c r="BXO512" s="69"/>
      <c r="BXP512" s="69"/>
      <c r="BXQ512" s="2511"/>
      <c r="BXR512" s="1755"/>
      <c r="BXS512" s="1756"/>
      <c r="BXT512" s="1756"/>
      <c r="BXU512" s="1757"/>
      <c r="BXV512" s="385"/>
      <c r="BXW512" s="69"/>
      <c r="BXX512" s="69"/>
      <c r="BXY512" s="2511"/>
      <c r="BXZ512" s="1755"/>
      <c r="BYA512" s="1756"/>
      <c r="BYB512" s="1756"/>
      <c r="BYC512" s="1757"/>
      <c r="BYD512" s="385"/>
      <c r="BYE512" s="69"/>
      <c r="BYF512" s="69"/>
      <c r="BYG512" s="2511"/>
      <c r="BYH512" s="1755"/>
      <c r="BYI512" s="1756"/>
      <c r="BYJ512" s="1756"/>
      <c r="BYK512" s="1757"/>
      <c r="BYL512" s="385"/>
      <c r="BYM512" s="69"/>
      <c r="BYN512" s="69"/>
      <c r="BYO512" s="2511"/>
      <c r="BYP512" s="1755"/>
      <c r="BYQ512" s="1756"/>
      <c r="BYR512" s="1756"/>
      <c r="BYS512" s="1757"/>
      <c r="BYT512" s="385"/>
      <c r="BYU512" s="69"/>
      <c r="BYV512" s="69"/>
      <c r="BYW512" s="2511"/>
      <c r="BYX512" s="1755"/>
      <c r="BYY512" s="1756"/>
      <c r="BYZ512" s="1756"/>
      <c r="BZA512" s="1757"/>
      <c r="BZB512" s="385"/>
      <c r="BZC512" s="69"/>
      <c r="BZD512" s="69"/>
      <c r="BZE512" s="2511"/>
      <c r="BZF512" s="1755"/>
      <c r="BZG512" s="1756"/>
      <c r="BZH512" s="1756"/>
      <c r="BZI512" s="1757"/>
      <c r="BZJ512" s="385"/>
      <c r="BZK512" s="69"/>
      <c r="BZL512" s="69"/>
      <c r="BZM512" s="2511"/>
      <c r="BZN512" s="1755"/>
      <c r="BZO512" s="1756"/>
      <c r="BZP512" s="1756"/>
      <c r="BZQ512" s="1757"/>
      <c r="BZR512" s="385"/>
      <c r="BZS512" s="69"/>
      <c r="BZT512" s="69"/>
      <c r="BZU512" s="2511"/>
      <c r="BZV512" s="1755"/>
      <c r="BZW512" s="1756"/>
      <c r="BZX512" s="1756"/>
      <c r="BZY512" s="1757"/>
      <c r="BZZ512" s="385"/>
      <c r="CAA512" s="69"/>
      <c r="CAB512" s="69"/>
      <c r="CAC512" s="2511"/>
      <c r="CAD512" s="1755"/>
      <c r="CAE512" s="1756"/>
      <c r="CAF512" s="1756"/>
      <c r="CAG512" s="1757"/>
      <c r="CAH512" s="385"/>
      <c r="CAI512" s="69"/>
      <c r="CAJ512" s="69"/>
      <c r="CAK512" s="2511"/>
      <c r="CAL512" s="1755"/>
      <c r="CAM512" s="1756"/>
      <c r="CAN512" s="1756"/>
      <c r="CAO512" s="1757"/>
      <c r="CAP512" s="385"/>
      <c r="CAQ512" s="69"/>
      <c r="CAR512" s="69"/>
      <c r="CAS512" s="2511"/>
      <c r="CAT512" s="1755"/>
      <c r="CAU512" s="1756"/>
      <c r="CAV512" s="1756"/>
      <c r="CAW512" s="1757"/>
      <c r="CAX512" s="385"/>
      <c r="CAY512" s="69"/>
      <c r="CAZ512" s="69"/>
      <c r="CBA512" s="2511"/>
      <c r="CBB512" s="1755"/>
      <c r="CBC512" s="1756"/>
      <c r="CBD512" s="1756"/>
      <c r="CBE512" s="1757"/>
      <c r="CBF512" s="385"/>
      <c r="CBG512" s="69"/>
      <c r="CBH512" s="69"/>
      <c r="CBI512" s="2511"/>
      <c r="CBJ512" s="1755"/>
      <c r="CBK512" s="1756"/>
      <c r="CBL512" s="1756"/>
      <c r="CBM512" s="1757"/>
      <c r="CBN512" s="385"/>
      <c r="CBO512" s="69"/>
      <c r="CBP512" s="69"/>
      <c r="CBQ512" s="2511"/>
      <c r="CBR512" s="1755"/>
      <c r="CBS512" s="1756"/>
      <c r="CBT512" s="1756"/>
      <c r="CBU512" s="1757"/>
      <c r="CBV512" s="385"/>
      <c r="CBW512" s="69"/>
      <c r="CBX512" s="69"/>
      <c r="CBY512" s="2511"/>
      <c r="CBZ512" s="1755"/>
      <c r="CCA512" s="1756"/>
      <c r="CCB512" s="1756"/>
      <c r="CCC512" s="1757"/>
      <c r="CCD512" s="385"/>
      <c r="CCE512" s="69"/>
      <c r="CCF512" s="69"/>
      <c r="CCG512" s="2511"/>
      <c r="CCH512" s="1755"/>
      <c r="CCI512" s="1756"/>
      <c r="CCJ512" s="1756"/>
      <c r="CCK512" s="1757"/>
      <c r="CCL512" s="385"/>
      <c r="CCM512" s="69"/>
      <c r="CCN512" s="69"/>
      <c r="CCO512" s="2511"/>
      <c r="CCP512" s="1755"/>
      <c r="CCQ512" s="1756"/>
      <c r="CCR512" s="1756"/>
      <c r="CCS512" s="1757"/>
      <c r="CCT512" s="385"/>
      <c r="CCU512" s="69"/>
      <c r="CCV512" s="69"/>
      <c r="CCW512" s="2511"/>
      <c r="CCX512" s="1755"/>
      <c r="CCY512" s="1756"/>
      <c r="CCZ512" s="1756"/>
      <c r="CDA512" s="1757"/>
      <c r="CDB512" s="385"/>
      <c r="CDC512" s="69"/>
      <c r="CDD512" s="69"/>
      <c r="CDE512" s="2511"/>
      <c r="CDF512" s="1755"/>
      <c r="CDG512" s="1756"/>
      <c r="CDH512" s="1756"/>
      <c r="CDI512" s="1757"/>
      <c r="CDJ512" s="385"/>
      <c r="CDK512" s="69"/>
      <c r="CDL512" s="69"/>
      <c r="CDM512" s="2511"/>
      <c r="CDN512" s="1755"/>
      <c r="CDO512" s="1756"/>
      <c r="CDP512" s="1756"/>
      <c r="CDQ512" s="1757"/>
      <c r="CDR512" s="385"/>
      <c r="CDS512" s="69"/>
      <c r="CDT512" s="69"/>
      <c r="CDU512" s="2511"/>
      <c r="CDV512" s="1755"/>
      <c r="CDW512" s="1756"/>
      <c r="CDX512" s="1756"/>
      <c r="CDY512" s="1757"/>
      <c r="CDZ512" s="385"/>
      <c r="CEA512" s="69"/>
      <c r="CEB512" s="69"/>
      <c r="CEC512" s="2511"/>
      <c r="CED512" s="1755"/>
      <c r="CEE512" s="1756"/>
      <c r="CEF512" s="1756"/>
      <c r="CEG512" s="1757"/>
      <c r="CEH512" s="385"/>
      <c r="CEI512" s="69"/>
      <c r="CEJ512" s="69"/>
      <c r="CEK512" s="2511"/>
      <c r="CEL512" s="1755"/>
      <c r="CEM512" s="1756"/>
      <c r="CEN512" s="1756"/>
      <c r="CEO512" s="1757"/>
      <c r="CEP512" s="385"/>
      <c r="CEQ512" s="69"/>
      <c r="CER512" s="69"/>
      <c r="CES512" s="2511"/>
      <c r="CET512" s="1755"/>
      <c r="CEU512" s="1756"/>
      <c r="CEV512" s="1756"/>
      <c r="CEW512" s="1757"/>
      <c r="CEX512" s="385"/>
      <c r="CEY512" s="69"/>
      <c r="CEZ512" s="69"/>
      <c r="CFA512" s="2511"/>
      <c r="CFB512" s="1755"/>
      <c r="CFC512" s="1756"/>
      <c r="CFD512" s="1756"/>
      <c r="CFE512" s="1757"/>
      <c r="CFF512" s="385"/>
      <c r="CFG512" s="69"/>
      <c r="CFH512" s="69"/>
      <c r="CFI512" s="2511"/>
      <c r="CFJ512" s="1755"/>
      <c r="CFK512" s="1756"/>
      <c r="CFL512" s="1756"/>
      <c r="CFM512" s="1757"/>
      <c r="CFN512" s="385"/>
      <c r="CFO512" s="69"/>
      <c r="CFP512" s="69"/>
      <c r="CFQ512" s="2511"/>
      <c r="CFR512" s="1755"/>
      <c r="CFS512" s="1756"/>
      <c r="CFT512" s="1756"/>
      <c r="CFU512" s="1757"/>
      <c r="CFV512" s="385"/>
      <c r="CFW512" s="69"/>
      <c r="CFX512" s="69"/>
      <c r="CFY512" s="2511"/>
      <c r="CFZ512" s="1755"/>
      <c r="CGA512" s="1756"/>
      <c r="CGB512" s="1756"/>
      <c r="CGC512" s="1757"/>
      <c r="CGD512" s="385"/>
      <c r="CGE512" s="69"/>
      <c r="CGF512" s="69"/>
      <c r="CGG512" s="2511"/>
      <c r="CGH512" s="1755"/>
      <c r="CGI512" s="1756"/>
      <c r="CGJ512" s="1756"/>
      <c r="CGK512" s="1757"/>
      <c r="CGL512" s="385"/>
      <c r="CGM512" s="69"/>
      <c r="CGN512" s="69"/>
      <c r="CGO512" s="2511"/>
      <c r="CGP512" s="1755"/>
      <c r="CGQ512" s="1756"/>
      <c r="CGR512" s="1756"/>
      <c r="CGS512" s="1757"/>
      <c r="CGT512" s="385"/>
      <c r="CGU512" s="69"/>
      <c r="CGV512" s="69"/>
      <c r="CGW512" s="2511"/>
      <c r="CGX512" s="1755"/>
      <c r="CGY512" s="1756"/>
      <c r="CGZ512" s="1756"/>
      <c r="CHA512" s="1757"/>
      <c r="CHB512" s="385"/>
      <c r="CHC512" s="69"/>
      <c r="CHD512" s="69"/>
      <c r="CHE512" s="2511"/>
      <c r="CHF512" s="1755"/>
      <c r="CHG512" s="1756"/>
      <c r="CHH512" s="1756"/>
      <c r="CHI512" s="1757"/>
      <c r="CHJ512" s="385"/>
      <c r="CHK512" s="69"/>
      <c r="CHL512" s="69"/>
      <c r="CHM512" s="2511"/>
      <c r="CHN512" s="1755"/>
      <c r="CHO512" s="1756"/>
      <c r="CHP512" s="1756"/>
      <c r="CHQ512" s="1757"/>
      <c r="CHR512" s="385"/>
      <c r="CHS512" s="69"/>
      <c r="CHT512" s="69"/>
      <c r="CHU512" s="2511"/>
      <c r="CHV512" s="1755"/>
      <c r="CHW512" s="1756"/>
      <c r="CHX512" s="1756"/>
      <c r="CHY512" s="1757"/>
      <c r="CHZ512" s="385"/>
      <c r="CIA512" s="69"/>
      <c r="CIB512" s="69"/>
      <c r="CIC512" s="2511"/>
      <c r="CID512" s="1755"/>
      <c r="CIE512" s="1756"/>
      <c r="CIF512" s="1756"/>
      <c r="CIG512" s="1757"/>
      <c r="CIH512" s="385"/>
      <c r="CII512" s="69"/>
      <c r="CIJ512" s="69"/>
      <c r="CIK512" s="2511"/>
      <c r="CIL512" s="1755"/>
      <c r="CIM512" s="1756"/>
      <c r="CIN512" s="1756"/>
      <c r="CIO512" s="1757"/>
      <c r="CIP512" s="385"/>
      <c r="CIQ512" s="69"/>
      <c r="CIR512" s="69"/>
      <c r="CIS512" s="2511"/>
      <c r="CIT512" s="1755"/>
      <c r="CIU512" s="1756"/>
      <c r="CIV512" s="1756"/>
      <c r="CIW512" s="1757"/>
      <c r="CIX512" s="385"/>
      <c r="CIY512" s="69"/>
      <c r="CIZ512" s="69"/>
      <c r="CJA512" s="2511"/>
      <c r="CJB512" s="1755"/>
      <c r="CJC512" s="1756"/>
      <c r="CJD512" s="1756"/>
      <c r="CJE512" s="1757"/>
      <c r="CJF512" s="385"/>
      <c r="CJG512" s="69"/>
      <c r="CJH512" s="69"/>
      <c r="CJI512" s="2511"/>
      <c r="CJJ512" s="1755"/>
      <c r="CJK512" s="1756"/>
      <c r="CJL512" s="1756"/>
      <c r="CJM512" s="1757"/>
      <c r="CJN512" s="385"/>
      <c r="CJO512" s="69"/>
      <c r="CJP512" s="69"/>
      <c r="CJQ512" s="2511"/>
      <c r="CJR512" s="1755"/>
      <c r="CJS512" s="1756"/>
      <c r="CJT512" s="1756"/>
      <c r="CJU512" s="1757"/>
      <c r="CJV512" s="385"/>
      <c r="CJW512" s="69"/>
      <c r="CJX512" s="69"/>
      <c r="CJY512" s="2511"/>
      <c r="CJZ512" s="1755"/>
      <c r="CKA512" s="1756"/>
      <c r="CKB512" s="1756"/>
      <c r="CKC512" s="1757"/>
      <c r="CKD512" s="385"/>
      <c r="CKE512" s="69"/>
      <c r="CKF512" s="69"/>
      <c r="CKG512" s="2511"/>
      <c r="CKH512" s="1755"/>
      <c r="CKI512" s="1756"/>
      <c r="CKJ512" s="1756"/>
      <c r="CKK512" s="1757"/>
      <c r="CKL512" s="385"/>
      <c r="CKM512" s="69"/>
      <c r="CKN512" s="69"/>
      <c r="CKO512" s="2511"/>
      <c r="CKP512" s="1755"/>
      <c r="CKQ512" s="1756"/>
      <c r="CKR512" s="1756"/>
      <c r="CKS512" s="1757"/>
      <c r="CKT512" s="385"/>
      <c r="CKU512" s="69"/>
      <c r="CKV512" s="69"/>
      <c r="CKW512" s="2511"/>
      <c r="CKX512" s="1755"/>
      <c r="CKY512" s="1756"/>
      <c r="CKZ512" s="1756"/>
      <c r="CLA512" s="1757"/>
      <c r="CLB512" s="385"/>
      <c r="CLC512" s="69"/>
      <c r="CLD512" s="69"/>
      <c r="CLE512" s="2511"/>
      <c r="CLF512" s="1755"/>
      <c r="CLG512" s="1756"/>
      <c r="CLH512" s="1756"/>
      <c r="CLI512" s="1757"/>
      <c r="CLJ512" s="385"/>
      <c r="CLK512" s="69"/>
      <c r="CLL512" s="69"/>
      <c r="CLM512" s="2511"/>
      <c r="CLN512" s="1755"/>
      <c r="CLO512" s="1756"/>
      <c r="CLP512" s="1756"/>
      <c r="CLQ512" s="1757"/>
      <c r="CLR512" s="385"/>
      <c r="CLS512" s="69"/>
      <c r="CLT512" s="69"/>
      <c r="CLU512" s="2511"/>
      <c r="CLV512" s="1755"/>
      <c r="CLW512" s="1756"/>
      <c r="CLX512" s="1756"/>
      <c r="CLY512" s="1757"/>
      <c r="CLZ512" s="385"/>
      <c r="CMA512" s="69"/>
      <c r="CMB512" s="69"/>
      <c r="CMC512" s="2511"/>
      <c r="CMD512" s="1755"/>
      <c r="CME512" s="1756"/>
      <c r="CMF512" s="1756"/>
      <c r="CMG512" s="1757"/>
      <c r="CMH512" s="385"/>
      <c r="CMI512" s="69"/>
      <c r="CMJ512" s="69"/>
      <c r="CMK512" s="2511"/>
      <c r="CML512" s="1755"/>
      <c r="CMM512" s="1756"/>
      <c r="CMN512" s="1756"/>
      <c r="CMO512" s="1757"/>
      <c r="CMP512" s="385"/>
      <c r="CMQ512" s="69"/>
      <c r="CMR512" s="69"/>
      <c r="CMS512" s="2511"/>
      <c r="CMT512" s="1755"/>
      <c r="CMU512" s="1756"/>
      <c r="CMV512" s="1756"/>
      <c r="CMW512" s="1757"/>
      <c r="CMX512" s="385"/>
      <c r="CMY512" s="69"/>
      <c r="CMZ512" s="69"/>
      <c r="CNA512" s="2511"/>
      <c r="CNB512" s="1755"/>
      <c r="CNC512" s="1756"/>
      <c r="CND512" s="1756"/>
      <c r="CNE512" s="1757"/>
      <c r="CNF512" s="385"/>
      <c r="CNG512" s="69"/>
      <c r="CNH512" s="69"/>
      <c r="CNI512" s="2511"/>
      <c r="CNJ512" s="1755"/>
      <c r="CNK512" s="1756"/>
      <c r="CNL512" s="1756"/>
      <c r="CNM512" s="1757"/>
      <c r="CNN512" s="385"/>
      <c r="CNO512" s="69"/>
      <c r="CNP512" s="69"/>
      <c r="CNQ512" s="2511"/>
      <c r="CNR512" s="1755"/>
      <c r="CNS512" s="1756"/>
      <c r="CNT512" s="1756"/>
      <c r="CNU512" s="1757"/>
      <c r="CNV512" s="385"/>
      <c r="CNW512" s="69"/>
      <c r="CNX512" s="69"/>
      <c r="CNY512" s="2511"/>
      <c r="CNZ512" s="1755"/>
      <c r="COA512" s="1756"/>
      <c r="COB512" s="1756"/>
      <c r="COC512" s="1757"/>
      <c r="COD512" s="385"/>
      <c r="COE512" s="69"/>
      <c r="COF512" s="69"/>
      <c r="COG512" s="2511"/>
      <c r="COH512" s="1755"/>
      <c r="COI512" s="1756"/>
      <c r="COJ512" s="1756"/>
      <c r="COK512" s="1757"/>
      <c r="COL512" s="385"/>
      <c r="COM512" s="69"/>
      <c r="CON512" s="69"/>
      <c r="COO512" s="2511"/>
      <c r="COP512" s="1755"/>
      <c r="COQ512" s="1756"/>
      <c r="COR512" s="1756"/>
      <c r="COS512" s="1757"/>
      <c r="COT512" s="385"/>
      <c r="COU512" s="69"/>
      <c r="COV512" s="69"/>
      <c r="COW512" s="2511"/>
      <c r="COX512" s="1755"/>
      <c r="COY512" s="1756"/>
      <c r="COZ512" s="1756"/>
      <c r="CPA512" s="1757"/>
      <c r="CPB512" s="385"/>
      <c r="CPC512" s="69"/>
      <c r="CPD512" s="69"/>
      <c r="CPE512" s="2511"/>
      <c r="CPF512" s="1755"/>
      <c r="CPG512" s="1756"/>
      <c r="CPH512" s="1756"/>
      <c r="CPI512" s="1757"/>
      <c r="CPJ512" s="385"/>
      <c r="CPK512" s="69"/>
      <c r="CPL512" s="69"/>
      <c r="CPM512" s="2511"/>
      <c r="CPN512" s="1755"/>
      <c r="CPO512" s="1756"/>
      <c r="CPP512" s="1756"/>
      <c r="CPQ512" s="1757"/>
      <c r="CPR512" s="385"/>
      <c r="CPS512" s="69"/>
      <c r="CPT512" s="69"/>
      <c r="CPU512" s="2511"/>
      <c r="CPV512" s="1755"/>
      <c r="CPW512" s="1756"/>
      <c r="CPX512" s="1756"/>
      <c r="CPY512" s="1757"/>
      <c r="CPZ512" s="385"/>
      <c r="CQA512" s="69"/>
      <c r="CQB512" s="69"/>
      <c r="CQC512" s="2511"/>
      <c r="CQD512" s="1755"/>
      <c r="CQE512" s="1756"/>
      <c r="CQF512" s="1756"/>
      <c r="CQG512" s="1757"/>
      <c r="CQH512" s="385"/>
      <c r="CQI512" s="69"/>
      <c r="CQJ512" s="69"/>
      <c r="CQK512" s="2511"/>
      <c r="CQL512" s="1755"/>
      <c r="CQM512" s="1756"/>
      <c r="CQN512" s="1756"/>
      <c r="CQO512" s="1757"/>
      <c r="CQP512" s="385"/>
      <c r="CQQ512" s="69"/>
      <c r="CQR512" s="69"/>
      <c r="CQS512" s="2511"/>
      <c r="CQT512" s="1755"/>
      <c r="CQU512" s="1756"/>
      <c r="CQV512" s="1756"/>
      <c r="CQW512" s="1757"/>
      <c r="CQX512" s="385"/>
      <c r="CQY512" s="69"/>
      <c r="CQZ512" s="69"/>
      <c r="CRA512" s="2511"/>
      <c r="CRB512" s="1755"/>
      <c r="CRC512" s="1756"/>
      <c r="CRD512" s="1756"/>
      <c r="CRE512" s="1757"/>
      <c r="CRF512" s="385"/>
      <c r="CRG512" s="69"/>
      <c r="CRH512" s="69"/>
      <c r="CRI512" s="2511"/>
      <c r="CRJ512" s="1755"/>
      <c r="CRK512" s="1756"/>
      <c r="CRL512" s="1756"/>
      <c r="CRM512" s="1757"/>
      <c r="CRN512" s="385"/>
      <c r="CRO512" s="69"/>
      <c r="CRP512" s="69"/>
      <c r="CRQ512" s="2511"/>
      <c r="CRR512" s="1755"/>
      <c r="CRS512" s="1756"/>
      <c r="CRT512" s="1756"/>
      <c r="CRU512" s="1757"/>
      <c r="CRV512" s="385"/>
      <c r="CRW512" s="69"/>
      <c r="CRX512" s="69"/>
      <c r="CRY512" s="2511"/>
      <c r="CRZ512" s="1755"/>
      <c r="CSA512" s="1756"/>
      <c r="CSB512" s="1756"/>
      <c r="CSC512" s="1757"/>
      <c r="CSD512" s="385"/>
      <c r="CSE512" s="69"/>
      <c r="CSF512" s="69"/>
      <c r="CSG512" s="2511"/>
      <c r="CSH512" s="1755"/>
      <c r="CSI512" s="1756"/>
      <c r="CSJ512" s="1756"/>
      <c r="CSK512" s="1757"/>
      <c r="CSL512" s="385"/>
      <c r="CSM512" s="69"/>
      <c r="CSN512" s="69"/>
      <c r="CSO512" s="2511"/>
      <c r="CSP512" s="1755"/>
      <c r="CSQ512" s="1756"/>
      <c r="CSR512" s="1756"/>
      <c r="CSS512" s="1757"/>
      <c r="CST512" s="385"/>
      <c r="CSU512" s="69"/>
      <c r="CSV512" s="69"/>
      <c r="CSW512" s="2511"/>
      <c r="CSX512" s="1755"/>
      <c r="CSY512" s="1756"/>
      <c r="CSZ512" s="1756"/>
      <c r="CTA512" s="1757"/>
      <c r="CTB512" s="385"/>
      <c r="CTC512" s="69"/>
      <c r="CTD512" s="69"/>
      <c r="CTE512" s="2511"/>
      <c r="CTF512" s="1755"/>
      <c r="CTG512" s="1756"/>
      <c r="CTH512" s="1756"/>
      <c r="CTI512" s="1757"/>
      <c r="CTJ512" s="385"/>
      <c r="CTK512" s="69"/>
      <c r="CTL512" s="69"/>
      <c r="CTM512" s="2511"/>
      <c r="CTN512" s="1755"/>
      <c r="CTO512" s="1756"/>
      <c r="CTP512" s="1756"/>
      <c r="CTQ512" s="1757"/>
      <c r="CTR512" s="385"/>
      <c r="CTS512" s="69"/>
      <c r="CTT512" s="69"/>
      <c r="CTU512" s="2511"/>
      <c r="CTV512" s="1755"/>
      <c r="CTW512" s="1756"/>
      <c r="CTX512" s="1756"/>
      <c r="CTY512" s="1757"/>
      <c r="CTZ512" s="385"/>
      <c r="CUA512" s="69"/>
      <c r="CUB512" s="69"/>
      <c r="CUC512" s="2511"/>
      <c r="CUD512" s="1755"/>
      <c r="CUE512" s="1756"/>
      <c r="CUF512" s="1756"/>
      <c r="CUG512" s="1757"/>
      <c r="CUH512" s="385"/>
      <c r="CUI512" s="69"/>
      <c r="CUJ512" s="69"/>
      <c r="CUK512" s="2511"/>
      <c r="CUL512" s="1755"/>
      <c r="CUM512" s="1756"/>
      <c r="CUN512" s="1756"/>
      <c r="CUO512" s="1757"/>
      <c r="CUP512" s="385"/>
      <c r="CUQ512" s="69"/>
      <c r="CUR512" s="69"/>
      <c r="CUS512" s="2511"/>
      <c r="CUT512" s="1755"/>
      <c r="CUU512" s="1756"/>
      <c r="CUV512" s="1756"/>
      <c r="CUW512" s="1757"/>
      <c r="CUX512" s="385"/>
      <c r="CUY512" s="69"/>
      <c r="CUZ512" s="69"/>
      <c r="CVA512" s="2511"/>
      <c r="CVB512" s="1755"/>
      <c r="CVC512" s="1756"/>
      <c r="CVD512" s="1756"/>
      <c r="CVE512" s="1757"/>
      <c r="CVF512" s="385"/>
      <c r="CVG512" s="69"/>
      <c r="CVH512" s="69"/>
      <c r="CVI512" s="2511"/>
      <c r="CVJ512" s="1755"/>
      <c r="CVK512" s="1756"/>
      <c r="CVL512" s="1756"/>
      <c r="CVM512" s="1757"/>
      <c r="CVN512" s="385"/>
      <c r="CVO512" s="69"/>
      <c r="CVP512" s="69"/>
      <c r="CVQ512" s="2511"/>
      <c r="CVR512" s="1755"/>
      <c r="CVS512" s="1756"/>
      <c r="CVT512" s="1756"/>
      <c r="CVU512" s="1757"/>
      <c r="CVV512" s="385"/>
      <c r="CVW512" s="69"/>
      <c r="CVX512" s="69"/>
      <c r="CVY512" s="2511"/>
      <c r="CVZ512" s="1755"/>
      <c r="CWA512" s="1756"/>
      <c r="CWB512" s="1756"/>
      <c r="CWC512" s="1757"/>
      <c r="CWD512" s="385"/>
      <c r="CWE512" s="69"/>
      <c r="CWF512" s="69"/>
      <c r="CWG512" s="2511"/>
      <c r="CWH512" s="1755"/>
      <c r="CWI512" s="1756"/>
      <c r="CWJ512" s="1756"/>
      <c r="CWK512" s="1757"/>
      <c r="CWL512" s="385"/>
      <c r="CWM512" s="69"/>
      <c r="CWN512" s="69"/>
      <c r="CWO512" s="2511"/>
      <c r="CWP512" s="1755"/>
      <c r="CWQ512" s="1756"/>
      <c r="CWR512" s="1756"/>
      <c r="CWS512" s="1757"/>
      <c r="CWT512" s="385"/>
      <c r="CWU512" s="69"/>
      <c r="CWV512" s="69"/>
      <c r="CWW512" s="2511"/>
      <c r="CWX512" s="1755"/>
      <c r="CWY512" s="1756"/>
      <c r="CWZ512" s="1756"/>
      <c r="CXA512" s="1757"/>
      <c r="CXB512" s="385"/>
      <c r="CXC512" s="69"/>
      <c r="CXD512" s="69"/>
      <c r="CXE512" s="2511"/>
      <c r="CXF512" s="1755"/>
      <c r="CXG512" s="1756"/>
      <c r="CXH512" s="1756"/>
      <c r="CXI512" s="1757"/>
      <c r="CXJ512" s="385"/>
      <c r="CXK512" s="69"/>
      <c r="CXL512" s="69"/>
      <c r="CXM512" s="2511"/>
      <c r="CXN512" s="1755"/>
      <c r="CXO512" s="1756"/>
      <c r="CXP512" s="1756"/>
      <c r="CXQ512" s="1757"/>
      <c r="CXR512" s="385"/>
      <c r="CXS512" s="69"/>
      <c r="CXT512" s="69"/>
      <c r="CXU512" s="2511"/>
      <c r="CXV512" s="1755"/>
      <c r="CXW512" s="1756"/>
      <c r="CXX512" s="1756"/>
      <c r="CXY512" s="1757"/>
      <c r="CXZ512" s="385"/>
      <c r="CYA512" s="69"/>
      <c r="CYB512" s="69"/>
      <c r="CYC512" s="2511"/>
      <c r="CYD512" s="1755"/>
      <c r="CYE512" s="1756"/>
      <c r="CYF512" s="1756"/>
      <c r="CYG512" s="1757"/>
      <c r="CYH512" s="385"/>
      <c r="CYI512" s="69"/>
      <c r="CYJ512" s="69"/>
      <c r="CYK512" s="2511"/>
      <c r="CYL512" s="1755"/>
      <c r="CYM512" s="1756"/>
      <c r="CYN512" s="1756"/>
      <c r="CYO512" s="1757"/>
      <c r="CYP512" s="385"/>
      <c r="CYQ512" s="69"/>
      <c r="CYR512" s="69"/>
      <c r="CYS512" s="2511"/>
      <c r="CYT512" s="1755"/>
      <c r="CYU512" s="1756"/>
      <c r="CYV512" s="1756"/>
      <c r="CYW512" s="1757"/>
      <c r="CYX512" s="385"/>
      <c r="CYY512" s="69"/>
      <c r="CYZ512" s="69"/>
      <c r="CZA512" s="2511"/>
      <c r="CZB512" s="1755"/>
      <c r="CZC512" s="1756"/>
      <c r="CZD512" s="1756"/>
      <c r="CZE512" s="1757"/>
      <c r="CZF512" s="385"/>
      <c r="CZG512" s="69"/>
      <c r="CZH512" s="69"/>
      <c r="CZI512" s="2511"/>
      <c r="CZJ512" s="1755"/>
      <c r="CZK512" s="1756"/>
      <c r="CZL512" s="1756"/>
      <c r="CZM512" s="1757"/>
      <c r="CZN512" s="385"/>
      <c r="CZO512" s="69"/>
      <c r="CZP512" s="69"/>
      <c r="CZQ512" s="2511"/>
      <c r="CZR512" s="1755"/>
      <c r="CZS512" s="1756"/>
      <c r="CZT512" s="1756"/>
      <c r="CZU512" s="1757"/>
      <c r="CZV512" s="385"/>
      <c r="CZW512" s="69"/>
      <c r="CZX512" s="69"/>
      <c r="CZY512" s="2511"/>
      <c r="CZZ512" s="1755"/>
      <c r="DAA512" s="1756"/>
      <c r="DAB512" s="1756"/>
      <c r="DAC512" s="1757"/>
      <c r="DAD512" s="385"/>
      <c r="DAE512" s="69"/>
      <c r="DAF512" s="69"/>
      <c r="DAG512" s="2511"/>
      <c r="DAH512" s="1755"/>
      <c r="DAI512" s="1756"/>
      <c r="DAJ512" s="1756"/>
      <c r="DAK512" s="1757"/>
      <c r="DAL512" s="385"/>
      <c r="DAM512" s="69"/>
      <c r="DAN512" s="69"/>
      <c r="DAO512" s="2511"/>
      <c r="DAP512" s="1755"/>
      <c r="DAQ512" s="1756"/>
      <c r="DAR512" s="1756"/>
      <c r="DAS512" s="1757"/>
      <c r="DAT512" s="385"/>
      <c r="DAU512" s="69"/>
      <c r="DAV512" s="69"/>
      <c r="DAW512" s="2511"/>
      <c r="DAX512" s="1755"/>
      <c r="DAY512" s="1756"/>
      <c r="DAZ512" s="1756"/>
      <c r="DBA512" s="1757"/>
      <c r="DBB512" s="385"/>
      <c r="DBC512" s="69"/>
      <c r="DBD512" s="69"/>
      <c r="DBE512" s="2511"/>
      <c r="DBF512" s="1755"/>
      <c r="DBG512" s="1756"/>
      <c r="DBH512" s="1756"/>
      <c r="DBI512" s="1757"/>
      <c r="DBJ512" s="385"/>
      <c r="DBK512" s="69"/>
      <c r="DBL512" s="69"/>
      <c r="DBM512" s="2511"/>
      <c r="DBN512" s="1755"/>
      <c r="DBO512" s="1756"/>
      <c r="DBP512" s="1756"/>
      <c r="DBQ512" s="1757"/>
      <c r="DBR512" s="385"/>
      <c r="DBS512" s="69"/>
      <c r="DBT512" s="69"/>
      <c r="DBU512" s="2511"/>
      <c r="DBV512" s="1755"/>
      <c r="DBW512" s="1756"/>
      <c r="DBX512" s="1756"/>
      <c r="DBY512" s="1757"/>
      <c r="DBZ512" s="385"/>
      <c r="DCA512" s="69"/>
      <c r="DCB512" s="69"/>
      <c r="DCC512" s="2511"/>
      <c r="DCD512" s="1755"/>
      <c r="DCE512" s="1756"/>
      <c r="DCF512" s="1756"/>
      <c r="DCG512" s="1757"/>
      <c r="DCH512" s="385"/>
      <c r="DCI512" s="69"/>
      <c r="DCJ512" s="69"/>
      <c r="DCK512" s="2511"/>
      <c r="DCL512" s="1755"/>
      <c r="DCM512" s="1756"/>
      <c r="DCN512" s="1756"/>
      <c r="DCO512" s="1757"/>
      <c r="DCP512" s="385"/>
      <c r="DCQ512" s="69"/>
      <c r="DCR512" s="69"/>
      <c r="DCS512" s="2511"/>
      <c r="DCT512" s="1755"/>
      <c r="DCU512" s="1756"/>
      <c r="DCV512" s="1756"/>
      <c r="DCW512" s="1757"/>
      <c r="DCX512" s="385"/>
      <c r="DCY512" s="69"/>
      <c r="DCZ512" s="69"/>
      <c r="DDA512" s="2511"/>
      <c r="DDB512" s="1755"/>
      <c r="DDC512" s="1756"/>
      <c r="DDD512" s="1756"/>
      <c r="DDE512" s="1757"/>
      <c r="DDF512" s="385"/>
      <c r="DDG512" s="69"/>
      <c r="DDH512" s="69"/>
      <c r="DDI512" s="2511"/>
      <c r="DDJ512" s="1755"/>
      <c r="DDK512" s="1756"/>
      <c r="DDL512" s="1756"/>
      <c r="DDM512" s="1757"/>
      <c r="DDN512" s="385"/>
      <c r="DDO512" s="69"/>
      <c r="DDP512" s="69"/>
      <c r="DDQ512" s="2511"/>
      <c r="DDR512" s="1755"/>
      <c r="DDS512" s="1756"/>
      <c r="DDT512" s="1756"/>
      <c r="DDU512" s="1757"/>
      <c r="DDV512" s="385"/>
      <c r="DDW512" s="69"/>
      <c r="DDX512" s="69"/>
      <c r="DDY512" s="2511"/>
      <c r="DDZ512" s="1755"/>
      <c r="DEA512" s="1756"/>
      <c r="DEB512" s="1756"/>
      <c r="DEC512" s="1757"/>
      <c r="DED512" s="385"/>
      <c r="DEE512" s="69"/>
      <c r="DEF512" s="69"/>
      <c r="DEG512" s="2511"/>
      <c r="DEH512" s="1755"/>
      <c r="DEI512" s="1756"/>
      <c r="DEJ512" s="1756"/>
      <c r="DEK512" s="1757"/>
      <c r="DEL512" s="385"/>
      <c r="DEM512" s="69"/>
      <c r="DEN512" s="69"/>
      <c r="DEO512" s="2511"/>
      <c r="DEP512" s="1755"/>
      <c r="DEQ512" s="1756"/>
      <c r="DER512" s="1756"/>
      <c r="DES512" s="1757"/>
      <c r="DET512" s="385"/>
      <c r="DEU512" s="69"/>
      <c r="DEV512" s="69"/>
      <c r="DEW512" s="2511"/>
      <c r="DEX512" s="1755"/>
      <c r="DEY512" s="1756"/>
      <c r="DEZ512" s="1756"/>
      <c r="DFA512" s="1757"/>
      <c r="DFB512" s="385"/>
      <c r="DFC512" s="69"/>
      <c r="DFD512" s="69"/>
      <c r="DFE512" s="2511"/>
      <c r="DFF512" s="1755"/>
      <c r="DFG512" s="1756"/>
      <c r="DFH512" s="1756"/>
      <c r="DFI512" s="1757"/>
      <c r="DFJ512" s="385"/>
      <c r="DFK512" s="69"/>
      <c r="DFL512" s="69"/>
      <c r="DFM512" s="2511"/>
      <c r="DFN512" s="1755"/>
      <c r="DFO512" s="1756"/>
      <c r="DFP512" s="1756"/>
      <c r="DFQ512" s="1757"/>
      <c r="DFR512" s="385"/>
      <c r="DFS512" s="69"/>
      <c r="DFT512" s="69"/>
      <c r="DFU512" s="2511"/>
      <c r="DFV512" s="1755"/>
      <c r="DFW512" s="1756"/>
      <c r="DFX512" s="1756"/>
      <c r="DFY512" s="1757"/>
      <c r="DFZ512" s="385"/>
      <c r="DGA512" s="69"/>
      <c r="DGB512" s="69"/>
      <c r="DGC512" s="2511"/>
      <c r="DGD512" s="1755"/>
      <c r="DGE512" s="1756"/>
      <c r="DGF512" s="1756"/>
      <c r="DGG512" s="1757"/>
      <c r="DGH512" s="385"/>
      <c r="DGI512" s="69"/>
      <c r="DGJ512" s="69"/>
      <c r="DGK512" s="2511"/>
      <c r="DGL512" s="1755"/>
      <c r="DGM512" s="1756"/>
      <c r="DGN512" s="1756"/>
      <c r="DGO512" s="1757"/>
      <c r="DGP512" s="385"/>
      <c r="DGQ512" s="69"/>
      <c r="DGR512" s="69"/>
      <c r="DGS512" s="2511"/>
      <c r="DGT512" s="1755"/>
      <c r="DGU512" s="1756"/>
      <c r="DGV512" s="1756"/>
      <c r="DGW512" s="1757"/>
      <c r="DGX512" s="385"/>
      <c r="DGY512" s="69"/>
      <c r="DGZ512" s="69"/>
      <c r="DHA512" s="2511"/>
      <c r="DHB512" s="1755"/>
      <c r="DHC512" s="1756"/>
      <c r="DHD512" s="1756"/>
      <c r="DHE512" s="1757"/>
      <c r="DHF512" s="385"/>
      <c r="DHG512" s="69"/>
      <c r="DHH512" s="69"/>
      <c r="DHI512" s="2511"/>
      <c r="DHJ512" s="1755"/>
      <c r="DHK512" s="1756"/>
      <c r="DHL512" s="1756"/>
      <c r="DHM512" s="1757"/>
      <c r="DHN512" s="385"/>
      <c r="DHO512" s="69"/>
      <c r="DHP512" s="69"/>
      <c r="DHQ512" s="2511"/>
      <c r="DHR512" s="1755"/>
      <c r="DHS512" s="1756"/>
      <c r="DHT512" s="1756"/>
      <c r="DHU512" s="1757"/>
      <c r="DHV512" s="385"/>
      <c r="DHW512" s="69"/>
      <c r="DHX512" s="69"/>
      <c r="DHY512" s="2511"/>
      <c r="DHZ512" s="1755"/>
      <c r="DIA512" s="1756"/>
      <c r="DIB512" s="1756"/>
      <c r="DIC512" s="1757"/>
      <c r="DID512" s="385"/>
      <c r="DIE512" s="69"/>
      <c r="DIF512" s="69"/>
      <c r="DIG512" s="2511"/>
      <c r="DIH512" s="1755"/>
      <c r="DII512" s="1756"/>
      <c r="DIJ512" s="1756"/>
      <c r="DIK512" s="1757"/>
      <c r="DIL512" s="385"/>
      <c r="DIM512" s="69"/>
      <c r="DIN512" s="69"/>
      <c r="DIO512" s="2511"/>
      <c r="DIP512" s="1755"/>
      <c r="DIQ512" s="1756"/>
      <c r="DIR512" s="1756"/>
      <c r="DIS512" s="1757"/>
      <c r="DIT512" s="385"/>
      <c r="DIU512" s="69"/>
      <c r="DIV512" s="69"/>
      <c r="DIW512" s="2511"/>
      <c r="DIX512" s="1755"/>
      <c r="DIY512" s="1756"/>
      <c r="DIZ512" s="1756"/>
      <c r="DJA512" s="1757"/>
      <c r="DJB512" s="385"/>
      <c r="DJC512" s="69"/>
      <c r="DJD512" s="69"/>
      <c r="DJE512" s="2511"/>
      <c r="DJF512" s="1755"/>
      <c r="DJG512" s="1756"/>
      <c r="DJH512" s="1756"/>
      <c r="DJI512" s="1757"/>
      <c r="DJJ512" s="385"/>
      <c r="DJK512" s="69"/>
      <c r="DJL512" s="69"/>
      <c r="DJM512" s="2511"/>
      <c r="DJN512" s="1755"/>
      <c r="DJO512" s="1756"/>
      <c r="DJP512" s="1756"/>
      <c r="DJQ512" s="1757"/>
      <c r="DJR512" s="385"/>
      <c r="DJS512" s="69"/>
      <c r="DJT512" s="69"/>
      <c r="DJU512" s="2511"/>
      <c r="DJV512" s="1755"/>
      <c r="DJW512" s="1756"/>
      <c r="DJX512" s="1756"/>
      <c r="DJY512" s="1757"/>
      <c r="DJZ512" s="385"/>
      <c r="DKA512" s="69"/>
      <c r="DKB512" s="69"/>
      <c r="DKC512" s="2511"/>
      <c r="DKD512" s="1755"/>
      <c r="DKE512" s="1756"/>
      <c r="DKF512" s="1756"/>
      <c r="DKG512" s="1757"/>
      <c r="DKH512" s="385"/>
      <c r="DKI512" s="69"/>
      <c r="DKJ512" s="69"/>
      <c r="DKK512" s="2511"/>
      <c r="DKL512" s="1755"/>
      <c r="DKM512" s="1756"/>
      <c r="DKN512" s="1756"/>
      <c r="DKO512" s="1757"/>
      <c r="DKP512" s="385"/>
      <c r="DKQ512" s="69"/>
      <c r="DKR512" s="69"/>
      <c r="DKS512" s="2511"/>
      <c r="DKT512" s="1755"/>
      <c r="DKU512" s="1756"/>
      <c r="DKV512" s="1756"/>
      <c r="DKW512" s="1757"/>
      <c r="DKX512" s="385"/>
      <c r="DKY512" s="69"/>
      <c r="DKZ512" s="69"/>
      <c r="DLA512" s="2511"/>
      <c r="DLB512" s="1755"/>
      <c r="DLC512" s="1756"/>
      <c r="DLD512" s="1756"/>
      <c r="DLE512" s="1757"/>
      <c r="DLF512" s="385"/>
      <c r="DLG512" s="69"/>
      <c r="DLH512" s="69"/>
      <c r="DLI512" s="2511"/>
      <c r="DLJ512" s="1755"/>
      <c r="DLK512" s="1756"/>
      <c r="DLL512" s="1756"/>
      <c r="DLM512" s="1757"/>
      <c r="DLN512" s="385"/>
      <c r="DLO512" s="69"/>
      <c r="DLP512" s="69"/>
      <c r="DLQ512" s="2511"/>
      <c r="DLR512" s="1755"/>
      <c r="DLS512" s="1756"/>
      <c r="DLT512" s="1756"/>
      <c r="DLU512" s="1757"/>
      <c r="DLV512" s="385"/>
      <c r="DLW512" s="69"/>
      <c r="DLX512" s="69"/>
      <c r="DLY512" s="2511"/>
      <c r="DLZ512" s="1755"/>
      <c r="DMA512" s="1756"/>
      <c r="DMB512" s="1756"/>
      <c r="DMC512" s="1757"/>
      <c r="DMD512" s="385"/>
      <c r="DME512" s="69"/>
      <c r="DMF512" s="69"/>
      <c r="DMG512" s="2511"/>
      <c r="DMH512" s="1755"/>
      <c r="DMI512" s="1756"/>
      <c r="DMJ512" s="1756"/>
      <c r="DMK512" s="1757"/>
      <c r="DML512" s="385"/>
      <c r="DMM512" s="69"/>
      <c r="DMN512" s="69"/>
      <c r="DMO512" s="2511"/>
      <c r="DMP512" s="1755"/>
      <c r="DMQ512" s="1756"/>
      <c r="DMR512" s="1756"/>
      <c r="DMS512" s="1757"/>
      <c r="DMT512" s="385"/>
      <c r="DMU512" s="69"/>
      <c r="DMV512" s="69"/>
      <c r="DMW512" s="2511"/>
      <c r="DMX512" s="1755"/>
      <c r="DMY512" s="1756"/>
      <c r="DMZ512" s="1756"/>
      <c r="DNA512" s="1757"/>
      <c r="DNB512" s="385"/>
      <c r="DNC512" s="69"/>
      <c r="DND512" s="69"/>
      <c r="DNE512" s="2511"/>
      <c r="DNF512" s="1755"/>
      <c r="DNG512" s="1756"/>
      <c r="DNH512" s="1756"/>
      <c r="DNI512" s="1757"/>
      <c r="DNJ512" s="385"/>
      <c r="DNK512" s="69"/>
      <c r="DNL512" s="69"/>
      <c r="DNM512" s="2511"/>
      <c r="DNN512" s="1755"/>
      <c r="DNO512" s="1756"/>
      <c r="DNP512" s="1756"/>
      <c r="DNQ512" s="1757"/>
      <c r="DNR512" s="385"/>
      <c r="DNS512" s="69"/>
      <c r="DNT512" s="69"/>
      <c r="DNU512" s="2511"/>
      <c r="DNV512" s="1755"/>
      <c r="DNW512" s="1756"/>
      <c r="DNX512" s="1756"/>
      <c r="DNY512" s="1757"/>
      <c r="DNZ512" s="385"/>
      <c r="DOA512" s="69"/>
      <c r="DOB512" s="69"/>
      <c r="DOC512" s="2511"/>
      <c r="DOD512" s="1755"/>
      <c r="DOE512" s="1756"/>
      <c r="DOF512" s="1756"/>
      <c r="DOG512" s="1757"/>
      <c r="DOH512" s="385"/>
      <c r="DOI512" s="69"/>
      <c r="DOJ512" s="69"/>
      <c r="DOK512" s="2511"/>
      <c r="DOL512" s="1755"/>
      <c r="DOM512" s="1756"/>
      <c r="DON512" s="1756"/>
      <c r="DOO512" s="1757"/>
      <c r="DOP512" s="385"/>
      <c r="DOQ512" s="69"/>
      <c r="DOR512" s="69"/>
      <c r="DOS512" s="2511"/>
      <c r="DOT512" s="1755"/>
      <c r="DOU512" s="1756"/>
      <c r="DOV512" s="1756"/>
      <c r="DOW512" s="1757"/>
      <c r="DOX512" s="385"/>
      <c r="DOY512" s="69"/>
      <c r="DOZ512" s="69"/>
      <c r="DPA512" s="2511"/>
      <c r="DPB512" s="1755"/>
      <c r="DPC512" s="1756"/>
      <c r="DPD512" s="1756"/>
      <c r="DPE512" s="1757"/>
      <c r="DPF512" s="385"/>
      <c r="DPG512" s="69"/>
      <c r="DPH512" s="69"/>
      <c r="DPI512" s="2511"/>
      <c r="DPJ512" s="1755"/>
      <c r="DPK512" s="1756"/>
      <c r="DPL512" s="1756"/>
      <c r="DPM512" s="1757"/>
      <c r="DPN512" s="385"/>
      <c r="DPO512" s="69"/>
      <c r="DPP512" s="69"/>
      <c r="DPQ512" s="2511"/>
      <c r="DPR512" s="1755"/>
      <c r="DPS512" s="1756"/>
      <c r="DPT512" s="1756"/>
      <c r="DPU512" s="1757"/>
      <c r="DPV512" s="385"/>
      <c r="DPW512" s="69"/>
      <c r="DPX512" s="69"/>
      <c r="DPY512" s="2511"/>
      <c r="DPZ512" s="1755"/>
      <c r="DQA512" s="1756"/>
      <c r="DQB512" s="1756"/>
      <c r="DQC512" s="1757"/>
      <c r="DQD512" s="385"/>
      <c r="DQE512" s="69"/>
      <c r="DQF512" s="69"/>
      <c r="DQG512" s="2511"/>
      <c r="DQH512" s="1755"/>
      <c r="DQI512" s="1756"/>
      <c r="DQJ512" s="1756"/>
      <c r="DQK512" s="1757"/>
      <c r="DQL512" s="385"/>
      <c r="DQM512" s="69"/>
      <c r="DQN512" s="69"/>
      <c r="DQO512" s="2511"/>
      <c r="DQP512" s="1755"/>
      <c r="DQQ512" s="1756"/>
      <c r="DQR512" s="1756"/>
      <c r="DQS512" s="1757"/>
      <c r="DQT512" s="385"/>
      <c r="DQU512" s="69"/>
      <c r="DQV512" s="69"/>
      <c r="DQW512" s="2511"/>
      <c r="DQX512" s="1755"/>
      <c r="DQY512" s="1756"/>
      <c r="DQZ512" s="1756"/>
      <c r="DRA512" s="1757"/>
      <c r="DRB512" s="385"/>
      <c r="DRC512" s="69"/>
      <c r="DRD512" s="69"/>
      <c r="DRE512" s="2511"/>
      <c r="DRF512" s="1755"/>
      <c r="DRG512" s="1756"/>
      <c r="DRH512" s="1756"/>
      <c r="DRI512" s="1757"/>
      <c r="DRJ512" s="385"/>
      <c r="DRK512" s="69"/>
      <c r="DRL512" s="69"/>
      <c r="DRM512" s="2511"/>
      <c r="DRN512" s="1755"/>
      <c r="DRO512" s="1756"/>
      <c r="DRP512" s="1756"/>
      <c r="DRQ512" s="1757"/>
      <c r="DRR512" s="385"/>
      <c r="DRS512" s="69"/>
      <c r="DRT512" s="69"/>
      <c r="DRU512" s="2511"/>
      <c r="DRV512" s="1755"/>
      <c r="DRW512" s="1756"/>
      <c r="DRX512" s="1756"/>
      <c r="DRY512" s="1757"/>
      <c r="DRZ512" s="385"/>
      <c r="DSA512" s="69"/>
      <c r="DSB512" s="69"/>
      <c r="DSC512" s="2511"/>
      <c r="DSD512" s="1755"/>
      <c r="DSE512" s="1756"/>
      <c r="DSF512" s="1756"/>
      <c r="DSG512" s="1757"/>
      <c r="DSH512" s="385"/>
      <c r="DSI512" s="69"/>
      <c r="DSJ512" s="69"/>
      <c r="DSK512" s="2511"/>
      <c r="DSL512" s="1755"/>
      <c r="DSM512" s="1756"/>
      <c r="DSN512" s="1756"/>
      <c r="DSO512" s="1757"/>
      <c r="DSP512" s="385"/>
      <c r="DSQ512" s="69"/>
      <c r="DSR512" s="69"/>
      <c r="DSS512" s="2511"/>
      <c r="DST512" s="1755"/>
      <c r="DSU512" s="1756"/>
      <c r="DSV512" s="1756"/>
      <c r="DSW512" s="1757"/>
      <c r="DSX512" s="385"/>
      <c r="DSY512" s="69"/>
      <c r="DSZ512" s="69"/>
      <c r="DTA512" s="2511"/>
      <c r="DTB512" s="1755"/>
      <c r="DTC512" s="1756"/>
      <c r="DTD512" s="1756"/>
      <c r="DTE512" s="1757"/>
      <c r="DTF512" s="385"/>
      <c r="DTG512" s="69"/>
      <c r="DTH512" s="69"/>
      <c r="DTI512" s="2511"/>
      <c r="DTJ512" s="1755"/>
      <c r="DTK512" s="1756"/>
      <c r="DTL512" s="1756"/>
      <c r="DTM512" s="1757"/>
      <c r="DTN512" s="385"/>
      <c r="DTO512" s="69"/>
      <c r="DTP512" s="69"/>
      <c r="DTQ512" s="2511"/>
      <c r="DTR512" s="1755"/>
      <c r="DTS512" s="1756"/>
      <c r="DTT512" s="1756"/>
      <c r="DTU512" s="1757"/>
      <c r="DTV512" s="385"/>
      <c r="DTW512" s="69"/>
      <c r="DTX512" s="69"/>
      <c r="DTY512" s="2511"/>
      <c r="DTZ512" s="1755"/>
      <c r="DUA512" s="1756"/>
      <c r="DUB512" s="1756"/>
      <c r="DUC512" s="1757"/>
      <c r="DUD512" s="385"/>
      <c r="DUE512" s="69"/>
      <c r="DUF512" s="69"/>
      <c r="DUG512" s="2511"/>
      <c r="DUH512" s="1755"/>
      <c r="DUI512" s="1756"/>
      <c r="DUJ512" s="1756"/>
      <c r="DUK512" s="1757"/>
      <c r="DUL512" s="385"/>
      <c r="DUM512" s="69"/>
      <c r="DUN512" s="69"/>
      <c r="DUO512" s="2511"/>
      <c r="DUP512" s="1755"/>
      <c r="DUQ512" s="1756"/>
      <c r="DUR512" s="1756"/>
      <c r="DUS512" s="1757"/>
      <c r="DUT512" s="385"/>
      <c r="DUU512" s="69"/>
      <c r="DUV512" s="69"/>
      <c r="DUW512" s="2511"/>
      <c r="DUX512" s="1755"/>
      <c r="DUY512" s="1756"/>
      <c r="DUZ512" s="1756"/>
      <c r="DVA512" s="1757"/>
      <c r="DVB512" s="385"/>
      <c r="DVC512" s="69"/>
      <c r="DVD512" s="69"/>
      <c r="DVE512" s="2511"/>
      <c r="DVF512" s="1755"/>
      <c r="DVG512" s="1756"/>
      <c r="DVH512" s="1756"/>
      <c r="DVI512" s="1757"/>
      <c r="DVJ512" s="385"/>
      <c r="DVK512" s="69"/>
      <c r="DVL512" s="69"/>
      <c r="DVM512" s="2511"/>
      <c r="DVN512" s="1755"/>
      <c r="DVO512" s="1756"/>
      <c r="DVP512" s="1756"/>
      <c r="DVQ512" s="1757"/>
      <c r="DVR512" s="385"/>
      <c r="DVS512" s="69"/>
      <c r="DVT512" s="69"/>
      <c r="DVU512" s="2511"/>
      <c r="DVV512" s="1755"/>
      <c r="DVW512" s="1756"/>
      <c r="DVX512" s="1756"/>
      <c r="DVY512" s="1757"/>
      <c r="DVZ512" s="385"/>
      <c r="DWA512" s="69"/>
      <c r="DWB512" s="69"/>
      <c r="DWC512" s="2511"/>
      <c r="DWD512" s="1755"/>
      <c r="DWE512" s="1756"/>
      <c r="DWF512" s="1756"/>
      <c r="DWG512" s="1757"/>
      <c r="DWH512" s="385"/>
      <c r="DWI512" s="69"/>
      <c r="DWJ512" s="69"/>
      <c r="DWK512" s="2511"/>
      <c r="DWL512" s="1755"/>
      <c r="DWM512" s="1756"/>
      <c r="DWN512" s="1756"/>
      <c r="DWO512" s="1757"/>
      <c r="DWP512" s="385"/>
      <c r="DWQ512" s="69"/>
      <c r="DWR512" s="69"/>
      <c r="DWS512" s="2511"/>
      <c r="DWT512" s="1755"/>
      <c r="DWU512" s="1756"/>
      <c r="DWV512" s="1756"/>
      <c r="DWW512" s="1757"/>
      <c r="DWX512" s="385"/>
      <c r="DWY512" s="69"/>
      <c r="DWZ512" s="69"/>
      <c r="DXA512" s="2511"/>
      <c r="DXB512" s="1755"/>
      <c r="DXC512" s="1756"/>
      <c r="DXD512" s="1756"/>
      <c r="DXE512" s="1757"/>
      <c r="DXF512" s="385"/>
      <c r="DXG512" s="69"/>
      <c r="DXH512" s="69"/>
      <c r="DXI512" s="2511"/>
      <c r="DXJ512" s="1755"/>
      <c r="DXK512" s="1756"/>
      <c r="DXL512" s="1756"/>
      <c r="DXM512" s="1757"/>
      <c r="DXN512" s="385"/>
      <c r="DXO512" s="69"/>
      <c r="DXP512" s="69"/>
      <c r="DXQ512" s="2511"/>
      <c r="DXR512" s="1755"/>
      <c r="DXS512" s="1756"/>
      <c r="DXT512" s="1756"/>
      <c r="DXU512" s="1757"/>
      <c r="DXV512" s="385"/>
      <c r="DXW512" s="69"/>
      <c r="DXX512" s="69"/>
      <c r="DXY512" s="2511"/>
      <c r="DXZ512" s="1755"/>
      <c r="DYA512" s="1756"/>
      <c r="DYB512" s="1756"/>
      <c r="DYC512" s="1757"/>
      <c r="DYD512" s="385"/>
      <c r="DYE512" s="69"/>
      <c r="DYF512" s="69"/>
      <c r="DYG512" s="2511"/>
      <c r="DYH512" s="1755"/>
      <c r="DYI512" s="1756"/>
      <c r="DYJ512" s="1756"/>
      <c r="DYK512" s="1757"/>
      <c r="DYL512" s="385"/>
      <c r="DYM512" s="69"/>
      <c r="DYN512" s="69"/>
      <c r="DYO512" s="2511"/>
      <c r="DYP512" s="1755"/>
      <c r="DYQ512" s="1756"/>
      <c r="DYR512" s="1756"/>
      <c r="DYS512" s="1757"/>
      <c r="DYT512" s="385"/>
      <c r="DYU512" s="69"/>
      <c r="DYV512" s="69"/>
      <c r="DYW512" s="2511"/>
      <c r="DYX512" s="1755"/>
      <c r="DYY512" s="1756"/>
      <c r="DYZ512" s="1756"/>
      <c r="DZA512" s="1757"/>
      <c r="DZB512" s="385"/>
      <c r="DZC512" s="69"/>
      <c r="DZD512" s="69"/>
      <c r="DZE512" s="2511"/>
      <c r="DZF512" s="1755"/>
      <c r="DZG512" s="1756"/>
      <c r="DZH512" s="1756"/>
      <c r="DZI512" s="1757"/>
      <c r="DZJ512" s="385"/>
      <c r="DZK512" s="69"/>
      <c r="DZL512" s="69"/>
      <c r="DZM512" s="2511"/>
      <c r="DZN512" s="1755"/>
      <c r="DZO512" s="1756"/>
      <c r="DZP512" s="1756"/>
      <c r="DZQ512" s="1757"/>
      <c r="DZR512" s="385"/>
      <c r="DZS512" s="69"/>
      <c r="DZT512" s="69"/>
      <c r="DZU512" s="2511"/>
      <c r="DZV512" s="1755"/>
      <c r="DZW512" s="1756"/>
      <c r="DZX512" s="1756"/>
      <c r="DZY512" s="1757"/>
      <c r="DZZ512" s="385"/>
      <c r="EAA512" s="69"/>
      <c r="EAB512" s="69"/>
      <c r="EAC512" s="2511"/>
      <c r="EAD512" s="1755"/>
      <c r="EAE512" s="1756"/>
      <c r="EAF512" s="1756"/>
      <c r="EAG512" s="1757"/>
      <c r="EAH512" s="385"/>
      <c r="EAI512" s="69"/>
      <c r="EAJ512" s="69"/>
      <c r="EAK512" s="2511"/>
      <c r="EAL512" s="1755"/>
      <c r="EAM512" s="1756"/>
      <c r="EAN512" s="1756"/>
      <c r="EAO512" s="1757"/>
      <c r="EAP512" s="385"/>
      <c r="EAQ512" s="69"/>
      <c r="EAR512" s="69"/>
      <c r="EAS512" s="2511"/>
      <c r="EAT512" s="1755"/>
      <c r="EAU512" s="1756"/>
      <c r="EAV512" s="1756"/>
      <c r="EAW512" s="1757"/>
      <c r="EAX512" s="385"/>
      <c r="EAY512" s="69"/>
      <c r="EAZ512" s="69"/>
      <c r="EBA512" s="2511"/>
      <c r="EBB512" s="1755"/>
      <c r="EBC512" s="1756"/>
      <c r="EBD512" s="1756"/>
      <c r="EBE512" s="1757"/>
      <c r="EBF512" s="385"/>
      <c r="EBG512" s="69"/>
      <c r="EBH512" s="69"/>
      <c r="EBI512" s="2511"/>
      <c r="EBJ512" s="1755"/>
      <c r="EBK512" s="1756"/>
      <c r="EBL512" s="1756"/>
      <c r="EBM512" s="1757"/>
      <c r="EBN512" s="385"/>
      <c r="EBO512" s="69"/>
      <c r="EBP512" s="69"/>
      <c r="EBQ512" s="2511"/>
      <c r="EBR512" s="1755"/>
      <c r="EBS512" s="1756"/>
      <c r="EBT512" s="1756"/>
      <c r="EBU512" s="1757"/>
      <c r="EBV512" s="385"/>
      <c r="EBW512" s="69"/>
      <c r="EBX512" s="69"/>
      <c r="EBY512" s="2511"/>
      <c r="EBZ512" s="1755"/>
      <c r="ECA512" s="1756"/>
      <c r="ECB512" s="1756"/>
      <c r="ECC512" s="1757"/>
      <c r="ECD512" s="385"/>
      <c r="ECE512" s="69"/>
      <c r="ECF512" s="69"/>
      <c r="ECG512" s="2511"/>
      <c r="ECH512" s="1755"/>
      <c r="ECI512" s="1756"/>
      <c r="ECJ512" s="1756"/>
      <c r="ECK512" s="1757"/>
      <c r="ECL512" s="385"/>
      <c r="ECM512" s="69"/>
      <c r="ECN512" s="69"/>
      <c r="ECO512" s="2511"/>
      <c r="ECP512" s="1755"/>
      <c r="ECQ512" s="1756"/>
      <c r="ECR512" s="1756"/>
      <c r="ECS512" s="1757"/>
      <c r="ECT512" s="385"/>
      <c r="ECU512" s="69"/>
      <c r="ECV512" s="69"/>
      <c r="ECW512" s="2511"/>
      <c r="ECX512" s="1755"/>
      <c r="ECY512" s="1756"/>
      <c r="ECZ512" s="1756"/>
      <c r="EDA512" s="1757"/>
      <c r="EDB512" s="385"/>
      <c r="EDC512" s="69"/>
      <c r="EDD512" s="69"/>
      <c r="EDE512" s="2511"/>
      <c r="EDF512" s="1755"/>
      <c r="EDG512" s="1756"/>
      <c r="EDH512" s="1756"/>
      <c r="EDI512" s="1757"/>
      <c r="EDJ512" s="385"/>
      <c r="EDK512" s="69"/>
      <c r="EDL512" s="69"/>
      <c r="EDM512" s="2511"/>
      <c r="EDN512" s="1755"/>
      <c r="EDO512" s="1756"/>
      <c r="EDP512" s="1756"/>
      <c r="EDQ512" s="1757"/>
      <c r="EDR512" s="385"/>
      <c r="EDS512" s="69"/>
      <c r="EDT512" s="69"/>
      <c r="EDU512" s="2511"/>
      <c r="EDV512" s="1755"/>
      <c r="EDW512" s="1756"/>
      <c r="EDX512" s="1756"/>
      <c r="EDY512" s="1757"/>
      <c r="EDZ512" s="385"/>
      <c r="EEA512" s="69"/>
      <c r="EEB512" s="69"/>
      <c r="EEC512" s="2511"/>
      <c r="EED512" s="1755"/>
      <c r="EEE512" s="1756"/>
      <c r="EEF512" s="1756"/>
      <c r="EEG512" s="1757"/>
      <c r="EEH512" s="385"/>
      <c r="EEI512" s="69"/>
      <c r="EEJ512" s="69"/>
      <c r="EEK512" s="2511"/>
      <c r="EEL512" s="1755"/>
      <c r="EEM512" s="1756"/>
      <c r="EEN512" s="1756"/>
      <c r="EEO512" s="1757"/>
      <c r="EEP512" s="385"/>
      <c r="EEQ512" s="69"/>
      <c r="EER512" s="69"/>
      <c r="EES512" s="2511"/>
      <c r="EET512" s="1755"/>
      <c r="EEU512" s="1756"/>
      <c r="EEV512" s="1756"/>
      <c r="EEW512" s="1757"/>
      <c r="EEX512" s="385"/>
      <c r="EEY512" s="69"/>
      <c r="EEZ512" s="69"/>
      <c r="EFA512" s="2511"/>
      <c r="EFB512" s="1755"/>
      <c r="EFC512" s="1756"/>
      <c r="EFD512" s="1756"/>
      <c r="EFE512" s="1757"/>
      <c r="EFF512" s="385"/>
      <c r="EFG512" s="69"/>
      <c r="EFH512" s="69"/>
      <c r="EFI512" s="2511"/>
      <c r="EFJ512" s="1755"/>
      <c r="EFK512" s="1756"/>
      <c r="EFL512" s="1756"/>
      <c r="EFM512" s="1757"/>
      <c r="EFN512" s="385"/>
      <c r="EFO512" s="69"/>
      <c r="EFP512" s="69"/>
      <c r="EFQ512" s="2511"/>
      <c r="EFR512" s="1755"/>
      <c r="EFS512" s="1756"/>
      <c r="EFT512" s="1756"/>
      <c r="EFU512" s="1757"/>
      <c r="EFV512" s="385"/>
      <c r="EFW512" s="69"/>
      <c r="EFX512" s="69"/>
      <c r="EFY512" s="2511"/>
      <c r="EFZ512" s="1755"/>
      <c r="EGA512" s="1756"/>
      <c r="EGB512" s="1756"/>
      <c r="EGC512" s="1757"/>
      <c r="EGD512" s="385"/>
      <c r="EGE512" s="69"/>
      <c r="EGF512" s="69"/>
      <c r="EGG512" s="2511"/>
      <c r="EGH512" s="1755"/>
      <c r="EGI512" s="1756"/>
      <c r="EGJ512" s="1756"/>
      <c r="EGK512" s="1757"/>
      <c r="EGL512" s="385"/>
      <c r="EGM512" s="69"/>
      <c r="EGN512" s="69"/>
      <c r="EGO512" s="2511"/>
      <c r="EGP512" s="1755"/>
      <c r="EGQ512" s="1756"/>
      <c r="EGR512" s="1756"/>
      <c r="EGS512" s="1757"/>
      <c r="EGT512" s="385"/>
      <c r="EGU512" s="69"/>
      <c r="EGV512" s="69"/>
      <c r="EGW512" s="2511"/>
      <c r="EGX512" s="1755"/>
      <c r="EGY512" s="1756"/>
      <c r="EGZ512" s="1756"/>
      <c r="EHA512" s="1757"/>
      <c r="EHB512" s="385"/>
      <c r="EHC512" s="69"/>
      <c r="EHD512" s="69"/>
      <c r="EHE512" s="2511"/>
      <c r="EHF512" s="1755"/>
      <c r="EHG512" s="1756"/>
      <c r="EHH512" s="1756"/>
      <c r="EHI512" s="1757"/>
      <c r="EHJ512" s="385"/>
      <c r="EHK512" s="69"/>
      <c r="EHL512" s="69"/>
      <c r="EHM512" s="2511"/>
      <c r="EHN512" s="1755"/>
      <c r="EHO512" s="1756"/>
      <c r="EHP512" s="1756"/>
      <c r="EHQ512" s="1757"/>
      <c r="EHR512" s="385"/>
      <c r="EHS512" s="69"/>
      <c r="EHT512" s="69"/>
      <c r="EHU512" s="2511"/>
      <c r="EHV512" s="1755"/>
      <c r="EHW512" s="1756"/>
      <c r="EHX512" s="1756"/>
      <c r="EHY512" s="1757"/>
      <c r="EHZ512" s="385"/>
      <c r="EIA512" s="69"/>
      <c r="EIB512" s="69"/>
      <c r="EIC512" s="2511"/>
      <c r="EID512" s="1755"/>
      <c r="EIE512" s="1756"/>
      <c r="EIF512" s="1756"/>
      <c r="EIG512" s="1757"/>
      <c r="EIH512" s="385"/>
      <c r="EII512" s="69"/>
      <c r="EIJ512" s="69"/>
      <c r="EIK512" s="2511"/>
      <c r="EIL512" s="1755"/>
      <c r="EIM512" s="1756"/>
      <c r="EIN512" s="1756"/>
      <c r="EIO512" s="1757"/>
      <c r="EIP512" s="385"/>
      <c r="EIQ512" s="69"/>
      <c r="EIR512" s="69"/>
      <c r="EIS512" s="2511"/>
      <c r="EIT512" s="1755"/>
      <c r="EIU512" s="1756"/>
      <c r="EIV512" s="1756"/>
      <c r="EIW512" s="1757"/>
      <c r="EIX512" s="385"/>
      <c r="EIY512" s="69"/>
      <c r="EIZ512" s="69"/>
      <c r="EJA512" s="2511"/>
      <c r="EJB512" s="1755"/>
      <c r="EJC512" s="1756"/>
      <c r="EJD512" s="1756"/>
      <c r="EJE512" s="1757"/>
      <c r="EJF512" s="385"/>
      <c r="EJG512" s="69"/>
      <c r="EJH512" s="69"/>
      <c r="EJI512" s="2511"/>
      <c r="EJJ512" s="1755"/>
      <c r="EJK512" s="1756"/>
      <c r="EJL512" s="1756"/>
      <c r="EJM512" s="1757"/>
      <c r="EJN512" s="385"/>
      <c r="EJO512" s="69"/>
      <c r="EJP512" s="69"/>
      <c r="EJQ512" s="2511"/>
      <c r="EJR512" s="1755"/>
      <c r="EJS512" s="1756"/>
      <c r="EJT512" s="1756"/>
      <c r="EJU512" s="1757"/>
      <c r="EJV512" s="385"/>
      <c r="EJW512" s="69"/>
      <c r="EJX512" s="69"/>
      <c r="EJY512" s="2511"/>
      <c r="EJZ512" s="1755"/>
      <c r="EKA512" s="1756"/>
      <c r="EKB512" s="1756"/>
      <c r="EKC512" s="1757"/>
      <c r="EKD512" s="385"/>
      <c r="EKE512" s="69"/>
      <c r="EKF512" s="69"/>
      <c r="EKG512" s="2511"/>
      <c r="EKH512" s="1755"/>
      <c r="EKI512" s="1756"/>
      <c r="EKJ512" s="1756"/>
      <c r="EKK512" s="1757"/>
      <c r="EKL512" s="385"/>
      <c r="EKM512" s="69"/>
      <c r="EKN512" s="69"/>
      <c r="EKO512" s="2511"/>
      <c r="EKP512" s="1755"/>
      <c r="EKQ512" s="1756"/>
      <c r="EKR512" s="1756"/>
      <c r="EKS512" s="1757"/>
      <c r="EKT512" s="385"/>
      <c r="EKU512" s="69"/>
      <c r="EKV512" s="69"/>
      <c r="EKW512" s="2511"/>
      <c r="EKX512" s="1755"/>
      <c r="EKY512" s="1756"/>
      <c r="EKZ512" s="1756"/>
      <c r="ELA512" s="1757"/>
      <c r="ELB512" s="385"/>
      <c r="ELC512" s="69"/>
      <c r="ELD512" s="69"/>
      <c r="ELE512" s="2511"/>
      <c r="ELF512" s="1755"/>
      <c r="ELG512" s="1756"/>
      <c r="ELH512" s="1756"/>
      <c r="ELI512" s="1757"/>
      <c r="ELJ512" s="385"/>
      <c r="ELK512" s="69"/>
      <c r="ELL512" s="69"/>
      <c r="ELM512" s="2511"/>
      <c r="ELN512" s="1755"/>
      <c r="ELO512" s="1756"/>
      <c r="ELP512" s="1756"/>
      <c r="ELQ512" s="1757"/>
      <c r="ELR512" s="385"/>
      <c r="ELS512" s="69"/>
      <c r="ELT512" s="69"/>
      <c r="ELU512" s="2511"/>
      <c r="ELV512" s="1755"/>
      <c r="ELW512" s="1756"/>
      <c r="ELX512" s="1756"/>
      <c r="ELY512" s="1757"/>
      <c r="ELZ512" s="385"/>
      <c r="EMA512" s="69"/>
      <c r="EMB512" s="69"/>
      <c r="EMC512" s="2511"/>
      <c r="EMD512" s="1755"/>
      <c r="EME512" s="1756"/>
      <c r="EMF512" s="1756"/>
      <c r="EMG512" s="1757"/>
      <c r="EMH512" s="385"/>
      <c r="EMI512" s="69"/>
      <c r="EMJ512" s="69"/>
      <c r="EMK512" s="2511"/>
      <c r="EML512" s="1755"/>
      <c r="EMM512" s="1756"/>
      <c r="EMN512" s="1756"/>
      <c r="EMO512" s="1757"/>
      <c r="EMP512" s="385"/>
      <c r="EMQ512" s="69"/>
      <c r="EMR512" s="69"/>
      <c r="EMS512" s="2511"/>
      <c r="EMT512" s="1755"/>
      <c r="EMU512" s="1756"/>
      <c r="EMV512" s="1756"/>
      <c r="EMW512" s="1757"/>
      <c r="EMX512" s="385"/>
      <c r="EMY512" s="69"/>
      <c r="EMZ512" s="69"/>
      <c r="ENA512" s="2511"/>
      <c r="ENB512" s="1755"/>
      <c r="ENC512" s="1756"/>
      <c r="END512" s="1756"/>
      <c r="ENE512" s="1757"/>
      <c r="ENF512" s="385"/>
      <c r="ENG512" s="69"/>
      <c r="ENH512" s="69"/>
      <c r="ENI512" s="2511"/>
      <c r="ENJ512" s="1755"/>
      <c r="ENK512" s="1756"/>
      <c r="ENL512" s="1756"/>
      <c r="ENM512" s="1757"/>
      <c r="ENN512" s="385"/>
      <c r="ENO512" s="69"/>
      <c r="ENP512" s="69"/>
      <c r="ENQ512" s="2511"/>
      <c r="ENR512" s="1755"/>
      <c r="ENS512" s="1756"/>
      <c r="ENT512" s="1756"/>
      <c r="ENU512" s="1757"/>
      <c r="ENV512" s="385"/>
      <c r="ENW512" s="69"/>
      <c r="ENX512" s="69"/>
      <c r="ENY512" s="2511"/>
      <c r="ENZ512" s="1755"/>
      <c r="EOA512" s="1756"/>
      <c r="EOB512" s="1756"/>
      <c r="EOC512" s="1757"/>
      <c r="EOD512" s="385"/>
      <c r="EOE512" s="69"/>
      <c r="EOF512" s="69"/>
      <c r="EOG512" s="2511"/>
      <c r="EOH512" s="1755"/>
      <c r="EOI512" s="1756"/>
      <c r="EOJ512" s="1756"/>
      <c r="EOK512" s="1757"/>
      <c r="EOL512" s="385"/>
      <c r="EOM512" s="69"/>
      <c r="EON512" s="69"/>
      <c r="EOO512" s="2511"/>
      <c r="EOP512" s="1755"/>
      <c r="EOQ512" s="1756"/>
      <c r="EOR512" s="1756"/>
      <c r="EOS512" s="1757"/>
      <c r="EOT512" s="385"/>
      <c r="EOU512" s="69"/>
      <c r="EOV512" s="69"/>
      <c r="EOW512" s="2511"/>
      <c r="EOX512" s="1755"/>
      <c r="EOY512" s="1756"/>
      <c r="EOZ512" s="1756"/>
      <c r="EPA512" s="1757"/>
      <c r="EPB512" s="385"/>
      <c r="EPC512" s="69"/>
      <c r="EPD512" s="69"/>
      <c r="EPE512" s="2511"/>
      <c r="EPF512" s="1755"/>
      <c r="EPG512" s="1756"/>
      <c r="EPH512" s="1756"/>
      <c r="EPI512" s="1757"/>
      <c r="EPJ512" s="385"/>
      <c r="EPK512" s="69"/>
      <c r="EPL512" s="69"/>
      <c r="EPM512" s="2511"/>
      <c r="EPN512" s="1755"/>
      <c r="EPO512" s="1756"/>
      <c r="EPP512" s="1756"/>
      <c r="EPQ512" s="1757"/>
      <c r="EPR512" s="385"/>
      <c r="EPS512" s="69"/>
      <c r="EPT512" s="69"/>
      <c r="EPU512" s="2511"/>
      <c r="EPV512" s="1755"/>
      <c r="EPW512" s="1756"/>
      <c r="EPX512" s="1756"/>
      <c r="EPY512" s="1757"/>
      <c r="EPZ512" s="385"/>
      <c r="EQA512" s="69"/>
      <c r="EQB512" s="69"/>
      <c r="EQC512" s="2511"/>
      <c r="EQD512" s="1755"/>
      <c r="EQE512" s="1756"/>
      <c r="EQF512" s="1756"/>
      <c r="EQG512" s="1757"/>
      <c r="EQH512" s="385"/>
      <c r="EQI512" s="69"/>
      <c r="EQJ512" s="69"/>
      <c r="EQK512" s="2511"/>
      <c r="EQL512" s="1755"/>
      <c r="EQM512" s="1756"/>
      <c r="EQN512" s="1756"/>
      <c r="EQO512" s="1757"/>
      <c r="EQP512" s="385"/>
      <c r="EQQ512" s="69"/>
      <c r="EQR512" s="69"/>
      <c r="EQS512" s="2511"/>
      <c r="EQT512" s="1755"/>
      <c r="EQU512" s="1756"/>
      <c r="EQV512" s="1756"/>
      <c r="EQW512" s="1757"/>
      <c r="EQX512" s="385"/>
      <c r="EQY512" s="69"/>
      <c r="EQZ512" s="69"/>
      <c r="ERA512" s="2511"/>
      <c r="ERB512" s="1755"/>
      <c r="ERC512" s="1756"/>
      <c r="ERD512" s="1756"/>
      <c r="ERE512" s="1757"/>
      <c r="ERF512" s="385"/>
      <c r="ERG512" s="69"/>
      <c r="ERH512" s="69"/>
      <c r="ERI512" s="2511"/>
      <c r="ERJ512" s="1755"/>
      <c r="ERK512" s="1756"/>
      <c r="ERL512" s="1756"/>
      <c r="ERM512" s="1757"/>
      <c r="ERN512" s="385"/>
      <c r="ERO512" s="69"/>
      <c r="ERP512" s="69"/>
      <c r="ERQ512" s="2511"/>
      <c r="ERR512" s="1755"/>
      <c r="ERS512" s="1756"/>
      <c r="ERT512" s="1756"/>
      <c r="ERU512" s="1757"/>
      <c r="ERV512" s="385"/>
      <c r="ERW512" s="69"/>
      <c r="ERX512" s="69"/>
      <c r="ERY512" s="2511"/>
      <c r="ERZ512" s="1755"/>
      <c r="ESA512" s="1756"/>
      <c r="ESB512" s="1756"/>
      <c r="ESC512" s="1757"/>
      <c r="ESD512" s="385"/>
      <c r="ESE512" s="69"/>
      <c r="ESF512" s="69"/>
      <c r="ESG512" s="2511"/>
      <c r="ESH512" s="1755"/>
      <c r="ESI512" s="1756"/>
      <c r="ESJ512" s="1756"/>
      <c r="ESK512" s="1757"/>
      <c r="ESL512" s="385"/>
      <c r="ESM512" s="69"/>
      <c r="ESN512" s="69"/>
      <c r="ESO512" s="2511"/>
      <c r="ESP512" s="1755"/>
      <c r="ESQ512" s="1756"/>
      <c r="ESR512" s="1756"/>
      <c r="ESS512" s="1757"/>
      <c r="EST512" s="385"/>
      <c r="ESU512" s="69"/>
      <c r="ESV512" s="69"/>
      <c r="ESW512" s="2511"/>
      <c r="ESX512" s="1755"/>
      <c r="ESY512" s="1756"/>
      <c r="ESZ512" s="1756"/>
      <c r="ETA512" s="1757"/>
      <c r="ETB512" s="385"/>
      <c r="ETC512" s="69"/>
      <c r="ETD512" s="69"/>
      <c r="ETE512" s="2511"/>
      <c r="ETF512" s="1755"/>
      <c r="ETG512" s="1756"/>
      <c r="ETH512" s="1756"/>
      <c r="ETI512" s="1757"/>
      <c r="ETJ512" s="385"/>
      <c r="ETK512" s="69"/>
      <c r="ETL512" s="69"/>
      <c r="ETM512" s="2511"/>
      <c r="ETN512" s="1755"/>
      <c r="ETO512" s="1756"/>
      <c r="ETP512" s="1756"/>
      <c r="ETQ512" s="1757"/>
      <c r="ETR512" s="385"/>
      <c r="ETS512" s="69"/>
      <c r="ETT512" s="69"/>
      <c r="ETU512" s="2511"/>
      <c r="ETV512" s="1755"/>
      <c r="ETW512" s="1756"/>
      <c r="ETX512" s="1756"/>
      <c r="ETY512" s="1757"/>
      <c r="ETZ512" s="385"/>
      <c r="EUA512" s="69"/>
      <c r="EUB512" s="69"/>
      <c r="EUC512" s="2511"/>
      <c r="EUD512" s="1755"/>
      <c r="EUE512" s="1756"/>
      <c r="EUF512" s="1756"/>
      <c r="EUG512" s="1757"/>
      <c r="EUH512" s="385"/>
      <c r="EUI512" s="69"/>
      <c r="EUJ512" s="69"/>
      <c r="EUK512" s="2511"/>
      <c r="EUL512" s="1755"/>
      <c r="EUM512" s="1756"/>
      <c r="EUN512" s="1756"/>
      <c r="EUO512" s="1757"/>
      <c r="EUP512" s="385"/>
      <c r="EUQ512" s="69"/>
      <c r="EUR512" s="69"/>
      <c r="EUS512" s="2511"/>
      <c r="EUT512" s="1755"/>
      <c r="EUU512" s="1756"/>
      <c r="EUV512" s="1756"/>
      <c r="EUW512" s="1757"/>
      <c r="EUX512" s="385"/>
      <c r="EUY512" s="69"/>
      <c r="EUZ512" s="69"/>
      <c r="EVA512" s="2511"/>
      <c r="EVB512" s="1755"/>
      <c r="EVC512" s="1756"/>
      <c r="EVD512" s="1756"/>
      <c r="EVE512" s="1757"/>
      <c r="EVF512" s="385"/>
      <c r="EVG512" s="69"/>
      <c r="EVH512" s="69"/>
      <c r="EVI512" s="2511"/>
      <c r="EVJ512" s="1755"/>
      <c r="EVK512" s="1756"/>
      <c r="EVL512" s="1756"/>
      <c r="EVM512" s="1757"/>
      <c r="EVN512" s="385"/>
      <c r="EVO512" s="69"/>
      <c r="EVP512" s="69"/>
      <c r="EVQ512" s="2511"/>
      <c r="EVR512" s="1755"/>
      <c r="EVS512" s="1756"/>
      <c r="EVT512" s="1756"/>
      <c r="EVU512" s="1757"/>
      <c r="EVV512" s="385"/>
      <c r="EVW512" s="69"/>
      <c r="EVX512" s="69"/>
      <c r="EVY512" s="2511"/>
      <c r="EVZ512" s="1755"/>
      <c r="EWA512" s="1756"/>
      <c r="EWB512" s="1756"/>
      <c r="EWC512" s="1757"/>
      <c r="EWD512" s="385"/>
      <c r="EWE512" s="69"/>
      <c r="EWF512" s="69"/>
      <c r="EWG512" s="2511"/>
      <c r="EWH512" s="1755"/>
      <c r="EWI512" s="1756"/>
      <c r="EWJ512" s="1756"/>
      <c r="EWK512" s="1757"/>
      <c r="EWL512" s="385"/>
      <c r="EWM512" s="69"/>
      <c r="EWN512" s="69"/>
      <c r="EWO512" s="2511"/>
      <c r="EWP512" s="1755"/>
      <c r="EWQ512" s="1756"/>
      <c r="EWR512" s="1756"/>
      <c r="EWS512" s="1757"/>
      <c r="EWT512" s="385"/>
      <c r="EWU512" s="69"/>
      <c r="EWV512" s="69"/>
      <c r="EWW512" s="2511"/>
      <c r="EWX512" s="1755"/>
      <c r="EWY512" s="1756"/>
      <c r="EWZ512" s="1756"/>
      <c r="EXA512" s="1757"/>
      <c r="EXB512" s="385"/>
      <c r="EXC512" s="69"/>
      <c r="EXD512" s="69"/>
      <c r="EXE512" s="2511"/>
      <c r="EXF512" s="1755"/>
      <c r="EXG512" s="1756"/>
      <c r="EXH512" s="1756"/>
      <c r="EXI512" s="1757"/>
      <c r="EXJ512" s="385"/>
      <c r="EXK512" s="69"/>
      <c r="EXL512" s="69"/>
      <c r="EXM512" s="2511"/>
      <c r="EXN512" s="1755"/>
      <c r="EXO512" s="1756"/>
      <c r="EXP512" s="1756"/>
      <c r="EXQ512" s="1757"/>
      <c r="EXR512" s="385"/>
      <c r="EXS512" s="69"/>
      <c r="EXT512" s="69"/>
      <c r="EXU512" s="2511"/>
      <c r="EXV512" s="1755"/>
      <c r="EXW512" s="1756"/>
      <c r="EXX512" s="1756"/>
      <c r="EXY512" s="1757"/>
      <c r="EXZ512" s="385"/>
      <c r="EYA512" s="69"/>
      <c r="EYB512" s="69"/>
      <c r="EYC512" s="2511"/>
      <c r="EYD512" s="1755"/>
      <c r="EYE512" s="1756"/>
      <c r="EYF512" s="1756"/>
      <c r="EYG512" s="1757"/>
      <c r="EYH512" s="385"/>
      <c r="EYI512" s="69"/>
      <c r="EYJ512" s="69"/>
      <c r="EYK512" s="2511"/>
      <c r="EYL512" s="1755"/>
      <c r="EYM512" s="1756"/>
      <c r="EYN512" s="1756"/>
      <c r="EYO512" s="1757"/>
      <c r="EYP512" s="385"/>
      <c r="EYQ512" s="69"/>
      <c r="EYR512" s="69"/>
      <c r="EYS512" s="2511"/>
      <c r="EYT512" s="1755"/>
      <c r="EYU512" s="1756"/>
      <c r="EYV512" s="1756"/>
      <c r="EYW512" s="1757"/>
      <c r="EYX512" s="385"/>
      <c r="EYY512" s="69"/>
      <c r="EYZ512" s="69"/>
      <c r="EZA512" s="2511"/>
      <c r="EZB512" s="1755"/>
      <c r="EZC512" s="1756"/>
      <c r="EZD512" s="1756"/>
      <c r="EZE512" s="1757"/>
      <c r="EZF512" s="385"/>
      <c r="EZG512" s="69"/>
      <c r="EZH512" s="69"/>
      <c r="EZI512" s="2511"/>
      <c r="EZJ512" s="1755"/>
      <c r="EZK512" s="1756"/>
      <c r="EZL512" s="1756"/>
      <c r="EZM512" s="1757"/>
      <c r="EZN512" s="385"/>
      <c r="EZO512" s="69"/>
      <c r="EZP512" s="69"/>
      <c r="EZQ512" s="2511"/>
      <c r="EZR512" s="1755"/>
      <c r="EZS512" s="1756"/>
      <c r="EZT512" s="1756"/>
      <c r="EZU512" s="1757"/>
      <c r="EZV512" s="385"/>
      <c r="EZW512" s="69"/>
      <c r="EZX512" s="69"/>
      <c r="EZY512" s="2511"/>
      <c r="EZZ512" s="1755"/>
      <c r="FAA512" s="1756"/>
      <c r="FAB512" s="1756"/>
      <c r="FAC512" s="1757"/>
      <c r="FAD512" s="385"/>
      <c r="FAE512" s="69"/>
      <c r="FAF512" s="69"/>
      <c r="FAG512" s="2511"/>
      <c r="FAH512" s="1755"/>
      <c r="FAI512" s="1756"/>
      <c r="FAJ512" s="1756"/>
      <c r="FAK512" s="1757"/>
      <c r="FAL512" s="385"/>
      <c r="FAM512" s="69"/>
      <c r="FAN512" s="69"/>
      <c r="FAO512" s="2511"/>
      <c r="FAP512" s="1755"/>
      <c r="FAQ512" s="1756"/>
      <c r="FAR512" s="1756"/>
      <c r="FAS512" s="1757"/>
      <c r="FAT512" s="385"/>
      <c r="FAU512" s="69"/>
      <c r="FAV512" s="69"/>
      <c r="FAW512" s="2511"/>
      <c r="FAX512" s="1755"/>
      <c r="FAY512" s="1756"/>
      <c r="FAZ512" s="1756"/>
      <c r="FBA512" s="1757"/>
      <c r="FBB512" s="385"/>
      <c r="FBC512" s="69"/>
      <c r="FBD512" s="69"/>
      <c r="FBE512" s="2511"/>
      <c r="FBF512" s="1755"/>
      <c r="FBG512" s="1756"/>
      <c r="FBH512" s="1756"/>
      <c r="FBI512" s="1757"/>
      <c r="FBJ512" s="385"/>
      <c r="FBK512" s="69"/>
      <c r="FBL512" s="69"/>
      <c r="FBM512" s="2511"/>
      <c r="FBN512" s="1755"/>
      <c r="FBO512" s="1756"/>
      <c r="FBP512" s="1756"/>
      <c r="FBQ512" s="1757"/>
      <c r="FBR512" s="385"/>
      <c r="FBS512" s="69"/>
      <c r="FBT512" s="69"/>
      <c r="FBU512" s="2511"/>
      <c r="FBV512" s="1755"/>
      <c r="FBW512" s="1756"/>
      <c r="FBX512" s="1756"/>
      <c r="FBY512" s="1757"/>
      <c r="FBZ512" s="385"/>
      <c r="FCA512" s="69"/>
      <c r="FCB512" s="69"/>
      <c r="FCC512" s="2511"/>
      <c r="FCD512" s="1755"/>
      <c r="FCE512" s="1756"/>
      <c r="FCF512" s="1756"/>
      <c r="FCG512" s="1757"/>
      <c r="FCH512" s="385"/>
      <c r="FCI512" s="69"/>
      <c r="FCJ512" s="69"/>
      <c r="FCK512" s="2511"/>
      <c r="FCL512" s="1755"/>
      <c r="FCM512" s="1756"/>
      <c r="FCN512" s="1756"/>
      <c r="FCO512" s="1757"/>
      <c r="FCP512" s="385"/>
      <c r="FCQ512" s="69"/>
      <c r="FCR512" s="69"/>
      <c r="FCS512" s="2511"/>
      <c r="FCT512" s="1755"/>
      <c r="FCU512" s="1756"/>
      <c r="FCV512" s="1756"/>
      <c r="FCW512" s="1757"/>
      <c r="FCX512" s="385"/>
      <c r="FCY512" s="69"/>
      <c r="FCZ512" s="69"/>
      <c r="FDA512" s="2511"/>
      <c r="FDB512" s="1755"/>
      <c r="FDC512" s="1756"/>
      <c r="FDD512" s="1756"/>
      <c r="FDE512" s="1757"/>
      <c r="FDF512" s="385"/>
      <c r="FDG512" s="69"/>
      <c r="FDH512" s="69"/>
      <c r="FDI512" s="2511"/>
      <c r="FDJ512" s="1755"/>
      <c r="FDK512" s="1756"/>
      <c r="FDL512" s="1756"/>
      <c r="FDM512" s="1757"/>
      <c r="FDN512" s="385"/>
      <c r="FDO512" s="69"/>
      <c r="FDP512" s="69"/>
      <c r="FDQ512" s="2511"/>
      <c r="FDR512" s="1755"/>
      <c r="FDS512" s="1756"/>
      <c r="FDT512" s="1756"/>
      <c r="FDU512" s="1757"/>
      <c r="FDV512" s="385"/>
      <c r="FDW512" s="69"/>
      <c r="FDX512" s="69"/>
      <c r="FDY512" s="2511"/>
      <c r="FDZ512" s="1755"/>
      <c r="FEA512" s="1756"/>
      <c r="FEB512" s="1756"/>
      <c r="FEC512" s="1757"/>
      <c r="FED512" s="385"/>
      <c r="FEE512" s="69"/>
      <c r="FEF512" s="69"/>
      <c r="FEG512" s="2511"/>
      <c r="FEH512" s="1755"/>
      <c r="FEI512" s="1756"/>
      <c r="FEJ512" s="1756"/>
      <c r="FEK512" s="1757"/>
      <c r="FEL512" s="385"/>
      <c r="FEM512" s="69"/>
      <c r="FEN512" s="69"/>
      <c r="FEO512" s="2511"/>
      <c r="FEP512" s="1755"/>
      <c r="FEQ512" s="1756"/>
      <c r="FER512" s="1756"/>
      <c r="FES512" s="1757"/>
      <c r="FET512" s="385"/>
      <c r="FEU512" s="69"/>
      <c r="FEV512" s="69"/>
      <c r="FEW512" s="2511"/>
      <c r="FEX512" s="1755"/>
      <c r="FEY512" s="1756"/>
      <c r="FEZ512" s="1756"/>
      <c r="FFA512" s="1757"/>
      <c r="FFB512" s="385"/>
      <c r="FFC512" s="69"/>
      <c r="FFD512" s="69"/>
      <c r="FFE512" s="2511"/>
      <c r="FFF512" s="1755"/>
      <c r="FFG512" s="1756"/>
      <c r="FFH512" s="1756"/>
      <c r="FFI512" s="1757"/>
      <c r="FFJ512" s="385"/>
      <c r="FFK512" s="69"/>
      <c r="FFL512" s="69"/>
      <c r="FFM512" s="2511"/>
      <c r="FFN512" s="1755"/>
      <c r="FFO512" s="1756"/>
      <c r="FFP512" s="1756"/>
      <c r="FFQ512" s="1757"/>
      <c r="FFR512" s="385"/>
      <c r="FFS512" s="69"/>
      <c r="FFT512" s="69"/>
      <c r="FFU512" s="2511"/>
      <c r="FFV512" s="1755"/>
      <c r="FFW512" s="1756"/>
      <c r="FFX512" s="1756"/>
      <c r="FFY512" s="1757"/>
      <c r="FFZ512" s="385"/>
      <c r="FGA512" s="69"/>
      <c r="FGB512" s="69"/>
      <c r="FGC512" s="2511"/>
      <c r="FGD512" s="1755"/>
      <c r="FGE512" s="1756"/>
      <c r="FGF512" s="1756"/>
      <c r="FGG512" s="1757"/>
      <c r="FGH512" s="385"/>
      <c r="FGI512" s="69"/>
      <c r="FGJ512" s="69"/>
      <c r="FGK512" s="2511"/>
      <c r="FGL512" s="1755"/>
      <c r="FGM512" s="1756"/>
      <c r="FGN512" s="1756"/>
      <c r="FGO512" s="1757"/>
      <c r="FGP512" s="385"/>
      <c r="FGQ512" s="69"/>
      <c r="FGR512" s="69"/>
      <c r="FGS512" s="2511"/>
      <c r="FGT512" s="1755"/>
      <c r="FGU512" s="1756"/>
      <c r="FGV512" s="1756"/>
      <c r="FGW512" s="1757"/>
      <c r="FGX512" s="385"/>
      <c r="FGY512" s="69"/>
      <c r="FGZ512" s="69"/>
      <c r="FHA512" s="2511"/>
      <c r="FHB512" s="1755"/>
      <c r="FHC512" s="1756"/>
      <c r="FHD512" s="1756"/>
      <c r="FHE512" s="1757"/>
      <c r="FHF512" s="385"/>
      <c r="FHG512" s="69"/>
      <c r="FHH512" s="69"/>
      <c r="FHI512" s="2511"/>
      <c r="FHJ512" s="1755"/>
      <c r="FHK512" s="1756"/>
      <c r="FHL512" s="1756"/>
      <c r="FHM512" s="1757"/>
      <c r="FHN512" s="385"/>
      <c r="FHO512" s="69"/>
      <c r="FHP512" s="69"/>
      <c r="FHQ512" s="2511"/>
      <c r="FHR512" s="1755"/>
      <c r="FHS512" s="1756"/>
      <c r="FHT512" s="1756"/>
      <c r="FHU512" s="1757"/>
      <c r="FHV512" s="385"/>
      <c r="FHW512" s="69"/>
      <c r="FHX512" s="69"/>
      <c r="FHY512" s="2511"/>
      <c r="FHZ512" s="1755"/>
      <c r="FIA512" s="1756"/>
      <c r="FIB512" s="1756"/>
      <c r="FIC512" s="1757"/>
      <c r="FID512" s="385"/>
      <c r="FIE512" s="69"/>
      <c r="FIF512" s="69"/>
      <c r="FIG512" s="2511"/>
      <c r="FIH512" s="1755"/>
      <c r="FII512" s="1756"/>
      <c r="FIJ512" s="1756"/>
      <c r="FIK512" s="1757"/>
      <c r="FIL512" s="385"/>
      <c r="FIM512" s="69"/>
      <c r="FIN512" s="69"/>
      <c r="FIO512" s="2511"/>
      <c r="FIP512" s="1755"/>
      <c r="FIQ512" s="1756"/>
      <c r="FIR512" s="1756"/>
      <c r="FIS512" s="1757"/>
      <c r="FIT512" s="385"/>
      <c r="FIU512" s="69"/>
      <c r="FIV512" s="69"/>
      <c r="FIW512" s="2511"/>
      <c r="FIX512" s="1755"/>
      <c r="FIY512" s="1756"/>
      <c r="FIZ512" s="1756"/>
      <c r="FJA512" s="1757"/>
      <c r="FJB512" s="385"/>
      <c r="FJC512" s="69"/>
      <c r="FJD512" s="69"/>
      <c r="FJE512" s="2511"/>
      <c r="FJF512" s="1755"/>
      <c r="FJG512" s="1756"/>
      <c r="FJH512" s="1756"/>
      <c r="FJI512" s="1757"/>
      <c r="FJJ512" s="385"/>
      <c r="FJK512" s="69"/>
      <c r="FJL512" s="69"/>
      <c r="FJM512" s="2511"/>
      <c r="FJN512" s="1755"/>
      <c r="FJO512" s="1756"/>
      <c r="FJP512" s="1756"/>
      <c r="FJQ512" s="1757"/>
      <c r="FJR512" s="385"/>
      <c r="FJS512" s="69"/>
      <c r="FJT512" s="69"/>
      <c r="FJU512" s="2511"/>
      <c r="FJV512" s="1755"/>
      <c r="FJW512" s="1756"/>
      <c r="FJX512" s="1756"/>
      <c r="FJY512" s="1757"/>
      <c r="FJZ512" s="385"/>
      <c r="FKA512" s="69"/>
      <c r="FKB512" s="69"/>
      <c r="FKC512" s="2511"/>
      <c r="FKD512" s="1755"/>
      <c r="FKE512" s="1756"/>
      <c r="FKF512" s="1756"/>
      <c r="FKG512" s="1757"/>
      <c r="FKH512" s="385"/>
      <c r="FKI512" s="69"/>
      <c r="FKJ512" s="69"/>
      <c r="FKK512" s="2511"/>
      <c r="FKL512" s="1755"/>
      <c r="FKM512" s="1756"/>
      <c r="FKN512" s="1756"/>
      <c r="FKO512" s="1757"/>
      <c r="FKP512" s="385"/>
      <c r="FKQ512" s="69"/>
      <c r="FKR512" s="69"/>
      <c r="FKS512" s="2511"/>
      <c r="FKT512" s="1755"/>
      <c r="FKU512" s="1756"/>
      <c r="FKV512" s="1756"/>
      <c r="FKW512" s="1757"/>
      <c r="FKX512" s="385"/>
      <c r="FKY512" s="69"/>
      <c r="FKZ512" s="69"/>
      <c r="FLA512" s="2511"/>
      <c r="FLB512" s="1755"/>
      <c r="FLC512" s="1756"/>
      <c r="FLD512" s="1756"/>
      <c r="FLE512" s="1757"/>
      <c r="FLF512" s="385"/>
      <c r="FLG512" s="69"/>
      <c r="FLH512" s="69"/>
      <c r="FLI512" s="2511"/>
      <c r="FLJ512" s="1755"/>
      <c r="FLK512" s="1756"/>
      <c r="FLL512" s="1756"/>
      <c r="FLM512" s="1757"/>
      <c r="FLN512" s="385"/>
      <c r="FLO512" s="69"/>
      <c r="FLP512" s="69"/>
      <c r="FLQ512" s="2511"/>
      <c r="FLR512" s="1755"/>
      <c r="FLS512" s="1756"/>
      <c r="FLT512" s="1756"/>
      <c r="FLU512" s="1757"/>
      <c r="FLV512" s="385"/>
      <c r="FLW512" s="69"/>
      <c r="FLX512" s="69"/>
      <c r="FLY512" s="2511"/>
      <c r="FLZ512" s="1755"/>
      <c r="FMA512" s="1756"/>
      <c r="FMB512" s="1756"/>
      <c r="FMC512" s="1757"/>
      <c r="FMD512" s="385"/>
      <c r="FME512" s="69"/>
      <c r="FMF512" s="69"/>
      <c r="FMG512" s="2511"/>
      <c r="FMH512" s="1755"/>
      <c r="FMI512" s="1756"/>
      <c r="FMJ512" s="1756"/>
      <c r="FMK512" s="1757"/>
      <c r="FML512" s="385"/>
      <c r="FMM512" s="69"/>
      <c r="FMN512" s="69"/>
      <c r="FMO512" s="2511"/>
      <c r="FMP512" s="1755"/>
      <c r="FMQ512" s="1756"/>
      <c r="FMR512" s="1756"/>
      <c r="FMS512" s="1757"/>
      <c r="FMT512" s="385"/>
      <c r="FMU512" s="69"/>
      <c r="FMV512" s="69"/>
      <c r="FMW512" s="2511"/>
      <c r="FMX512" s="1755"/>
      <c r="FMY512" s="1756"/>
      <c r="FMZ512" s="1756"/>
      <c r="FNA512" s="1757"/>
      <c r="FNB512" s="385"/>
      <c r="FNC512" s="69"/>
      <c r="FND512" s="69"/>
      <c r="FNE512" s="2511"/>
      <c r="FNF512" s="1755"/>
      <c r="FNG512" s="1756"/>
      <c r="FNH512" s="1756"/>
      <c r="FNI512" s="1757"/>
      <c r="FNJ512" s="385"/>
      <c r="FNK512" s="69"/>
      <c r="FNL512" s="69"/>
      <c r="FNM512" s="2511"/>
      <c r="FNN512" s="1755"/>
      <c r="FNO512" s="1756"/>
      <c r="FNP512" s="1756"/>
      <c r="FNQ512" s="1757"/>
      <c r="FNR512" s="385"/>
      <c r="FNS512" s="69"/>
      <c r="FNT512" s="69"/>
      <c r="FNU512" s="2511"/>
      <c r="FNV512" s="1755"/>
      <c r="FNW512" s="1756"/>
      <c r="FNX512" s="1756"/>
      <c r="FNY512" s="1757"/>
      <c r="FNZ512" s="385"/>
      <c r="FOA512" s="69"/>
      <c r="FOB512" s="69"/>
      <c r="FOC512" s="2511"/>
      <c r="FOD512" s="1755"/>
      <c r="FOE512" s="1756"/>
      <c r="FOF512" s="1756"/>
      <c r="FOG512" s="1757"/>
      <c r="FOH512" s="385"/>
      <c r="FOI512" s="69"/>
      <c r="FOJ512" s="69"/>
      <c r="FOK512" s="2511"/>
      <c r="FOL512" s="1755"/>
      <c r="FOM512" s="1756"/>
      <c r="FON512" s="1756"/>
      <c r="FOO512" s="1757"/>
      <c r="FOP512" s="385"/>
      <c r="FOQ512" s="69"/>
      <c r="FOR512" s="69"/>
      <c r="FOS512" s="2511"/>
      <c r="FOT512" s="1755"/>
      <c r="FOU512" s="1756"/>
      <c r="FOV512" s="1756"/>
      <c r="FOW512" s="1757"/>
      <c r="FOX512" s="385"/>
      <c r="FOY512" s="69"/>
      <c r="FOZ512" s="69"/>
      <c r="FPA512" s="2511"/>
      <c r="FPB512" s="1755"/>
      <c r="FPC512" s="1756"/>
      <c r="FPD512" s="1756"/>
      <c r="FPE512" s="1757"/>
      <c r="FPF512" s="385"/>
      <c r="FPG512" s="69"/>
      <c r="FPH512" s="69"/>
      <c r="FPI512" s="2511"/>
      <c r="FPJ512" s="1755"/>
      <c r="FPK512" s="1756"/>
      <c r="FPL512" s="1756"/>
      <c r="FPM512" s="1757"/>
      <c r="FPN512" s="385"/>
      <c r="FPO512" s="69"/>
      <c r="FPP512" s="69"/>
      <c r="FPQ512" s="2511"/>
      <c r="FPR512" s="1755"/>
      <c r="FPS512" s="1756"/>
      <c r="FPT512" s="1756"/>
      <c r="FPU512" s="1757"/>
      <c r="FPV512" s="385"/>
      <c r="FPW512" s="69"/>
      <c r="FPX512" s="69"/>
      <c r="FPY512" s="2511"/>
      <c r="FPZ512" s="1755"/>
      <c r="FQA512" s="1756"/>
      <c r="FQB512" s="1756"/>
      <c r="FQC512" s="1757"/>
      <c r="FQD512" s="385"/>
      <c r="FQE512" s="69"/>
      <c r="FQF512" s="69"/>
      <c r="FQG512" s="2511"/>
      <c r="FQH512" s="1755"/>
      <c r="FQI512" s="1756"/>
      <c r="FQJ512" s="1756"/>
      <c r="FQK512" s="1757"/>
      <c r="FQL512" s="385"/>
      <c r="FQM512" s="69"/>
      <c r="FQN512" s="69"/>
      <c r="FQO512" s="2511"/>
      <c r="FQP512" s="1755"/>
      <c r="FQQ512" s="1756"/>
      <c r="FQR512" s="1756"/>
      <c r="FQS512" s="1757"/>
      <c r="FQT512" s="385"/>
      <c r="FQU512" s="69"/>
      <c r="FQV512" s="69"/>
      <c r="FQW512" s="2511"/>
      <c r="FQX512" s="1755"/>
      <c r="FQY512" s="1756"/>
      <c r="FQZ512" s="1756"/>
      <c r="FRA512" s="1757"/>
      <c r="FRB512" s="385"/>
      <c r="FRC512" s="69"/>
      <c r="FRD512" s="69"/>
      <c r="FRE512" s="2511"/>
      <c r="FRF512" s="1755"/>
      <c r="FRG512" s="1756"/>
      <c r="FRH512" s="1756"/>
      <c r="FRI512" s="1757"/>
      <c r="FRJ512" s="385"/>
      <c r="FRK512" s="69"/>
      <c r="FRL512" s="69"/>
      <c r="FRM512" s="2511"/>
      <c r="FRN512" s="1755"/>
      <c r="FRO512" s="1756"/>
      <c r="FRP512" s="1756"/>
      <c r="FRQ512" s="1757"/>
      <c r="FRR512" s="385"/>
      <c r="FRS512" s="69"/>
      <c r="FRT512" s="69"/>
      <c r="FRU512" s="2511"/>
      <c r="FRV512" s="1755"/>
      <c r="FRW512" s="1756"/>
      <c r="FRX512" s="1756"/>
      <c r="FRY512" s="1757"/>
      <c r="FRZ512" s="385"/>
      <c r="FSA512" s="69"/>
      <c r="FSB512" s="69"/>
      <c r="FSC512" s="2511"/>
      <c r="FSD512" s="1755"/>
      <c r="FSE512" s="1756"/>
      <c r="FSF512" s="1756"/>
      <c r="FSG512" s="1757"/>
      <c r="FSH512" s="385"/>
      <c r="FSI512" s="69"/>
      <c r="FSJ512" s="69"/>
      <c r="FSK512" s="2511"/>
      <c r="FSL512" s="1755"/>
      <c r="FSM512" s="1756"/>
      <c r="FSN512" s="1756"/>
      <c r="FSO512" s="1757"/>
      <c r="FSP512" s="385"/>
      <c r="FSQ512" s="69"/>
      <c r="FSR512" s="69"/>
      <c r="FSS512" s="2511"/>
      <c r="FST512" s="1755"/>
      <c r="FSU512" s="1756"/>
      <c r="FSV512" s="1756"/>
      <c r="FSW512" s="1757"/>
      <c r="FSX512" s="385"/>
      <c r="FSY512" s="69"/>
      <c r="FSZ512" s="69"/>
      <c r="FTA512" s="2511"/>
      <c r="FTB512" s="1755"/>
      <c r="FTC512" s="1756"/>
      <c r="FTD512" s="1756"/>
      <c r="FTE512" s="1757"/>
      <c r="FTF512" s="385"/>
      <c r="FTG512" s="69"/>
      <c r="FTH512" s="69"/>
      <c r="FTI512" s="2511"/>
      <c r="FTJ512" s="1755"/>
      <c r="FTK512" s="1756"/>
      <c r="FTL512" s="1756"/>
      <c r="FTM512" s="1757"/>
      <c r="FTN512" s="385"/>
      <c r="FTO512" s="69"/>
      <c r="FTP512" s="69"/>
      <c r="FTQ512" s="2511"/>
      <c r="FTR512" s="1755"/>
      <c r="FTS512" s="1756"/>
      <c r="FTT512" s="1756"/>
      <c r="FTU512" s="1757"/>
      <c r="FTV512" s="385"/>
      <c r="FTW512" s="69"/>
      <c r="FTX512" s="69"/>
      <c r="FTY512" s="2511"/>
      <c r="FTZ512" s="1755"/>
      <c r="FUA512" s="1756"/>
      <c r="FUB512" s="1756"/>
      <c r="FUC512" s="1757"/>
      <c r="FUD512" s="385"/>
      <c r="FUE512" s="69"/>
      <c r="FUF512" s="69"/>
      <c r="FUG512" s="2511"/>
      <c r="FUH512" s="1755"/>
      <c r="FUI512" s="1756"/>
      <c r="FUJ512" s="1756"/>
      <c r="FUK512" s="1757"/>
      <c r="FUL512" s="385"/>
      <c r="FUM512" s="69"/>
      <c r="FUN512" s="69"/>
      <c r="FUO512" s="2511"/>
      <c r="FUP512" s="1755"/>
      <c r="FUQ512" s="1756"/>
      <c r="FUR512" s="1756"/>
      <c r="FUS512" s="1757"/>
      <c r="FUT512" s="385"/>
      <c r="FUU512" s="69"/>
      <c r="FUV512" s="69"/>
      <c r="FUW512" s="2511"/>
      <c r="FUX512" s="1755"/>
      <c r="FUY512" s="1756"/>
      <c r="FUZ512" s="1756"/>
      <c r="FVA512" s="1757"/>
      <c r="FVB512" s="385"/>
      <c r="FVC512" s="69"/>
      <c r="FVD512" s="69"/>
      <c r="FVE512" s="2511"/>
      <c r="FVF512" s="1755"/>
      <c r="FVG512" s="1756"/>
      <c r="FVH512" s="1756"/>
      <c r="FVI512" s="1757"/>
      <c r="FVJ512" s="385"/>
      <c r="FVK512" s="69"/>
      <c r="FVL512" s="69"/>
      <c r="FVM512" s="2511"/>
      <c r="FVN512" s="1755"/>
      <c r="FVO512" s="1756"/>
      <c r="FVP512" s="1756"/>
      <c r="FVQ512" s="1757"/>
      <c r="FVR512" s="385"/>
      <c r="FVS512" s="69"/>
      <c r="FVT512" s="69"/>
      <c r="FVU512" s="2511"/>
      <c r="FVV512" s="1755"/>
      <c r="FVW512" s="1756"/>
      <c r="FVX512" s="1756"/>
      <c r="FVY512" s="1757"/>
      <c r="FVZ512" s="385"/>
      <c r="FWA512" s="69"/>
      <c r="FWB512" s="69"/>
      <c r="FWC512" s="2511"/>
      <c r="FWD512" s="1755"/>
      <c r="FWE512" s="1756"/>
      <c r="FWF512" s="1756"/>
      <c r="FWG512" s="1757"/>
      <c r="FWH512" s="385"/>
      <c r="FWI512" s="69"/>
      <c r="FWJ512" s="69"/>
      <c r="FWK512" s="2511"/>
      <c r="FWL512" s="1755"/>
      <c r="FWM512" s="1756"/>
      <c r="FWN512" s="1756"/>
      <c r="FWO512" s="1757"/>
      <c r="FWP512" s="385"/>
      <c r="FWQ512" s="69"/>
      <c r="FWR512" s="69"/>
      <c r="FWS512" s="2511"/>
      <c r="FWT512" s="1755"/>
      <c r="FWU512" s="1756"/>
      <c r="FWV512" s="1756"/>
      <c r="FWW512" s="1757"/>
      <c r="FWX512" s="385"/>
      <c r="FWY512" s="69"/>
      <c r="FWZ512" s="69"/>
      <c r="FXA512" s="2511"/>
      <c r="FXB512" s="1755"/>
      <c r="FXC512" s="1756"/>
      <c r="FXD512" s="1756"/>
      <c r="FXE512" s="1757"/>
      <c r="FXF512" s="385"/>
      <c r="FXG512" s="69"/>
      <c r="FXH512" s="69"/>
      <c r="FXI512" s="2511"/>
      <c r="FXJ512" s="1755"/>
      <c r="FXK512" s="1756"/>
      <c r="FXL512" s="1756"/>
      <c r="FXM512" s="1757"/>
      <c r="FXN512" s="385"/>
      <c r="FXO512" s="69"/>
      <c r="FXP512" s="69"/>
      <c r="FXQ512" s="2511"/>
      <c r="FXR512" s="1755"/>
      <c r="FXS512" s="1756"/>
      <c r="FXT512" s="1756"/>
      <c r="FXU512" s="1757"/>
      <c r="FXV512" s="385"/>
      <c r="FXW512" s="69"/>
      <c r="FXX512" s="69"/>
      <c r="FXY512" s="2511"/>
      <c r="FXZ512" s="1755"/>
      <c r="FYA512" s="1756"/>
      <c r="FYB512" s="1756"/>
      <c r="FYC512" s="1757"/>
      <c r="FYD512" s="385"/>
      <c r="FYE512" s="69"/>
      <c r="FYF512" s="69"/>
      <c r="FYG512" s="2511"/>
      <c r="FYH512" s="1755"/>
      <c r="FYI512" s="1756"/>
      <c r="FYJ512" s="1756"/>
      <c r="FYK512" s="1757"/>
      <c r="FYL512" s="385"/>
      <c r="FYM512" s="69"/>
      <c r="FYN512" s="69"/>
      <c r="FYO512" s="2511"/>
      <c r="FYP512" s="1755"/>
      <c r="FYQ512" s="1756"/>
      <c r="FYR512" s="1756"/>
      <c r="FYS512" s="1757"/>
      <c r="FYT512" s="385"/>
      <c r="FYU512" s="69"/>
      <c r="FYV512" s="69"/>
      <c r="FYW512" s="2511"/>
      <c r="FYX512" s="1755"/>
      <c r="FYY512" s="1756"/>
      <c r="FYZ512" s="1756"/>
      <c r="FZA512" s="1757"/>
      <c r="FZB512" s="385"/>
      <c r="FZC512" s="69"/>
      <c r="FZD512" s="69"/>
      <c r="FZE512" s="2511"/>
      <c r="FZF512" s="1755"/>
      <c r="FZG512" s="1756"/>
      <c r="FZH512" s="1756"/>
      <c r="FZI512" s="1757"/>
      <c r="FZJ512" s="385"/>
      <c r="FZK512" s="69"/>
      <c r="FZL512" s="69"/>
      <c r="FZM512" s="2511"/>
      <c r="FZN512" s="1755"/>
      <c r="FZO512" s="1756"/>
      <c r="FZP512" s="1756"/>
      <c r="FZQ512" s="1757"/>
      <c r="FZR512" s="385"/>
      <c r="FZS512" s="69"/>
      <c r="FZT512" s="69"/>
      <c r="FZU512" s="2511"/>
      <c r="FZV512" s="1755"/>
      <c r="FZW512" s="1756"/>
      <c r="FZX512" s="1756"/>
      <c r="FZY512" s="1757"/>
      <c r="FZZ512" s="385"/>
      <c r="GAA512" s="69"/>
      <c r="GAB512" s="69"/>
      <c r="GAC512" s="2511"/>
      <c r="GAD512" s="1755"/>
      <c r="GAE512" s="1756"/>
      <c r="GAF512" s="1756"/>
      <c r="GAG512" s="1757"/>
      <c r="GAH512" s="385"/>
      <c r="GAI512" s="69"/>
      <c r="GAJ512" s="69"/>
      <c r="GAK512" s="2511"/>
      <c r="GAL512" s="1755"/>
      <c r="GAM512" s="1756"/>
      <c r="GAN512" s="1756"/>
      <c r="GAO512" s="1757"/>
      <c r="GAP512" s="385"/>
      <c r="GAQ512" s="69"/>
      <c r="GAR512" s="69"/>
      <c r="GAS512" s="2511"/>
      <c r="GAT512" s="1755"/>
      <c r="GAU512" s="1756"/>
      <c r="GAV512" s="1756"/>
      <c r="GAW512" s="1757"/>
      <c r="GAX512" s="385"/>
      <c r="GAY512" s="69"/>
      <c r="GAZ512" s="69"/>
      <c r="GBA512" s="2511"/>
      <c r="GBB512" s="1755"/>
      <c r="GBC512" s="1756"/>
      <c r="GBD512" s="1756"/>
      <c r="GBE512" s="1757"/>
      <c r="GBF512" s="385"/>
      <c r="GBG512" s="69"/>
      <c r="GBH512" s="69"/>
      <c r="GBI512" s="2511"/>
      <c r="GBJ512" s="1755"/>
      <c r="GBK512" s="1756"/>
      <c r="GBL512" s="1756"/>
      <c r="GBM512" s="1757"/>
      <c r="GBN512" s="385"/>
      <c r="GBO512" s="69"/>
      <c r="GBP512" s="69"/>
      <c r="GBQ512" s="2511"/>
      <c r="GBR512" s="1755"/>
      <c r="GBS512" s="1756"/>
      <c r="GBT512" s="1756"/>
      <c r="GBU512" s="1757"/>
      <c r="GBV512" s="385"/>
      <c r="GBW512" s="69"/>
      <c r="GBX512" s="69"/>
      <c r="GBY512" s="2511"/>
      <c r="GBZ512" s="1755"/>
      <c r="GCA512" s="1756"/>
      <c r="GCB512" s="1756"/>
      <c r="GCC512" s="1757"/>
      <c r="GCD512" s="385"/>
      <c r="GCE512" s="69"/>
      <c r="GCF512" s="69"/>
      <c r="GCG512" s="2511"/>
      <c r="GCH512" s="1755"/>
      <c r="GCI512" s="1756"/>
      <c r="GCJ512" s="1756"/>
      <c r="GCK512" s="1757"/>
      <c r="GCL512" s="385"/>
      <c r="GCM512" s="69"/>
      <c r="GCN512" s="69"/>
      <c r="GCO512" s="2511"/>
      <c r="GCP512" s="1755"/>
      <c r="GCQ512" s="1756"/>
      <c r="GCR512" s="1756"/>
      <c r="GCS512" s="1757"/>
      <c r="GCT512" s="385"/>
      <c r="GCU512" s="69"/>
      <c r="GCV512" s="69"/>
      <c r="GCW512" s="2511"/>
      <c r="GCX512" s="1755"/>
      <c r="GCY512" s="1756"/>
      <c r="GCZ512" s="1756"/>
      <c r="GDA512" s="1757"/>
      <c r="GDB512" s="385"/>
      <c r="GDC512" s="69"/>
      <c r="GDD512" s="69"/>
      <c r="GDE512" s="2511"/>
      <c r="GDF512" s="1755"/>
      <c r="GDG512" s="1756"/>
      <c r="GDH512" s="1756"/>
      <c r="GDI512" s="1757"/>
      <c r="GDJ512" s="385"/>
      <c r="GDK512" s="69"/>
      <c r="GDL512" s="69"/>
      <c r="GDM512" s="2511"/>
      <c r="GDN512" s="1755"/>
      <c r="GDO512" s="1756"/>
      <c r="GDP512" s="1756"/>
      <c r="GDQ512" s="1757"/>
      <c r="GDR512" s="385"/>
      <c r="GDS512" s="69"/>
      <c r="GDT512" s="69"/>
      <c r="GDU512" s="2511"/>
      <c r="GDV512" s="1755"/>
      <c r="GDW512" s="1756"/>
      <c r="GDX512" s="1756"/>
      <c r="GDY512" s="1757"/>
      <c r="GDZ512" s="385"/>
      <c r="GEA512" s="69"/>
      <c r="GEB512" s="69"/>
      <c r="GEC512" s="2511"/>
      <c r="GED512" s="1755"/>
      <c r="GEE512" s="1756"/>
      <c r="GEF512" s="1756"/>
      <c r="GEG512" s="1757"/>
      <c r="GEH512" s="385"/>
      <c r="GEI512" s="69"/>
      <c r="GEJ512" s="69"/>
      <c r="GEK512" s="2511"/>
      <c r="GEL512" s="1755"/>
      <c r="GEM512" s="1756"/>
      <c r="GEN512" s="1756"/>
      <c r="GEO512" s="1757"/>
      <c r="GEP512" s="385"/>
      <c r="GEQ512" s="69"/>
      <c r="GER512" s="69"/>
      <c r="GES512" s="2511"/>
      <c r="GET512" s="1755"/>
      <c r="GEU512" s="1756"/>
      <c r="GEV512" s="1756"/>
      <c r="GEW512" s="1757"/>
      <c r="GEX512" s="385"/>
      <c r="GEY512" s="69"/>
      <c r="GEZ512" s="69"/>
      <c r="GFA512" s="2511"/>
      <c r="GFB512" s="1755"/>
      <c r="GFC512" s="1756"/>
      <c r="GFD512" s="1756"/>
      <c r="GFE512" s="1757"/>
      <c r="GFF512" s="385"/>
      <c r="GFG512" s="69"/>
      <c r="GFH512" s="69"/>
      <c r="GFI512" s="2511"/>
      <c r="GFJ512" s="1755"/>
      <c r="GFK512" s="1756"/>
      <c r="GFL512" s="1756"/>
      <c r="GFM512" s="1757"/>
      <c r="GFN512" s="385"/>
      <c r="GFO512" s="69"/>
      <c r="GFP512" s="69"/>
      <c r="GFQ512" s="2511"/>
      <c r="GFR512" s="1755"/>
      <c r="GFS512" s="1756"/>
      <c r="GFT512" s="1756"/>
      <c r="GFU512" s="1757"/>
      <c r="GFV512" s="385"/>
      <c r="GFW512" s="69"/>
      <c r="GFX512" s="69"/>
      <c r="GFY512" s="2511"/>
      <c r="GFZ512" s="1755"/>
      <c r="GGA512" s="1756"/>
      <c r="GGB512" s="1756"/>
      <c r="GGC512" s="1757"/>
      <c r="GGD512" s="385"/>
      <c r="GGE512" s="69"/>
      <c r="GGF512" s="69"/>
      <c r="GGG512" s="2511"/>
      <c r="GGH512" s="1755"/>
      <c r="GGI512" s="1756"/>
      <c r="GGJ512" s="1756"/>
      <c r="GGK512" s="1757"/>
      <c r="GGL512" s="385"/>
      <c r="GGM512" s="69"/>
      <c r="GGN512" s="69"/>
      <c r="GGO512" s="2511"/>
      <c r="GGP512" s="1755"/>
      <c r="GGQ512" s="1756"/>
      <c r="GGR512" s="1756"/>
      <c r="GGS512" s="1757"/>
      <c r="GGT512" s="385"/>
      <c r="GGU512" s="69"/>
      <c r="GGV512" s="69"/>
      <c r="GGW512" s="2511"/>
      <c r="GGX512" s="1755"/>
      <c r="GGY512" s="1756"/>
      <c r="GGZ512" s="1756"/>
      <c r="GHA512" s="1757"/>
      <c r="GHB512" s="385"/>
      <c r="GHC512" s="69"/>
      <c r="GHD512" s="69"/>
      <c r="GHE512" s="2511"/>
      <c r="GHF512" s="1755"/>
      <c r="GHG512" s="1756"/>
      <c r="GHH512" s="1756"/>
      <c r="GHI512" s="1757"/>
      <c r="GHJ512" s="385"/>
      <c r="GHK512" s="69"/>
      <c r="GHL512" s="69"/>
      <c r="GHM512" s="2511"/>
      <c r="GHN512" s="1755"/>
      <c r="GHO512" s="1756"/>
      <c r="GHP512" s="1756"/>
      <c r="GHQ512" s="1757"/>
      <c r="GHR512" s="385"/>
      <c r="GHS512" s="69"/>
      <c r="GHT512" s="69"/>
      <c r="GHU512" s="2511"/>
      <c r="GHV512" s="1755"/>
      <c r="GHW512" s="1756"/>
      <c r="GHX512" s="1756"/>
      <c r="GHY512" s="1757"/>
      <c r="GHZ512" s="385"/>
      <c r="GIA512" s="69"/>
      <c r="GIB512" s="69"/>
      <c r="GIC512" s="2511"/>
      <c r="GID512" s="1755"/>
      <c r="GIE512" s="1756"/>
      <c r="GIF512" s="1756"/>
      <c r="GIG512" s="1757"/>
      <c r="GIH512" s="385"/>
      <c r="GII512" s="69"/>
      <c r="GIJ512" s="69"/>
      <c r="GIK512" s="2511"/>
      <c r="GIL512" s="1755"/>
      <c r="GIM512" s="1756"/>
      <c r="GIN512" s="1756"/>
      <c r="GIO512" s="1757"/>
      <c r="GIP512" s="385"/>
      <c r="GIQ512" s="69"/>
      <c r="GIR512" s="69"/>
      <c r="GIS512" s="2511"/>
      <c r="GIT512" s="1755"/>
      <c r="GIU512" s="1756"/>
      <c r="GIV512" s="1756"/>
      <c r="GIW512" s="1757"/>
      <c r="GIX512" s="385"/>
      <c r="GIY512" s="69"/>
      <c r="GIZ512" s="69"/>
      <c r="GJA512" s="2511"/>
      <c r="GJB512" s="1755"/>
      <c r="GJC512" s="1756"/>
      <c r="GJD512" s="1756"/>
      <c r="GJE512" s="1757"/>
      <c r="GJF512" s="385"/>
      <c r="GJG512" s="69"/>
      <c r="GJH512" s="69"/>
      <c r="GJI512" s="2511"/>
      <c r="GJJ512" s="1755"/>
      <c r="GJK512" s="1756"/>
      <c r="GJL512" s="1756"/>
      <c r="GJM512" s="1757"/>
      <c r="GJN512" s="385"/>
      <c r="GJO512" s="69"/>
      <c r="GJP512" s="69"/>
      <c r="GJQ512" s="2511"/>
      <c r="GJR512" s="1755"/>
      <c r="GJS512" s="1756"/>
      <c r="GJT512" s="1756"/>
      <c r="GJU512" s="1757"/>
      <c r="GJV512" s="385"/>
      <c r="GJW512" s="69"/>
      <c r="GJX512" s="69"/>
      <c r="GJY512" s="2511"/>
      <c r="GJZ512" s="1755"/>
      <c r="GKA512" s="1756"/>
      <c r="GKB512" s="1756"/>
      <c r="GKC512" s="1757"/>
      <c r="GKD512" s="385"/>
      <c r="GKE512" s="69"/>
      <c r="GKF512" s="69"/>
      <c r="GKG512" s="2511"/>
      <c r="GKH512" s="1755"/>
      <c r="GKI512" s="1756"/>
      <c r="GKJ512" s="1756"/>
      <c r="GKK512" s="1757"/>
      <c r="GKL512" s="385"/>
      <c r="GKM512" s="69"/>
      <c r="GKN512" s="69"/>
      <c r="GKO512" s="2511"/>
      <c r="GKP512" s="1755"/>
      <c r="GKQ512" s="1756"/>
      <c r="GKR512" s="1756"/>
      <c r="GKS512" s="1757"/>
      <c r="GKT512" s="385"/>
      <c r="GKU512" s="69"/>
      <c r="GKV512" s="69"/>
      <c r="GKW512" s="2511"/>
      <c r="GKX512" s="1755"/>
      <c r="GKY512" s="1756"/>
      <c r="GKZ512" s="1756"/>
      <c r="GLA512" s="1757"/>
      <c r="GLB512" s="385"/>
      <c r="GLC512" s="69"/>
      <c r="GLD512" s="69"/>
      <c r="GLE512" s="2511"/>
      <c r="GLF512" s="1755"/>
      <c r="GLG512" s="1756"/>
      <c r="GLH512" s="1756"/>
      <c r="GLI512" s="1757"/>
      <c r="GLJ512" s="385"/>
      <c r="GLK512" s="69"/>
      <c r="GLL512" s="69"/>
      <c r="GLM512" s="2511"/>
      <c r="GLN512" s="1755"/>
      <c r="GLO512" s="1756"/>
      <c r="GLP512" s="1756"/>
      <c r="GLQ512" s="1757"/>
      <c r="GLR512" s="385"/>
      <c r="GLS512" s="69"/>
      <c r="GLT512" s="69"/>
      <c r="GLU512" s="2511"/>
      <c r="GLV512" s="1755"/>
      <c r="GLW512" s="1756"/>
      <c r="GLX512" s="1756"/>
      <c r="GLY512" s="1757"/>
      <c r="GLZ512" s="385"/>
      <c r="GMA512" s="69"/>
      <c r="GMB512" s="69"/>
      <c r="GMC512" s="2511"/>
      <c r="GMD512" s="1755"/>
      <c r="GME512" s="1756"/>
      <c r="GMF512" s="1756"/>
      <c r="GMG512" s="1757"/>
      <c r="GMH512" s="385"/>
      <c r="GMI512" s="69"/>
      <c r="GMJ512" s="69"/>
      <c r="GMK512" s="2511"/>
      <c r="GML512" s="1755"/>
      <c r="GMM512" s="1756"/>
      <c r="GMN512" s="1756"/>
      <c r="GMO512" s="1757"/>
      <c r="GMP512" s="385"/>
      <c r="GMQ512" s="69"/>
      <c r="GMR512" s="69"/>
      <c r="GMS512" s="2511"/>
      <c r="GMT512" s="1755"/>
      <c r="GMU512" s="1756"/>
      <c r="GMV512" s="1756"/>
      <c r="GMW512" s="1757"/>
      <c r="GMX512" s="385"/>
      <c r="GMY512" s="69"/>
      <c r="GMZ512" s="69"/>
      <c r="GNA512" s="2511"/>
      <c r="GNB512" s="1755"/>
      <c r="GNC512" s="1756"/>
      <c r="GND512" s="1756"/>
      <c r="GNE512" s="1757"/>
      <c r="GNF512" s="385"/>
      <c r="GNG512" s="69"/>
      <c r="GNH512" s="69"/>
      <c r="GNI512" s="2511"/>
      <c r="GNJ512" s="1755"/>
      <c r="GNK512" s="1756"/>
      <c r="GNL512" s="1756"/>
      <c r="GNM512" s="1757"/>
      <c r="GNN512" s="385"/>
      <c r="GNO512" s="69"/>
      <c r="GNP512" s="69"/>
      <c r="GNQ512" s="2511"/>
      <c r="GNR512" s="1755"/>
      <c r="GNS512" s="1756"/>
      <c r="GNT512" s="1756"/>
      <c r="GNU512" s="1757"/>
      <c r="GNV512" s="385"/>
      <c r="GNW512" s="69"/>
      <c r="GNX512" s="69"/>
      <c r="GNY512" s="2511"/>
      <c r="GNZ512" s="1755"/>
      <c r="GOA512" s="1756"/>
      <c r="GOB512" s="1756"/>
      <c r="GOC512" s="1757"/>
      <c r="GOD512" s="385"/>
      <c r="GOE512" s="69"/>
      <c r="GOF512" s="69"/>
      <c r="GOG512" s="2511"/>
      <c r="GOH512" s="1755"/>
      <c r="GOI512" s="1756"/>
      <c r="GOJ512" s="1756"/>
      <c r="GOK512" s="1757"/>
      <c r="GOL512" s="385"/>
      <c r="GOM512" s="69"/>
      <c r="GON512" s="69"/>
      <c r="GOO512" s="2511"/>
      <c r="GOP512" s="1755"/>
      <c r="GOQ512" s="1756"/>
      <c r="GOR512" s="1756"/>
      <c r="GOS512" s="1757"/>
      <c r="GOT512" s="385"/>
      <c r="GOU512" s="69"/>
      <c r="GOV512" s="69"/>
      <c r="GOW512" s="2511"/>
      <c r="GOX512" s="1755"/>
      <c r="GOY512" s="1756"/>
      <c r="GOZ512" s="1756"/>
      <c r="GPA512" s="1757"/>
      <c r="GPB512" s="385"/>
      <c r="GPC512" s="69"/>
      <c r="GPD512" s="69"/>
      <c r="GPE512" s="2511"/>
      <c r="GPF512" s="1755"/>
      <c r="GPG512" s="1756"/>
      <c r="GPH512" s="1756"/>
      <c r="GPI512" s="1757"/>
      <c r="GPJ512" s="385"/>
      <c r="GPK512" s="69"/>
      <c r="GPL512" s="69"/>
      <c r="GPM512" s="2511"/>
      <c r="GPN512" s="1755"/>
      <c r="GPO512" s="1756"/>
      <c r="GPP512" s="1756"/>
      <c r="GPQ512" s="1757"/>
      <c r="GPR512" s="385"/>
      <c r="GPS512" s="69"/>
      <c r="GPT512" s="69"/>
      <c r="GPU512" s="2511"/>
      <c r="GPV512" s="1755"/>
      <c r="GPW512" s="1756"/>
      <c r="GPX512" s="1756"/>
      <c r="GPY512" s="1757"/>
      <c r="GPZ512" s="385"/>
      <c r="GQA512" s="69"/>
      <c r="GQB512" s="69"/>
      <c r="GQC512" s="2511"/>
      <c r="GQD512" s="1755"/>
      <c r="GQE512" s="1756"/>
      <c r="GQF512" s="1756"/>
      <c r="GQG512" s="1757"/>
      <c r="GQH512" s="385"/>
      <c r="GQI512" s="69"/>
      <c r="GQJ512" s="69"/>
      <c r="GQK512" s="2511"/>
      <c r="GQL512" s="1755"/>
      <c r="GQM512" s="1756"/>
      <c r="GQN512" s="1756"/>
      <c r="GQO512" s="1757"/>
      <c r="GQP512" s="385"/>
      <c r="GQQ512" s="69"/>
      <c r="GQR512" s="69"/>
      <c r="GQS512" s="2511"/>
      <c r="GQT512" s="1755"/>
      <c r="GQU512" s="1756"/>
      <c r="GQV512" s="1756"/>
      <c r="GQW512" s="1757"/>
      <c r="GQX512" s="385"/>
      <c r="GQY512" s="69"/>
      <c r="GQZ512" s="69"/>
      <c r="GRA512" s="2511"/>
      <c r="GRB512" s="1755"/>
      <c r="GRC512" s="1756"/>
      <c r="GRD512" s="1756"/>
      <c r="GRE512" s="1757"/>
      <c r="GRF512" s="385"/>
      <c r="GRG512" s="69"/>
      <c r="GRH512" s="69"/>
      <c r="GRI512" s="2511"/>
      <c r="GRJ512" s="1755"/>
      <c r="GRK512" s="1756"/>
      <c r="GRL512" s="1756"/>
      <c r="GRM512" s="1757"/>
      <c r="GRN512" s="385"/>
      <c r="GRO512" s="69"/>
      <c r="GRP512" s="69"/>
      <c r="GRQ512" s="2511"/>
      <c r="GRR512" s="1755"/>
      <c r="GRS512" s="1756"/>
      <c r="GRT512" s="1756"/>
      <c r="GRU512" s="1757"/>
      <c r="GRV512" s="385"/>
      <c r="GRW512" s="69"/>
      <c r="GRX512" s="69"/>
      <c r="GRY512" s="2511"/>
      <c r="GRZ512" s="1755"/>
      <c r="GSA512" s="1756"/>
      <c r="GSB512" s="1756"/>
      <c r="GSC512" s="1757"/>
      <c r="GSD512" s="385"/>
      <c r="GSE512" s="69"/>
      <c r="GSF512" s="69"/>
      <c r="GSG512" s="2511"/>
      <c r="GSH512" s="1755"/>
      <c r="GSI512" s="1756"/>
      <c r="GSJ512" s="1756"/>
      <c r="GSK512" s="1757"/>
      <c r="GSL512" s="385"/>
      <c r="GSM512" s="69"/>
      <c r="GSN512" s="69"/>
      <c r="GSO512" s="2511"/>
      <c r="GSP512" s="1755"/>
      <c r="GSQ512" s="1756"/>
      <c r="GSR512" s="1756"/>
      <c r="GSS512" s="1757"/>
      <c r="GST512" s="385"/>
      <c r="GSU512" s="69"/>
      <c r="GSV512" s="69"/>
      <c r="GSW512" s="2511"/>
      <c r="GSX512" s="1755"/>
      <c r="GSY512" s="1756"/>
      <c r="GSZ512" s="1756"/>
      <c r="GTA512" s="1757"/>
      <c r="GTB512" s="385"/>
      <c r="GTC512" s="69"/>
      <c r="GTD512" s="69"/>
      <c r="GTE512" s="2511"/>
      <c r="GTF512" s="1755"/>
      <c r="GTG512" s="1756"/>
      <c r="GTH512" s="1756"/>
      <c r="GTI512" s="1757"/>
      <c r="GTJ512" s="385"/>
      <c r="GTK512" s="69"/>
      <c r="GTL512" s="69"/>
      <c r="GTM512" s="2511"/>
      <c r="GTN512" s="1755"/>
      <c r="GTO512" s="1756"/>
      <c r="GTP512" s="1756"/>
      <c r="GTQ512" s="1757"/>
      <c r="GTR512" s="385"/>
      <c r="GTS512" s="69"/>
      <c r="GTT512" s="69"/>
      <c r="GTU512" s="2511"/>
      <c r="GTV512" s="1755"/>
      <c r="GTW512" s="1756"/>
      <c r="GTX512" s="1756"/>
      <c r="GTY512" s="1757"/>
      <c r="GTZ512" s="385"/>
      <c r="GUA512" s="69"/>
      <c r="GUB512" s="69"/>
      <c r="GUC512" s="2511"/>
      <c r="GUD512" s="1755"/>
      <c r="GUE512" s="1756"/>
      <c r="GUF512" s="1756"/>
      <c r="GUG512" s="1757"/>
      <c r="GUH512" s="385"/>
      <c r="GUI512" s="69"/>
      <c r="GUJ512" s="69"/>
      <c r="GUK512" s="2511"/>
      <c r="GUL512" s="1755"/>
      <c r="GUM512" s="1756"/>
      <c r="GUN512" s="1756"/>
      <c r="GUO512" s="1757"/>
      <c r="GUP512" s="385"/>
      <c r="GUQ512" s="69"/>
      <c r="GUR512" s="69"/>
      <c r="GUS512" s="2511"/>
      <c r="GUT512" s="1755"/>
      <c r="GUU512" s="1756"/>
      <c r="GUV512" s="1756"/>
      <c r="GUW512" s="1757"/>
      <c r="GUX512" s="385"/>
      <c r="GUY512" s="69"/>
      <c r="GUZ512" s="69"/>
      <c r="GVA512" s="2511"/>
      <c r="GVB512" s="1755"/>
      <c r="GVC512" s="1756"/>
      <c r="GVD512" s="1756"/>
      <c r="GVE512" s="1757"/>
      <c r="GVF512" s="385"/>
      <c r="GVG512" s="69"/>
      <c r="GVH512" s="69"/>
      <c r="GVI512" s="2511"/>
      <c r="GVJ512" s="1755"/>
      <c r="GVK512" s="1756"/>
      <c r="GVL512" s="1756"/>
      <c r="GVM512" s="1757"/>
      <c r="GVN512" s="385"/>
      <c r="GVO512" s="69"/>
      <c r="GVP512" s="69"/>
      <c r="GVQ512" s="2511"/>
      <c r="GVR512" s="1755"/>
      <c r="GVS512" s="1756"/>
      <c r="GVT512" s="1756"/>
      <c r="GVU512" s="1757"/>
      <c r="GVV512" s="385"/>
      <c r="GVW512" s="69"/>
      <c r="GVX512" s="69"/>
      <c r="GVY512" s="2511"/>
      <c r="GVZ512" s="1755"/>
      <c r="GWA512" s="1756"/>
      <c r="GWB512" s="1756"/>
      <c r="GWC512" s="1757"/>
      <c r="GWD512" s="385"/>
      <c r="GWE512" s="69"/>
      <c r="GWF512" s="69"/>
      <c r="GWG512" s="2511"/>
      <c r="GWH512" s="1755"/>
      <c r="GWI512" s="1756"/>
      <c r="GWJ512" s="1756"/>
      <c r="GWK512" s="1757"/>
      <c r="GWL512" s="385"/>
      <c r="GWM512" s="69"/>
      <c r="GWN512" s="69"/>
      <c r="GWO512" s="2511"/>
      <c r="GWP512" s="1755"/>
      <c r="GWQ512" s="1756"/>
      <c r="GWR512" s="1756"/>
      <c r="GWS512" s="1757"/>
      <c r="GWT512" s="385"/>
      <c r="GWU512" s="69"/>
      <c r="GWV512" s="69"/>
      <c r="GWW512" s="2511"/>
      <c r="GWX512" s="1755"/>
      <c r="GWY512" s="1756"/>
      <c r="GWZ512" s="1756"/>
      <c r="GXA512" s="1757"/>
      <c r="GXB512" s="385"/>
      <c r="GXC512" s="69"/>
      <c r="GXD512" s="69"/>
      <c r="GXE512" s="2511"/>
      <c r="GXF512" s="1755"/>
      <c r="GXG512" s="1756"/>
      <c r="GXH512" s="1756"/>
      <c r="GXI512" s="1757"/>
      <c r="GXJ512" s="385"/>
      <c r="GXK512" s="69"/>
      <c r="GXL512" s="69"/>
      <c r="GXM512" s="2511"/>
      <c r="GXN512" s="1755"/>
      <c r="GXO512" s="1756"/>
      <c r="GXP512" s="1756"/>
      <c r="GXQ512" s="1757"/>
      <c r="GXR512" s="385"/>
      <c r="GXS512" s="69"/>
      <c r="GXT512" s="69"/>
      <c r="GXU512" s="2511"/>
      <c r="GXV512" s="1755"/>
      <c r="GXW512" s="1756"/>
      <c r="GXX512" s="1756"/>
      <c r="GXY512" s="1757"/>
      <c r="GXZ512" s="385"/>
      <c r="GYA512" s="69"/>
      <c r="GYB512" s="69"/>
      <c r="GYC512" s="2511"/>
      <c r="GYD512" s="1755"/>
      <c r="GYE512" s="1756"/>
      <c r="GYF512" s="1756"/>
      <c r="GYG512" s="1757"/>
      <c r="GYH512" s="385"/>
      <c r="GYI512" s="69"/>
      <c r="GYJ512" s="69"/>
      <c r="GYK512" s="2511"/>
      <c r="GYL512" s="1755"/>
      <c r="GYM512" s="1756"/>
      <c r="GYN512" s="1756"/>
      <c r="GYO512" s="1757"/>
      <c r="GYP512" s="385"/>
      <c r="GYQ512" s="69"/>
      <c r="GYR512" s="69"/>
      <c r="GYS512" s="2511"/>
      <c r="GYT512" s="1755"/>
      <c r="GYU512" s="1756"/>
      <c r="GYV512" s="1756"/>
      <c r="GYW512" s="1757"/>
      <c r="GYX512" s="385"/>
      <c r="GYY512" s="69"/>
      <c r="GYZ512" s="69"/>
      <c r="GZA512" s="2511"/>
      <c r="GZB512" s="1755"/>
      <c r="GZC512" s="1756"/>
      <c r="GZD512" s="1756"/>
      <c r="GZE512" s="1757"/>
      <c r="GZF512" s="385"/>
      <c r="GZG512" s="69"/>
      <c r="GZH512" s="69"/>
      <c r="GZI512" s="2511"/>
      <c r="GZJ512" s="1755"/>
      <c r="GZK512" s="1756"/>
      <c r="GZL512" s="1756"/>
      <c r="GZM512" s="1757"/>
      <c r="GZN512" s="385"/>
      <c r="GZO512" s="69"/>
      <c r="GZP512" s="69"/>
      <c r="GZQ512" s="2511"/>
      <c r="GZR512" s="1755"/>
      <c r="GZS512" s="1756"/>
      <c r="GZT512" s="1756"/>
      <c r="GZU512" s="1757"/>
      <c r="GZV512" s="385"/>
      <c r="GZW512" s="69"/>
      <c r="GZX512" s="69"/>
      <c r="GZY512" s="2511"/>
      <c r="GZZ512" s="1755"/>
      <c r="HAA512" s="1756"/>
      <c r="HAB512" s="1756"/>
      <c r="HAC512" s="1757"/>
      <c r="HAD512" s="385"/>
      <c r="HAE512" s="69"/>
      <c r="HAF512" s="69"/>
      <c r="HAG512" s="2511"/>
      <c r="HAH512" s="1755"/>
      <c r="HAI512" s="1756"/>
      <c r="HAJ512" s="1756"/>
      <c r="HAK512" s="1757"/>
      <c r="HAL512" s="385"/>
      <c r="HAM512" s="69"/>
      <c r="HAN512" s="69"/>
      <c r="HAO512" s="2511"/>
      <c r="HAP512" s="1755"/>
      <c r="HAQ512" s="1756"/>
      <c r="HAR512" s="1756"/>
      <c r="HAS512" s="1757"/>
      <c r="HAT512" s="385"/>
      <c r="HAU512" s="69"/>
      <c r="HAV512" s="69"/>
      <c r="HAW512" s="2511"/>
      <c r="HAX512" s="1755"/>
      <c r="HAY512" s="1756"/>
      <c r="HAZ512" s="1756"/>
      <c r="HBA512" s="1757"/>
      <c r="HBB512" s="385"/>
      <c r="HBC512" s="69"/>
      <c r="HBD512" s="69"/>
      <c r="HBE512" s="2511"/>
      <c r="HBF512" s="1755"/>
      <c r="HBG512" s="1756"/>
      <c r="HBH512" s="1756"/>
      <c r="HBI512" s="1757"/>
      <c r="HBJ512" s="385"/>
      <c r="HBK512" s="69"/>
      <c r="HBL512" s="69"/>
      <c r="HBM512" s="2511"/>
      <c r="HBN512" s="1755"/>
      <c r="HBO512" s="1756"/>
      <c r="HBP512" s="1756"/>
      <c r="HBQ512" s="1757"/>
      <c r="HBR512" s="385"/>
      <c r="HBS512" s="69"/>
      <c r="HBT512" s="69"/>
      <c r="HBU512" s="2511"/>
      <c r="HBV512" s="1755"/>
      <c r="HBW512" s="1756"/>
      <c r="HBX512" s="1756"/>
      <c r="HBY512" s="1757"/>
      <c r="HBZ512" s="385"/>
      <c r="HCA512" s="69"/>
      <c r="HCB512" s="69"/>
      <c r="HCC512" s="2511"/>
      <c r="HCD512" s="1755"/>
      <c r="HCE512" s="1756"/>
      <c r="HCF512" s="1756"/>
      <c r="HCG512" s="1757"/>
      <c r="HCH512" s="385"/>
      <c r="HCI512" s="69"/>
      <c r="HCJ512" s="69"/>
      <c r="HCK512" s="2511"/>
      <c r="HCL512" s="1755"/>
      <c r="HCM512" s="1756"/>
      <c r="HCN512" s="1756"/>
      <c r="HCO512" s="1757"/>
      <c r="HCP512" s="385"/>
      <c r="HCQ512" s="69"/>
      <c r="HCR512" s="69"/>
      <c r="HCS512" s="2511"/>
      <c r="HCT512" s="1755"/>
      <c r="HCU512" s="1756"/>
      <c r="HCV512" s="1756"/>
      <c r="HCW512" s="1757"/>
      <c r="HCX512" s="385"/>
      <c r="HCY512" s="69"/>
      <c r="HCZ512" s="69"/>
      <c r="HDA512" s="2511"/>
      <c r="HDB512" s="1755"/>
      <c r="HDC512" s="1756"/>
      <c r="HDD512" s="1756"/>
      <c r="HDE512" s="1757"/>
      <c r="HDF512" s="385"/>
      <c r="HDG512" s="69"/>
      <c r="HDH512" s="69"/>
      <c r="HDI512" s="2511"/>
      <c r="HDJ512" s="1755"/>
      <c r="HDK512" s="1756"/>
      <c r="HDL512" s="1756"/>
      <c r="HDM512" s="1757"/>
      <c r="HDN512" s="385"/>
      <c r="HDO512" s="69"/>
      <c r="HDP512" s="69"/>
      <c r="HDQ512" s="2511"/>
      <c r="HDR512" s="1755"/>
      <c r="HDS512" s="1756"/>
      <c r="HDT512" s="1756"/>
      <c r="HDU512" s="1757"/>
      <c r="HDV512" s="385"/>
      <c r="HDW512" s="69"/>
      <c r="HDX512" s="69"/>
      <c r="HDY512" s="2511"/>
      <c r="HDZ512" s="1755"/>
      <c r="HEA512" s="1756"/>
      <c r="HEB512" s="1756"/>
      <c r="HEC512" s="1757"/>
      <c r="HED512" s="385"/>
      <c r="HEE512" s="69"/>
      <c r="HEF512" s="69"/>
      <c r="HEG512" s="2511"/>
      <c r="HEH512" s="1755"/>
      <c r="HEI512" s="1756"/>
      <c r="HEJ512" s="1756"/>
      <c r="HEK512" s="1757"/>
      <c r="HEL512" s="385"/>
      <c r="HEM512" s="69"/>
      <c r="HEN512" s="69"/>
      <c r="HEO512" s="2511"/>
      <c r="HEP512" s="1755"/>
      <c r="HEQ512" s="1756"/>
      <c r="HER512" s="1756"/>
      <c r="HES512" s="1757"/>
      <c r="HET512" s="385"/>
      <c r="HEU512" s="69"/>
      <c r="HEV512" s="69"/>
      <c r="HEW512" s="2511"/>
      <c r="HEX512" s="1755"/>
      <c r="HEY512" s="1756"/>
      <c r="HEZ512" s="1756"/>
      <c r="HFA512" s="1757"/>
      <c r="HFB512" s="385"/>
      <c r="HFC512" s="69"/>
      <c r="HFD512" s="69"/>
      <c r="HFE512" s="2511"/>
      <c r="HFF512" s="1755"/>
      <c r="HFG512" s="1756"/>
      <c r="HFH512" s="1756"/>
      <c r="HFI512" s="1757"/>
      <c r="HFJ512" s="385"/>
      <c r="HFK512" s="69"/>
      <c r="HFL512" s="69"/>
      <c r="HFM512" s="2511"/>
      <c r="HFN512" s="1755"/>
      <c r="HFO512" s="1756"/>
      <c r="HFP512" s="1756"/>
      <c r="HFQ512" s="1757"/>
      <c r="HFR512" s="385"/>
      <c r="HFS512" s="69"/>
      <c r="HFT512" s="69"/>
      <c r="HFU512" s="2511"/>
      <c r="HFV512" s="1755"/>
      <c r="HFW512" s="1756"/>
      <c r="HFX512" s="1756"/>
      <c r="HFY512" s="1757"/>
      <c r="HFZ512" s="385"/>
      <c r="HGA512" s="69"/>
      <c r="HGB512" s="69"/>
      <c r="HGC512" s="2511"/>
      <c r="HGD512" s="1755"/>
      <c r="HGE512" s="1756"/>
      <c r="HGF512" s="1756"/>
      <c r="HGG512" s="1757"/>
      <c r="HGH512" s="385"/>
      <c r="HGI512" s="69"/>
      <c r="HGJ512" s="69"/>
      <c r="HGK512" s="2511"/>
      <c r="HGL512" s="1755"/>
      <c r="HGM512" s="1756"/>
      <c r="HGN512" s="1756"/>
      <c r="HGO512" s="1757"/>
      <c r="HGP512" s="385"/>
      <c r="HGQ512" s="69"/>
      <c r="HGR512" s="69"/>
      <c r="HGS512" s="2511"/>
      <c r="HGT512" s="1755"/>
      <c r="HGU512" s="1756"/>
      <c r="HGV512" s="1756"/>
      <c r="HGW512" s="1757"/>
      <c r="HGX512" s="385"/>
      <c r="HGY512" s="69"/>
      <c r="HGZ512" s="69"/>
      <c r="HHA512" s="2511"/>
      <c r="HHB512" s="1755"/>
      <c r="HHC512" s="1756"/>
      <c r="HHD512" s="1756"/>
      <c r="HHE512" s="1757"/>
      <c r="HHF512" s="385"/>
      <c r="HHG512" s="69"/>
      <c r="HHH512" s="69"/>
      <c r="HHI512" s="2511"/>
      <c r="HHJ512" s="1755"/>
      <c r="HHK512" s="1756"/>
      <c r="HHL512" s="1756"/>
      <c r="HHM512" s="1757"/>
      <c r="HHN512" s="385"/>
      <c r="HHO512" s="69"/>
      <c r="HHP512" s="69"/>
      <c r="HHQ512" s="2511"/>
      <c r="HHR512" s="1755"/>
      <c r="HHS512" s="1756"/>
      <c r="HHT512" s="1756"/>
      <c r="HHU512" s="1757"/>
      <c r="HHV512" s="385"/>
      <c r="HHW512" s="69"/>
      <c r="HHX512" s="69"/>
      <c r="HHY512" s="2511"/>
      <c r="HHZ512" s="1755"/>
      <c r="HIA512" s="1756"/>
      <c r="HIB512" s="1756"/>
      <c r="HIC512" s="1757"/>
      <c r="HID512" s="385"/>
      <c r="HIE512" s="69"/>
      <c r="HIF512" s="69"/>
      <c r="HIG512" s="2511"/>
      <c r="HIH512" s="1755"/>
      <c r="HII512" s="1756"/>
      <c r="HIJ512" s="1756"/>
      <c r="HIK512" s="1757"/>
      <c r="HIL512" s="385"/>
      <c r="HIM512" s="69"/>
      <c r="HIN512" s="69"/>
      <c r="HIO512" s="2511"/>
      <c r="HIP512" s="1755"/>
      <c r="HIQ512" s="1756"/>
      <c r="HIR512" s="1756"/>
      <c r="HIS512" s="1757"/>
      <c r="HIT512" s="385"/>
      <c r="HIU512" s="69"/>
      <c r="HIV512" s="69"/>
      <c r="HIW512" s="2511"/>
      <c r="HIX512" s="1755"/>
      <c r="HIY512" s="1756"/>
      <c r="HIZ512" s="1756"/>
      <c r="HJA512" s="1757"/>
      <c r="HJB512" s="385"/>
      <c r="HJC512" s="69"/>
      <c r="HJD512" s="69"/>
      <c r="HJE512" s="2511"/>
      <c r="HJF512" s="1755"/>
      <c r="HJG512" s="1756"/>
      <c r="HJH512" s="1756"/>
      <c r="HJI512" s="1757"/>
      <c r="HJJ512" s="385"/>
      <c r="HJK512" s="69"/>
      <c r="HJL512" s="69"/>
      <c r="HJM512" s="2511"/>
      <c r="HJN512" s="1755"/>
      <c r="HJO512" s="1756"/>
      <c r="HJP512" s="1756"/>
      <c r="HJQ512" s="1757"/>
      <c r="HJR512" s="385"/>
      <c r="HJS512" s="69"/>
      <c r="HJT512" s="69"/>
      <c r="HJU512" s="2511"/>
      <c r="HJV512" s="1755"/>
      <c r="HJW512" s="1756"/>
      <c r="HJX512" s="1756"/>
      <c r="HJY512" s="1757"/>
      <c r="HJZ512" s="385"/>
      <c r="HKA512" s="69"/>
      <c r="HKB512" s="69"/>
      <c r="HKC512" s="2511"/>
      <c r="HKD512" s="1755"/>
      <c r="HKE512" s="1756"/>
      <c r="HKF512" s="1756"/>
      <c r="HKG512" s="1757"/>
      <c r="HKH512" s="385"/>
      <c r="HKI512" s="69"/>
      <c r="HKJ512" s="69"/>
      <c r="HKK512" s="2511"/>
      <c r="HKL512" s="1755"/>
      <c r="HKM512" s="1756"/>
      <c r="HKN512" s="1756"/>
      <c r="HKO512" s="1757"/>
      <c r="HKP512" s="385"/>
      <c r="HKQ512" s="69"/>
      <c r="HKR512" s="69"/>
      <c r="HKS512" s="2511"/>
      <c r="HKT512" s="1755"/>
      <c r="HKU512" s="1756"/>
      <c r="HKV512" s="1756"/>
      <c r="HKW512" s="1757"/>
      <c r="HKX512" s="385"/>
      <c r="HKY512" s="69"/>
      <c r="HKZ512" s="69"/>
      <c r="HLA512" s="2511"/>
      <c r="HLB512" s="1755"/>
      <c r="HLC512" s="1756"/>
      <c r="HLD512" s="1756"/>
      <c r="HLE512" s="1757"/>
      <c r="HLF512" s="385"/>
      <c r="HLG512" s="69"/>
      <c r="HLH512" s="69"/>
      <c r="HLI512" s="2511"/>
      <c r="HLJ512" s="1755"/>
      <c r="HLK512" s="1756"/>
      <c r="HLL512" s="1756"/>
      <c r="HLM512" s="1757"/>
      <c r="HLN512" s="385"/>
      <c r="HLO512" s="69"/>
      <c r="HLP512" s="69"/>
      <c r="HLQ512" s="2511"/>
      <c r="HLR512" s="1755"/>
      <c r="HLS512" s="1756"/>
      <c r="HLT512" s="1756"/>
      <c r="HLU512" s="1757"/>
      <c r="HLV512" s="385"/>
      <c r="HLW512" s="69"/>
      <c r="HLX512" s="69"/>
      <c r="HLY512" s="2511"/>
      <c r="HLZ512" s="1755"/>
      <c r="HMA512" s="1756"/>
      <c r="HMB512" s="1756"/>
      <c r="HMC512" s="1757"/>
      <c r="HMD512" s="385"/>
      <c r="HME512" s="69"/>
      <c r="HMF512" s="69"/>
      <c r="HMG512" s="2511"/>
      <c r="HMH512" s="1755"/>
      <c r="HMI512" s="1756"/>
      <c r="HMJ512" s="1756"/>
      <c r="HMK512" s="1757"/>
      <c r="HML512" s="385"/>
      <c r="HMM512" s="69"/>
      <c r="HMN512" s="69"/>
      <c r="HMO512" s="2511"/>
      <c r="HMP512" s="1755"/>
      <c r="HMQ512" s="1756"/>
      <c r="HMR512" s="1756"/>
      <c r="HMS512" s="1757"/>
      <c r="HMT512" s="385"/>
      <c r="HMU512" s="69"/>
      <c r="HMV512" s="69"/>
      <c r="HMW512" s="2511"/>
      <c r="HMX512" s="1755"/>
      <c r="HMY512" s="1756"/>
      <c r="HMZ512" s="1756"/>
      <c r="HNA512" s="1757"/>
      <c r="HNB512" s="385"/>
      <c r="HNC512" s="69"/>
      <c r="HND512" s="69"/>
      <c r="HNE512" s="2511"/>
      <c r="HNF512" s="1755"/>
      <c r="HNG512" s="1756"/>
      <c r="HNH512" s="1756"/>
      <c r="HNI512" s="1757"/>
      <c r="HNJ512" s="385"/>
      <c r="HNK512" s="69"/>
      <c r="HNL512" s="69"/>
      <c r="HNM512" s="2511"/>
      <c r="HNN512" s="1755"/>
      <c r="HNO512" s="1756"/>
      <c r="HNP512" s="1756"/>
      <c r="HNQ512" s="1757"/>
      <c r="HNR512" s="385"/>
      <c r="HNS512" s="69"/>
      <c r="HNT512" s="69"/>
      <c r="HNU512" s="2511"/>
      <c r="HNV512" s="1755"/>
      <c r="HNW512" s="1756"/>
      <c r="HNX512" s="1756"/>
      <c r="HNY512" s="1757"/>
      <c r="HNZ512" s="385"/>
      <c r="HOA512" s="69"/>
      <c r="HOB512" s="69"/>
      <c r="HOC512" s="2511"/>
      <c r="HOD512" s="1755"/>
      <c r="HOE512" s="1756"/>
      <c r="HOF512" s="1756"/>
      <c r="HOG512" s="1757"/>
      <c r="HOH512" s="385"/>
      <c r="HOI512" s="69"/>
      <c r="HOJ512" s="69"/>
      <c r="HOK512" s="2511"/>
      <c r="HOL512" s="1755"/>
      <c r="HOM512" s="1756"/>
      <c r="HON512" s="1756"/>
      <c r="HOO512" s="1757"/>
      <c r="HOP512" s="385"/>
      <c r="HOQ512" s="69"/>
      <c r="HOR512" s="69"/>
      <c r="HOS512" s="2511"/>
      <c r="HOT512" s="1755"/>
      <c r="HOU512" s="1756"/>
      <c r="HOV512" s="1756"/>
      <c r="HOW512" s="1757"/>
      <c r="HOX512" s="385"/>
      <c r="HOY512" s="69"/>
      <c r="HOZ512" s="69"/>
      <c r="HPA512" s="2511"/>
      <c r="HPB512" s="1755"/>
      <c r="HPC512" s="1756"/>
      <c r="HPD512" s="1756"/>
      <c r="HPE512" s="1757"/>
      <c r="HPF512" s="385"/>
      <c r="HPG512" s="69"/>
      <c r="HPH512" s="69"/>
      <c r="HPI512" s="2511"/>
      <c r="HPJ512" s="1755"/>
      <c r="HPK512" s="1756"/>
      <c r="HPL512" s="1756"/>
      <c r="HPM512" s="1757"/>
      <c r="HPN512" s="385"/>
      <c r="HPO512" s="69"/>
      <c r="HPP512" s="69"/>
      <c r="HPQ512" s="2511"/>
      <c r="HPR512" s="1755"/>
      <c r="HPS512" s="1756"/>
      <c r="HPT512" s="1756"/>
      <c r="HPU512" s="1757"/>
      <c r="HPV512" s="385"/>
      <c r="HPW512" s="69"/>
      <c r="HPX512" s="69"/>
      <c r="HPY512" s="2511"/>
      <c r="HPZ512" s="1755"/>
      <c r="HQA512" s="1756"/>
      <c r="HQB512" s="1756"/>
      <c r="HQC512" s="1757"/>
      <c r="HQD512" s="385"/>
      <c r="HQE512" s="69"/>
      <c r="HQF512" s="69"/>
      <c r="HQG512" s="2511"/>
      <c r="HQH512" s="1755"/>
      <c r="HQI512" s="1756"/>
      <c r="HQJ512" s="1756"/>
      <c r="HQK512" s="1757"/>
      <c r="HQL512" s="385"/>
      <c r="HQM512" s="69"/>
      <c r="HQN512" s="69"/>
      <c r="HQO512" s="2511"/>
      <c r="HQP512" s="1755"/>
      <c r="HQQ512" s="1756"/>
      <c r="HQR512" s="1756"/>
      <c r="HQS512" s="1757"/>
      <c r="HQT512" s="385"/>
      <c r="HQU512" s="69"/>
      <c r="HQV512" s="69"/>
      <c r="HQW512" s="2511"/>
      <c r="HQX512" s="1755"/>
      <c r="HQY512" s="1756"/>
      <c r="HQZ512" s="1756"/>
      <c r="HRA512" s="1757"/>
      <c r="HRB512" s="385"/>
      <c r="HRC512" s="69"/>
      <c r="HRD512" s="69"/>
      <c r="HRE512" s="2511"/>
      <c r="HRF512" s="1755"/>
      <c r="HRG512" s="1756"/>
      <c r="HRH512" s="1756"/>
      <c r="HRI512" s="1757"/>
      <c r="HRJ512" s="385"/>
      <c r="HRK512" s="69"/>
      <c r="HRL512" s="69"/>
      <c r="HRM512" s="2511"/>
      <c r="HRN512" s="1755"/>
      <c r="HRO512" s="1756"/>
      <c r="HRP512" s="1756"/>
      <c r="HRQ512" s="1757"/>
      <c r="HRR512" s="385"/>
      <c r="HRS512" s="69"/>
      <c r="HRT512" s="69"/>
      <c r="HRU512" s="2511"/>
      <c r="HRV512" s="1755"/>
      <c r="HRW512" s="1756"/>
      <c r="HRX512" s="1756"/>
      <c r="HRY512" s="1757"/>
      <c r="HRZ512" s="385"/>
      <c r="HSA512" s="69"/>
      <c r="HSB512" s="69"/>
      <c r="HSC512" s="2511"/>
      <c r="HSD512" s="1755"/>
      <c r="HSE512" s="1756"/>
      <c r="HSF512" s="1756"/>
      <c r="HSG512" s="1757"/>
      <c r="HSH512" s="385"/>
      <c r="HSI512" s="69"/>
      <c r="HSJ512" s="69"/>
      <c r="HSK512" s="2511"/>
      <c r="HSL512" s="1755"/>
      <c r="HSM512" s="1756"/>
      <c r="HSN512" s="1756"/>
      <c r="HSO512" s="1757"/>
      <c r="HSP512" s="385"/>
      <c r="HSQ512" s="69"/>
      <c r="HSR512" s="69"/>
      <c r="HSS512" s="2511"/>
      <c r="HST512" s="1755"/>
      <c r="HSU512" s="1756"/>
      <c r="HSV512" s="1756"/>
      <c r="HSW512" s="1757"/>
      <c r="HSX512" s="385"/>
      <c r="HSY512" s="69"/>
      <c r="HSZ512" s="69"/>
      <c r="HTA512" s="2511"/>
      <c r="HTB512" s="1755"/>
      <c r="HTC512" s="1756"/>
      <c r="HTD512" s="1756"/>
      <c r="HTE512" s="1757"/>
      <c r="HTF512" s="385"/>
      <c r="HTG512" s="69"/>
      <c r="HTH512" s="69"/>
      <c r="HTI512" s="2511"/>
      <c r="HTJ512" s="1755"/>
      <c r="HTK512" s="1756"/>
      <c r="HTL512" s="1756"/>
      <c r="HTM512" s="1757"/>
      <c r="HTN512" s="385"/>
      <c r="HTO512" s="69"/>
      <c r="HTP512" s="69"/>
      <c r="HTQ512" s="2511"/>
      <c r="HTR512" s="1755"/>
      <c r="HTS512" s="1756"/>
      <c r="HTT512" s="1756"/>
      <c r="HTU512" s="1757"/>
      <c r="HTV512" s="385"/>
      <c r="HTW512" s="69"/>
      <c r="HTX512" s="69"/>
      <c r="HTY512" s="2511"/>
      <c r="HTZ512" s="1755"/>
      <c r="HUA512" s="1756"/>
      <c r="HUB512" s="1756"/>
      <c r="HUC512" s="1757"/>
      <c r="HUD512" s="385"/>
      <c r="HUE512" s="69"/>
      <c r="HUF512" s="69"/>
      <c r="HUG512" s="2511"/>
      <c r="HUH512" s="1755"/>
      <c r="HUI512" s="1756"/>
      <c r="HUJ512" s="1756"/>
      <c r="HUK512" s="1757"/>
      <c r="HUL512" s="385"/>
      <c r="HUM512" s="69"/>
      <c r="HUN512" s="69"/>
      <c r="HUO512" s="2511"/>
      <c r="HUP512" s="1755"/>
      <c r="HUQ512" s="1756"/>
      <c r="HUR512" s="1756"/>
      <c r="HUS512" s="1757"/>
      <c r="HUT512" s="385"/>
      <c r="HUU512" s="69"/>
      <c r="HUV512" s="69"/>
      <c r="HUW512" s="2511"/>
      <c r="HUX512" s="1755"/>
      <c r="HUY512" s="1756"/>
      <c r="HUZ512" s="1756"/>
      <c r="HVA512" s="1757"/>
      <c r="HVB512" s="385"/>
      <c r="HVC512" s="69"/>
      <c r="HVD512" s="69"/>
      <c r="HVE512" s="2511"/>
      <c r="HVF512" s="1755"/>
      <c r="HVG512" s="1756"/>
      <c r="HVH512" s="1756"/>
      <c r="HVI512" s="1757"/>
      <c r="HVJ512" s="385"/>
      <c r="HVK512" s="69"/>
      <c r="HVL512" s="69"/>
      <c r="HVM512" s="2511"/>
      <c r="HVN512" s="1755"/>
      <c r="HVO512" s="1756"/>
      <c r="HVP512" s="1756"/>
      <c r="HVQ512" s="1757"/>
      <c r="HVR512" s="385"/>
      <c r="HVS512" s="69"/>
      <c r="HVT512" s="69"/>
      <c r="HVU512" s="2511"/>
      <c r="HVV512" s="1755"/>
      <c r="HVW512" s="1756"/>
      <c r="HVX512" s="1756"/>
      <c r="HVY512" s="1757"/>
      <c r="HVZ512" s="385"/>
      <c r="HWA512" s="69"/>
      <c r="HWB512" s="69"/>
      <c r="HWC512" s="2511"/>
      <c r="HWD512" s="1755"/>
      <c r="HWE512" s="1756"/>
      <c r="HWF512" s="1756"/>
      <c r="HWG512" s="1757"/>
      <c r="HWH512" s="385"/>
      <c r="HWI512" s="69"/>
      <c r="HWJ512" s="69"/>
      <c r="HWK512" s="2511"/>
      <c r="HWL512" s="1755"/>
      <c r="HWM512" s="1756"/>
      <c r="HWN512" s="1756"/>
      <c r="HWO512" s="1757"/>
      <c r="HWP512" s="385"/>
      <c r="HWQ512" s="69"/>
      <c r="HWR512" s="69"/>
      <c r="HWS512" s="2511"/>
      <c r="HWT512" s="1755"/>
      <c r="HWU512" s="1756"/>
      <c r="HWV512" s="1756"/>
      <c r="HWW512" s="1757"/>
      <c r="HWX512" s="385"/>
      <c r="HWY512" s="69"/>
      <c r="HWZ512" s="69"/>
      <c r="HXA512" s="2511"/>
      <c r="HXB512" s="1755"/>
      <c r="HXC512" s="1756"/>
      <c r="HXD512" s="1756"/>
      <c r="HXE512" s="1757"/>
      <c r="HXF512" s="385"/>
      <c r="HXG512" s="69"/>
      <c r="HXH512" s="69"/>
      <c r="HXI512" s="2511"/>
      <c r="HXJ512" s="1755"/>
      <c r="HXK512" s="1756"/>
      <c r="HXL512" s="1756"/>
      <c r="HXM512" s="1757"/>
      <c r="HXN512" s="385"/>
      <c r="HXO512" s="69"/>
      <c r="HXP512" s="69"/>
      <c r="HXQ512" s="2511"/>
      <c r="HXR512" s="1755"/>
      <c r="HXS512" s="1756"/>
      <c r="HXT512" s="1756"/>
      <c r="HXU512" s="1757"/>
      <c r="HXV512" s="385"/>
      <c r="HXW512" s="69"/>
      <c r="HXX512" s="69"/>
      <c r="HXY512" s="2511"/>
      <c r="HXZ512" s="1755"/>
      <c r="HYA512" s="1756"/>
      <c r="HYB512" s="1756"/>
      <c r="HYC512" s="1757"/>
      <c r="HYD512" s="385"/>
      <c r="HYE512" s="69"/>
      <c r="HYF512" s="69"/>
      <c r="HYG512" s="2511"/>
      <c r="HYH512" s="1755"/>
      <c r="HYI512" s="1756"/>
      <c r="HYJ512" s="1756"/>
      <c r="HYK512" s="1757"/>
      <c r="HYL512" s="385"/>
      <c r="HYM512" s="69"/>
      <c r="HYN512" s="69"/>
      <c r="HYO512" s="2511"/>
      <c r="HYP512" s="1755"/>
      <c r="HYQ512" s="1756"/>
      <c r="HYR512" s="1756"/>
      <c r="HYS512" s="1757"/>
      <c r="HYT512" s="385"/>
      <c r="HYU512" s="69"/>
      <c r="HYV512" s="69"/>
      <c r="HYW512" s="2511"/>
      <c r="HYX512" s="1755"/>
      <c r="HYY512" s="1756"/>
      <c r="HYZ512" s="1756"/>
      <c r="HZA512" s="1757"/>
      <c r="HZB512" s="385"/>
      <c r="HZC512" s="69"/>
      <c r="HZD512" s="69"/>
      <c r="HZE512" s="2511"/>
      <c r="HZF512" s="1755"/>
      <c r="HZG512" s="1756"/>
      <c r="HZH512" s="1756"/>
      <c r="HZI512" s="1757"/>
      <c r="HZJ512" s="385"/>
      <c r="HZK512" s="69"/>
      <c r="HZL512" s="69"/>
      <c r="HZM512" s="2511"/>
      <c r="HZN512" s="1755"/>
      <c r="HZO512" s="1756"/>
      <c r="HZP512" s="1756"/>
      <c r="HZQ512" s="1757"/>
      <c r="HZR512" s="385"/>
      <c r="HZS512" s="69"/>
      <c r="HZT512" s="69"/>
      <c r="HZU512" s="2511"/>
      <c r="HZV512" s="1755"/>
      <c r="HZW512" s="1756"/>
      <c r="HZX512" s="1756"/>
      <c r="HZY512" s="1757"/>
      <c r="HZZ512" s="385"/>
      <c r="IAA512" s="69"/>
      <c r="IAB512" s="69"/>
      <c r="IAC512" s="2511"/>
      <c r="IAD512" s="1755"/>
      <c r="IAE512" s="1756"/>
      <c r="IAF512" s="1756"/>
      <c r="IAG512" s="1757"/>
      <c r="IAH512" s="385"/>
      <c r="IAI512" s="69"/>
      <c r="IAJ512" s="69"/>
      <c r="IAK512" s="2511"/>
      <c r="IAL512" s="1755"/>
      <c r="IAM512" s="1756"/>
      <c r="IAN512" s="1756"/>
      <c r="IAO512" s="1757"/>
      <c r="IAP512" s="385"/>
      <c r="IAQ512" s="69"/>
      <c r="IAR512" s="69"/>
      <c r="IAS512" s="2511"/>
      <c r="IAT512" s="1755"/>
      <c r="IAU512" s="1756"/>
      <c r="IAV512" s="1756"/>
      <c r="IAW512" s="1757"/>
      <c r="IAX512" s="385"/>
      <c r="IAY512" s="69"/>
      <c r="IAZ512" s="69"/>
      <c r="IBA512" s="2511"/>
      <c r="IBB512" s="1755"/>
      <c r="IBC512" s="1756"/>
      <c r="IBD512" s="1756"/>
      <c r="IBE512" s="1757"/>
      <c r="IBF512" s="385"/>
      <c r="IBG512" s="69"/>
      <c r="IBH512" s="69"/>
      <c r="IBI512" s="2511"/>
      <c r="IBJ512" s="1755"/>
      <c r="IBK512" s="1756"/>
      <c r="IBL512" s="1756"/>
      <c r="IBM512" s="1757"/>
      <c r="IBN512" s="385"/>
      <c r="IBO512" s="69"/>
      <c r="IBP512" s="69"/>
      <c r="IBQ512" s="2511"/>
      <c r="IBR512" s="1755"/>
      <c r="IBS512" s="1756"/>
      <c r="IBT512" s="1756"/>
      <c r="IBU512" s="1757"/>
      <c r="IBV512" s="385"/>
      <c r="IBW512" s="69"/>
      <c r="IBX512" s="69"/>
      <c r="IBY512" s="2511"/>
      <c r="IBZ512" s="1755"/>
      <c r="ICA512" s="1756"/>
      <c r="ICB512" s="1756"/>
      <c r="ICC512" s="1757"/>
      <c r="ICD512" s="385"/>
      <c r="ICE512" s="69"/>
      <c r="ICF512" s="69"/>
      <c r="ICG512" s="2511"/>
      <c r="ICH512" s="1755"/>
      <c r="ICI512" s="1756"/>
      <c r="ICJ512" s="1756"/>
      <c r="ICK512" s="1757"/>
      <c r="ICL512" s="385"/>
      <c r="ICM512" s="69"/>
      <c r="ICN512" s="69"/>
      <c r="ICO512" s="2511"/>
      <c r="ICP512" s="1755"/>
      <c r="ICQ512" s="1756"/>
      <c r="ICR512" s="1756"/>
      <c r="ICS512" s="1757"/>
      <c r="ICT512" s="385"/>
      <c r="ICU512" s="69"/>
      <c r="ICV512" s="69"/>
      <c r="ICW512" s="2511"/>
      <c r="ICX512" s="1755"/>
      <c r="ICY512" s="1756"/>
      <c r="ICZ512" s="1756"/>
      <c r="IDA512" s="1757"/>
      <c r="IDB512" s="385"/>
      <c r="IDC512" s="69"/>
      <c r="IDD512" s="69"/>
      <c r="IDE512" s="2511"/>
      <c r="IDF512" s="1755"/>
      <c r="IDG512" s="1756"/>
      <c r="IDH512" s="1756"/>
      <c r="IDI512" s="1757"/>
      <c r="IDJ512" s="385"/>
      <c r="IDK512" s="69"/>
      <c r="IDL512" s="69"/>
      <c r="IDM512" s="2511"/>
      <c r="IDN512" s="1755"/>
      <c r="IDO512" s="1756"/>
      <c r="IDP512" s="1756"/>
      <c r="IDQ512" s="1757"/>
      <c r="IDR512" s="385"/>
      <c r="IDS512" s="69"/>
      <c r="IDT512" s="69"/>
      <c r="IDU512" s="2511"/>
      <c r="IDV512" s="1755"/>
      <c r="IDW512" s="1756"/>
      <c r="IDX512" s="1756"/>
      <c r="IDY512" s="1757"/>
      <c r="IDZ512" s="385"/>
      <c r="IEA512" s="69"/>
      <c r="IEB512" s="69"/>
      <c r="IEC512" s="2511"/>
      <c r="IED512" s="1755"/>
      <c r="IEE512" s="1756"/>
      <c r="IEF512" s="1756"/>
      <c r="IEG512" s="1757"/>
      <c r="IEH512" s="385"/>
      <c r="IEI512" s="69"/>
      <c r="IEJ512" s="69"/>
      <c r="IEK512" s="2511"/>
      <c r="IEL512" s="1755"/>
      <c r="IEM512" s="1756"/>
      <c r="IEN512" s="1756"/>
      <c r="IEO512" s="1757"/>
      <c r="IEP512" s="385"/>
      <c r="IEQ512" s="69"/>
      <c r="IER512" s="69"/>
      <c r="IES512" s="2511"/>
      <c r="IET512" s="1755"/>
      <c r="IEU512" s="1756"/>
      <c r="IEV512" s="1756"/>
      <c r="IEW512" s="1757"/>
      <c r="IEX512" s="385"/>
      <c r="IEY512" s="69"/>
      <c r="IEZ512" s="69"/>
      <c r="IFA512" s="2511"/>
      <c r="IFB512" s="1755"/>
      <c r="IFC512" s="1756"/>
      <c r="IFD512" s="1756"/>
      <c r="IFE512" s="1757"/>
      <c r="IFF512" s="385"/>
      <c r="IFG512" s="69"/>
      <c r="IFH512" s="69"/>
      <c r="IFI512" s="2511"/>
      <c r="IFJ512" s="1755"/>
      <c r="IFK512" s="1756"/>
      <c r="IFL512" s="1756"/>
      <c r="IFM512" s="1757"/>
      <c r="IFN512" s="385"/>
      <c r="IFO512" s="69"/>
      <c r="IFP512" s="69"/>
      <c r="IFQ512" s="2511"/>
      <c r="IFR512" s="1755"/>
      <c r="IFS512" s="1756"/>
      <c r="IFT512" s="1756"/>
      <c r="IFU512" s="1757"/>
      <c r="IFV512" s="385"/>
      <c r="IFW512" s="69"/>
      <c r="IFX512" s="69"/>
      <c r="IFY512" s="2511"/>
      <c r="IFZ512" s="1755"/>
      <c r="IGA512" s="1756"/>
      <c r="IGB512" s="1756"/>
      <c r="IGC512" s="1757"/>
      <c r="IGD512" s="385"/>
      <c r="IGE512" s="69"/>
      <c r="IGF512" s="69"/>
      <c r="IGG512" s="2511"/>
      <c r="IGH512" s="1755"/>
      <c r="IGI512" s="1756"/>
      <c r="IGJ512" s="1756"/>
      <c r="IGK512" s="1757"/>
      <c r="IGL512" s="385"/>
      <c r="IGM512" s="69"/>
      <c r="IGN512" s="69"/>
      <c r="IGO512" s="2511"/>
      <c r="IGP512" s="1755"/>
      <c r="IGQ512" s="1756"/>
      <c r="IGR512" s="1756"/>
      <c r="IGS512" s="1757"/>
      <c r="IGT512" s="385"/>
      <c r="IGU512" s="69"/>
      <c r="IGV512" s="69"/>
      <c r="IGW512" s="2511"/>
      <c r="IGX512" s="1755"/>
      <c r="IGY512" s="1756"/>
      <c r="IGZ512" s="1756"/>
      <c r="IHA512" s="1757"/>
      <c r="IHB512" s="385"/>
      <c r="IHC512" s="69"/>
      <c r="IHD512" s="69"/>
      <c r="IHE512" s="2511"/>
      <c r="IHF512" s="1755"/>
      <c r="IHG512" s="1756"/>
      <c r="IHH512" s="1756"/>
      <c r="IHI512" s="1757"/>
      <c r="IHJ512" s="385"/>
      <c r="IHK512" s="69"/>
      <c r="IHL512" s="69"/>
      <c r="IHM512" s="2511"/>
      <c r="IHN512" s="1755"/>
      <c r="IHO512" s="1756"/>
      <c r="IHP512" s="1756"/>
      <c r="IHQ512" s="1757"/>
      <c r="IHR512" s="385"/>
      <c r="IHS512" s="69"/>
      <c r="IHT512" s="69"/>
      <c r="IHU512" s="2511"/>
      <c r="IHV512" s="1755"/>
      <c r="IHW512" s="1756"/>
      <c r="IHX512" s="1756"/>
      <c r="IHY512" s="1757"/>
      <c r="IHZ512" s="385"/>
      <c r="IIA512" s="69"/>
      <c r="IIB512" s="69"/>
      <c r="IIC512" s="2511"/>
      <c r="IID512" s="1755"/>
      <c r="IIE512" s="1756"/>
      <c r="IIF512" s="1756"/>
      <c r="IIG512" s="1757"/>
      <c r="IIH512" s="385"/>
      <c r="III512" s="69"/>
      <c r="IIJ512" s="69"/>
      <c r="IIK512" s="2511"/>
      <c r="IIL512" s="1755"/>
      <c r="IIM512" s="1756"/>
      <c r="IIN512" s="1756"/>
      <c r="IIO512" s="1757"/>
      <c r="IIP512" s="385"/>
      <c r="IIQ512" s="69"/>
      <c r="IIR512" s="69"/>
      <c r="IIS512" s="2511"/>
      <c r="IIT512" s="1755"/>
      <c r="IIU512" s="1756"/>
      <c r="IIV512" s="1756"/>
      <c r="IIW512" s="1757"/>
      <c r="IIX512" s="385"/>
      <c r="IIY512" s="69"/>
      <c r="IIZ512" s="69"/>
      <c r="IJA512" s="2511"/>
      <c r="IJB512" s="1755"/>
      <c r="IJC512" s="1756"/>
      <c r="IJD512" s="1756"/>
      <c r="IJE512" s="1757"/>
      <c r="IJF512" s="385"/>
      <c r="IJG512" s="69"/>
      <c r="IJH512" s="69"/>
      <c r="IJI512" s="2511"/>
      <c r="IJJ512" s="1755"/>
      <c r="IJK512" s="1756"/>
      <c r="IJL512" s="1756"/>
      <c r="IJM512" s="1757"/>
      <c r="IJN512" s="385"/>
      <c r="IJO512" s="69"/>
      <c r="IJP512" s="69"/>
      <c r="IJQ512" s="2511"/>
      <c r="IJR512" s="1755"/>
      <c r="IJS512" s="1756"/>
      <c r="IJT512" s="1756"/>
      <c r="IJU512" s="1757"/>
      <c r="IJV512" s="385"/>
      <c r="IJW512" s="69"/>
      <c r="IJX512" s="69"/>
      <c r="IJY512" s="2511"/>
      <c r="IJZ512" s="1755"/>
      <c r="IKA512" s="1756"/>
      <c r="IKB512" s="1756"/>
      <c r="IKC512" s="1757"/>
      <c r="IKD512" s="385"/>
      <c r="IKE512" s="69"/>
      <c r="IKF512" s="69"/>
      <c r="IKG512" s="2511"/>
      <c r="IKH512" s="1755"/>
      <c r="IKI512" s="1756"/>
      <c r="IKJ512" s="1756"/>
      <c r="IKK512" s="1757"/>
      <c r="IKL512" s="385"/>
      <c r="IKM512" s="69"/>
      <c r="IKN512" s="69"/>
      <c r="IKO512" s="2511"/>
      <c r="IKP512" s="1755"/>
      <c r="IKQ512" s="1756"/>
      <c r="IKR512" s="1756"/>
      <c r="IKS512" s="1757"/>
      <c r="IKT512" s="385"/>
      <c r="IKU512" s="69"/>
      <c r="IKV512" s="69"/>
      <c r="IKW512" s="2511"/>
      <c r="IKX512" s="1755"/>
      <c r="IKY512" s="1756"/>
      <c r="IKZ512" s="1756"/>
      <c r="ILA512" s="1757"/>
      <c r="ILB512" s="385"/>
      <c r="ILC512" s="69"/>
      <c r="ILD512" s="69"/>
      <c r="ILE512" s="2511"/>
      <c r="ILF512" s="1755"/>
      <c r="ILG512" s="1756"/>
      <c r="ILH512" s="1756"/>
      <c r="ILI512" s="1757"/>
      <c r="ILJ512" s="385"/>
      <c r="ILK512" s="69"/>
      <c r="ILL512" s="69"/>
      <c r="ILM512" s="2511"/>
      <c r="ILN512" s="1755"/>
      <c r="ILO512" s="1756"/>
      <c r="ILP512" s="1756"/>
      <c r="ILQ512" s="1757"/>
      <c r="ILR512" s="385"/>
      <c r="ILS512" s="69"/>
      <c r="ILT512" s="69"/>
      <c r="ILU512" s="2511"/>
      <c r="ILV512" s="1755"/>
      <c r="ILW512" s="1756"/>
      <c r="ILX512" s="1756"/>
      <c r="ILY512" s="1757"/>
      <c r="ILZ512" s="385"/>
      <c r="IMA512" s="69"/>
      <c r="IMB512" s="69"/>
      <c r="IMC512" s="2511"/>
      <c r="IMD512" s="1755"/>
      <c r="IME512" s="1756"/>
      <c r="IMF512" s="1756"/>
      <c r="IMG512" s="1757"/>
      <c r="IMH512" s="385"/>
      <c r="IMI512" s="69"/>
      <c r="IMJ512" s="69"/>
      <c r="IMK512" s="2511"/>
      <c r="IML512" s="1755"/>
      <c r="IMM512" s="1756"/>
      <c r="IMN512" s="1756"/>
      <c r="IMO512" s="1757"/>
      <c r="IMP512" s="385"/>
      <c r="IMQ512" s="69"/>
      <c r="IMR512" s="69"/>
      <c r="IMS512" s="2511"/>
      <c r="IMT512" s="1755"/>
      <c r="IMU512" s="1756"/>
      <c r="IMV512" s="1756"/>
      <c r="IMW512" s="1757"/>
      <c r="IMX512" s="385"/>
      <c r="IMY512" s="69"/>
      <c r="IMZ512" s="69"/>
      <c r="INA512" s="2511"/>
      <c r="INB512" s="1755"/>
      <c r="INC512" s="1756"/>
      <c r="IND512" s="1756"/>
      <c r="INE512" s="1757"/>
      <c r="INF512" s="385"/>
      <c r="ING512" s="69"/>
      <c r="INH512" s="69"/>
      <c r="INI512" s="2511"/>
      <c r="INJ512" s="1755"/>
      <c r="INK512" s="1756"/>
      <c r="INL512" s="1756"/>
      <c r="INM512" s="1757"/>
      <c r="INN512" s="385"/>
      <c r="INO512" s="69"/>
      <c r="INP512" s="69"/>
      <c r="INQ512" s="2511"/>
      <c r="INR512" s="1755"/>
      <c r="INS512" s="1756"/>
      <c r="INT512" s="1756"/>
      <c r="INU512" s="1757"/>
      <c r="INV512" s="385"/>
      <c r="INW512" s="69"/>
      <c r="INX512" s="69"/>
      <c r="INY512" s="2511"/>
      <c r="INZ512" s="1755"/>
      <c r="IOA512" s="1756"/>
      <c r="IOB512" s="1756"/>
      <c r="IOC512" s="1757"/>
      <c r="IOD512" s="385"/>
      <c r="IOE512" s="69"/>
      <c r="IOF512" s="69"/>
      <c r="IOG512" s="2511"/>
      <c r="IOH512" s="1755"/>
      <c r="IOI512" s="1756"/>
      <c r="IOJ512" s="1756"/>
      <c r="IOK512" s="1757"/>
      <c r="IOL512" s="385"/>
      <c r="IOM512" s="69"/>
      <c r="ION512" s="69"/>
      <c r="IOO512" s="2511"/>
      <c r="IOP512" s="1755"/>
      <c r="IOQ512" s="1756"/>
      <c r="IOR512" s="1756"/>
      <c r="IOS512" s="1757"/>
      <c r="IOT512" s="385"/>
      <c r="IOU512" s="69"/>
      <c r="IOV512" s="69"/>
      <c r="IOW512" s="2511"/>
      <c r="IOX512" s="1755"/>
      <c r="IOY512" s="1756"/>
      <c r="IOZ512" s="1756"/>
      <c r="IPA512" s="1757"/>
      <c r="IPB512" s="385"/>
      <c r="IPC512" s="69"/>
      <c r="IPD512" s="69"/>
      <c r="IPE512" s="2511"/>
      <c r="IPF512" s="1755"/>
      <c r="IPG512" s="1756"/>
      <c r="IPH512" s="1756"/>
      <c r="IPI512" s="1757"/>
      <c r="IPJ512" s="385"/>
      <c r="IPK512" s="69"/>
      <c r="IPL512" s="69"/>
      <c r="IPM512" s="2511"/>
      <c r="IPN512" s="1755"/>
      <c r="IPO512" s="1756"/>
      <c r="IPP512" s="1756"/>
      <c r="IPQ512" s="1757"/>
      <c r="IPR512" s="385"/>
      <c r="IPS512" s="69"/>
      <c r="IPT512" s="69"/>
      <c r="IPU512" s="2511"/>
      <c r="IPV512" s="1755"/>
      <c r="IPW512" s="1756"/>
      <c r="IPX512" s="1756"/>
      <c r="IPY512" s="1757"/>
      <c r="IPZ512" s="385"/>
      <c r="IQA512" s="69"/>
      <c r="IQB512" s="69"/>
      <c r="IQC512" s="2511"/>
      <c r="IQD512" s="1755"/>
      <c r="IQE512" s="1756"/>
      <c r="IQF512" s="1756"/>
      <c r="IQG512" s="1757"/>
      <c r="IQH512" s="385"/>
      <c r="IQI512" s="69"/>
      <c r="IQJ512" s="69"/>
      <c r="IQK512" s="2511"/>
      <c r="IQL512" s="1755"/>
      <c r="IQM512" s="1756"/>
      <c r="IQN512" s="1756"/>
      <c r="IQO512" s="1757"/>
      <c r="IQP512" s="385"/>
      <c r="IQQ512" s="69"/>
      <c r="IQR512" s="69"/>
      <c r="IQS512" s="2511"/>
      <c r="IQT512" s="1755"/>
      <c r="IQU512" s="1756"/>
      <c r="IQV512" s="1756"/>
      <c r="IQW512" s="1757"/>
      <c r="IQX512" s="385"/>
      <c r="IQY512" s="69"/>
      <c r="IQZ512" s="69"/>
      <c r="IRA512" s="2511"/>
      <c r="IRB512" s="1755"/>
      <c r="IRC512" s="1756"/>
      <c r="IRD512" s="1756"/>
      <c r="IRE512" s="1757"/>
      <c r="IRF512" s="385"/>
      <c r="IRG512" s="69"/>
      <c r="IRH512" s="69"/>
      <c r="IRI512" s="2511"/>
      <c r="IRJ512" s="1755"/>
      <c r="IRK512" s="1756"/>
      <c r="IRL512" s="1756"/>
      <c r="IRM512" s="1757"/>
      <c r="IRN512" s="385"/>
      <c r="IRO512" s="69"/>
      <c r="IRP512" s="69"/>
      <c r="IRQ512" s="2511"/>
      <c r="IRR512" s="1755"/>
      <c r="IRS512" s="1756"/>
      <c r="IRT512" s="1756"/>
      <c r="IRU512" s="1757"/>
      <c r="IRV512" s="385"/>
      <c r="IRW512" s="69"/>
      <c r="IRX512" s="69"/>
      <c r="IRY512" s="2511"/>
      <c r="IRZ512" s="1755"/>
      <c r="ISA512" s="1756"/>
      <c r="ISB512" s="1756"/>
      <c r="ISC512" s="1757"/>
      <c r="ISD512" s="385"/>
      <c r="ISE512" s="69"/>
      <c r="ISF512" s="69"/>
      <c r="ISG512" s="2511"/>
      <c r="ISH512" s="1755"/>
      <c r="ISI512" s="1756"/>
      <c r="ISJ512" s="1756"/>
      <c r="ISK512" s="1757"/>
      <c r="ISL512" s="385"/>
      <c r="ISM512" s="69"/>
      <c r="ISN512" s="69"/>
      <c r="ISO512" s="2511"/>
      <c r="ISP512" s="1755"/>
      <c r="ISQ512" s="1756"/>
      <c r="ISR512" s="1756"/>
      <c r="ISS512" s="1757"/>
      <c r="IST512" s="385"/>
      <c r="ISU512" s="69"/>
      <c r="ISV512" s="69"/>
      <c r="ISW512" s="2511"/>
      <c r="ISX512" s="1755"/>
      <c r="ISY512" s="1756"/>
      <c r="ISZ512" s="1756"/>
      <c r="ITA512" s="1757"/>
      <c r="ITB512" s="385"/>
      <c r="ITC512" s="69"/>
      <c r="ITD512" s="69"/>
      <c r="ITE512" s="2511"/>
      <c r="ITF512" s="1755"/>
      <c r="ITG512" s="1756"/>
      <c r="ITH512" s="1756"/>
      <c r="ITI512" s="1757"/>
      <c r="ITJ512" s="385"/>
      <c r="ITK512" s="69"/>
      <c r="ITL512" s="69"/>
      <c r="ITM512" s="2511"/>
      <c r="ITN512" s="1755"/>
      <c r="ITO512" s="1756"/>
      <c r="ITP512" s="1756"/>
      <c r="ITQ512" s="1757"/>
      <c r="ITR512" s="385"/>
      <c r="ITS512" s="69"/>
      <c r="ITT512" s="69"/>
      <c r="ITU512" s="2511"/>
      <c r="ITV512" s="1755"/>
      <c r="ITW512" s="1756"/>
      <c r="ITX512" s="1756"/>
      <c r="ITY512" s="1757"/>
      <c r="ITZ512" s="385"/>
      <c r="IUA512" s="69"/>
      <c r="IUB512" s="69"/>
      <c r="IUC512" s="2511"/>
      <c r="IUD512" s="1755"/>
      <c r="IUE512" s="1756"/>
      <c r="IUF512" s="1756"/>
      <c r="IUG512" s="1757"/>
      <c r="IUH512" s="385"/>
      <c r="IUI512" s="69"/>
      <c r="IUJ512" s="69"/>
      <c r="IUK512" s="2511"/>
      <c r="IUL512" s="1755"/>
      <c r="IUM512" s="1756"/>
      <c r="IUN512" s="1756"/>
      <c r="IUO512" s="1757"/>
      <c r="IUP512" s="385"/>
      <c r="IUQ512" s="69"/>
      <c r="IUR512" s="69"/>
      <c r="IUS512" s="2511"/>
      <c r="IUT512" s="1755"/>
      <c r="IUU512" s="1756"/>
      <c r="IUV512" s="1756"/>
      <c r="IUW512" s="1757"/>
      <c r="IUX512" s="385"/>
      <c r="IUY512" s="69"/>
      <c r="IUZ512" s="69"/>
      <c r="IVA512" s="2511"/>
      <c r="IVB512" s="1755"/>
      <c r="IVC512" s="1756"/>
      <c r="IVD512" s="1756"/>
      <c r="IVE512" s="1757"/>
      <c r="IVF512" s="385"/>
      <c r="IVG512" s="69"/>
      <c r="IVH512" s="69"/>
      <c r="IVI512" s="2511"/>
      <c r="IVJ512" s="1755"/>
      <c r="IVK512" s="1756"/>
      <c r="IVL512" s="1756"/>
      <c r="IVM512" s="1757"/>
      <c r="IVN512" s="385"/>
      <c r="IVO512" s="69"/>
      <c r="IVP512" s="69"/>
      <c r="IVQ512" s="2511"/>
      <c r="IVR512" s="1755"/>
      <c r="IVS512" s="1756"/>
      <c r="IVT512" s="1756"/>
      <c r="IVU512" s="1757"/>
      <c r="IVV512" s="385"/>
      <c r="IVW512" s="69"/>
      <c r="IVX512" s="69"/>
      <c r="IVY512" s="2511"/>
      <c r="IVZ512" s="1755"/>
      <c r="IWA512" s="1756"/>
      <c r="IWB512" s="1756"/>
      <c r="IWC512" s="1757"/>
      <c r="IWD512" s="385"/>
      <c r="IWE512" s="69"/>
      <c r="IWF512" s="69"/>
      <c r="IWG512" s="2511"/>
      <c r="IWH512" s="1755"/>
      <c r="IWI512" s="1756"/>
      <c r="IWJ512" s="1756"/>
      <c r="IWK512" s="1757"/>
      <c r="IWL512" s="385"/>
      <c r="IWM512" s="69"/>
      <c r="IWN512" s="69"/>
      <c r="IWO512" s="2511"/>
      <c r="IWP512" s="1755"/>
      <c r="IWQ512" s="1756"/>
      <c r="IWR512" s="1756"/>
      <c r="IWS512" s="1757"/>
      <c r="IWT512" s="385"/>
      <c r="IWU512" s="69"/>
      <c r="IWV512" s="69"/>
      <c r="IWW512" s="2511"/>
      <c r="IWX512" s="1755"/>
      <c r="IWY512" s="1756"/>
      <c r="IWZ512" s="1756"/>
      <c r="IXA512" s="1757"/>
      <c r="IXB512" s="385"/>
      <c r="IXC512" s="69"/>
      <c r="IXD512" s="69"/>
      <c r="IXE512" s="2511"/>
      <c r="IXF512" s="1755"/>
      <c r="IXG512" s="1756"/>
      <c r="IXH512" s="1756"/>
      <c r="IXI512" s="1757"/>
      <c r="IXJ512" s="385"/>
      <c r="IXK512" s="69"/>
      <c r="IXL512" s="69"/>
      <c r="IXM512" s="2511"/>
      <c r="IXN512" s="1755"/>
      <c r="IXO512" s="1756"/>
      <c r="IXP512" s="1756"/>
      <c r="IXQ512" s="1757"/>
      <c r="IXR512" s="385"/>
      <c r="IXS512" s="69"/>
      <c r="IXT512" s="69"/>
      <c r="IXU512" s="2511"/>
      <c r="IXV512" s="1755"/>
      <c r="IXW512" s="1756"/>
      <c r="IXX512" s="1756"/>
      <c r="IXY512" s="1757"/>
      <c r="IXZ512" s="385"/>
      <c r="IYA512" s="69"/>
      <c r="IYB512" s="69"/>
      <c r="IYC512" s="2511"/>
      <c r="IYD512" s="1755"/>
      <c r="IYE512" s="1756"/>
      <c r="IYF512" s="1756"/>
      <c r="IYG512" s="1757"/>
      <c r="IYH512" s="385"/>
      <c r="IYI512" s="69"/>
      <c r="IYJ512" s="69"/>
      <c r="IYK512" s="2511"/>
      <c r="IYL512" s="1755"/>
      <c r="IYM512" s="1756"/>
      <c r="IYN512" s="1756"/>
      <c r="IYO512" s="1757"/>
      <c r="IYP512" s="385"/>
      <c r="IYQ512" s="69"/>
      <c r="IYR512" s="69"/>
      <c r="IYS512" s="2511"/>
      <c r="IYT512" s="1755"/>
      <c r="IYU512" s="1756"/>
      <c r="IYV512" s="1756"/>
      <c r="IYW512" s="1757"/>
      <c r="IYX512" s="385"/>
      <c r="IYY512" s="69"/>
      <c r="IYZ512" s="69"/>
      <c r="IZA512" s="2511"/>
      <c r="IZB512" s="1755"/>
      <c r="IZC512" s="1756"/>
      <c r="IZD512" s="1756"/>
      <c r="IZE512" s="1757"/>
      <c r="IZF512" s="385"/>
      <c r="IZG512" s="69"/>
      <c r="IZH512" s="69"/>
      <c r="IZI512" s="2511"/>
      <c r="IZJ512" s="1755"/>
      <c r="IZK512" s="1756"/>
      <c r="IZL512" s="1756"/>
      <c r="IZM512" s="1757"/>
      <c r="IZN512" s="385"/>
      <c r="IZO512" s="69"/>
      <c r="IZP512" s="69"/>
      <c r="IZQ512" s="2511"/>
      <c r="IZR512" s="1755"/>
      <c r="IZS512" s="1756"/>
      <c r="IZT512" s="1756"/>
      <c r="IZU512" s="1757"/>
      <c r="IZV512" s="385"/>
      <c r="IZW512" s="69"/>
      <c r="IZX512" s="69"/>
      <c r="IZY512" s="2511"/>
      <c r="IZZ512" s="1755"/>
      <c r="JAA512" s="1756"/>
      <c r="JAB512" s="1756"/>
      <c r="JAC512" s="1757"/>
      <c r="JAD512" s="385"/>
      <c r="JAE512" s="69"/>
      <c r="JAF512" s="69"/>
      <c r="JAG512" s="2511"/>
      <c r="JAH512" s="1755"/>
      <c r="JAI512" s="1756"/>
      <c r="JAJ512" s="1756"/>
      <c r="JAK512" s="1757"/>
      <c r="JAL512" s="385"/>
      <c r="JAM512" s="69"/>
      <c r="JAN512" s="69"/>
      <c r="JAO512" s="2511"/>
      <c r="JAP512" s="1755"/>
      <c r="JAQ512" s="1756"/>
      <c r="JAR512" s="1756"/>
      <c r="JAS512" s="1757"/>
      <c r="JAT512" s="385"/>
      <c r="JAU512" s="69"/>
      <c r="JAV512" s="69"/>
      <c r="JAW512" s="2511"/>
      <c r="JAX512" s="1755"/>
      <c r="JAY512" s="1756"/>
      <c r="JAZ512" s="1756"/>
      <c r="JBA512" s="1757"/>
      <c r="JBB512" s="385"/>
      <c r="JBC512" s="69"/>
      <c r="JBD512" s="69"/>
      <c r="JBE512" s="2511"/>
      <c r="JBF512" s="1755"/>
      <c r="JBG512" s="1756"/>
      <c r="JBH512" s="1756"/>
      <c r="JBI512" s="1757"/>
      <c r="JBJ512" s="385"/>
      <c r="JBK512" s="69"/>
      <c r="JBL512" s="69"/>
      <c r="JBM512" s="2511"/>
      <c r="JBN512" s="1755"/>
      <c r="JBO512" s="1756"/>
      <c r="JBP512" s="1756"/>
      <c r="JBQ512" s="1757"/>
      <c r="JBR512" s="385"/>
      <c r="JBS512" s="69"/>
      <c r="JBT512" s="69"/>
      <c r="JBU512" s="2511"/>
      <c r="JBV512" s="1755"/>
      <c r="JBW512" s="1756"/>
      <c r="JBX512" s="1756"/>
      <c r="JBY512" s="1757"/>
      <c r="JBZ512" s="385"/>
      <c r="JCA512" s="69"/>
      <c r="JCB512" s="69"/>
      <c r="JCC512" s="2511"/>
      <c r="JCD512" s="1755"/>
      <c r="JCE512" s="1756"/>
      <c r="JCF512" s="1756"/>
      <c r="JCG512" s="1757"/>
      <c r="JCH512" s="385"/>
      <c r="JCI512" s="69"/>
      <c r="JCJ512" s="69"/>
      <c r="JCK512" s="2511"/>
      <c r="JCL512" s="1755"/>
      <c r="JCM512" s="1756"/>
      <c r="JCN512" s="1756"/>
      <c r="JCO512" s="1757"/>
      <c r="JCP512" s="385"/>
      <c r="JCQ512" s="69"/>
      <c r="JCR512" s="69"/>
      <c r="JCS512" s="2511"/>
      <c r="JCT512" s="1755"/>
      <c r="JCU512" s="1756"/>
      <c r="JCV512" s="1756"/>
      <c r="JCW512" s="1757"/>
      <c r="JCX512" s="385"/>
      <c r="JCY512" s="69"/>
      <c r="JCZ512" s="69"/>
      <c r="JDA512" s="2511"/>
      <c r="JDB512" s="1755"/>
      <c r="JDC512" s="1756"/>
      <c r="JDD512" s="1756"/>
      <c r="JDE512" s="1757"/>
      <c r="JDF512" s="385"/>
      <c r="JDG512" s="69"/>
      <c r="JDH512" s="69"/>
      <c r="JDI512" s="2511"/>
      <c r="JDJ512" s="1755"/>
      <c r="JDK512" s="1756"/>
      <c r="JDL512" s="1756"/>
      <c r="JDM512" s="1757"/>
      <c r="JDN512" s="385"/>
      <c r="JDO512" s="69"/>
      <c r="JDP512" s="69"/>
      <c r="JDQ512" s="2511"/>
      <c r="JDR512" s="1755"/>
      <c r="JDS512" s="1756"/>
      <c r="JDT512" s="1756"/>
      <c r="JDU512" s="1757"/>
      <c r="JDV512" s="385"/>
      <c r="JDW512" s="69"/>
      <c r="JDX512" s="69"/>
      <c r="JDY512" s="2511"/>
      <c r="JDZ512" s="1755"/>
      <c r="JEA512" s="1756"/>
      <c r="JEB512" s="1756"/>
      <c r="JEC512" s="1757"/>
      <c r="JED512" s="385"/>
      <c r="JEE512" s="69"/>
      <c r="JEF512" s="69"/>
      <c r="JEG512" s="2511"/>
      <c r="JEH512" s="1755"/>
      <c r="JEI512" s="1756"/>
      <c r="JEJ512" s="1756"/>
      <c r="JEK512" s="1757"/>
      <c r="JEL512" s="385"/>
      <c r="JEM512" s="69"/>
      <c r="JEN512" s="69"/>
      <c r="JEO512" s="2511"/>
      <c r="JEP512" s="1755"/>
      <c r="JEQ512" s="1756"/>
      <c r="JER512" s="1756"/>
      <c r="JES512" s="1757"/>
      <c r="JET512" s="385"/>
      <c r="JEU512" s="69"/>
      <c r="JEV512" s="69"/>
      <c r="JEW512" s="2511"/>
      <c r="JEX512" s="1755"/>
      <c r="JEY512" s="1756"/>
      <c r="JEZ512" s="1756"/>
      <c r="JFA512" s="1757"/>
      <c r="JFB512" s="385"/>
      <c r="JFC512" s="69"/>
      <c r="JFD512" s="69"/>
      <c r="JFE512" s="2511"/>
      <c r="JFF512" s="1755"/>
      <c r="JFG512" s="1756"/>
      <c r="JFH512" s="1756"/>
      <c r="JFI512" s="1757"/>
      <c r="JFJ512" s="385"/>
      <c r="JFK512" s="69"/>
      <c r="JFL512" s="69"/>
      <c r="JFM512" s="2511"/>
      <c r="JFN512" s="1755"/>
      <c r="JFO512" s="1756"/>
      <c r="JFP512" s="1756"/>
      <c r="JFQ512" s="1757"/>
      <c r="JFR512" s="385"/>
      <c r="JFS512" s="69"/>
      <c r="JFT512" s="69"/>
      <c r="JFU512" s="2511"/>
      <c r="JFV512" s="1755"/>
      <c r="JFW512" s="1756"/>
      <c r="JFX512" s="1756"/>
      <c r="JFY512" s="1757"/>
      <c r="JFZ512" s="385"/>
      <c r="JGA512" s="69"/>
      <c r="JGB512" s="69"/>
      <c r="JGC512" s="2511"/>
      <c r="JGD512" s="1755"/>
      <c r="JGE512" s="1756"/>
      <c r="JGF512" s="1756"/>
      <c r="JGG512" s="1757"/>
      <c r="JGH512" s="385"/>
      <c r="JGI512" s="69"/>
      <c r="JGJ512" s="69"/>
      <c r="JGK512" s="2511"/>
      <c r="JGL512" s="1755"/>
      <c r="JGM512" s="1756"/>
      <c r="JGN512" s="1756"/>
      <c r="JGO512" s="1757"/>
      <c r="JGP512" s="385"/>
      <c r="JGQ512" s="69"/>
      <c r="JGR512" s="69"/>
      <c r="JGS512" s="2511"/>
      <c r="JGT512" s="1755"/>
      <c r="JGU512" s="1756"/>
      <c r="JGV512" s="1756"/>
      <c r="JGW512" s="1757"/>
      <c r="JGX512" s="385"/>
      <c r="JGY512" s="69"/>
      <c r="JGZ512" s="69"/>
      <c r="JHA512" s="2511"/>
      <c r="JHB512" s="1755"/>
      <c r="JHC512" s="1756"/>
      <c r="JHD512" s="1756"/>
      <c r="JHE512" s="1757"/>
      <c r="JHF512" s="385"/>
      <c r="JHG512" s="69"/>
      <c r="JHH512" s="69"/>
      <c r="JHI512" s="2511"/>
      <c r="JHJ512" s="1755"/>
      <c r="JHK512" s="1756"/>
      <c r="JHL512" s="1756"/>
      <c r="JHM512" s="1757"/>
      <c r="JHN512" s="385"/>
      <c r="JHO512" s="69"/>
      <c r="JHP512" s="69"/>
      <c r="JHQ512" s="2511"/>
      <c r="JHR512" s="1755"/>
      <c r="JHS512" s="1756"/>
      <c r="JHT512" s="1756"/>
      <c r="JHU512" s="1757"/>
      <c r="JHV512" s="385"/>
      <c r="JHW512" s="69"/>
      <c r="JHX512" s="69"/>
      <c r="JHY512" s="2511"/>
      <c r="JHZ512" s="1755"/>
      <c r="JIA512" s="1756"/>
      <c r="JIB512" s="1756"/>
      <c r="JIC512" s="1757"/>
      <c r="JID512" s="385"/>
      <c r="JIE512" s="69"/>
      <c r="JIF512" s="69"/>
      <c r="JIG512" s="2511"/>
      <c r="JIH512" s="1755"/>
      <c r="JII512" s="1756"/>
      <c r="JIJ512" s="1756"/>
      <c r="JIK512" s="1757"/>
      <c r="JIL512" s="385"/>
      <c r="JIM512" s="69"/>
      <c r="JIN512" s="69"/>
      <c r="JIO512" s="2511"/>
      <c r="JIP512" s="1755"/>
      <c r="JIQ512" s="1756"/>
      <c r="JIR512" s="1756"/>
      <c r="JIS512" s="1757"/>
      <c r="JIT512" s="385"/>
      <c r="JIU512" s="69"/>
      <c r="JIV512" s="69"/>
      <c r="JIW512" s="2511"/>
      <c r="JIX512" s="1755"/>
      <c r="JIY512" s="1756"/>
      <c r="JIZ512" s="1756"/>
      <c r="JJA512" s="1757"/>
      <c r="JJB512" s="385"/>
      <c r="JJC512" s="69"/>
      <c r="JJD512" s="69"/>
      <c r="JJE512" s="2511"/>
      <c r="JJF512" s="1755"/>
      <c r="JJG512" s="1756"/>
      <c r="JJH512" s="1756"/>
      <c r="JJI512" s="1757"/>
      <c r="JJJ512" s="385"/>
      <c r="JJK512" s="69"/>
      <c r="JJL512" s="69"/>
      <c r="JJM512" s="2511"/>
      <c r="JJN512" s="1755"/>
      <c r="JJO512" s="1756"/>
      <c r="JJP512" s="1756"/>
      <c r="JJQ512" s="1757"/>
      <c r="JJR512" s="385"/>
      <c r="JJS512" s="69"/>
      <c r="JJT512" s="69"/>
      <c r="JJU512" s="2511"/>
      <c r="JJV512" s="1755"/>
      <c r="JJW512" s="1756"/>
      <c r="JJX512" s="1756"/>
      <c r="JJY512" s="1757"/>
      <c r="JJZ512" s="385"/>
      <c r="JKA512" s="69"/>
      <c r="JKB512" s="69"/>
      <c r="JKC512" s="2511"/>
      <c r="JKD512" s="1755"/>
      <c r="JKE512" s="1756"/>
      <c r="JKF512" s="1756"/>
      <c r="JKG512" s="1757"/>
      <c r="JKH512" s="385"/>
      <c r="JKI512" s="69"/>
      <c r="JKJ512" s="69"/>
      <c r="JKK512" s="2511"/>
      <c r="JKL512" s="1755"/>
      <c r="JKM512" s="1756"/>
      <c r="JKN512" s="1756"/>
      <c r="JKO512" s="1757"/>
      <c r="JKP512" s="385"/>
      <c r="JKQ512" s="69"/>
      <c r="JKR512" s="69"/>
      <c r="JKS512" s="2511"/>
      <c r="JKT512" s="1755"/>
      <c r="JKU512" s="1756"/>
      <c r="JKV512" s="1756"/>
      <c r="JKW512" s="1757"/>
      <c r="JKX512" s="385"/>
      <c r="JKY512" s="69"/>
      <c r="JKZ512" s="69"/>
      <c r="JLA512" s="2511"/>
      <c r="JLB512" s="1755"/>
      <c r="JLC512" s="1756"/>
      <c r="JLD512" s="1756"/>
      <c r="JLE512" s="1757"/>
      <c r="JLF512" s="385"/>
      <c r="JLG512" s="69"/>
      <c r="JLH512" s="69"/>
      <c r="JLI512" s="2511"/>
      <c r="JLJ512" s="1755"/>
      <c r="JLK512" s="1756"/>
      <c r="JLL512" s="1756"/>
      <c r="JLM512" s="1757"/>
      <c r="JLN512" s="385"/>
      <c r="JLO512" s="69"/>
      <c r="JLP512" s="69"/>
      <c r="JLQ512" s="2511"/>
      <c r="JLR512" s="1755"/>
      <c r="JLS512" s="1756"/>
      <c r="JLT512" s="1756"/>
      <c r="JLU512" s="1757"/>
      <c r="JLV512" s="385"/>
      <c r="JLW512" s="69"/>
      <c r="JLX512" s="69"/>
      <c r="JLY512" s="2511"/>
      <c r="JLZ512" s="1755"/>
      <c r="JMA512" s="1756"/>
      <c r="JMB512" s="1756"/>
      <c r="JMC512" s="1757"/>
      <c r="JMD512" s="385"/>
      <c r="JME512" s="69"/>
      <c r="JMF512" s="69"/>
      <c r="JMG512" s="2511"/>
      <c r="JMH512" s="1755"/>
      <c r="JMI512" s="1756"/>
      <c r="JMJ512" s="1756"/>
      <c r="JMK512" s="1757"/>
      <c r="JML512" s="385"/>
      <c r="JMM512" s="69"/>
      <c r="JMN512" s="69"/>
      <c r="JMO512" s="2511"/>
      <c r="JMP512" s="1755"/>
      <c r="JMQ512" s="1756"/>
      <c r="JMR512" s="1756"/>
      <c r="JMS512" s="1757"/>
      <c r="JMT512" s="385"/>
      <c r="JMU512" s="69"/>
      <c r="JMV512" s="69"/>
      <c r="JMW512" s="2511"/>
      <c r="JMX512" s="1755"/>
      <c r="JMY512" s="1756"/>
      <c r="JMZ512" s="1756"/>
      <c r="JNA512" s="1757"/>
      <c r="JNB512" s="385"/>
      <c r="JNC512" s="69"/>
      <c r="JND512" s="69"/>
      <c r="JNE512" s="2511"/>
      <c r="JNF512" s="1755"/>
      <c r="JNG512" s="1756"/>
      <c r="JNH512" s="1756"/>
      <c r="JNI512" s="1757"/>
      <c r="JNJ512" s="385"/>
      <c r="JNK512" s="69"/>
      <c r="JNL512" s="69"/>
      <c r="JNM512" s="2511"/>
      <c r="JNN512" s="1755"/>
      <c r="JNO512" s="1756"/>
      <c r="JNP512" s="1756"/>
      <c r="JNQ512" s="1757"/>
      <c r="JNR512" s="385"/>
      <c r="JNS512" s="69"/>
      <c r="JNT512" s="69"/>
      <c r="JNU512" s="2511"/>
      <c r="JNV512" s="1755"/>
      <c r="JNW512" s="1756"/>
      <c r="JNX512" s="1756"/>
      <c r="JNY512" s="1757"/>
      <c r="JNZ512" s="385"/>
      <c r="JOA512" s="69"/>
      <c r="JOB512" s="69"/>
      <c r="JOC512" s="2511"/>
      <c r="JOD512" s="1755"/>
      <c r="JOE512" s="1756"/>
      <c r="JOF512" s="1756"/>
      <c r="JOG512" s="1757"/>
      <c r="JOH512" s="385"/>
      <c r="JOI512" s="69"/>
      <c r="JOJ512" s="69"/>
      <c r="JOK512" s="2511"/>
      <c r="JOL512" s="1755"/>
      <c r="JOM512" s="1756"/>
      <c r="JON512" s="1756"/>
      <c r="JOO512" s="1757"/>
      <c r="JOP512" s="385"/>
      <c r="JOQ512" s="69"/>
      <c r="JOR512" s="69"/>
      <c r="JOS512" s="2511"/>
      <c r="JOT512" s="1755"/>
      <c r="JOU512" s="1756"/>
      <c r="JOV512" s="1756"/>
      <c r="JOW512" s="1757"/>
      <c r="JOX512" s="385"/>
      <c r="JOY512" s="69"/>
      <c r="JOZ512" s="69"/>
      <c r="JPA512" s="2511"/>
      <c r="JPB512" s="1755"/>
      <c r="JPC512" s="1756"/>
      <c r="JPD512" s="1756"/>
      <c r="JPE512" s="1757"/>
      <c r="JPF512" s="385"/>
      <c r="JPG512" s="69"/>
      <c r="JPH512" s="69"/>
      <c r="JPI512" s="2511"/>
      <c r="JPJ512" s="1755"/>
      <c r="JPK512" s="1756"/>
      <c r="JPL512" s="1756"/>
      <c r="JPM512" s="1757"/>
      <c r="JPN512" s="385"/>
      <c r="JPO512" s="69"/>
      <c r="JPP512" s="69"/>
      <c r="JPQ512" s="2511"/>
      <c r="JPR512" s="1755"/>
      <c r="JPS512" s="1756"/>
      <c r="JPT512" s="1756"/>
      <c r="JPU512" s="1757"/>
      <c r="JPV512" s="385"/>
      <c r="JPW512" s="69"/>
      <c r="JPX512" s="69"/>
      <c r="JPY512" s="2511"/>
      <c r="JPZ512" s="1755"/>
      <c r="JQA512" s="1756"/>
      <c r="JQB512" s="1756"/>
      <c r="JQC512" s="1757"/>
      <c r="JQD512" s="385"/>
      <c r="JQE512" s="69"/>
      <c r="JQF512" s="69"/>
      <c r="JQG512" s="2511"/>
      <c r="JQH512" s="1755"/>
      <c r="JQI512" s="1756"/>
      <c r="JQJ512" s="1756"/>
      <c r="JQK512" s="1757"/>
      <c r="JQL512" s="385"/>
      <c r="JQM512" s="69"/>
      <c r="JQN512" s="69"/>
      <c r="JQO512" s="2511"/>
      <c r="JQP512" s="1755"/>
      <c r="JQQ512" s="1756"/>
      <c r="JQR512" s="1756"/>
      <c r="JQS512" s="1757"/>
      <c r="JQT512" s="385"/>
      <c r="JQU512" s="69"/>
      <c r="JQV512" s="69"/>
      <c r="JQW512" s="2511"/>
      <c r="JQX512" s="1755"/>
      <c r="JQY512" s="1756"/>
      <c r="JQZ512" s="1756"/>
      <c r="JRA512" s="1757"/>
      <c r="JRB512" s="385"/>
      <c r="JRC512" s="69"/>
      <c r="JRD512" s="69"/>
      <c r="JRE512" s="2511"/>
      <c r="JRF512" s="1755"/>
      <c r="JRG512" s="1756"/>
      <c r="JRH512" s="1756"/>
      <c r="JRI512" s="1757"/>
      <c r="JRJ512" s="385"/>
      <c r="JRK512" s="69"/>
      <c r="JRL512" s="69"/>
      <c r="JRM512" s="2511"/>
      <c r="JRN512" s="1755"/>
      <c r="JRO512" s="1756"/>
      <c r="JRP512" s="1756"/>
      <c r="JRQ512" s="1757"/>
      <c r="JRR512" s="385"/>
      <c r="JRS512" s="69"/>
      <c r="JRT512" s="69"/>
      <c r="JRU512" s="2511"/>
      <c r="JRV512" s="1755"/>
      <c r="JRW512" s="1756"/>
      <c r="JRX512" s="1756"/>
      <c r="JRY512" s="1757"/>
      <c r="JRZ512" s="385"/>
      <c r="JSA512" s="69"/>
      <c r="JSB512" s="69"/>
      <c r="JSC512" s="2511"/>
      <c r="JSD512" s="1755"/>
      <c r="JSE512" s="1756"/>
      <c r="JSF512" s="1756"/>
      <c r="JSG512" s="1757"/>
      <c r="JSH512" s="385"/>
      <c r="JSI512" s="69"/>
      <c r="JSJ512" s="69"/>
      <c r="JSK512" s="2511"/>
      <c r="JSL512" s="1755"/>
      <c r="JSM512" s="1756"/>
      <c r="JSN512" s="1756"/>
      <c r="JSO512" s="1757"/>
      <c r="JSP512" s="385"/>
      <c r="JSQ512" s="69"/>
      <c r="JSR512" s="69"/>
      <c r="JSS512" s="2511"/>
      <c r="JST512" s="1755"/>
      <c r="JSU512" s="1756"/>
      <c r="JSV512" s="1756"/>
      <c r="JSW512" s="1757"/>
      <c r="JSX512" s="385"/>
      <c r="JSY512" s="69"/>
      <c r="JSZ512" s="69"/>
      <c r="JTA512" s="2511"/>
      <c r="JTB512" s="1755"/>
      <c r="JTC512" s="1756"/>
      <c r="JTD512" s="1756"/>
      <c r="JTE512" s="1757"/>
      <c r="JTF512" s="385"/>
      <c r="JTG512" s="69"/>
      <c r="JTH512" s="69"/>
      <c r="JTI512" s="2511"/>
      <c r="JTJ512" s="1755"/>
      <c r="JTK512" s="1756"/>
      <c r="JTL512" s="1756"/>
      <c r="JTM512" s="1757"/>
      <c r="JTN512" s="385"/>
      <c r="JTO512" s="69"/>
      <c r="JTP512" s="69"/>
      <c r="JTQ512" s="2511"/>
      <c r="JTR512" s="1755"/>
      <c r="JTS512" s="1756"/>
      <c r="JTT512" s="1756"/>
      <c r="JTU512" s="1757"/>
      <c r="JTV512" s="385"/>
      <c r="JTW512" s="69"/>
      <c r="JTX512" s="69"/>
      <c r="JTY512" s="2511"/>
      <c r="JTZ512" s="1755"/>
      <c r="JUA512" s="1756"/>
      <c r="JUB512" s="1756"/>
      <c r="JUC512" s="1757"/>
      <c r="JUD512" s="385"/>
      <c r="JUE512" s="69"/>
      <c r="JUF512" s="69"/>
      <c r="JUG512" s="2511"/>
      <c r="JUH512" s="1755"/>
      <c r="JUI512" s="1756"/>
      <c r="JUJ512" s="1756"/>
      <c r="JUK512" s="1757"/>
      <c r="JUL512" s="385"/>
      <c r="JUM512" s="69"/>
      <c r="JUN512" s="69"/>
      <c r="JUO512" s="2511"/>
      <c r="JUP512" s="1755"/>
      <c r="JUQ512" s="1756"/>
      <c r="JUR512" s="1756"/>
      <c r="JUS512" s="1757"/>
      <c r="JUT512" s="385"/>
      <c r="JUU512" s="69"/>
      <c r="JUV512" s="69"/>
      <c r="JUW512" s="2511"/>
      <c r="JUX512" s="1755"/>
      <c r="JUY512" s="1756"/>
      <c r="JUZ512" s="1756"/>
      <c r="JVA512" s="1757"/>
      <c r="JVB512" s="385"/>
      <c r="JVC512" s="69"/>
      <c r="JVD512" s="69"/>
      <c r="JVE512" s="2511"/>
      <c r="JVF512" s="1755"/>
      <c r="JVG512" s="1756"/>
      <c r="JVH512" s="1756"/>
      <c r="JVI512" s="1757"/>
      <c r="JVJ512" s="385"/>
      <c r="JVK512" s="69"/>
      <c r="JVL512" s="69"/>
      <c r="JVM512" s="2511"/>
      <c r="JVN512" s="1755"/>
      <c r="JVO512" s="1756"/>
      <c r="JVP512" s="1756"/>
      <c r="JVQ512" s="1757"/>
      <c r="JVR512" s="385"/>
      <c r="JVS512" s="69"/>
      <c r="JVT512" s="69"/>
      <c r="JVU512" s="2511"/>
      <c r="JVV512" s="1755"/>
      <c r="JVW512" s="1756"/>
      <c r="JVX512" s="1756"/>
      <c r="JVY512" s="1757"/>
      <c r="JVZ512" s="385"/>
      <c r="JWA512" s="69"/>
      <c r="JWB512" s="69"/>
      <c r="JWC512" s="2511"/>
      <c r="JWD512" s="1755"/>
      <c r="JWE512" s="1756"/>
      <c r="JWF512" s="1756"/>
      <c r="JWG512" s="1757"/>
      <c r="JWH512" s="385"/>
      <c r="JWI512" s="69"/>
      <c r="JWJ512" s="69"/>
      <c r="JWK512" s="2511"/>
      <c r="JWL512" s="1755"/>
      <c r="JWM512" s="1756"/>
      <c r="JWN512" s="1756"/>
      <c r="JWO512" s="1757"/>
      <c r="JWP512" s="385"/>
      <c r="JWQ512" s="69"/>
      <c r="JWR512" s="69"/>
      <c r="JWS512" s="2511"/>
      <c r="JWT512" s="1755"/>
      <c r="JWU512" s="1756"/>
      <c r="JWV512" s="1756"/>
      <c r="JWW512" s="1757"/>
      <c r="JWX512" s="385"/>
      <c r="JWY512" s="69"/>
      <c r="JWZ512" s="69"/>
      <c r="JXA512" s="2511"/>
      <c r="JXB512" s="1755"/>
      <c r="JXC512" s="1756"/>
      <c r="JXD512" s="1756"/>
      <c r="JXE512" s="1757"/>
      <c r="JXF512" s="385"/>
      <c r="JXG512" s="69"/>
      <c r="JXH512" s="69"/>
      <c r="JXI512" s="2511"/>
      <c r="JXJ512" s="1755"/>
      <c r="JXK512" s="1756"/>
      <c r="JXL512" s="1756"/>
      <c r="JXM512" s="1757"/>
      <c r="JXN512" s="385"/>
      <c r="JXO512" s="69"/>
      <c r="JXP512" s="69"/>
      <c r="JXQ512" s="2511"/>
      <c r="JXR512" s="1755"/>
      <c r="JXS512" s="1756"/>
      <c r="JXT512" s="1756"/>
      <c r="JXU512" s="1757"/>
      <c r="JXV512" s="385"/>
      <c r="JXW512" s="69"/>
      <c r="JXX512" s="69"/>
      <c r="JXY512" s="2511"/>
      <c r="JXZ512" s="1755"/>
      <c r="JYA512" s="1756"/>
      <c r="JYB512" s="1756"/>
      <c r="JYC512" s="1757"/>
      <c r="JYD512" s="385"/>
      <c r="JYE512" s="69"/>
      <c r="JYF512" s="69"/>
      <c r="JYG512" s="2511"/>
      <c r="JYH512" s="1755"/>
      <c r="JYI512" s="1756"/>
      <c r="JYJ512" s="1756"/>
      <c r="JYK512" s="1757"/>
      <c r="JYL512" s="385"/>
      <c r="JYM512" s="69"/>
      <c r="JYN512" s="69"/>
      <c r="JYO512" s="2511"/>
      <c r="JYP512" s="1755"/>
      <c r="JYQ512" s="1756"/>
      <c r="JYR512" s="1756"/>
      <c r="JYS512" s="1757"/>
      <c r="JYT512" s="385"/>
      <c r="JYU512" s="69"/>
      <c r="JYV512" s="69"/>
      <c r="JYW512" s="2511"/>
      <c r="JYX512" s="1755"/>
      <c r="JYY512" s="1756"/>
      <c r="JYZ512" s="1756"/>
      <c r="JZA512" s="1757"/>
      <c r="JZB512" s="385"/>
      <c r="JZC512" s="69"/>
      <c r="JZD512" s="69"/>
      <c r="JZE512" s="2511"/>
      <c r="JZF512" s="1755"/>
      <c r="JZG512" s="1756"/>
      <c r="JZH512" s="1756"/>
      <c r="JZI512" s="1757"/>
      <c r="JZJ512" s="385"/>
      <c r="JZK512" s="69"/>
      <c r="JZL512" s="69"/>
      <c r="JZM512" s="2511"/>
      <c r="JZN512" s="1755"/>
      <c r="JZO512" s="1756"/>
      <c r="JZP512" s="1756"/>
      <c r="JZQ512" s="1757"/>
      <c r="JZR512" s="385"/>
      <c r="JZS512" s="69"/>
      <c r="JZT512" s="69"/>
      <c r="JZU512" s="2511"/>
      <c r="JZV512" s="1755"/>
      <c r="JZW512" s="1756"/>
      <c r="JZX512" s="1756"/>
      <c r="JZY512" s="1757"/>
      <c r="JZZ512" s="385"/>
      <c r="KAA512" s="69"/>
      <c r="KAB512" s="69"/>
      <c r="KAC512" s="2511"/>
      <c r="KAD512" s="1755"/>
      <c r="KAE512" s="1756"/>
      <c r="KAF512" s="1756"/>
      <c r="KAG512" s="1757"/>
      <c r="KAH512" s="385"/>
      <c r="KAI512" s="69"/>
      <c r="KAJ512" s="69"/>
      <c r="KAK512" s="2511"/>
      <c r="KAL512" s="1755"/>
      <c r="KAM512" s="1756"/>
      <c r="KAN512" s="1756"/>
      <c r="KAO512" s="1757"/>
      <c r="KAP512" s="385"/>
      <c r="KAQ512" s="69"/>
      <c r="KAR512" s="69"/>
      <c r="KAS512" s="2511"/>
      <c r="KAT512" s="1755"/>
      <c r="KAU512" s="1756"/>
      <c r="KAV512" s="1756"/>
      <c r="KAW512" s="1757"/>
      <c r="KAX512" s="385"/>
      <c r="KAY512" s="69"/>
      <c r="KAZ512" s="69"/>
      <c r="KBA512" s="2511"/>
      <c r="KBB512" s="1755"/>
      <c r="KBC512" s="1756"/>
      <c r="KBD512" s="1756"/>
      <c r="KBE512" s="1757"/>
      <c r="KBF512" s="385"/>
      <c r="KBG512" s="69"/>
      <c r="KBH512" s="69"/>
      <c r="KBI512" s="2511"/>
      <c r="KBJ512" s="1755"/>
      <c r="KBK512" s="1756"/>
      <c r="KBL512" s="1756"/>
      <c r="KBM512" s="1757"/>
      <c r="KBN512" s="385"/>
      <c r="KBO512" s="69"/>
      <c r="KBP512" s="69"/>
      <c r="KBQ512" s="2511"/>
      <c r="KBR512" s="1755"/>
      <c r="KBS512" s="1756"/>
      <c r="KBT512" s="1756"/>
      <c r="KBU512" s="1757"/>
      <c r="KBV512" s="385"/>
      <c r="KBW512" s="69"/>
      <c r="KBX512" s="69"/>
      <c r="KBY512" s="2511"/>
      <c r="KBZ512" s="1755"/>
      <c r="KCA512" s="1756"/>
      <c r="KCB512" s="1756"/>
      <c r="KCC512" s="1757"/>
      <c r="KCD512" s="385"/>
      <c r="KCE512" s="69"/>
      <c r="KCF512" s="69"/>
      <c r="KCG512" s="2511"/>
      <c r="KCH512" s="1755"/>
      <c r="KCI512" s="1756"/>
      <c r="KCJ512" s="1756"/>
      <c r="KCK512" s="1757"/>
      <c r="KCL512" s="385"/>
      <c r="KCM512" s="69"/>
      <c r="KCN512" s="69"/>
      <c r="KCO512" s="2511"/>
      <c r="KCP512" s="1755"/>
      <c r="KCQ512" s="1756"/>
      <c r="KCR512" s="1756"/>
      <c r="KCS512" s="1757"/>
      <c r="KCT512" s="385"/>
      <c r="KCU512" s="69"/>
      <c r="KCV512" s="69"/>
      <c r="KCW512" s="2511"/>
      <c r="KCX512" s="1755"/>
      <c r="KCY512" s="1756"/>
      <c r="KCZ512" s="1756"/>
      <c r="KDA512" s="1757"/>
      <c r="KDB512" s="385"/>
      <c r="KDC512" s="69"/>
      <c r="KDD512" s="69"/>
      <c r="KDE512" s="2511"/>
      <c r="KDF512" s="1755"/>
      <c r="KDG512" s="1756"/>
      <c r="KDH512" s="1756"/>
      <c r="KDI512" s="1757"/>
      <c r="KDJ512" s="385"/>
      <c r="KDK512" s="69"/>
      <c r="KDL512" s="69"/>
      <c r="KDM512" s="2511"/>
      <c r="KDN512" s="1755"/>
      <c r="KDO512" s="1756"/>
      <c r="KDP512" s="1756"/>
      <c r="KDQ512" s="1757"/>
      <c r="KDR512" s="385"/>
      <c r="KDS512" s="69"/>
      <c r="KDT512" s="69"/>
      <c r="KDU512" s="2511"/>
      <c r="KDV512" s="1755"/>
      <c r="KDW512" s="1756"/>
      <c r="KDX512" s="1756"/>
      <c r="KDY512" s="1757"/>
      <c r="KDZ512" s="385"/>
      <c r="KEA512" s="69"/>
      <c r="KEB512" s="69"/>
      <c r="KEC512" s="2511"/>
      <c r="KED512" s="1755"/>
      <c r="KEE512" s="1756"/>
      <c r="KEF512" s="1756"/>
      <c r="KEG512" s="1757"/>
      <c r="KEH512" s="385"/>
      <c r="KEI512" s="69"/>
      <c r="KEJ512" s="69"/>
      <c r="KEK512" s="2511"/>
      <c r="KEL512" s="1755"/>
      <c r="KEM512" s="1756"/>
      <c r="KEN512" s="1756"/>
      <c r="KEO512" s="1757"/>
      <c r="KEP512" s="385"/>
      <c r="KEQ512" s="69"/>
      <c r="KER512" s="69"/>
      <c r="KES512" s="2511"/>
      <c r="KET512" s="1755"/>
      <c r="KEU512" s="1756"/>
      <c r="KEV512" s="1756"/>
      <c r="KEW512" s="1757"/>
      <c r="KEX512" s="385"/>
      <c r="KEY512" s="69"/>
      <c r="KEZ512" s="69"/>
      <c r="KFA512" s="2511"/>
      <c r="KFB512" s="1755"/>
      <c r="KFC512" s="1756"/>
      <c r="KFD512" s="1756"/>
      <c r="KFE512" s="1757"/>
      <c r="KFF512" s="385"/>
      <c r="KFG512" s="69"/>
      <c r="KFH512" s="69"/>
      <c r="KFI512" s="2511"/>
      <c r="KFJ512" s="1755"/>
      <c r="KFK512" s="1756"/>
      <c r="KFL512" s="1756"/>
      <c r="KFM512" s="1757"/>
      <c r="KFN512" s="385"/>
      <c r="KFO512" s="69"/>
      <c r="KFP512" s="69"/>
      <c r="KFQ512" s="2511"/>
      <c r="KFR512" s="1755"/>
      <c r="KFS512" s="1756"/>
      <c r="KFT512" s="1756"/>
      <c r="KFU512" s="1757"/>
      <c r="KFV512" s="385"/>
      <c r="KFW512" s="69"/>
      <c r="KFX512" s="69"/>
      <c r="KFY512" s="2511"/>
      <c r="KFZ512" s="1755"/>
      <c r="KGA512" s="1756"/>
      <c r="KGB512" s="1756"/>
      <c r="KGC512" s="1757"/>
      <c r="KGD512" s="385"/>
      <c r="KGE512" s="69"/>
      <c r="KGF512" s="69"/>
      <c r="KGG512" s="2511"/>
      <c r="KGH512" s="1755"/>
      <c r="KGI512" s="1756"/>
      <c r="KGJ512" s="1756"/>
      <c r="KGK512" s="1757"/>
      <c r="KGL512" s="385"/>
      <c r="KGM512" s="69"/>
      <c r="KGN512" s="69"/>
      <c r="KGO512" s="2511"/>
      <c r="KGP512" s="1755"/>
      <c r="KGQ512" s="1756"/>
      <c r="KGR512" s="1756"/>
      <c r="KGS512" s="1757"/>
      <c r="KGT512" s="385"/>
      <c r="KGU512" s="69"/>
      <c r="KGV512" s="69"/>
      <c r="KGW512" s="2511"/>
      <c r="KGX512" s="1755"/>
      <c r="KGY512" s="1756"/>
      <c r="KGZ512" s="1756"/>
      <c r="KHA512" s="1757"/>
      <c r="KHB512" s="385"/>
      <c r="KHC512" s="69"/>
      <c r="KHD512" s="69"/>
      <c r="KHE512" s="2511"/>
      <c r="KHF512" s="1755"/>
      <c r="KHG512" s="1756"/>
      <c r="KHH512" s="1756"/>
      <c r="KHI512" s="1757"/>
      <c r="KHJ512" s="385"/>
      <c r="KHK512" s="69"/>
      <c r="KHL512" s="69"/>
      <c r="KHM512" s="2511"/>
      <c r="KHN512" s="1755"/>
      <c r="KHO512" s="1756"/>
      <c r="KHP512" s="1756"/>
      <c r="KHQ512" s="1757"/>
      <c r="KHR512" s="385"/>
      <c r="KHS512" s="69"/>
      <c r="KHT512" s="69"/>
      <c r="KHU512" s="2511"/>
      <c r="KHV512" s="1755"/>
      <c r="KHW512" s="1756"/>
      <c r="KHX512" s="1756"/>
      <c r="KHY512" s="1757"/>
      <c r="KHZ512" s="385"/>
      <c r="KIA512" s="69"/>
      <c r="KIB512" s="69"/>
      <c r="KIC512" s="2511"/>
      <c r="KID512" s="1755"/>
      <c r="KIE512" s="1756"/>
      <c r="KIF512" s="1756"/>
      <c r="KIG512" s="1757"/>
      <c r="KIH512" s="385"/>
      <c r="KII512" s="69"/>
      <c r="KIJ512" s="69"/>
      <c r="KIK512" s="2511"/>
      <c r="KIL512" s="1755"/>
      <c r="KIM512" s="1756"/>
      <c r="KIN512" s="1756"/>
      <c r="KIO512" s="1757"/>
      <c r="KIP512" s="385"/>
      <c r="KIQ512" s="69"/>
      <c r="KIR512" s="69"/>
      <c r="KIS512" s="2511"/>
      <c r="KIT512" s="1755"/>
      <c r="KIU512" s="1756"/>
      <c r="KIV512" s="1756"/>
      <c r="KIW512" s="1757"/>
      <c r="KIX512" s="385"/>
      <c r="KIY512" s="69"/>
      <c r="KIZ512" s="69"/>
      <c r="KJA512" s="2511"/>
      <c r="KJB512" s="1755"/>
      <c r="KJC512" s="1756"/>
      <c r="KJD512" s="1756"/>
      <c r="KJE512" s="1757"/>
      <c r="KJF512" s="385"/>
      <c r="KJG512" s="69"/>
      <c r="KJH512" s="69"/>
      <c r="KJI512" s="2511"/>
      <c r="KJJ512" s="1755"/>
      <c r="KJK512" s="1756"/>
      <c r="KJL512" s="1756"/>
      <c r="KJM512" s="1757"/>
      <c r="KJN512" s="385"/>
      <c r="KJO512" s="69"/>
      <c r="KJP512" s="69"/>
      <c r="KJQ512" s="2511"/>
      <c r="KJR512" s="1755"/>
      <c r="KJS512" s="1756"/>
      <c r="KJT512" s="1756"/>
      <c r="KJU512" s="1757"/>
      <c r="KJV512" s="385"/>
      <c r="KJW512" s="69"/>
      <c r="KJX512" s="69"/>
      <c r="KJY512" s="2511"/>
      <c r="KJZ512" s="1755"/>
      <c r="KKA512" s="1756"/>
      <c r="KKB512" s="1756"/>
      <c r="KKC512" s="1757"/>
      <c r="KKD512" s="385"/>
      <c r="KKE512" s="69"/>
      <c r="KKF512" s="69"/>
      <c r="KKG512" s="2511"/>
      <c r="KKH512" s="1755"/>
      <c r="KKI512" s="1756"/>
      <c r="KKJ512" s="1756"/>
      <c r="KKK512" s="1757"/>
      <c r="KKL512" s="385"/>
      <c r="KKM512" s="69"/>
      <c r="KKN512" s="69"/>
      <c r="KKO512" s="2511"/>
      <c r="KKP512" s="1755"/>
      <c r="KKQ512" s="1756"/>
      <c r="KKR512" s="1756"/>
      <c r="KKS512" s="1757"/>
      <c r="KKT512" s="385"/>
      <c r="KKU512" s="69"/>
      <c r="KKV512" s="69"/>
      <c r="KKW512" s="2511"/>
      <c r="KKX512" s="1755"/>
      <c r="KKY512" s="1756"/>
      <c r="KKZ512" s="1756"/>
      <c r="KLA512" s="1757"/>
      <c r="KLB512" s="385"/>
      <c r="KLC512" s="69"/>
      <c r="KLD512" s="69"/>
      <c r="KLE512" s="2511"/>
      <c r="KLF512" s="1755"/>
      <c r="KLG512" s="1756"/>
      <c r="KLH512" s="1756"/>
      <c r="KLI512" s="1757"/>
      <c r="KLJ512" s="385"/>
      <c r="KLK512" s="69"/>
      <c r="KLL512" s="69"/>
      <c r="KLM512" s="2511"/>
      <c r="KLN512" s="1755"/>
      <c r="KLO512" s="1756"/>
      <c r="KLP512" s="1756"/>
      <c r="KLQ512" s="1757"/>
      <c r="KLR512" s="385"/>
      <c r="KLS512" s="69"/>
      <c r="KLT512" s="69"/>
      <c r="KLU512" s="2511"/>
      <c r="KLV512" s="1755"/>
      <c r="KLW512" s="1756"/>
      <c r="KLX512" s="1756"/>
      <c r="KLY512" s="1757"/>
      <c r="KLZ512" s="385"/>
      <c r="KMA512" s="69"/>
      <c r="KMB512" s="69"/>
      <c r="KMC512" s="2511"/>
      <c r="KMD512" s="1755"/>
      <c r="KME512" s="1756"/>
      <c r="KMF512" s="1756"/>
      <c r="KMG512" s="1757"/>
      <c r="KMH512" s="385"/>
      <c r="KMI512" s="69"/>
      <c r="KMJ512" s="69"/>
      <c r="KMK512" s="2511"/>
      <c r="KML512" s="1755"/>
      <c r="KMM512" s="1756"/>
      <c r="KMN512" s="1756"/>
      <c r="KMO512" s="1757"/>
      <c r="KMP512" s="385"/>
      <c r="KMQ512" s="69"/>
      <c r="KMR512" s="69"/>
      <c r="KMS512" s="2511"/>
      <c r="KMT512" s="1755"/>
      <c r="KMU512" s="1756"/>
      <c r="KMV512" s="1756"/>
      <c r="KMW512" s="1757"/>
      <c r="KMX512" s="385"/>
      <c r="KMY512" s="69"/>
      <c r="KMZ512" s="69"/>
      <c r="KNA512" s="2511"/>
      <c r="KNB512" s="1755"/>
      <c r="KNC512" s="1756"/>
      <c r="KND512" s="1756"/>
      <c r="KNE512" s="1757"/>
      <c r="KNF512" s="385"/>
      <c r="KNG512" s="69"/>
      <c r="KNH512" s="69"/>
      <c r="KNI512" s="2511"/>
      <c r="KNJ512" s="1755"/>
      <c r="KNK512" s="1756"/>
      <c r="KNL512" s="1756"/>
      <c r="KNM512" s="1757"/>
      <c r="KNN512" s="385"/>
      <c r="KNO512" s="69"/>
      <c r="KNP512" s="69"/>
      <c r="KNQ512" s="2511"/>
      <c r="KNR512" s="1755"/>
      <c r="KNS512" s="1756"/>
      <c r="KNT512" s="1756"/>
      <c r="KNU512" s="1757"/>
      <c r="KNV512" s="385"/>
      <c r="KNW512" s="69"/>
      <c r="KNX512" s="69"/>
      <c r="KNY512" s="2511"/>
      <c r="KNZ512" s="1755"/>
      <c r="KOA512" s="1756"/>
      <c r="KOB512" s="1756"/>
      <c r="KOC512" s="1757"/>
      <c r="KOD512" s="385"/>
      <c r="KOE512" s="69"/>
      <c r="KOF512" s="69"/>
      <c r="KOG512" s="2511"/>
      <c r="KOH512" s="1755"/>
      <c r="KOI512" s="1756"/>
      <c r="KOJ512" s="1756"/>
      <c r="KOK512" s="1757"/>
      <c r="KOL512" s="385"/>
      <c r="KOM512" s="69"/>
      <c r="KON512" s="69"/>
      <c r="KOO512" s="2511"/>
      <c r="KOP512" s="1755"/>
      <c r="KOQ512" s="1756"/>
      <c r="KOR512" s="1756"/>
      <c r="KOS512" s="1757"/>
      <c r="KOT512" s="385"/>
      <c r="KOU512" s="69"/>
      <c r="KOV512" s="69"/>
      <c r="KOW512" s="2511"/>
      <c r="KOX512" s="1755"/>
      <c r="KOY512" s="1756"/>
      <c r="KOZ512" s="1756"/>
      <c r="KPA512" s="1757"/>
      <c r="KPB512" s="385"/>
      <c r="KPC512" s="69"/>
      <c r="KPD512" s="69"/>
      <c r="KPE512" s="2511"/>
      <c r="KPF512" s="1755"/>
      <c r="KPG512" s="1756"/>
      <c r="KPH512" s="1756"/>
      <c r="KPI512" s="1757"/>
      <c r="KPJ512" s="385"/>
      <c r="KPK512" s="69"/>
      <c r="KPL512" s="69"/>
      <c r="KPM512" s="2511"/>
      <c r="KPN512" s="1755"/>
      <c r="KPO512" s="1756"/>
      <c r="KPP512" s="1756"/>
      <c r="KPQ512" s="1757"/>
      <c r="KPR512" s="385"/>
      <c r="KPS512" s="69"/>
      <c r="KPT512" s="69"/>
      <c r="KPU512" s="2511"/>
      <c r="KPV512" s="1755"/>
      <c r="KPW512" s="1756"/>
      <c r="KPX512" s="1756"/>
      <c r="KPY512" s="1757"/>
      <c r="KPZ512" s="385"/>
      <c r="KQA512" s="69"/>
      <c r="KQB512" s="69"/>
      <c r="KQC512" s="2511"/>
      <c r="KQD512" s="1755"/>
      <c r="KQE512" s="1756"/>
      <c r="KQF512" s="1756"/>
      <c r="KQG512" s="1757"/>
      <c r="KQH512" s="385"/>
      <c r="KQI512" s="69"/>
      <c r="KQJ512" s="69"/>
      <c r="KQK512" s="2511"/>
      <c r="KQL512" s="1755"/>
      <c r="KQM512" s="1756"/>
      <c r="KQN512" s="1756"/>
      <c r="KQO512" s="1757"/>
      <c r="KQP512" s="385"/>
      <c r="KQQ512" s="69"/>
      <c r="KQR512" s="69"/>
      <c r="KQS512" s="2511"/>
      <c r="KQT512" s="1755"/>
      <c r="KQU512" s="1756"/>
      <c r="KQV512" s="1756"/>
      <c r="KQW512" s="1757"/>
      <c r="KQX512" s="385"/>
      <c r="KQY512" s="69"/>
      <c r="KQZ512" s="69"/>
      <c r="KRA512" s="2511"/>
      <c r="KRB512" s="1755"/>
      <c r="KRC512" s="1756"/>
      <c r="KRD512" s="1756"/>
      <c r="KRE512" s="1757"/>
      <c r="KRF512" s="385"/>
      <c r="KRG512" s="69"/>
      <c r="KRH512" s="69"/>
      <c r="KRI512" s="2511"/>
      <c r="KRJ512" s="1755"/>
      <c r="KRK512" s="1756"/>
      <c r="KRL512" s="1756"/>
      <c r="KRM512" s="1757"/>
      <c r="KRN512" s="385"/>
      <c r="KRO512" s="69"/>
      <c r="KRP512" s="69"/>
      <c r="KRQ512" s="2511"/>
      <c r="KRR512" s="1755"/>
      <c r="KRS512" s="1756"/>
      <c r="KRT512" s="1756"/>
      <c r="KRU512" s="1757"/>
      <c r="KRV512" s="385"/>
      <c r="KRW512" s="69"/>
      <c r="KRX512" s="69"/>
      <c r="KRY512" s="2511"/>
      <c r="KRZ512" s="1755"/>
      <c r="KSA512" s="1756"/>
      <c r="KSB512" s="1756"/>
      <c r="KSC512" s="1757"/>
      <c r="KSD512" s="385"/>
      <c r="KSE512" s="69"/>
      <c r="KSF512" s="69"/>
      <c r="KSG512" s="2511"/>
      <c r="KSH512" s="1755"/>
      <c r="KSI512" s="1756"/>
      <c r="KSJ512" s="1756"/>
      <c r="KSK512" s="1757"/>
      <c r="KSL512" s="385"/>
      <c r="KSM512" s="69"/>
      <c r="KSN512" s="69"/>
      <c r="KSO512" s="2511"/>
      <c r="KSP512" s="1755"/>
      <c r="KSQ512" s="1756"/>
      <c r="KSR512" s="1756"/>
      <c r="KSS512" s="1757"/>
      <c r="KST512" s="385"/>
      <c r="KSU512" s="69"/>
      <c r="KSV512" s="69"/>
      <c r="KSW512" s="2511"/>
      <c r="KSX512" s="1755"/>
      <c r="KSY512" s="1756"/>
      <c r="KSZ512" s="1756"/>
      <c r="KTA512" s="1757"/>
      <c r="KTB512" s="385"/>
      <c r="KTC512" s="69"/>
      <c r="KTD512" s="69"/>
      <c r="KTE512" s="2511"/>
      <c r="KTF512" s="1755"/>
      <c r="KTG512" s="1756"/>
      <c r="KTH512" s="1756"/>
      <c r="KTI512" s="1757"/>
      <c r="KTJ512" s="385"/>
      <c r="KTK512" s="69"/>
      <c r="KTL512" s="69"/>
      <c r="KTM512" s="2511"/>
      <c r="KTN512" s="1755"/>
      <c r="KTO512" s="1756"/>
      <c r="KTP512" s="1756"/>
      <c r="KTQ512" s="1757"/>
      <c r="KTR512" s="385"/>
      <c r="KTS512" s="69"/>
      <c r="KTT512" s="69"/>
      <c r="KTU512" s="2511"/>
      <c r="KTV512" s="1755"/>
      <c r="KTW512" s="1756"/>
      <c r="KTX512" s="1756"/>
      <c r="KTY512" s="1757"/>
      <c r="KTZ512" s="385"/>
      <c r="KUA512" s="69"/>
      <c r="KUB512" s="69"/>
      <c r="KUC512" s="2511"/>
      <c r="KUD512" s="1755"/>
      <c r="KUE512" s="1756"/>
      <c r="KUF512" s="1756"/>
      <c r="KUG512" s="1757"/>
      <c r="KUH512" s="385"/>
      <c r="KUI512" s="69"/>
      <c r="KUJ512" s="69"/>
      <c r="KUK512" s="2511"/>
      <c r="KUL512" s="1755"/>
      <c r="KUM512" s="1756"/>
      <c r="KUN512" s="1756"/>
      <c r="KUO512" s="1757"/>
      <c r="KUP512" s="385"/>
      <c r="KUQ512" s="69"/>
      <c r="KUR512" s="69"/>
      <c r="KUS512" s="2511"/>
      <c r="KUT512" s="1755"/>
      <c r="KUU512" s="1756"/>
      <c r="KUV512" s="1756"/>
      <c r="KUW512" s="1757"/>
      <c r="KUX512" s="385"/>
      <c r="KUY512" s="69"/>
      <c r="KUZ512" s="69"/>
      <c r="KVA512" s="2511"/>
      <c r="KVB512" s="1755"/>
      <c r="KVC512" s="1756"/>
      <c r="KVD512" s="1756"/>
      <c r="KVE512" s="1757"/>
      <c r="KVF512" s="385"/>
      <c r="KVG512" s="69"/>
      <c r="KVH512" s="69"/>
      <c r="KVI512" s="2511"/>
      <c r="KVJ512" s="1755"/>
      <c r="KVK512" s="1756"/>
      <c r="KVL512" s="1756"/>
      <c r="KVM512" s="1757"/>
      <c r="KVN512" s="385"/>
      <c r="KVO512" s="69"/>
      <c r="KVP512" s="69"/>
      <c r="KVQ512" s="2511"/>
      <c r="KVR512" s="1755"/>
      <c r="KVS512" s="1756"/>
      <c r="KVT512" s="1756"/>
      <c r="KVU512" s="1757"/>
      <c r="KVV512" s="385"/>
      <c r="KVW512" s="69"/>
      <c r="KVX512" s="69"/>
      <c r="KVY512" s="2511"/>
      <c r="KVZ512" s="1755"/>
      <c r="KWA512" s="1756"/>
      <c r="KWB512" s="1756"/>
      <c r="KWC512" s="1757"/>
      <c r="KWD512" s="385"/>
      <c r="KWE512" s="69"/>
      <c r="KWF512" s="69"/>
      <c r="KWG512" s="2511"/>
      <c r="KWH512" s="1755"/>
      <c r="KWI512" s="1756"/>
      <c r="KWJ512" s="1756"/>
      <c r="KWK512" s="1757"/>
      <c r="KWL512" s="385"/>
      <c r="KWM512" s="69"/>
      <c r="KWN512" s="69"/>
      <c r="KWO512" s="2511"/>
      <c r="KWP512" s="1755"/>
      <c r="KWQ512" s="1756"/>
      <c r="KWR512" s="1756"/>
      <c r="KWS512" s="1757"/>
      <c r="KWT512" s="385"/>
      <c r="KWU512" s="69"/>
      <c r="KWV512" s="69"/>
      <c r="KWW512" s="2511"/>
      <c r="KWX512" s="1755"/>
      <c r="KWY512" s="1756"/>
      <c r="KWZ512" s="1756"/>
      <c r="KXA512" s="1757"/>
      <c r="KXB512" s="385"/>
      <c r="KXC512" s="69"/>
      <c r="KXD512" s="69"/>
      <c r="KXE512" s="2511"/>
      <c r="KXF512" s="1755"/>
      <c r="KXG512" s="1756"/>
      <c r="KXH512" s="1756"/>
      <c r="KXI512" s="1757"/>
      <c r="KXJ512" s="385"/>
      <c r="KXK512" s="69"/>
      <c r="KXL512" s="69"/>
      <c r="KXM512" s="2511"/>
      <c r="KXN512" s="1755"/>
      <c r="KXO512" s="1756"/>
      <c r="KXP512" s="1756"/>
      <c r="KXQ512" s="1757"/>
      <c r="KXR512" s="385"/>
      <c r="KXS512" s="69"/>
      <c r="KXT512" s="69"/>
      <c r="KXU512" s="2511"/>
      <c r="KXV512" s="1755"/>
      <c r="KXW512" s="1756"/>
      <c r="KXX512" s="1756"/>
      <c r="KXY512" s="1757"/>
      <c r="KXZ512" s="385"/>
      <c r="KYA512" s="69"/>
      <c r="KYB512" s="69"/>
      <c r="KYC512" s="2511"/>
      <c r="KYD512" s="1755"/>
      <c r="KYE512" s="1756"/>
      <c r="KYF512" s="1756"/>
      <c r="KYG512" s="1757"/>
      <c r="KYH512" s="385"/>
      <c r="KYI512" s="69"/>
      <c r="KYJ512" s="69"/>
      <c r="KYK512" s="2511"/>
      <c r="KYL512" s="1755"/>
      <c r="KYM512" s="1756"/>
      <c r="KYN512" s="1756"/>
      <c r="KYO512" s="1757"/>
      <c r="KYP512" s="385"/>
      <c r="KYQ512" s="69"/>
      <c r="KYR512" s="69"/>
      <c r="KYS512" s="2511"/>
      <c r="KYT512" s="1755"/>
      <c r="KYU512" s="1756"/>
      <c r="KYV512" s="1756"/>
      <c r="KYW512" s="1757"/>
      <c r="KYX512" s="385"/>
      <c r="KYY512" s="69"/>
      <c r="KYZ512" s="69"/>
      <c r="KZA512" s="2511"/>
      <c r="KZB512" s="1755"/>
      <c r="KZC512" s="1756"/>
      <c r="KZD512" s="1756"/>
      <c r="KZE512" s="1757"/>
      <c r="KZF512" s="385"/>
      <c r="KZG512" s="69"/>
      <c r="KZH512" s="69"/>
      <c r="KZI512" s="2511"/>
      <c r="KZJ512" s="1755"/>
      <c r="KZK512" s="1756"/>
      <c r="KZL512" s="1756"/>
      <c r="KZM512" s="1757"/>
      <c r="KZN512" s="385"/>
      <c r="KZO512" s="69"/>
      <c r="KZP512" s="69"/>
      <c r="KZQ512" s="2511"/>
      <c r="KZR512" s="1755"/>
      <c r="KZS512" s="1756"/>
      <c r="KZT512" s="1756"/>
      <c r="KZU512" s="1757"/>
      <c r="KZV512" s="385"/>
      <c r="KZW512" s="69"/>
      <c r="KZX512" s="69"/>
      <c r="KZY512" s="2511"/>
      <c r="KZZ512" s="1755"/>
      <c r="LAA512" s="1756"/>
      <c r="LAB512" s="1756"/>
      <c r="LAC512" s="1757"/>
      <c r="LAD512" s="385"/>
      <c r="LAE512" s="69"/>
      <c r="LAF512" s="69"/>
      <c r="LAG512" s="2511"/>
      <c r="LAH512" s="1755"/>
      <c r="LAI512" s="1756"/>
      <c r="LAJ512" s="1756"/>
      <c r="LAK512" s="1757"/>
      <c r="LAL512" s="385"/>
      <c r="LAM512" s="69"/>
      <c r="LAN512" s="69"/>
      <c r="LAO512" s="2511"/>
      <c r="LAP512" s="1755"/>
      <c r="LAQ512" s="1756"/>
      <c r="LAR512" s="1756"/>
      <c r="LAS512" s="1757"/>
      <c r="LAT512" s="385"/>
      <c r="LAU512" s="69"/>
      <c r="LAV512" s="69"/>
      <c r="LAW512" s="2511"/>
      <c r="LAX512" s="1755"/>
      <c r="LAY512" s="1756"/>
      <c r="LAZ512" s="1756"/>
      <c r="LBA512" s="1757"/>
      <c r="LBB512" s="385"/>
      <c r="LBC512" s="69"/>
      <c r="LBD512" s="69"/>
      <c r="LBE512" s="2511"/>
      <c r="LBF512" s="1755"/>
      <c r="LBG512" s="1756"/>
      <c r="LBH512" s="1756"/>
      <c r="LBI512" s="1757"/>
      <c r="LBJ512" s="385"/>
      <c r="LBK512" s="69"/>
      <c r="LBL512" s="69"/>
      <c r="LBM512" s="2511"/>
      <c r="LBN512" s="1755"/>
      <c r="LBO512" s="1756"/>
      <c r="LBP512" s="1756"/>
      <c r="LBQ512" s="1757"/>
      <c r="LBR512" s="385"/>
      <c r="LBS512" s="69"/>
      <c r="LBT512" s="69"/>
      <c r="LBU512" s="2511"/>
      <c r="LBV512" s="1755"/>
      <c r="LBW512" s="1756"/>
      <c r="LBX512" s="1756"/>
      <c r="LBY512" s="1757"/>
      <c r="LBZ512" s="385"/>
      <c r="LCA512" s="69"/>
      <c r="LCB512" s="69"/>
      <c r="LCC512" s="2511"/>
      <c r="LCD512" s="1755"/>
      <c r="LCE512" s="1756"/>
      <c r="LCF512" s="1756"/>
      <c r="LCG512" s="1757"/>
      <c r="LCH512" s="385"/>
      <c r="LCI512" s="69"/>
      <c r="LCJ512" s="69"/>
      <c r="LCK512" s="2511"/>
      <c r="LCL512" s="1755"/>
      <c r="LCM512" s="1756"/>
      <c r="LCN512" s="1756"/>
      <c r="LCO512" s="1757"/>
      <c r="LCP512" s="385"/>
      <c r="LCQ512" s="69"/>
      <c r="LCR512" s="69"/>
      <c r="LCS512" s="2511"/>
      <c r="LCT512" s="1755"/>
      <c r="LCU512" s="1756"/>
      <c r="LCV512" s="1756"/>
      <c r="LCW512" s="1757"/>
      <c r="LCX512" s="385"/>
      <c r="LCY512" s="69"/>
      <c r="LCZ512" s="69"/>
      <c r="LDA512" s="2511"/>
      <c r="LDB512" s="1755"/>
      <c r="LDC512" s="1756"/>
      <c r="LDD512" s="1756"/>
      <c r="LDE512" s="1757"/>
      <c r="LDF512" s="385"/>
      <c r="LDG512" s="69"/>
      <c r="LDH512" s="69"/>
      <c r="LDI512" s="2511"/>
      <c r="LDJ512" s="1755"/>
      <c r="LDK512" s="1756"/>
      <c r="LDL512" s="1756"/>
      <c r="LDM512" s="1757"/>
      <c r="LDN512" s="385"/>
      <c r="LDO512" s="69"/>
      <c r="LDP512" s="69"/>
      <c r="LDQ512" s="2511"/>
      <c r="LDR512" s="1755"/>
      <c r="LDS512" s="1756"/>
      <c r="LDT512" s="1756"/>
      <c r="LDU512" s="1757"/>
      <c r="LDV512" s="385"/>
      <c r="LDW512" s="69"/>
      <c r="LDX512" s="69"/>
      <c r="LDY512" s="2511"/>
      <c r="LDZ512" s="1755"/>
      <c r="LEA512" s="1756"/>
      <c r="LEB512" s="1756"/>
      <c r="LEC512" s="1757"/>
      <c r="LED512" s="385"/>
      <c r="LEE512" s="69"/>
      <c r="LEF512" s="69"/>
      <c r="LEG512" s="2511"/>
      <c r="LEH512" s="1755"/>
      <c r="LEI512" s="1756"/>
      <c r="LEJ512" s="1756"/>
      <c r="LEK512" s="1757"/>
      <c r="LEL512" s="385"/>
      <c r="LEM512" s="69"/>
      <c r="LEN512" s="69"/>
      <c r="LEO512" s="2511"/>
      <c r="LEP512" s="1755"/>
      <c r="LEQ512" s="1756"/>
      <c r="LER512" s="1756"/>
      <c r="LES512" s="1757"/>
      <c r="LET512" s="385"/>
      <c r="LEU512" s="69"/>
      <c r="LEV512" s="69"/>
      <c r="LEW512" s="2511"/>
      <c r="LEX512" s="1755"/>
      <c r="LEY512" s="1756"/>
      <c r="LEZ512" s="1756"/>
      <c r="LFA512" s="1757"/>
      <c r="LFB512" s="385"/>
      <c r="LFC512" s="69"/>
      <c r="LFD512" s="69"/>
      <c r="LFE512" s="2511"/>
      <c r="LFF512" s="1755"/>
      <c r="LFG512" s="1756"/>
      <c r="LFH512" s="1756"/>
      <c r="LFI512" s="1757"/>
      <c r="LFJ512" s="385"/>
      <c r="LFK512" s="69"/>
      <c r="LFL512" s="69"/>
      <c r="LFM512" s="2511"/>
      <c r="LFN512" s="1755"/>
      <c r="LFO512" s="1756"/>
      <c r="LFP512" s="1756"/>
      <c r="LFQ512" s="1757"/>
      <c r="LFR512" s="385"/>
      <c r="LFS512" s="69"/>
      <c r="LFT512" s="69"/>
      <c r="LFU512" s="2511"/>
      <c r="LFV512" s="1755"/>
      <c r="LFW512" s="1756"/>
      <c r="LFX512" s="1756"/>
      <c r="LFY512" s="1757"/>
      <c r="LFZ512" s="385"/>
      <c r="LGA512" s="69"/>
      <c r="LGB512" s="69"/>
      <c r="LGC512" s="2511"/>
      <c r="LGD512" s="1755"/>
      <c r="LGE512" s="1756"/>
      <c r="LGF512" s="1756"/>
      <c r="LGG512" s="1757"/>
      <c r="LGH512" s="385"/>
      <c r="LGI512" s="69"/>
      <c r="LGJ512" s="69"/>
      <c r="LGK512" s="2511"/>
      <c r="LGL512" s="1755"/>
      <c r="LGM512" s="1756"/>
      <c r="LGN512" s="1756"/>
      <c r="LGO512" s="1757"/>
      <c r="LGP512" s="385"/>
      <c r="LGQ512" s="69"/>
      <c r="LGR512" s="69"/>
      <c r="LGS512" s="2511"/>
      <c r="LGT512" s="1755"/>
      <c r="LGU512" s="1756"/>
      <c r="LGV512" s="1756"/>
      <c r="LGW512" s="1757"/>
      <c r="LGX512" s="385"/>
      <c r="LGY512" s="69"/>
      <c r="LGZ512" s="69"/>
      <c r="LHA512" s="2511"/>
      <c r="LHB512" s="1755"/>
      <c r="LHC512" s="1756"/>
      <c r="LHD512" s="1756"/>
      <c r="LHE512" s="1757"/>
      <c r="LHF512" s="385"/>
      <c r="LHG512" s="69"/>
      <c r="LHH512" s="69"/>
      <c r="LHI512" s="2511"/>
      <c r="LHJ512" s="1755"/>
      <c r="LHK512" s="1756"/>
      <c r="LHL512" s="1756"/>
      <c r="LHM512" s="1757"/>
      <c r="LHN512" s="385"/>
      <c r="LHO512" s="69"/>
      <c r="LHP512" s="69"/>
      <c r="LHQ512" s="2511"/>
      <c r="LHR512" s="1755"/>
      <c r="LHS512" s="1756"/>
      <c r="LHT512" s="1756"/>
      <c r="LHU512" s="1757"/>
      <c r="LHV512" s="385"/>
      <c r="LHW512" s="69"/>
      <c r="LHX512" s="69"/>
      <c r="LHY512" s="2511"/>
      <c r="LHZ512" s="1755"/>
      <c r="LIA512" s="1756"/>
      <c r="LIB512" s="1756"/>
      <c r="LIC512" s="1757"/>
      <c r="LID512" s="385"/>
      <c r="LIE512" s="69"/>
      <c r="LIF512" s="69"/>
      <c r="LIG512" s="2511"/>
      <c r="LIH512" s="1755"/>
      <c r="LII512" s="1756"/>
      <c r="LIJ512" s="1756"/>
      <c r="LIK512" s="1757"/>
      <c r="LIL512" s="385"/>
      <c r="LIM512" s="69"/>
      <c r="LIN512" s="69"/>
      <c r="LIO512" s="2511"/>
      <c r="LIP512" s="1755"/>
      <c r="LIQ512" s="1756"/>
      <c r="LIR512" s="1756"/>
      <c r="LIS512" s="1757"/>
      <c r="LIT512" s="385"/>
      <c r="LIU512" s="69"/>
      <c r="LIV512" s="69"/>
      <c r="LIW512" s="2511"/>
      <c r="LIX512" s="1755"/>
      <c r="LIY512" s="1756"/>
      <c r="LIZ512" s="1756"/>
      <c r="LJA512" s="1757"/>
      <c r="LJB512" s="385"/>
      <c r="LJC512" s="69"/>
      <c r="LJD512" s="69"/>
      <c r="LJE512" s="2511"/>
      <c r="LJF512" s="1755"/>
      <c r="LJG512" s="1756"/>
      <c r="LJH512" s="1756"/>
      <c r="LJI512" s="1757"/>
      <c r="LJJ512" s="385"/>
      <c r="LJK512" s="69"/>
      <c r="LJL512" s="69"/>
      <c r="LJM512" s="2511"/>
      <c r="LJN512" s="1755"/>
      <c r="LJO512" s="1756"/>
      <c r="LJP512" s="1756"/>
      <c r="LJQ512" s="1757"/>
      <c r="LJR512" s="385"/>
      <c r="LJS512" s="69"/>
      <c r="LJT512" s="69"/>
      <c r="LJU512" s="2511"/>
      <c r="LJV512" s="1755"/>
      <c r="LJW512" s="1756"/>
      <c r="LJX512" s="1756"/>
      <c r="LJY512" s="1757"/>
      <c r="LJZ512" s="385"/>
      <c r="LKA512" s="69"/>
      <c r="LKB512" s="69"/>
      <c r="LKC512" s="2511"/>
      <c r="LKD512" s="1755"/>
      <c r="LKE512" s="1756"/>
      <c r="LKF512" s="1756"/>
      <c r="LKG512" s="1757"/>
      <c r="LKH512" s="385"/>
      <c r="LKI512" s="69"/>
      <c r="LKJ512" s="69"/>
      <c r="LKK512" s="2511"/>
      <c r="LKL512" s="1755"/>
      <c r="LKM512" s="1756"/>
      <c r="LKN512" s="1756"/>
      <c r="LKO512" s="1757"/>
      <c r="LKP512" s="385"/>
      <c r="LKQ512" s="69"/>
      <c r="LKR512" s="69"/>
      <c r="LKS512" s="2511"/>
      <c r="LKT512" s="1755"/>
      <c r="LKU512" s="1756"/>
      <c r="LKV512" s="1756"/>
      <c r="LKW512" s="1757"/>
      <c r="LKX512" s="385"/>
      <c r="LKY512" s="69"/>
      <c r="LKZ512" s="69"/>
      <c r="LLA512" s="2511"/>
      <c r="LLB512" s="1755"/>
      <c r="LLC512" s="1756"/>
      <c r="LLD512" s="1756"/>
      <c r="LLE512" s="1757"/>
      <c r="LLF512" s="385"/>
      <c r="LLG512" s="69"/>
      <c r="LLH512" s="69"/>
      <c r="LLI512" s="2511"/>
      <c r="LLJ512" s="1755"/>
      <c r="LLK512" s="1756"/>
      <c r="LLL512" s="1756"/>
      <c r="LLM512" s="1757"/>
      <c r="LLN512" s="385"/>
      <c r="LLO512" s="69"/>
      <c r="LLP512" s="69"/>
      <c r="LLQ512" s="2511"/>
      <c r="LLR512" s="1755"/>
      <c r="LLS512" s="1756"/>
      <c r="LLT512" s="1756"/>
      <c r="LLU512" s="1757"/>
      <c r="LLV512" s="385"/>
      <c r="LLW512" s="69"/>
      <c r="LLX512" s="69"/>
      <c r="LLY512" s="2511"/>
      <c r="LLZ512" s="1755"/>
      <c r="LMA512" s="1756"/>
      <c r="LMB512" s="1756"/>
      <c r="LMC512" s="1757"/>
      <c r="LMD512" s="385"/>
      <c r="LME512" s="69"/>
      <c r="LMF512" s="69"/>
      <c r="LMG512" s="2511"/>
      <c r="LMH512" s="1755"/>
      <c r="LMI512" s="1756"/>
      <c r="LMJ512" s="1756"/>
      <c r="LMK512" s="1757"/>
      <c r="LML512" s="385"/>
      <c r="LMM512" s="69"/>
      <c r="LMN512" s="69"/>
      <c r="LMO512" s="2511"/>
      <c r="LMP512" s="1755"/>
      <c r="LMQ512" s="1756"/>
      <c r="LMR512" s="1756"/>
      <c r="LMS512" s="1757"/>
      <c r="LMT512" s="385"/>
      <c r="LMU512" s="69"/>
      <c r="LMV512" s="69"/>
      <c r="LMW512" s="2511"/>
      <c r="LMX512" s="1755"/>
      <c r="LMY512" s="1756"/>
      <c r="LMZ512" s="1756"/>
      <c r="LNA512" s="1757"/>
      <c r="LNB512" s="385"/>
      <c r="LNC512" s="69"/>
      <c r="LND512" s="69"/>
      <c r="LNE512" s="2511"/>
      <c r="LNF512" s="1755"/>
      <c r="LNG512" s="1756"/>
      <c r="LNH512" s="1756"/>
      <c r="LNI512" s="1757"/>
      <c r="LNJ512" s="385"/>
      <c r="LNK512" s="69"/>
      <c r="LNL512" s="69"/>
      <c r="LNM512" s="2511"/>
      <c r="LNN512" s="1755"/>
      <c r="LNO512" s="1756"/>
      <c r="LNP512" s="1756"/>
      <c r="LNQ512" s="1757"/>
      <c r="LNR512" s="385"/>
      <c r="LNS512" s="69"/>
      <c r="LNT512" s="69"/>
      <c r="LNU512" s="2511"/>
      <c r="LNV512" s="1755"/>
      <c r="LNW512" s="1756"/>
      <c r="LNX512" s="1756"/>
      <c r="LNY512" s="1757"/>
      <c r="LNZ512" s="385"/>
      <c r="LOA512" s="69"/>
      <c r="LOB512" s="69"/>
      <c r="LOC512" s="2511"/>
      <c r="LOD512" s="1755"/>
      <c r="LOE512" s="1756"/>
      <c r="LOF512" s="1756"/>
      <c r="LOG512" s="1757"/>
      <c r="LOH512" s="385"/>
      <c r="LOI512" s="69"/>
      <c r="LOJ512" s="69"/>
      <c r="LOK512" s="2511"/>
      <c r="LOL512" s="1755"/>
      <c r="LOM512" s="1756"/>
      <c r="LON512" s="1756"/>
      <c r="LOO512" s="1757"/>
      <c r="LOP512" s="385"/>
      <c r="LOQ512" s="69"/>
      <c r="LOR512" s="69"/>
      <c r="LOS512" s="2511"/>
      <c r="LOT512" s="1755"/>
      <c r="LOU512" s="1756"/>
      <c r="LOV512" s="1756"/>
      <c r="LOW512" s="1757"/>
      <c r="LOX512" s="385"/>
      <c r="LOY512" s="69"/>
      <c r="LOZ512" s="69"/>
      <c r="LPA512" s="2511"/>
      <c r="LPB512" s="1755"/>
      <c r="LPC512" s="1756"/>
      <c r="LPD512" s="1756"/>
      <c r="LPE512" s="1757"/>
      <c r="LPF512" s="385"/>
      <c r="LPG512" s="69"/>
      <c r="LPH512" s="69"/>
      <c r="LPI512" s="2511"/>
      <c r="LPJ512" s="1755"/>
      <c r="LPK512" s="1756"/>
      <c r="LPL512" s="1756"/>
      <c r="LPM512" s="1757"/>
      <c r="LPN512" s="385"/>
      <c r="LPO512" s="69"/>
      <c r="LPP512" s="69"/>
      <c r="LPQ512" s="2511"/>
      <c r="LPR512" s="1755"/>
      <c r="LPS512" s="1756"/>
      <c r="LPT512" s="1756"/>
      <c r="LPU512" s="1757"/>
      <c r="LPV512" s="385"/>
      <c r="LPW512" s="69"/>
      <c r="LPX512" s="69"/>
      <c r="LPY512" s="2511"/>
      <c r="LPZ512" s="1755"/>
      <c r="LQA512" s="1756"/>
      <c r="LQB512" s="1756"/>
      <c r="LQC512" s="1757"/>
      <c r="LQD512" s="385"/>
      <c r="LQE512" s="69"/>
      <c r="LQF512" s="69"/>
      <c r="LQG512" s="2511"/>
      <c r="LQH512" s="1755"/>
      <c r="LQI512" s="1756"/>
      <c r="LQJ512" s="1756"/>
      <c r="LQK512" s="1757"/>
      <c r="LQL512" s="385"/>
      <c r="LQM512" s="69"/>
      <c r="LQN512" s="69"/>
      <c r="LQO512" s="2511"/>
      <c r="LQP512" s="1755"/>
      <c r="LQQ512" s="1756"/>
      <c r="LQR512" s="1756"/>
      <c r="LQS512" s="1757"/>
      <c r="LQT512" s="385"/>
      <c r="LQU512" s="69"/>
      <c r="LQV512" s="69"/>
      <c r="LQW512" s="2511"/>
      <c r="LQX512" s="1755"/>
      <c r="LQY512" s="1756"/>
      <c r="LQZ512" s="1756"/>
      <c r="LRA512" s="1757"/>
      <c r="LRB512" s="385"/>
      <c r="LRC512" s="69"/>
      <c r="LRD512" s="69"/>
      <c r="LRE512" s="2511"/>
      <c r="LRF512" s="1755"/>
      <c r="LRG512" s="1756"/>
      <c r="LRH512" s="1756"/>
      <c r="LRI512" s="1757"/>
      <c r="LRJ512" s="385"/>
      <c r="LRK512" s="69"/>
      <c r="LRL512" s="69"/>
      <c r="LRM512" s="2511"/>
      <c r="LRN512" s="1755"/>
      <c r="LRO512" s="1756"/>
      <c r="LRP512" s="1756"/>
      <c r="LRQ512" s="1757"/>
      <c r="LRR512" s="385"/>
      <c r="LRS512" s="69"/>
      <c r="LRT512" s="69"/>
      <c r="LRU512" s="2511"/>
      <c r="LRV512" s="1755"/>
      <c r="LRW512" s="1756"/>
      <c r="LRX512" s="1756"/>
      <c r="LRY512" s="1757"/>
      <c r="LRZ512" s="385"/>
      <c r="LSA512" s="69"/>
      <c r="LSB512" s="69"/>
      <c r="LSC512" s="2511"/>
      <c r="LSD512" s="1755"/>
      <c r="LSE512" s="1756"/>
      <c r="LSF512" s="1756"/>
      <c r="LSG512" s="1757"/>
      <c r="LSH512" s="385"/>
      <c r="LSI512" s="69"/>
      <c r="LSJ512" s="69"/>
      <c r="LSK512" s="2511"/>
      <c r="LSL512" s="1755"/>
      <c r="LSM512" s="1756"/>
      <c r="LSN512" s="1756"/>
      <c r="LSO512" s="1757"/>
      <c r="LSP512" s="385"/>
      <c r="LSQ512" s="69"/>
      <c r="LSR512" s="69"/>
      <c r="LSS512" s="2511"/>
      <c r="LST512" s="1755"/>
      <c r="LSU512" s="1756"/>
      <c r="LSV512" s="1756"/>
      <c r="LSW512" s="1757"/>
      <c r="LSX512" s="385"/>
      <c r="LSY512" s="69"/>
      <c r="LSZ512" s="69"/>
      <c r="LTA512" s="2511"/>
      <c r="LTB512" s="1755"/>
      <c r="LTC512" s="1756"/>
      <c r="LTD512" s="1756"/>
      <c r="LTE512" s="1757"/>
      <c r="LTF512" s="385"/>
      <c r="LTG512" s="69"/>
      <c r="LTH512" s="69"/>
      <c r="LTI512" s="2511"/>
      <c r="LTJ512" s="1755"/>
      <c r="LTK512" s="1756"/>
      <c r="LTL512" s="1756"/>
      <c r="LTM512" s="1757"/>
      <c r="LTN512" s="385"/>
      <c r="LTO512" s="69"/>
      <c r="LTP512" s="69"/>
      <c r="LTQ512" s="2511"/>
      <c r="LTR512" s="1755"/>
      <c r="LTS512" s="1756"/>
      <c r="LTT512" s="1756"/>
      <c r="LTU512" s="1757"/>
      <c r="LTV512" s="385"/>
      <c r="LTW512" s="69"/>
      <c r="LTX512" s="69"/>
      <c r="LTY512" s="2511"/>
      <c r="LTZ512" s="1755"/>
      <c r="LUA512" s="1756"/>
      <c r="LUB512" s="1756"/>
      <c r="LUC512" s="1757"/>
      <c r="LUD512" s="385"/>
      <c r="LUE512" s="69"/>
      <c r="LUF512" s="69"/>
      <c r="LUG512" s="2511"/>
      <c r="LUH512" s="1755"/>
      <c r="LUI512" s="1756"/>
      <c r="LUJ512" s="1756"/>
      <c r="LUK512" s="1757"/>
      <c r="LUL512" s="385"/>
      <c r="LUM512" s="69"/>
      <c r="LUN512" s="69"/>
      <c r="LUO512" s="2511"/>
      <c r="LUP512" s="1755"/>
      <c r="LUQ512" s="1756"/>
      <c r="LUR512" s="1756"/>
      <c r="LUS512" s="1757"/>
      <c r="LUT512" s="385"/>
      <c r="LUU512" s="69"/>
      <c r="LUV512" s="69"/>
      <c r="LUW512" s="2511"/>
      <c r="LUX512" s="1755"/>
      <c r="LUY512" s="1756"/>
      <c r="LUZ512" s="1756"/>
      <c r="LVA512" s="1757"/>
      <c r="LVB512" s="385"/>
      <c r="LVC512" s="69"/>
      <c r="LVD512" s="69"/>
      <c r="LVE512" s="2511"/>
      <c r="LVF512" s="1755"/>
      <c r="LVG512" s="1756"/>
      <c r="LVH512" s="1756"/>
      <c r="LVI512" s="1757"/>
      <c r="LVJ512" s="385"/>
      <c r="LVK512" s="69"/>
      <c r="LVL512" s="69"/>
      <c r="LVM512" s="2511"/>
      <c r="LVN512" s="1755"/>
      <c r="LVO512" s="1756"/>
      <c r="LVP512" s="1756"/>
      <c r="LVQ512" s="1757"/>
      <c r="LVR512" s="385"/>
      <c r="LVS512" s="69"/>
      <c r="LVT512" s="69"/>
      <c r="LVU512" s="2511"/>
      <c r="LVV512" s="1755"/>
      <c r="LVW512" s="1756"/>
      <c r="LVX512" s="1756"/>
      <c r="LVY512" s="1757"/>
      <c r="LVZ512" s="385"/>
      <c r="LWA512" s="69"/>
      <c r="LWB512" s="69"/>
      <c r="LWC512" s="2511"/>
      <c r="LWD512" s="1755"/>
      <c r="LWE512" s="1756"/>
      <c r="LWF512" s="1756"/>
      <c r="LWG512" s="1757"/>
      <c r="LWH512" s="385"/>
      <c r="LWI512" s="69"/>
      <c r="LWJ512" s="69"/>
      <c r="LWK512" s="2511"/>
      <c r="LWL512" s="1755"/>
      <c r="LWM512" s="1756"/>
      <c r="LWN512" s="1756"/>
      <c r="LWO512" s="1757"/>
      <c r="LWP512" s="385"/>
      <c r="LWQ512" s="69"/>
      <c r="LWR512" s="69"/>
      <c r="LWS512" s="2511"/>
      <c r="LWT512" s="1755"/>
      <c r="LWU512" s="1756"/>
      <c r="LWV512" s="1756"/>
      <c r="LWW512" s="1757"/>
      <c r="LWX512" s="385"/>
      <c r="LWY512" s="69"/>
      <c r="LWZ512" s="69"/>
      <c r="LXA512" s="2511"/>
      <c r="LXB512" s="1755"/>
      <c r="LXC512" s="1756"/>
      <c r="LXD512" s="1756"/>
      <c r="LXE512" s="1757"/>
      <c r="LXF512" s="385"/>
      <c r="LXG512" s="69"/>
      <c r="LXH512" s="69"/>
      <c r="LXI512" s="2511"/>
      <c r="LXJ512" s="1755"/>
      <c r="LXK512" s="1756"/>
      <c r="LXL512" s="1756"/>
      <c r="LXM512" s="1757"/>
      <c r="LXN512" s="385"/>
      <c r="LXO512" s="69"/>
      <c r="LXP512" s="69"/>
      <c r="LXQ512" s="2511"/>
      <c r="LXR512" s="1755"/>
      <c r="LXS512" s="1756"/>
      <c r="LXT512" s="1756"/>
      <c r="LXU512" s="1757"/>
      <c r="LXV512" s="385"/>
      <c r="LXW512" s="69"/>
      <c r="LXX512" s="69"/>
      <c r="LXY512" s="2511"/>
      <c r="LXZ512" s="1755"/>
      <c r="LYA512" s="1756"/>
      <c r="LYB512" s="1756"/>
      <c r="LYC512" s="1757"/>
      <c r="LYD512" s="385"/>
      <c r="LYE512" s="69"/>
      <c r="LYF512" s="69"/>
      <c r="LYG512" s="2511"/>
      <c r="LYH512" s="1755"/>
      <c r="LYI512" s="1756"/>
      <c r="LYJ512" s="1756"/>
      <c r="LYK512" s="1757"/>
      <c r="LYL512" s="385"/>
      <c r="LYM512" s="69"/>
      <c r="LYN512" s="69"/>
      <c r="LYO512" s="2511"/>
      <c r="LYP512" s="1755"/>
      <c r="LYQ512" s="1756"/>
      <c r="LYR512" s="1756"/>
      <c r="LYS512" s="1757"/>
      <c r="LYT512" s="385"/>
      <c r="LYU512" s="69"/>
      <c r="LYV512" s="69"/>
      <c r="LYW512" s="2511"/>
      <c r="LYX512" s="1755"/>
      <c r="LYY512" s="1756"/>
      <c r="LYZ512" s="1756"/>
      <c r="LZA512" s="1757"/>
      <c r="LZB512" s="385"/>
      <c r="LZC512" s="69"/>
      <c r="LZD512" s="69"/>
      <c r="LZE512" s="2511"/>
      <c r="LZF512" s="1755"/>
      <c r="LZG512" s="1756"/>
      <c r="LZH512" s="1756"/>
      <c r="LZI512" s="1757"/>
      <c r="LZJ512" s="385"/>
      <c r="LZK512" s="69"/>
      <c r="LZL512" s="69"/>
      <c r="LZM512" s="2511"/>
      <c r="LZN512" s="1755"/>
      <c r="LZO512" s="1756"/>
      <c r="LZP512" s="1756"/>
      <c r="LZQ512" s="1757"/>
      <c r="LZR512" s="385"/>
      <c r="LZS512" s="69"/>
      <c r="LZT512" s="69"/>
      <c r="LZU512" s="2511"/>
      <c r="LZV512" s="1755"/>
      <c r="LZW512" s="1756"/>
      <c r="LZX512" s="1756"/>
      <c r="LZY512" s="1757"/>
      <c r="LZZ512" s="385"/>
      <c r="MAA512" s="69"/>
      <c r="MAB512" s="69"/>
      <c r="MAC512" s="2511"/>
      <c r="MAD512" s="1755"/>
      <c r="MAE512" s="1756"/>
      <c r="MAF512" s="1756"/>
      <c r="MAG512" s="1757"/>
      <c r="MAH512" s="385"/>
      <c r="MAI512" s="69"/>
      <c r="MAJ512" s="69"/>
      <c r="MAK512" s="2511"/>
      <c r="MAL512" s="1755"/>
      <c r="MAM512" s="1756"/>
      <c r="MAN512" s="1756"/>
      <c r="MAO512" s="1757"/>
      <c r="MAP512" s="385"/>
      <c r="MAQ512" s="69"/>
      <c r="MAR512" s="69"/>
      <c r="MAS512" s="2511"/>
      <c r="MAT512" s="1755"/>
      <c r="MAU512" s="1756"/>
      <c r="MAV512" s="1756"/>
      <c r="MAW512" s="1757"/>
      <c r="MAX512" s="385"/>
      <c r="MAY512" s="69"/>
      <c r="MAZ512" s="69"/>
      <c r="MBA512" s="2511"/>
      <c r="MBB512" s="1755"/>
      <c r="MBC512" s="1756"/>
      <c r="MBD512" s="1756"/>
      <c r="MBE512" s="1757"/>
      <c r="MBF512" s="385"/>
      <c r="MBG512" s="69"/>
      <c r="MBH512" s="69"/>
      <c r="MBI512" s="2511"/>
      <c r="MBJ512" s="1755"/>
      <c r="MBK512" s="1756"/>
      <c r="MBL512" s="1756"/>
      <c r="MBM512" s="1757"/>
      <c r="MBN512" s="385"/>
      <c r="MBO512" s="69"/>
      <c r="MBP512" s="69"/>
      <c r="MBQ512" s="2511"/>
      <c r="MBR512" s="1755"/>
      <c r="MBS512" s="1756"/>
      <c r="MBT512" s="1756"/>
      <c r="MBU512" s="1757"/>
      <c r="MBV512" s="385"/>
      <c r="MBW512" s="69"/>
      <c r="MBX512" s="69"/>
      <c r="MBY512" s="2511"/>
      <c r="MBZ512" s="1755"/>
      <c r="MCA512" s="1756"/>
      <c r="MCB512" s="1756"/>
      <c r="MCC512" s="1757"/>
      <c r="MCD512" s="385"/>
      <c r="MCE512" s="69"/>
      <c r="MCF512" s="69"/>
      <c r="MCG512" s="2511"/>
      <c r="MCH512" s="1755"/>
      <c r="MCI512" s="1756"/>
      <c r="MCJ512" s="1756"/>
      <c r="MCK512" s="1757"/>
      <c r="MCL512" s="385"/>
      <c r="MCM512" s="69"/>
      <c r="MCN512" s="69"/>
      <c r="MCO512" s="2511"/>
      <c r="MCP512" s="1755"/>
      <c r="MCQ512" s="1756"/>
      <c r="MCR512" s="1756"/>
      <c r="MCS512" s="1757"/>
      <c r="MCT512" s="385"/>
      <c r="MCU512" s="69"/>
      <c r="MCV512" s="69"/>
      <c r="MCW512" s="2511"/>
      <c r="MCX512" s="1755"/>
      <c r="MCY512" s="1756"/>
      <c r="MCZ512" s="1756"/>
      <c r="MDA512" s="1757"/>
      <c r="MDB512" s="385"/>
      <c r="MDC512" s="69"/>
      <c r="MDD512" s="69"/>
      <c r="MDE512" s="2511"/>
      <c r="MDF512" s="1755"/>
      <c r="MDG512" s="1756"/>
      <c r="MDH512" s="1756"/>
      <c r="MDI512" s="1757"/>
      <c r="MDJ512" s="385"/>
      <c r="MDK512" s="69"/>
      <c r="MDL512" s="69"/>
      <c r="MDM512" s="2511"/>
      <c r="MDN512" s="1755"/>
      <c r="MDO512" s="1756"/>
      <c r="MDP512" s="1756"/>
      <c r="MDQ512" s="1757"/>
      <c r="MDR512" s="385"/>
      <c r="MDS512" s="69"/>
      <c r="MDT512" s="69"/>
      <c r="MDU512" s="2511"/>
      <c r="MDV512" s="1755"/>
      <c r="MDW512" s="1756"/>
      <c r="MDX512" s="1756"/>
      <c r="MDY512" s="1757"/>
      <c r="MDZ512" s="385"/>
      <c r="MEA512" s="69"/>
      <c r="MEB512" s="69"/>
      <c r="MEC512" s="2511"/>
      <c r="MED512" s="1755"/>
      <c r="MEE512" s="1756"/>
      <c r="MEF512" s="1756"/>
      <c r="MEG512" s="1757"/>
      <c r="MEH512" s="385"/>
      <c r="MEI512" s="69"/>
      <c r="MEJ512" s="69"/>
      <c r="MEK512" s="2511"/>
      <c r="MEL512" s="1755"/>
      <c r="MEM512" s="1756"/>
      <c r="MEN512" s="1756"/>
      <c r="MEO512" s="1757"/>
      <c r="MEP512" s="385"/>
      <c r="MEQ512" s="69"/>
      <c r="MER512" s="69"/>
      <c r="MES512" s="2511"/>
      <c r="MET512" s="1755"/>
      <c r="MEU512" s="1756"/>
      <c r="MEV512" s="1756"/>
      <c r="MEW512" s="1757"/>
      <c r="MEX512" s="385"/>
      <c r="MEY512" s="69"/>
      <c r="MEZ512" s="69"/>
      <c r="MFA512" s="2511"/>
      <c r="MFB512" s="1755"/>
      <c r="MFC512" s="1756"/>
      <c r="MFD512" s="1756"/>
      <c r="MFE512" s="1757"/>
      <c r="MFF512" s="385"/>
      <c r="MFG512" s="69"/>
      <c r="MFH512" s="69"/>
      <c r="MFI512" s="2511"/>
      <c r="MFJ512" s="1755"/>
      <c r="MFK512" s="1756"/>
      <c r="MFL512" s="1756"/>
      <c r="MFM512" s="1757"/>
      <c r="MFN512" s="385"/>
      <c r="MFO512" s="69"/>
      <c r="MFP512" s="69"/>
      <c r="MFQ512" s="2511"/>
      <c r="MFR512" s="1755"/>
      <c r="MFS512" s="1756"/>
      <c r="MFT512" s="1756"/>
      <c r="MFU512" s="1757"/>
      <c r="MFV512" s="385"/>
      <c r="MFW512" s="69"/>
      <c r="MFX512" s="69"/>
      <c r="MFY512" s="2511"/>
      <c r="MFZ512" s="1755"/>
      <c r="MGA512" s="1756"/>
      <c r="MGB512" s="1756"/>
      <c r="MGC512" s="1757"/>
      <c r="MGD512" s="385"/>
      <c r="MGE512" s="69"/>
      <c r="MGF512" s="69"/>
      <c r="MGG512" s="2511"/>
      <c r="MGH512" s="1755"/>
      <c r="MGI512" s="1756"/>
      <c r="MGJ512" s="1756"/>
      <c r="MGK512" s="1757"/>
      <c r="MGL512" s="385"/>
      <c r="MGM512" s="69"/>
      <c r="MGN512" s="69"/>
      <c r="MGO512" s="2511"/>
      <c r="MGP512" s="1755"/>
      <c r="MGQ512" s="1756"/>
      <c r="MGR512" s="1756"/>
      <c r="MGS512" s="1757"/>
      <c r="MGT512" s="385"/>
      <c r="MGU512" s="69"/>
      <c r="MGV512" s="69"/>
      <c r="MGW512" s="2511"/>
      <c r="MGX512" s="1755"/>
      <c r="MGY512" s="1756"/>
      <c r="MGZ512" s="1756"/>
      <c r="MHA512" s="1757"/>
      <c r="MHB512" s="385"/>
      <c r="MHC512" s="69"/>
      <c r="MHD512" s="69"/>
      <c r="MHE512" s="2511"/>
      <c r="MHF512" s="1755"/>
      <c r="MHG512" s="1756"/>
      <c r="MHH512" s="1756"/>
      <c r="MHI512" s="1757"/>
      <c r="MHJ512" s="385"/>
      <c r="MHK512" s="69"/>
      <c r="MHL512" s="69"/>
      <c r="MHM512" s="2511"/>
      <c r="MHN512" s="1755"/>
      <c r="MHO512" s="1756"/>
      <c r="MHP512" s="1756"/>
      <c r="MHQ512" s="1757"/>
      <c r="MHR512" s="385"/>
      <c r="MHS512" s="69"/>
      <c r="MHT512" s="69"/>
      <c r="MHU512" s="2511"/>
      <c r="MHV512" s="1755"/>
      <c r="MHW512" s="1756"/>
      <c r="MHX512" s="1756"/>
      <c r="MHY512" s="1757"/>
      <c r="MHZ512" s="385"/>
      <c r="MIA512" s="69"/>
      <c r="MIB512" s="69"/>
      <c r="MIC512" s="2511"/>
      <c r="MID512" s="1755"/>
      <c r="MIE512" s="1756"/>
      <c r="MIF512" s="1756"/>
      <c r="MIG512" s="1757"/>
      <c r="MIH512" s="385"/>
      <c r="MII512" s="69"/>
      <c r="MIJ512" s="69"/>
      <c r="MIK512" s="2511"/>
      <c r="MIL512" s="1755"/>
      <c r="MIM512" s="1756"/>
      <c r="MIN512" s="1756"/>
      <c r="MIO512" s="1757"/>
      <c r="MIP512" s="385"/>
      <c r="MIQ512" s="69"/>
      <c r="MIR512" s="69"/>
      <c r="MIS512" s="2511"/>
      <c r="MIT512" s="1755"/>
      <c r="MIU512" s="1756"/>
      <c r="MIV512" s="1756"/>
      <c r="MIW512" s="1757"/>
      <c r="MIX512" s="385"/>
      <c r="MIY512" s="69"/>
      <c r="MIZ512" s="69"/>
      <c r="MJA512" s="2511"/>
      <c r="MJB512" s="1755"/>
      <c r="MJC512" s="1756"/>
      <c r="MJD512" s="1756"/>
      <c r="MJE512" s="1757"/>
      <c r="MJF512" s="385"/>
      <c r="MJG512" s="69"/>
      <c r="MJH512" s="69"/>
      <c r="MJI512" s="2511"/>
      <c r="MJJ512" s="1755"/>
      <c r="MJK512" s="1756"/>
      <c r="MJL512" s="1756"/>
      <c r="MJM512" s="1757"/>
      <c r="MJN512" s="385"/>
      <c r="MJO512" s="69"/>
      <c r="MJP512" s="69"/>
      <c r="MJQ512" s="2511"/>
      <c r="MJR512" s="1755"/>
      <c r="MJS512" s="1756"/>
      <c r="MJT512" s="1756"/>
      <c r="MJU512" s="1757"/>
      <c r="MJV512" s="385"/>
      <c r="MJW512" s="69"/>
      <c r="MJX512" s="69"/>
      <c r="MJY512" s="2511"/>
      <c r="MJZ512" s="1755"/>
      <c r="MKA512" s="1756"/>
      <c r="MKB512" s="1756"/>
      <c r="MKC512" s="1757"/>
      <c r="MKD512" s="385"/>
      <c r="MKE512" s="69"/>
      <c r="MKF512" s="69"/>
      <c r="MKG512" s="2511"/>
      <c r="MKH512" s="1755"/>
      <c r="MKI512" s="1756"/>
      <c r="MKJ512" s="1756"/>
      <c r="MKK512" s="1757"/>
      <c r="MKL512" s="385"/>
      <c r="MKM512" s="69"/>
      <c r="MKN512" s="69"/>
      <c r="MKO512" s="2511"/>
      <c r="MKP512" s="1755"/>
      <c r="MKQ512" s="1756"/>
      <c r="MKR512" s="1756"/>
      <c r="MKS512" s="1757"/>
      <c r="MKT512" s="385"/>
      <c r="MKU512" s="69"/>
      <c r="MKV512" s="69"/>
      <c r="MKW512" s="2511"/>
      <c r="MKX512" s="1755"/>
      <c r="MKY512" s="1756"/>
      <c r="MKZ512" s="1756"/>
      <c r="MLA512" s="1757"/>
      <c r="MLB512" s="385"/>
      <c r="MLC512" s="69"/>
      <c r="MLD512" s="69"/>
      <c r="MLE512" s="2511"/>
      <c r="MLF512" s="1755"/>
      <c r="MLG512" s="1756"/>
      <c r="MLH512" s="1756"/>
      <c r="MLI512" s="1757"/>
      <c r="MLJ512" s="385"/>
      <c r="MLK512" s="69"/>
      <c r="MLL512" s="69"/>
      <c r="MLM512" s="2511"/>
      <c r="MLN512" s="1755"/>
      <c r="MLO512" s="1756"/>
      <c r="MLP512" s="1756"/>
      <c r="MLQ512" s="1757"/>
      <c r="MLR512" s="385"/>
      <c r="MLS512" s="69"/>
      <c r="MLT512" s="69"/>
      <c r="MLU512" s="2511"/>
      <c r="MLV512" s="1755"/>
      <c r="MLW512" s="1756"/>
      <c r="MLX512" s="1756"/>
      <c r="MLY512" s="1757"/>
      <c r="MLZ512" s="385"/>
      <c r="MMA512" s="69"/>
      <c r="MMB512" s="69"/>
      <c r="MMC512" s="2511"/>
      <c r="MMD512" s="1755"/>
      <c r="MME512" s="1756"/>
      <c r="MMF512" s="1756"/>
      <c r="MMG512" s="1757"/>
      <c r="MMH512" s="385"/>
      <c r="MMI512" s="69"/>
      <c r="MMJ512" s="69"/>
      <c r="MMK512" s="2511"/>
      <c r="MML512" s="1755"/>
      <c r="MMM512" s="1756"/>
      <c r="MMN512" s="1756"/>
      <c r="MMO512" s="1757"/>
      <c r="MMP512" s="385"/>
      <c r="MMQ512" s="69"/>
      <c r="MMR512" s="69"/>
      <c r="MMS512" s="2511"/>
      <c r="MMT512" s="1755"/>
      <c r="MMU512" s="1756"/>
      <c r="MMV512" s="1756"/>
      <c r="MMW512" s="1757"/>
      <c r="MMX512" s="385"/>
      <c r="MMY512" s="69"/>
      <c r="MMZ512" s="69"/>
      <c r="MNA512" s="2511"/>
      <c r="MNB512" s="1755"/>
      <c r="MNC512" s="1756"/>
      <c r="MND512" s="1756"/>
      <c r="MNE512" s="1757"/>
      <c r="MNF512" s="385"/>
      <c r="MNG512" s="69"/>
      <c r="MNH512" s="69"/>
      <c r="MNI512" s="2511"/>
      <c r="MNJ512" s="1755"/>
      <c r="MNK512" s="1756"/>
      <c r="MNL512" s="1756"/>
      <c r="MNM512" s="1757"/>
      <c r="MNN512" s="385"/>
      <c r="MNO512" s="69"/>
      <c r="MNP512" s="69"/>
      <c r="MNQ512" s="2511"/>
      <c r="MNR512" s="1755"/>
      <c r="MNS512" s="1756"/>
      <c r="MNT512" s="1756"/>
      <c r="MNU512" s="1757"/>
      <c r="MNV512" s="385"/>
      <c r="MNW512" s="69"/>
      <c r="MNX512" s="69"/>
      <c r="MNY512" s="2511"/>
      <c r="MNZ512" s="1755"/>
      <c r="MOA512" s="1756"/>
      <c r="MOB512" s="1756"/>
      <c r="MOC512" s="1757"/>
      <c r="MOD512" s="385"/>
      <c r="MOE512" s="69"/>
      <c r="MOF512" s="69"/>
      <c r="MOG512" s="2511"/>
      <c r="MOH512" s="1755"/>
      <c r="MOI512" s="1756"/>
      <c r="MOJ512" s="1756"/>
      <c r="MOK512" s="1757"/>
      <c r="MOL512" s="385"/>
      <c r="MOM512" s="69"/>
      <c r="MON512" s="69"/>
      <c r="MOO512" s="2511"/>
      <c r="MOP512" s="1755"/>
      <c r="MOQ512" s="1756"/>
      <c r="MOR512" s="1756"/>
      <c r="MOS512" s="1757"/>
      <c r="MOT512" s="385"/>
      <c r="MOU512" s="69"/>
      <c r="MOV512" s="69"/>
      <c r="MOW512" s="2511"/>
      <c r="MOX512" s="1755"/>
      <c r="MOY512" s="1756"/>
      <c r="MOZ512" s="1756"/>
      <c r="MPA512" s="1757"/>
      <c r="MPB512" s="385"/>
      <c r="MPC512" s="69"/>
      <c r="MPD512" s="69"/>
      <c r="MPE512" s="2511"/>
      <c r="MPF512" s="1755"/>
      <c r="MPG512" s="1756"/>
      <c r="MPH512" s="1756"/>
      <c r="MPI512" s="1757"/>
      <c r="MPJ512" s="385"/>
      <c r="MPK512" s="69"/>
      <c r="MPL512" s="69"/>
      <c r="MPM512" s="2511"/>
      <c r="MPN512" s="1755"/>
      <c r="MPO512" s="1756"/>
      <c r="MPP512" s="1756"/>
      <c r="MPQ512" s="1757"/>
      <c r="MPR512" s="385"/>
      <c r="MPS512" s="69"/>
      <c r="MPT512" s="69"/>
      <c r="MPU512" s="2511"/>
      <c r="MPV512" s="1755"/>
      <c r="MPW512" s="1756"/>
      <c r="MPX512" s="1756"/>
      <c r="MPY512" s="1757"/>
      <c r="MPZ512" s="385"/>
      <c r="MQA512" s="69"/>
      <c r="MQB512" s="69"/>
      <c r="MQC512" s="2511"/>
      <c r="MQD512" s="1755"/>
      <c r="MQE512" s="1756"/>
      <c r="MQF512" s="1756"/>
      <c r="MQG512" s="1757"/>
      <c r="MQH512" s="385"/>
      <c r="MQI512" s="69"/>
      <c r="MQJ512" s="69"/>
      <c r="MQK512" s="2511"/>
      <c r="MQL512" s="1755"/>
      <c r="MQM512" s="1756"/>
      <c r="MQN512" s="1756"/>
      <c r="MQO512" s="1757"/>
      <c r="MQP512" s="385"/>
      <c r="MQQ512" s="69"/>
      <c r="MQR512" s="69"/>
      <c r="MQS512" s="2511"/>
      <c r="MQT512" s="1755"/>
      <c r="MQU512" s="1756"/>
      <c r="MQV512" s="1756"/>
      <c r="MQW512" s="1757"/>
      <c r="MQX512" s="385"/>
      <c r="MQY512" s="69"/>
      <c r="MQZ512" s="69"/>
      <c r="MRA512" s="2511"/>
      <c r="MRB512" s="1755"/>
      <c r="MRC512" s="1756"/>
      <c r="MRD512" s="1756"/>
      <c r="MRE512" s="1757"/>
      <c r="MRF512" s="385"/>
      <c r="MRG512" s="69"/>
      <c r="MRH512" s="69"/>
      <c r="MRI512" s="2511"/>
      <c r="MRJ512" s="1755"/>
      <c r="MRK512" s="1756"/>
      <c r="MRL512" s="1756"/>
      <c r="MRM512" s="1757"/>
      <c r="MRN512" s="385"/>
      <c r="MRO512" s="69"/>
      <c r="MRP512" s="69"/>
      <c r="MRQ512" s="2511"/>
      <c r="MRR512" s="1755"/>
      <c r="MRS512" s="1756"/>
      <c r="MRT512" s="1756"/>
      <c r="MRU512" s="1757"/>
      <c r="MRV512" s="385"/>
      <c r="MRW512" s="69"/>
      <c r="MRX512" s="69"/>
      <c r="MRY512" s="2511"/>
      <c r="MRZ512" s="1755"/>
      <c r="MSA512" s="1756"/>
      <c r="MSB512" s="1756"/>
      <c r="MSC512" s="1757"/>
      <c r="MSD512" s="385"/>
      <c r="MSE512" s="69"/>
      <c r="MSF512" s="69"/>
      <c r="MSG512" s="2511"/>
      <c r="MSH512" s="1755"/>
      <c r="MSI512" s="1756"/>
      <c r="MSJ512" s="1756"/>
      <c r="MSK512" s="1757"/>
      <c r="MSL512" s="385"/>
      <c r="MSM512" s="69"/>
      <c r="MSN512" s="69"/>
      <c r="MSO512" s="2511"/>
      <c r="MSP512" s="1755"/>
      <c r="MSQ512" s="1756"/>
      <c r="MSR512" s="1756"/>
      <c r="MSS512" s="1757"/>
      <c r="MST512" s="385"/>
      <c r="MSU512" s="69"/>
      <c r="MSV512" s="69"/>
      <c r="MSW512" s="2511"/>
      <c r="MSX512" s="1755"/>
      <c r="MSY512" s="1756"/>
      <c r="MSZ512" s="1756"/>
      <c r="MTA512" s="1757"/>
      <c r="MTB512" s="385"/>
      <c r="MTC512" s="69"/>
      <c r="MTD512" s="69"/>
      <c r="MTE512" s="2511"/>
      <c r="MTF512" s="1755"/>
      <c r="MTG512" s="1756"/>
      <c r="MTH512" s="1756"/>
      <c r="MTI512" s="1757"/>
      <c r="MTJ512" s="385"/>
      <c r="MTK512" s="69"/>
      <c r="MTL512" s="69"/>
      <c r="MTM512" s="2511"/>
      <c r="MTN512" s="1755"/>
      <c r="MTO512" s="1756"/>
      <c r="MTP512" s="1756"/>
      <c r="MTQ512" s="1757"/>
      <c r="MTR512" s="385"/>
      <c r="MTS512" s="69"/>
      <c r="MTT512" s="69"/>
      <c r="MTU512" s="2511"/>
      <c r="MTV512" s="1755"/>
      <c r="MTW512" s="1756"/>
      <c r="MTX512" s="1756"/>
      <c r="MTY512" s="1757"/>
      <c r="MTZ512" s="385"/>
      <c r="MUA512" s="69"/>
      <c r="MUB512" s="69"/>
      <c r="MUC512" s="2511"/>
      <c r="MUD512" s="1755"/>
      <c r="MUE512" s="1756"/>
      <c r="MUF512" s="1756"/>
      <c r="MUG512" s="1757"/>
      <c r="MUH512" s="385"/>
      <c r="MUI512" s="69"/>
      <c r="MUJ512" s="69"/>
      <c r="MUK512" s="2511"/>
      <c r="MUL512" s="1755"/>
      <c r="MUM512" s="1756"/>
      <c r="MUN512" s="1756"/>
      <c r="MUO512" s="1757"/>
      <c r="MUP512" s="385"/>
      <c r="MUQ512" s="69"/>
      <c r="MUR512" s="69"/>
      <c r="MUS512" s="2511"/>
      <c r="MUT512" s="1755"/>
      <c r="MUU512" s="1756"/>
      <c r="MUV512" s="1756"/>
      <c r="MUW512" s="1757"/>
      <c r="MUX512" s="385"/>
      <c r="MUY512" s="69"/>
      <c r="MUZ512" s="69"/>
      <c r="MVA512" s="2511"/>
      <c r="MVB512" s="1755"/>
      <c r="MVC512" s="1756"/>
      <c r="MVD512" s="1756"/>
      <c r="MVE512" s="1757"/>
      <c r="MVF512" s="385"/>
      <c r="MVG512" s="69"/>
      <c r="MVH512" s="69"/>
      <c r="MVI512" s="2511"/>
      <c r="MVJ512" s="1755"/>
      <c r="MVK512" s="1756"/>
      <c r="MVL512" s="1756"/>
      <c r="MVM512" s="1757"/>
      <c r="MVN512" s="385"/>
      <c r="MVO512" s="69"/>
      <c r="MVP512" s="69"/>
      <c r="MVQ512" s="2511"/>
      <c r="MVR512" s="1755"/>
      <c r="MVS512" s="1756"/>
      <c r="MVT512" s="1756"/>
      <c r="MVU512" s="1757"/>
      <c r="MVV512" s="385"/>
      <c r="MVW512" s="69"/>
      <c r="MVX512" s="69"/>
      <c r="MVY512" s="2511"/>
      <c r="MVZ512" s="1755"/>
      <c r="MWA512" s="1756"/>
      <c r="MWB512" s="1756"/>
      <c r="MWC512" s="1757"/>
      <c r="MWD512" s="385"/>
      <c r="MWE512" s="69"/>
      <c r="MWF512" s="69"/>
      <c r="MWG512" s="2511"/>
      <c r="MWH512" s="1755"/>
      <c r="MWI512" s="1756"/>
      <c r="MWJ512" s="1756"/>
      <c r="MWK512" s="1757"/>
      <c r="MWL512" s="385"/>
      <c r="MWM512" s="69"/>
      <c r="MWN512" s="69"/>
      <c r="MWO512" s="2511"/>
      <c r="MWP512" s="1755"/>
      <c r="MWQ512" s="1756"/>
      <c r="MWR512" s="1756"/>
      <c r="MWS512" s="1757"/>
      <c r="MWT512" s="385"/>
      <c r="MWU512" s="69"/>
      <c r="MWV512" s="69"/>
      <c r="MWW512" s="2511"/>
      <c r="MWX512" s="1755"/>
      <c r="MWY512" s="1756"/>
      <c r="MWZ512" s="1756"/>
      <c r="MXA512" s="1757"/>
      <c r="MXB512" s="385"/>
      <c r="MXC512" s="69"/>
      <c r="MXD512" s="69"/>
      <c r="MXE512" s="2511"/>
      <c r="MXF512" s="1755"/>
      <c r="MXG512" s="1756"/>
      <c r="MXH512" s="1756"/>
      <c r="MXI512" s="1757"/>
      <c r="MXJ512" s="385"/>
      <c r="MXK512" s="69"/>
      <c r="MXL512" s="69"/>
      <c r="MXM512" s="2511"/>
      <c r="MXN512" s="1755"/>
      <c r="MXO512" s="1756"/>
      <c r="MXP512" s="1756"/>
      <c r="MXQ512" s="1757"/>
      <c r="MXR512" s="385"/>
      <c r="MXS512" s="69"/>
      <c r="MXT512" s="69"/>
      <c r="MXU512" s="2511"/>
      <c r="MXV512" s="1755"/>
      <c r="MXW512" s="1756"/>
      <c r="MXX512" s="1756"/>
      <c r="MXY512" s="1757"/>
      <c r="MXZ512" s="385"/>
      <c r="MYA512" s="69"/>
      <c r="MYB512" s="69"/>
      <c r="MYC512" s="2511"/>
      <c r="MYD512" s="1755"/>
      <c r="MYE512" s="1756"/>
      <c r="MYF512" s="1756"/>
      <c r="MYG512" s="1757"/>
      <c r="MYH512" s="385"/>
      <c r="MYI512" s="69"/>
      <c r="MYJ512" s="69"/>
      <c r="MYK512" s="2511"/>
      <c r="MYL512" s="1755"/>
      <c r="MYM512" s="1756"/>
      <c r="MYN512" s="1756"/>
      <c r="MYO512" s="1757"/>
      <c r="MYP512" s="385"/>
      <c r="MYQ512" s="69"/>
      <c r="MYR512" s="69"/>
      <c r="MYS512" s="2511"/>
      <c r="MYT512" s="1755"/>
      <c r="MYU512" s="1756"/>
      <c r="MYV512" s="1756"/>
      <c r="MYW512" s="1757"/>
      <c r="MYX512" s="385"/>
      <c r="MYY512" s="69"/>
      <c r="MYZ512" s="69"/>
      <c r="MZA512" s="2511"/>
      <c r="MZB512" s="1755"/>
      <c r="MZC512" s="1756"/>
      <c r="MZD512" s="1756"/>
      <c r="MZE512" s="1757"/>
      <c r="MZF512" s="385"/>
      <c r="MZG512" s="69"/>
      <c r="MZH512" s="69"/>
      <c r="MZI512" s="2511"/>
      <c r="MZJ512" s="1755"/>
      <c r="MZK512" s="1756"/>
      <c r="MZL512" s="1756"/>
      <c r="MZM512" s="1757"/>
      <c r="MZN512" s="385"/>
      <c r="MZO512" s="69"/>
      <c r="MZP512" s="69"/>
      <c r="MZQ512" s="2511"/>
      <c r="MZR512" s="1755"/>
      <c r="MZS512" s="1756"/>
      <c r="MZT512" s="1756"/>
      <c r="MZU512" s="1757"/>
      <c r="MZV512" s="385"/>
      <c r="MZW512" s="69"/>
      <c r="MZX512" s="69"/>
      <c r="MZY512" s="2511"/>
      <c r="MZZ512" s="1755"/>
      <c r="NAA512" s="1756"/>
      <c r="NAB512" s="1756"/>
      <c r="NAC512" s="1757"/>
      <c r="NAD512" s="385"/>
      <c r="NAE512" s="69"/>
      <c r="NAF512" s="69"/>
      <c r="NAG512" s="2511"/>
      <c r="NAH512" s="1755"/>
      <c r="NAI512" s="1756"/>
      <c r="NAJ512" s="1756"/>
      <c r="NAK512" s="1757"/>
      <c r="NAL512" s="385"/>
      <c r="NAM512" s="69"/>
      <c r="NAN512" s="69"/>
      <c r="NAO512" s="2511"/>
      <c r="NAP512" s="1755"/>
      <c r="NAQ512" s="1756"/>
      <c r="NAR512" s="1756"/>
      <c r="NAS512" s="1757"/>
      <c r="NAT512" s="385"/>
      <c r="NAU512" s="69"/>
      <c r="NAV512" s="69"/>
      <c r="NAW512" s="2511"/>
      <c r="NAX512" s="1755"/>
      <c r="NAY512" s="1756"/>
      <c r="NAZ512" s="1756"/>
      <c r="NBA512" s="1757"/>
      <c r="NBB512" s="385"/>
      <c r="NBC512" s="69"/>
      <c r="NBD512" s="69"/>
      <c r="NBE512" s="2511"/>
      <c r="NBF512" s="1755"/>
      <c r="NBG512" s="1756"/>
      <c r="NBH512" s="1756"/>
      <c r="NBI512" s="1757"/>
      <c r="NBJ512" s="385"/>
      <c r="NBK512" s="69"/>
      <c r="NBL512" s="69"/>
      <c r="NBM512" s="2511"/>
      <c r="NBN512" s="1755"/>
      <c r="NBO512" s="1756"/>
      <c r="NBP512" s="1756"/>
      <c r="NBQ512" s="1757"/>
      <c r="NBR512" s="385"/>
      <c r="NBS512" s="69"/>
      <c r="NBT512" s="69"/>
      <c r="NBU512" s="2511"/>
      <c r="NBV512" s="1755"/>
      <c r="NBW512" s="1756"/>
      <c r="NBX512" s="1756"/>
      <c r="NBY512" s="1757"/>
      <c r="NBZ512" s="385"/>
      <c r="NCA512" s="69"/>
      <c r="NCB512" s="69"/>
      <c r="NCC512" s="2511"/>
      <c r="NCD512" s="1755"/>
      <c r="NCE512" s="1756"/>
      <c r="NCF512" s="1756"/>
      <c r="NCG512" s="1757"/>
      <c r="NCH512" s="385"/>
      <c r="NCI512" s="69"/>
      <c r="NCJ512" s="69"/>
      <c r="NCK512" s="2511"/>
      <c r="NCL512" s="1755"/>
      <c r="NCM512" s="1756"/>
      <c r="NCN512" s="1756"/>
      <c r="NCO512" s="1757"/>
      <c r="NCP512" s="385"/>
      <c r="NCQ512" s="69"/>
      <c r="NCR512" s="69"/>
      <c r="NCS512" s="2511"/>
      <c r="NCT512" s="1755"/>
      <c r="NCU512" s="1756"/>
      <c r="NCV512" s="1756"/>
      <c r="NCW512" s="1757"/>
      <c r="NCX512" s="385"/>
      <c r="NCY512" s="69"/>
      <c r="NCZ512" s="69"/>
      <c r="NDA512" s="2511"/>
      <c r="NDB512" s="1755"/>
      <c r="NDC512" s="1756"/>
      <c r="NDD512" s="1756"/>
      <c r="NDE512" s="1757"/>
      <c r="NDF512" s="385"/>
      <c r="NDG512" s="69"/>
      <c r="NDH512" s="69"/>
      <c r="NDI512" s="2511"/>
      <c r="NDJ512" s="1755"/>
      <c r="NDK512" s="1756"/>
      <c r="NDL512" s="1756"/>
      <c r="NDM512" s="1757"/>
      <c r="NDN512" s="385"/>
      <c r="NDO512" s="69"/>
      <c r="NDP512" s="69"/>
      <c r="NDQ512" s="2511"/>
      <c r="NDR512" s="1755"/>
      <c r="NDS512" s="1756"/>
      <c r="NDT512" s="1756"/>
      <c r="NDU512" s="1757"/>
      <c r="NDV512" s="385"/>
      <c r="NDW512" s="69"/>
      <c r="NDX512" s="69"/>
      <c r="NDY512" s="2511"/>
      <c r="NDZ512" s="1755"/>
      <c r="NEA512" s="1756"/>
      <c r="NEB512" s="1756"/>
      <c r="NEC512" s="1757"/>
      <c r="NED512" s="385"/>
      <c r="NEE512" s="69"/>
      <c r="NEF512" s="69"/>
      <c r="NEG512" s="2511"/>
      <c r="NEH512" s="1755"/>
      <c r="NEI512" s="1756"/>
      <c r="NEJ512" s="1756"/>
      <c r="NEK512" s="1757"/>
      <c r="NEL512" s="385"/>
      <c r="NEM512" s="69"/>
      <c r="NEN512" s="69"/>
      <c r="NEO512" s="2511"/>
      <c r="NEP512" s="1755"/>
      <c r="NEQ512" s="1756"/>
      <c r="NER512" s="1756"/>
      <c r="NES512" s="1757"/>
      <c r="NET512" s="385"/>
      <c r="NEU512" s="69"/>
      <c r="NEV512" s="69"/>
      <c r="NEW512" s="2511"/>
      <c r="NEX512" s="1755"/>
      <c r="NEY512" s="1756"/>
      <c r="NEZ512" s="1756"/>
      <c r="NFA512" s="1757"/>
      <c r="NFB512" s="385"/>
      <c r="NFC512" s="69"/>
      <c r="NFD512" s="69"/>
      <c r="NFE512" s="2511"/>
      <c r="NFF512" s="1755"/>
      <c r="NFG512" s="1756"/>
      <c r="NFH512" s="1756"/>
      <c r="NFI512" s="1757"/>
      <c r="NFJ512" s="385"/>
      <c r="NFK512" s="69"/>
      <c r="NFL512" s="69"/>
      <c r="NFM512" s="2511"/>
      <c r="NFN512" s="1755"/>
      <c r="NFO512" s="1756"/>
      <c r="NFP512" s="1756"/>
      <c r="NFQ512" s="1757"/>
      <c r="NFR512" s="385"/>
      <c r="NFS512" s="69"/>
      <c r="NFT512" s="69"/>
      <c r="NFU512" s="2511"/>
      <c r="NFV512" s="1755"/>
      <c r="NFW512" s="1756"/>
      <c r="NFX512" s="1756"/>
      <c r="NFY512" s="1757"/>
      <c r="NFZ512" s="385"/>
      <c r="NGA512" s="69"/>
      <c r="NGB512" s="69"/>
      <c r="NGC512" s="2511"/>
      <c r="NGD512" s="1755"/>
      <c r="NGE512" s="1756"/>
      <c r="NGF512" s="1756"/>
      <c r="NGG512" s="1757"/>
      <c r="NGH512" s="385"/>
      <c r="NGI512" s="69"/>
      <c r="NGJ512" s="69"/>
      <c r="NGK512" s="2511"/>
      <c r="NGL512" s="1755"/>
      <c r="NGM512" s="1756"/>
      <c r="NGN512" s="1756"/>
      <c r="NGO512" s="1757"/>
      <c r="NGP512" s="385"/>
      <c r="NGQ512" s="69"/>
      <c r="NGR512" s="69"/>
      <c r="NGS512" s="2511"/>
      <c r="NGT512" s="1755"/>
      <c r="NGU512" s="1756"/>
      <c r="NGV512" s="1756"/>
      <c r="NGW512" s="1757"/>
      <c r="NGX512" s="385"/>
      <c r="NGY512" s="69"/>
      <c r="NGZ512" s="69"/>
      <c r="NHA512" s="2511"/>
      <c r="NHB512" s="1755"/>
      <c r="NHC512" s="1756"/>
      <c r="NHD512" s="1756"/>
      <c r="NHE512" s="1757"/>
      <c r="NHF512" s="385"/>
      <c r="NHG512" s="69"/>
      <c r="NHH512" s="69"/>
      <c r="NHI512" s="2511"/>
      <c r="NHJ512" s="1755"/>
      <c r="NHK512" s="1756"/>
      <c r="NHL512" s="1756"/>
      <c r="NHM512" s="1757"/>
      <c r="NHN512" s="385"/>
      <c r="NHO512" s="69"/>
      <c r="NHP512" s="69"/>
      <c r="NHQ512" s="2511"/>
      <c r="NHR512" s="1755"/>
      <c r="NHS512" s="1756"/>
      <c r="NHT512" s="1756"/>
      <c r="NHU512" s="1757"/>
      <c r="NHV512" s="385"/>
      <c r="NHW512" s="69"/>
      <c r="NHX512" s="69"/>
      <c r="NHY512" s="2511"/>
      <c r="NHZ512" s="1755"/>
      <c r="NIA512" s="1756"/>
      <c r="NIB512" s="1756"/>
      <c r="NIC512" s="1757"/>
      <c r="NID512" s="385"/>
      <c r="NIE512" s="69"/>
      <c r="NIF512" s="69"/>
      <c r="NIG512" s="2511"/>
      <c r="NIH512" s="1755"/>
      <c r="NII512" s="1756"/>
      <c r="NIJ512" s="1756"/>
      <c r="NIK512" s="1757"/>
      <c r="NIL512" s="385"/>
      <c r="NIM512" s="69"/>
      <c r="NIN512" s="69"/>
      <c r="NIO512" s="2511"/>
      <c r="NIP512" s="1755"/>
      <c r="NIQ512" s="1756"/>
      <c r="NIR512" s="1756"/>
      <c r="NIS512" s="1757"/>
      <c r="NIT512" s="385"/>
      <c r="NIU512" s="69"/>
      <c r="NIV512" s="69"/>
      <c r="NIW512" s="2511"/>
      <c r="NIX512" s="1755"/>
      <c r="NIY512" s="1756"/>
      <c r="NIZ512" s="1756"/>
      <c r="NJA512" s="1757"/>
      <c r="NJB512" s="385"/>
      <c r="NJC512" s="69"/>
      <c r="NJD512" s="69"/>
      <c r="NJE512" s="2511"/>
      <c r="NJF512" s="1755"/>
      <c r="NJG512" s="1756"/>
      <c r="NJH512" s="1756"/>
      <c r="NJI512" s="1757"/>
      <c r="NJJ512" s="385"/>
      <c r="NJK512" s="69"/>
      <c r="NJL512" s="69"/>
      <c r="NJM512" s="2511"/>
      <c r="NJN512" s="1755"/>
      <c r="NJO512" s="1756"/>
      <c r="NJP512" s="1756"/>
      <c r="NJQ512" s="1757"/>
      <c r="NJR512" s="385"/>
      <c r="NJS512" s="69"/>
      <c r="NJT512" s="69"/>
      <c r="NJU512" s="2511"/>
      <c r="NJV512" s="1755"/>
      <c r="NJW512" s="1756"/>
      <c r="NJX512" s="1756"/>
      <c r="NJY512" s="1757"/>
      <c r="NJZ512" s="385"/>
      <c r="NKA512" s="69"/>
      <c r="NKB512" s="69"/>
      <c r="NKC512" s="2511"/>
      <c r="NKD512" s="1755"/>
      <c r="NKE512" s="1756"/>
      <c r="NKF512" s="1756"/>
      <c r="NKG512" s="1757"/>
      <c r="NKH512" s="385"/>
      <c r="NKI512" s="69"/>
      <c r="NKJ512" s="69"/>
      <c r="NKK512" s="2511"/>
      <c r="NKL512" s="1755"/>
      <c r="NKM512" s="1756"/>
      <c r="NKN512" s="1756"/>
      <c r="NKO512" s="1757"/>
      <c r="NKP512" s="385"/>
      <c r="NKQ512" s="69"/>
      <c r="NKR512" s="69"/>
      <c r="NKS512" s="2511"/>
      <c r="NKT512" s="1755"/>
      <c r="NKU512" s="1756"/>
      <c r="NKV512" s="1756"/>
      <c r="NKW512" s="1757"/>
      <c r="NKX512" s="385"/>
      <c r="NKY512" s="69"/>
      <c r="NKZ512" s="69"/>
      <c r="NLA512" s="2511"/>
      <c r="NLB512" s="1755"/>
      <c r="NLC512" s="1756"/>
      <c r="NLD512" s="1756"/>
      <c r="NLE512" s="1757"/>
      <c r="NLF512" s="385"/>
      <c r="NLG512" s="69"/>
      <c r="NLH512" s="69"/>
      <c r="NLI512" s="2511"/>
      <c r="NLJ512" s="1755"/>
      <c r="NLK512" s="1756"/>
      <c r="NLL512" s="1756"/>
      <c r="NLM512" s="1757"/>
      <c r="NLN512" s="385"/>
      <c r="NLO512" s="69"/>
      <c r="NLP512" s="69"/>
      <c r="NLQ512" s="2511"/>
      <c r="NLR512" s="1755"/>
      <c r="NLS512" s="1756"/>
      <c r="NLT512" s="1756"/>
      <c r="NLU512" s="1757"/>
      <c r="NLV512" s="385"/>
      <c r="NLW512" s="69"/>
      <c r="NLX512" s="69"/>
      <c r="NLY512" s="2511"/>
      <c r="NLZ512" s="1755"/>
      <c r="NMA512" s="1756"/>
      <c r="NMB512" s="1756"/>
      <c r="NMC512" s="1757"/>
      <c r="NMD512" s="385"/>
      <c r="NME512" s="69"/>
      <c r="NMF512" s="69"/>
      <c r="NMG512" s="2511"/>
      <c r="NMH512" s="1755"/>
      <c r="NMI512" s="1756"/>
      <c r="NMJ512" s="1756"/>
      <c r="NMK512" s="1757"/>
      <c r="NML512" s="385"/>
      <c r="NMM512" s="69"/>
      <c r="NMN512" s="69"/>
      <c r="NMO512" s="2511"/>
      <c r="NMP512" s="1755"/>
      <c r="NMQ512" s="1756"/>
      <c r="NMR512" s="1756"/>
      <c r="NMS512" s="1757"/>
      <c r="NMT512" s="385"/>
      <c r="NMU512" s="69"/>
      <c r="NMV512" s="69"/>
      <c r="NMW512" s="2511"/>
      <c r="NMX512" s="1755"/>
      <c r="NMY512" s="1756"/>
      <c r="NMZ512" s="1756"/>
      <c r="NNA512" s="1757"/>
      <c r="NNB512" s="385"/>
      <c r="NNC512" s="69"/>
      <c r="NND512" s="69"/>
      <c r="NNE512" s="2511"/>
      <c r="NNF512" s="1755"/>
      <c r="NNG512" s="1756"/>
      <c r="NNH512" s="1756"/>
      <c r="NNI512" s="1757"/>
      <c r="NNJ512" s="385"/>
      <c r="NNK512" s="69"/>
      <c r="NNL512" s="69"/>
      <c r="NNM512" s="2511"/>
      <c r="NNN512" s="1755"/>
      <c r="NNO512" s="1756"/>
      <c r="NNP512" s="1756"/>
      <c r="NNQ512" s="1757"/>
      <c r="NNR512" s="385"/>
      <c r="NNS512" s="69"/>
      <c r="NNT512" s="69"/>
      <c r="NNU512" s="2511"/>
      <c r="NNV512" s="1755"/>
      <c r="NNW512" s="1756"/>
      <c r="NNX512" s="1756"/>
      <c r="NNY512" s="1757"/>
      <c r="NNZ512" s="385"/>
      <c r="NOA512" s="69"/>
      <c r="NOB512" s="69"/>
      <c r="NOC512" s="2511"/>
      <c r="NOD512" s="1755"/>
      <c r="NOE512" s="1756"/>
      <c r="NOF512" s="1756"/>
      <c r="NOG512" s="1757"/>
      <c r="NOH512" s="385"/>
      <c r="NOI512" s="69"/>
      <c r="NOJ512" s="69"/>
      <c r="NOK512" s="2511"/>
      <c r="NOL512" s="1755"/>
      <c r="NOM512" s="1756"/>
      <c r="NON512" s="1756"/>
      <c r="NOO512" s="1757"/>
      <c r="NOP512" s="385"/>
      <c r="NOQ512" s="69"/>
      <c r="NOR512" s="69"/>
      <c r="NOS512" s="2511"/>
      <c r="NOT512" s="1755"/>
      <c r="NOU512" s="1756"/>
      <c r="NOV512" s="1756"/>
      <c r="NOW512" s="1757"/>
      <c r="NOX512" s="385"/>
      <c r="NOY512" s="69"/>
      <c r="NOZ512" s="69"/>
      <c r="NPA512" s="2511"/>
      <c r="NPB512" s="1755"/>
      <c r="NPC512" s="1756"/>
      <c r="NPD512" s="1756"/>
      <c r="NPE512" s="1757"/>
      <c r="NPF512" s="385"/>
      <c r="NPG512" s="69"/>
      <c r="NPH512" s="69"/>
      <c r="NPI512" s="2511"/>
      <c r="NPJ512" s="1755"/>
      <c r="NPK512" s="1756"/>
      <c r="NPL512" s="1756"/>
      <c r="NPM512" s="1757"/>
      <c r="NPN512" s="385"/>
      <c r="NPO512" s="69"/>
      <c r="NPP512" s="69"/>
      <c r="NPQ512" s="2511"/>
      <c r="NPR512" s="1755"/>
      <c r="NPS512" s="1756"/>
      <c r="NPT512" s="1756"/>
      <c r="NPU512" s="1757"/>
      <c r="NPV512" s="385"/>
      <c r="NPW512" s="69"/>
      <c r="NPX512" s="69"/>
      <c r="NPY512" s="2511"/>
      <c r="NPZ512" s="1755"/>
      <c r="NQA512" s="1756"/>
      <c r="NQB512" s="1756"/>
      <c r="NQC512" s="1757"/>
      <c r="NQD512" s="385"/>
      <c r="NQE512" s="69"/>
      <c r="NQF512" s="69"/>
      <c r="NQG512" s="2511"/>
      <c r="NQH512" s="1755"/>
      <c r="NQI512" s="1756"/>
      <c r="NQJ512" s="1756"/>
      <c r="NQK512" s="1757"/>
      <c r="NQL512" s="385"/>
      <c r="NQM512" s="69"/>
      <c r="NQN512" s="69"/>
      <c r="NQO512" s="2511"/>
      <c r="NQP512" s="1755"/>
      <c r="NQQ512" s="1756"/>
      <c r="NQR512" s="1756"/>
      <c r="NQS512" s="1757"/>
      <c r="NQT512" s="385"/>
      <c r="NQU512" s="69"/>
      <c r="NQV512" s="69"/>
      <c r="NQW512" s="2511"/>
      <c r="NQX512" s="1755"/>
      <c r="NQY512" s="1756"/>
      <c r="NQZ512" s="1756"/>
      <c r="NRA512" s="1757"/>
      <c r="NRB512" s="385"/>
      <c r="NRC512" s="69"/>
      <c r="NRD512" s="69"/>
      <c r="NRE512" s="2511"/>
      <c r="NRF512" s="1755"/>
      <c r="NRG512" s="1756"/>
      <c r="NRH512" s="1756"/>
      <c r="NRI512" s="1757"/>
      <c r="NRJ512" s="385"/>
      <c r="NRK512" s="69"/>
      <c r="NRL512" s="69"/>
      <c r="NRM512" s="2511"/>
      <c r="NRN512" s="1755"/>
      <c r="NRO512" s="1756"/>
      <c r="NRP512" s="1756"/>
      <c r="NRQ512" s="1757"/>
      <c r="NRR512" s="385"/>
      <c r="NRS512" s="69"/>
      <c r="NRT512" s="69"/>
      <c r="NRU512" s="2511"/>
      <c r="NRV512" s="1755"/>
      <c r="NRW512" s="1756"/>
      <c r="NRX512" s="1756"/>
      <c r="NRY512" s="1757"/>
      <c r="NRZ512" s="385"/>
      <c r="NSA512" s="69"/>
      <c r="NSB512" s="69"/>
      <c r="NSC512" s="2511"/>
      <c r="NSD512" s="1755"/>
      <c r="NSE512" s="1756"/>
      <c r="NSF512" s="1756"/>
      <c r="NSG512" s="1757"/>
      <c r="NSH512" s="385"/>
      <c r="NSI512" s="69"/>
      <c r="NSJ512" s="69"/>
      <c r="NSK512" s="2511"/>
      <c r="NSL512" s="1755"/>
      <c r="NSM512" s="1756"/>
      <c r="NSN512" s="1756"/>
      <c r="NSO512" s="1757"/>
      <c r="NSP512" s="385"/>
      <c r="NSQ512" s="69"/>
      <c r="NSR512" s="69"/>
      <c r="NSS512" s="2511"/>
      <c r="NST512" s="1755"/>
      <c r="NSU512" s="1756"/>
      <c r="NSV512" s="1756"/>
      <c r="NSW512" s="1757"/>
      <c r="NSX512" s="385"/>
      <c r="NSY512" s="69"/>
      <c r="NSZ512" s="69"/>
      <c r="NTA512" s="2511"/>
      <c r="NTB512" s="1755"/>
      <c r="NTC512" s="1756"/>
      <c r="NTD512" s="1756"/>
      <c r="NTE512" s="1757"/>
      <c r="NTF512" s="385"/>
      <c r="NTG512" s="69"/>
      <c r="NTH512" s="69"/>
      <c r="NTI512" s="2511"/>
      <c r="NTJ512" s="1755"/>
      <c r="NTK512" s="1756"/>
      <c r="NTL512" s="1756"/>
      <c r="NTM512" s="1757"/>
      <c r="NTN512" s="385"/>
      <c r="NTO512" s="69"/>
      <c r="NTP512" s="69"/>
      <c r="NTQ512" s="2511"/>
      <c r="NTR512" s="1755"/>
      <c r="NTS512" s="1756"/>
      <c r="NTT512" s="1756"/>
      <c r="NTU512" s="1757"/>
      <c r="NTV512" s="385"/>
      <c r="NTW512" s="69"/>
      <c r="NTX512" s="69"/>
      <c r="NTY512" s="2511"/>
      <c r="NTZ512" s="1755"/>
      <c r="NUA512" s="1756"/>
      <c r="NUB512" s="1756"/>
      <c r="NUC512" s="1757"/>
      <c r="NUD512" s="385"/>
      <c r="NUE512" s="69"/>
      <c r="NUF512" s="69"/>
      <c r="NUG512" s="2511"/>
      <c r="NUH512" s="1755"/>
      <c r="NUI512" s="1756"/>
      <c r="NUJ512" s="1756"/>
      <c r="NUK512" s="1757"/>
      <c r="NUL512" s="385"/>
      <c r="NUM512" s="69"/>
      <c r="NUN512" s="69"/>
      <c r="NUO512" s="2511"/>
      <c r="NUP512" s="1755"/>
      <c r="NUQ512" s="1756"/>
      <c r="NUR512" s="1756"/>
      <c r="NUS512" s="1757"/>
      <c r="NUT512" s="385"/>
      <c r="NUU512" s="69"/>
      <c r="NUV512" s="69"/>
      <c r="NUW512" s="2511"/>
      <c r="NUX512" s="1755"/>
      <c r="NUY512" s="1756"/>
      <c r="NUZ512" s="1756"/>
      <c r="NVA512" s="1757"/>
      <c r="NVB512" s="385"/>
      <c r="NVC512" s="69"/>
      <c r="NVD512" s="69"/>
      <c r="NVE512" s="2511"/>
      <c r="NVF512" s="1755"/>
      <c r="NVG512" s="1756"/>
      <c r="NVH512" s="1756"/>
      <c r="NVI512" s="1757"/>
      <c r="NVJ512" s="385"/>
      <c r="NVK512" s="69"/>
      <c r="NVL512" s="69"/>
      <c r="NVM512" s="2511"/>
      <c r="NVN512" s="1755"/>
      <c r="NVO512" s="1756"/>
      <c r="NVP512" s="1756"/>
      <c r="NVQ512" s="1757"/>
      <c r="NVR512" s="385"/>
      <c r="NVS512" s="69"/>
      <c r="NVT512" s="69"/>
      <c r="NVU512" s="2511"/>
      <c r="NVV512" s="1755"/>
      <c r="NVW512" s="1756"/>
      <c r="NVX512" s="1756"/>
      <c r="NVY512" s="1757"/>
      <c r="NVZ512" s="385"/>
      <c r="NWA512" s="69"/>
      <c r="NWB512" s="69"/>
      <c r="NWC512" s="2511"/>
      <c r="NWD512" s="1755"/>
      <c r="NWE512" s="1756"/>
      <c r="NWF512" s="1756"/>
      <c r="NWG512" s="1757"/>
      <c r="NWH512" s="385"/>
      <c r="NWI512" s="69"/>
      <c r="NWJ512" s="69"/>
      <c r="NWK512" s="2511"/>
      <c r="NWL512" s="1755"/>
      <c r="NWM512" s="1756"/>
      <c r="NWN512" s="1756"/>
      <c r="NWO512" s="1757"/>
      <c r="NWP512" s="385"/>
      <c r="NWQ512" s="69"/>
      <c r="NWR512" s="69"/>
      <c r="NWS512" s="2511"/>
      <c r="NWT512" s="1755"/>
      <c r="NWU512" s="1756"/>
      <c r="NWV512" s="1756"/>
      <c r="NWW512" s="1757"/>
      <c r="NWX512" s="385"/>
      <c r="NWY512" s="69"/>
      <c r="NWZ512" s="69"/>
      <c r="NXA512" s="2511"/>
      <c r="NXB512" s="1755"/>
      <c r="NXC512" s="1756"/>
      <c r="NXD512" s="1756"/>
      <c r="NXE512" s="1757"/>
      <c r="NXF512" s="385"/>
      <c r="NXG512" s="69"/>
      <c r="NXH512" s="69"/>
      <c r="NXI512" s="2511"/>
      <c r="NXJ512" s="1755"/>
      <c r="NXK512" s="1756"/>
      <c r="NXL512" s="1756"/>
      <c r="NXM512" s="1757"/>
      <c r="NXN512" s="385"/>
      <c r="NXO512" s="69"/>
      <c r="NXP512" s="69"/>
      <c r="NXQ512" s="2511"/>
      <c r="NXR512" s="1755"/>
      <c r="NXS512" s="1756"/>
      <c r="NXT512" s="1756"/>
      <c r="NXU512" s="1757"/>
      <c r="NXV512" s="385"/>
      <c r="NXW512" s="69"/>
      <c r="NXX512" s="69"/>
      <c r="NXY512" s="2511"/>
      <c r="NXZ512" s="1755"/>
      <c r="NYA512" s="1756"/>
      <c r="NYB512" s="1756"/>
      <c r="NYC512" s="1757"/>
      <c r="NYD512" s="385"/>
      <c r="NYE512" s="69"/>
      <c r="NYF512" s="69"/>
      <c r="NYG512" s="2511"/>
      <c r="NYH512" s="1755"/>
      <c r="NYI512" s="1756"/>
      <c r="NYJ512" s="1756"/>
      <c r="NYK512" s="1757"/>
      <c r="NYL512" s="385"/>
      <c r="NYM512" s="69"/>
      <c r="NYN512" s="69"/>
      <c r="NYO512" s="2511"/>
      <c r="NYP512" s="1755"/>
      <c r="NYQ512" s="1756"/>
      <c r="NYR512" s="1756"/>
      <c r="NYS512" s="1757"/>
      <c r="NYT512" s="385"/>
      <c r="NYU512" s="69"/>
      <c r="NYV512" s="69"/>
      <c r="NYW512" s="2511"/>
      <c r="NYX512" s="1755"/>
      <c r="NYY512" s="1756"/>
      <c r="NYZ512" s="1756"/>
      <c r="NZA512" s="1757"/>
      <c r="NZB512" s="385"/>
      <c r="NZC512" s="69"/>
      <c r="NZD512" s="69"/>
      <c r="NZE512" s="2511"/>
      <c r="NZF512" s="1755"/>
      <c r="NZG512" s="1756"/>
      <c r="NZH512" s="1756"/>
      <c r="NZI512" s="1757"/>
      <c r="NZJ512" s="385"/>
      <c r="NZK512" s="69"/>
      <c r="NZL512" s="69"/>
      <c r="NZM512" s="2511"/>
      <c r="NZN512" s="1755"/>
      <c r="NZO512" s="1756"/>
      <c r="NZP512" s="1756"/>
      <c r="NZQ512" s="1757"/>
      <c r="NZR512" s="385"/>
      <c r="NZS512" s="69"/>
      <c r="NZT512" s="69"/>
      <c r="NZU512" s="2511"/>
      <c r="NZV512" s="1755"/>
      <c r="NZW512" s="1756"/>
      <c r="NZX512" s="1756"/>
      <c r="NZY512" s="1757"/>
      <c r="NZZ512" s="385"/>
      <c r="OAA512" s="69"/>
      <c r="OAB512" s="69"/>
      <c r="OAC512" s="2511"/>
      <c r="OAD512" s="1755"/>
      <c r="OAE512" s="1756"/>
      <c r="OAF512" s="1756"/>
      <c r="OAG512" s="1757"/>
      <c r="OAH512" s="385"/>
      <c r="OAI512" s="69"/>
      <c r="OAJ512" s="69"/>
      <c r="OAK512" s="2511"/>
      <c r="OAL512" s="1755"/>
      <c r="OAM512" s="1756"/>
      <c r="OAN512" s="1756"/>
      <c r="OAO512" s="1757"/>
      <c r="OAP512" s="385"/>
      <c r="OAQ512" s="69"/>
      <c r="OAR512" s="69"/>
      <c r="OAS512" s="2511"/>
      <c r="OAT512" s="1755"/>
      <c r="OAU512" s="1756"/>
      <c r="OAV512" s="1756"/>
      <c r="OAW512" s="1757"/>
      <c r="OAX512" s="385"/>
      <c r="OAY512" s="69"/>
      <c r="OAZ512" s="69"/>
      <c r="OBA512" s="2511"/>
      <c r="OBB512" s="1755"/>
      <c r="OBC512" s="1756"/>
      <c r="OBD512" s="1756"/>
      <c r="OBE512" s="1757"/>
      <c r="OBF512" s="385"/>
      <c r="OBG512" s="69"/>
      <c r="OBH512" s="69"/>
      <c r="OBI512" s="2511"/>
      <c r="OBJ512" s="1755"/>
      <c r="OBK512" s="1756"/>
      <c r="OBL512" s="1756"/>
      <c r="OBM512" s="1757"/>
      <c r="OBN512" s="385"/>
      <c r="OBO512" s="69"/>
      <c r="OBP512" s="69"/>
      <c r="OBQ512" s="2511"/>
      <c r="OBR512" s="1755"/>
      <c r="OBS512" s="1756"/>
      <c r="OBT512" s="1756"/>
      <c r="OBU512" s="1757"/>
      <c r="OBV512" s="385"/>
      <c r="OBW512" s="69"/>
      <c r="OBX512" s="69"/>
      <c r="OBY512" s="2511"/>
      <c r="OBZ512" s="1755"/>
      <c r="OCA512" s="1756"/>
      <c r="OCB512" s="1756"/>
      <c r="OCC512" s="1757"/>
      <c r="OCD512" s="385"/>
      <c r="OCE512" s="69"/>
      <c r="OCF512" s="69"/>
      <c r="OCG512" s="2511"/>
      <c r="OCH512" s="1755"/>
      <c r="OCI512" s="1756"/>
      <c r="OCJ512" s="1756"/>
      <c r="OCK512" s="1757"/>
      <c r="OCL512" s="385"/>
      <c r="OCM512" s="69"/>
      <c r="OCN512" s="69"/>
      <c r="OCO512" s="2511"/>
      <c r="OCP512" s="1755"/>
      <c r="OCQ512" s="1756"/>
      <c r="OCR512" s="1756"/>
      <c r="OCS512" s="1757"/>
      <c r="OCT512" s="385"/>
      <c r="OCU512" s="69"/>
      <c r="OCV512" s="69"/>
      <c r="OCW512" s="2511"/>
      <c r="OCX512" s="1755"/>
      <c r="OCY512" s="1756"/>
      <c r="OCZ512" s="1756"/>
      <c r="ODA512" s="1757"/>
      <c r="ODB512" s="385"/>
      <c r="ODC512" s="69"/>
      <c r="ODD512" s="69"/>
      <c r="ODE512" s="2511"/>
      <c r="ODF512" s="1755"/>
      <c r="ODG512" s="1756"/>
      <c r="ODH512" s="1756"/>
      <c r="ODI512" s="1757"/>
      <c r="ODJ512" s="385"/>
      <c r="ODK512" s="69"/>
      <c r="ODL512" s="69"/>
      <c r="ODM512" s="2511"/>
      <c r="ODN512" s="1755"/>
      <c r="ODO512" s="1756"/>
      <c r="ODP512" s="1756"/>
      <c r="ODQ512" s="1757"/>
      <c r="ODR512" s="385"/>
      <c r="ODS512" s="69"/>
      <c r="ODT512" s="69"/>
      <c r="ODU512" s="2511"/>
      <c r="ODV512" s="1755"/>
      <c r="ODW512" s="1756"/>
      <c r="ODX512" s="1756"/>
      <c r="ODY512" s="1757"/>
      <c r="ODZ512" s="385"/>
      <c r="OEA512" s="69"/>
      <c r="OEB512" s="69"/>
      <c r="OEC512" s="2511"/>
      <c r="OED512" s="1755"/>
      <c r="OEE512" s="1756"/>
      <c r="OEF512" s="1756"/>
      <c r="OEG512" s="1757"/>
      <c r="OEH512" s="385"/>
      <c r="OEI512" s="69"/>
      <c r="OEJ512" s="69"/>
      <c r="OEK512" s="2511"/>
      <c r="OEL512" s="1755"/>
      <c r="OEM512" s="1756"/>
      <c r="OEN512" s="1756"/>
      <c r="OEO512" s="1757"/>
      <c r="OEP512" s="385"/>
      <c r="OEQ512" s="69"/>
      <c r="OER512" s="69"/>
      <c r="OES512" s="2511"/>
      <c r="OET512" s="1755"/>
      <c r="OEU512" s="1756"/>
      <c r="OEV512" s="1756"/>
      <c r="OEW512" s="1757"/>
      <c r="OEX512" s="385"/>
      <c r="OEY512" s="69"/>
      <c r="OEZ512" s="69"/>
      <c r="OFA512" s="2511"/>
      <c r="OFB512" s="1755"/>
      <c r="OFC512" s="1756"/>
      <c r="OFD512" s="1756"/>
      <c r="OFE512" s="1757"/>
      <c r="OFF512" s="385"/>
      <c r="OFG512" s="69"/>
      <c r="OFH512" s="69"/>
      <c r="OFI512" s="2511"/>
      <c r="OFJ512" s="1755"/>
      <c r="OFK512" s="1756"/>
      <c r="OFL512" s="1756"/>
      <c r="OFM512" s="1757"/>
      <c r="OFN512" s="385"/>
      <c r="OFO512" s="69"/>
      <c r="OFP512" s="69"/>
      <c r="OFQ512" s="2511"/>
      <c r="OFR512" s="1755"/>
      <c r="OFS512" s="1756"/>
      <c r="OFT512" s="1756"/>
      <c r="OFU512" s="1757"/>
      <c r="OFV512" s="385"/>
      <c r="OFW512" s="69"/>
      <c r="OFX512" s="69"/>
      <c r="OFY512" s="2511"/>
      <c r="OFZ512" s="1755"/>
      <c r="OGA512" s="1756"/>
      <c r="OGB512" s="1756"/>
      <c r="OGC512" s="1757"/>
      <c r="OGD512" s="385"/>
      <c r="OGE512" s="69"/>
      <c r="OGF512" s="69"/>
      <c r="OGG512" s="2511"/>
      <c r="OGH512" s="1755"/>
      <c r="OGI512" s="1756"/>
      <c r="OGJ512" s="1756"/>
      <c r="OGK512" s="1757"/>
      <c r="OGL512" s="385"/>
      <c r="OGM512" s="69"/>
      <c r="OGN512" s="69"/>
      <c r="OGO512" s="2511"/>
      <c r="OGP512" s="1755"/>
      <c r="OGQ512" s="1756"/>
      <c r="OGR512" s="1756"/>
      <c r="OGS512" s="1757"/>
      <c r="OGT512" s="385"/>
      <c r="OGU512" s="69"/>
      <c r="OGV512" s="69"/>
      <c r="OGW512" s="2511"/>
      <c r="OGX512" s="1755"/>
      <c r="OGY512" s="1756"/>
      <c r="OGZ512" s="1756"/>
      <c r="OHA512" s="1757"/>
      <c r="OHB512" s="385"/>
      <c r="OHC512" s="69"/>
      <c r="OHD512" s="69"/>
      <c r="OHE512" s="2511"/>
      <c r="OHF512" s="1755"/>
      <c r="OHG512" s="1756"/>
      <c r="OHH512" s="1756"/>
      <c r="OHI512" s="1757"/>
      <c r="OHJ512" s="385"/>
      <c r="OHK512" s="69"/>
      <c r="OHL512" s="69"/>
      <c r="OHM512" s="2511"/>
      <c r="OHN512" s="1755"/>
      <c r="OHO512" s="1756"/>
      <c r="OHP512" s="1756"/>
      <c r="OHQ512" s="1757"/>
      <c r="OHR512" s="385"/>
      <c r="OHS512" s="69"/>
      <c r="OHT512" s="69"/>
      <c r="OHU512" s="2511"/>
      <c r="OHV512" s="1755"/>
      <c r="OHW512" s="1756"/>
      <c r="OHX512" s="1756"/>
      <c r="OHY512" s="1757"/>
      <c r="OHZ512" s="385"/>
      <c r="OIA512" s="69"/>
      <c r="OIB512" s="69"/>
      <c r="OIC512" s="2511"/>
      <c r="OID512" s="1755"/>
      <c r="OIE512" s="1756"/>
      <c r="OIF512" s="1756"/>
      <c r="OIG512" s="1757"/>
      <c r="OIH512" s="385"/>
      <c r="OII512" s="69"/>
      <c r="OIJ512" s="69"/>
      <c r="OIK512" s="2511"/>
      <c r="OIL512" s="1755"/>
      <c r="OIM512" s="1756"/>
      <c r="OIN512" s="1756"/>
      <c r="OIO512" s="1757"/>
      <c r="OIP512" s="385"/>
      <c r="OIQ512" s="69"/>
      <c r="OIR512" s="69"/>
      <c r="OIS512" s="2511"/>
      <c r="OIT512" s="1755"/>
      <c r="OIU512" s="1756"/>
      <c r="OIV512" s="1756"/>
      <c r="OIW512" s="1757"/>
      <c r="OIX512" s="385"/>
      <c r="OIY512" s="69"/>
      <c r="OIZ512" s="69"/>
      <c r="OJA512" s="2511"/>
      <c r="OJB512" s="1755"/>
      <c r="OJC512" s="1756"/>
      <c r="OJD512" s="1756"/>
      <c r="OJE512" s="1757"/>
      <c r="OJF512" s="385"/>
      <c r="OJG512" s="69"/>
      <c r="OJH512" s="69"/>
      <c r="OJI512" s="2511"/>
      <c r="OJJ512" s="1755"/>
      <c r="OJK512" s="1756"/>
      <c r="OJL512" s="1756"/>
      <c r="OJM512" s="1757"/>
      <c r="OJN512" s="385"/>
      <c r="OJO512" s="69"/>
      <c r="OJP512" s="69"/>
      <c r="OJQ512" s="2511"/>
      <c r="OJR512" s="1755"/>
      <c r="OJS512" s="1756"/>
      <c r="OJT512" s="1756"/>
      <c r="OJU512" s="1757"/>
      <c r="OJV512" s="385"/>
      <c r="OJW512" s="69"/>
      <c r="OJX512" s="69"/>
      <c r="OJY512" s="2511"/>
      <c r="OJZ512" s="1755"/>
      <c r="OKA512" s="1756"/>
      <c r="OKB512" s="1756"/>
      <c r="OKC512" s="1757"/>
      <c r="OKD512" s="385"/>
      <c r="OKE512" s="69"/>
      <c r="OKF512" s="69"/>
      <c r="OKG512" s="2511"/>
      <c r="OKH512" s="1755"/>
      <c r="OKI512" s="1756"/>
      <c r="OKJ512" s="1756"/>
      <c r="OKK512" s="1757"/>
      <c r="OKL512" s="385"/>
      <c r="OKM512" s="69"/>
      <c r="OKN512" s="69"/>
      <c r="OKO512" s="2511"/>
      <c r="OKP512" s="1755"/>
      <c r="OKQ512" s="1756"/>
      <c r="OKR512" s="1756"/>
      <c r="OKS512" s="1757"/>
      <c r="OKT512" s="385"/>
      <c r="OKU512" s="69"/>
      <c r="OKV512" s="69"/>
      <c r="OKW512" s="2511"/>
      <c r="OKX512" s="1755"/>
      <c r="OKY512" s="1756"/>
      <c r="OKZ512" s="1756"/>
      <c r="OLA512" s="1757"/>
      <c r="OLB512" s="385"/>
      <c r="OLC512" s="69"/>
      <c r="OLD512" s="69"/>
      <c r="OLE512" s="2511"/>
      <c r="OLF512" s="1755"/>
      <c r="OLG512" s="1756"/>
      <c r="OLH512" s="1756"/>
      <c r="OLI512" s="1757"/>
      <c r="OLJ512" s="385"/>
      <c r="OLK512" s="69"/>
      <c r="OLL512" s="69"/>
      <c r="OLM512" s="2511"/>
      <c r="OLN512" s="1755"/>
      <c r="OLO512" s="1756"/>
      <c r="OLP512" s="1756"/>
      <c r="OLQ512" s="1757"/>
      <c r="OLR512" s="385"/>
      <c r="OLS512" s="69"/>
      <c r="OLT512" s="69"/>
      <c r="OLU512" s="2511"/>
      <c r="OLV512" s="1755"/>
      <c r="OLW512" s="1756"/>
      <c r="OLX512" s="1756"/>
      <c r="OLY512" s="1757"/>
      <c r="OLZ512" s="385"/>
      <c r="OMA512" s="69"/>
      <c r="OMB512" s="69"/>
      <c r="OMC512" s="2511"/>
      <c r="OMD512" s="1755"/>
      <c r="OME512" s="1756"/>
      <c r="OMF512" s="1756"/>
      <c r="OMG512" s="1757"/>
      <c r="OMH512" s="385"/>
      <c r="OMI512" s="69"/>
      <c r="OMJ512" s="69"/>
      <c r="OMK512" s="2511"/>
      <c r="OML512" s="1755"/>
      <c r="OMM512" s="1756"/>
      <c r="OMN512" s="1756"/>
      <c r="OMO512" s="1757"/>
      <c r="OMP512" s="385"/>
      <c r="OMQ512" s="69"/>
      <c r="OMR512" s="69"/>
      <c r="OMS512" s="2511"/>
      <c r="OMT512" s="1755"/>
      <c r="OMU512" s="1756"/>
      <c r="OMV512" s="1756"/>
      <c r="OMW512" s="1757"/>
      <c r="OMX512" s="385"/>
      <c r="OMY512" s="69"/>
      <c r="OMZ512" s="69"/>
      <c r="ONA512" s="2511"/>
      <c r="ONB512" s="1755"/>
      <c r="ONC512" s="1756"/>
      <c r="OND512" s="1756"/>
      <c r="ONE512" s="1757"/>
      <c r="ONF512" s="385"/>
      <c r="ONG512" s="69"/>
      <c r="ONH512" s="69"/>
      <c r="ONI512" s="2511"/>
      <c r="ONJ512" s="1755"/>
      <c r="ONK512" s="1756"/>
      <c r="ONL512" s="1756"/>
      <c r="ONM512" s="1757"/>
      <c r="ONN512" s="385"/>
      <c r="ONO512" s="69"/>
      <c r="ONP512" s="69"/>
      <c r="ONQ512" s="2511"/>
      <c r="ONR512" s="1755"/>
      <c r="ONS512" s="1756"/>
      <c r="ONT512" s="1756"/>
      <c r="ONU512" s="1757"/>
      <c r="ONV512" s="385"/>
      <c r="ONW512" s="69"/>
      <c r="ONX512" s="69"/>
      <c r="ONY512" s="2511"/>
      <c r="ONZ512" s="1755"/>
      <c r="OOA512" s="1756"/>
      <c r="OOB512" s="1756"/>
      <c r="OOC512" s="1757"/>
      <c r="OOD512" s="385"/>
      <c r="OOE512" s="69"/>
      <c r="OOF512" s="69"/>
      <c r="OOG512" s="2511"/>
      <c r="OOH512" s="1755"/>
      <c r="OOI512" s="1756"/>
      <c r="OOJ512" s="1756"/>
      <c r="OOK512" s="1757"/>
      <c r="OOL512" s="385"/>
      <c r="OOM512" s="69"/>
      <c r="OON512" s="69"/>
      <c r="OOO512" s="2511"/>
      <c r="OOP512" s="1755"/>
      <c r="OOQ512" s="1756"/>
      <c r="OOR512" s="1756"/>
      <c r="OOS512" s="1757"/>
      <c r="OOT512" s="385"/>
      <c r="OOU512" s="69"/>
      <c r="OOV512" s="69"/>
      <c r="OOW512" s="2511"/>
      <c r="OOX512" s="1755"/>
      <c r="OOY512" s="1756"/>
      <c r="OOZ512" s="1756"/>
      <c r="OPA512" s="1757"/>
      <c r="OPB512" s="385"/>
      <c r="OPC512" s="69"/>
      <c r="OPD512" s="69"/>
      <c r="OPE512" s="2511"/>
      <c r="OPF512" s="1755"/>
      <c r="OPG512" s="1756"/>
      <c r="OPH512" s="1756"/>
      <c r="OPI512" s="1757"/>
      <c r="OPJ512" s="385"/>
      <c r="OPK512" s="69"/>
      <c r="OPL512" s="69"/>
      <c r="OPM512" s="2511"/>
      <c r="OPN512" s="1755"/>
      <c r="OPO512" s="1756"/>
      <c r="OPP512" s="1756"/>
      <c r="OPQ512" s="1757"/>
      <c r="OPR512" s="385"/>
      <c r="OPS512" s="69"/>
      <c r="OPT512" s="69"/>
      <c r="OPU512" s="2511"/>
      <c r="OPV512" s="1755"/>
      <c r="OPW512" s="1756"/>
      <c r="OPX512" s="1756"/>
      <c r="OPY512" s="1757"/>
      <c r="OPZ512" s="385"/>
      <c r="OQA512" s="69"/>
      <c r="OQB512" s="69"/>
      <c r="OQC512" s="2511"/>
      <c r="OQD512" s="1755"/>
      <c r="OQE512" s="1756"/>
      <c r="OQF512" s="1756"/>
      <c r="OQG512" s="1757"/>
      <c r="OQH512" s="385"/>
      <c r="OQI512" s="69"/>
      <c r="OQJ512" s="69"/>
      <c r="OQK512" s="2511"/>
      <c r="OQL512" s="1755"/>
      <c r="OQM512" s="1756"/>
      <c r="OQN512" s="1756"/>
      <c r="OQO512" s="1757"/>
      <c r="OQP512" s="385"/>
      <c r="OQQ512" s="69"/>
      <c r="OQR512" s="69"/>
      <c r="OQS512" s="2511"/>
      <c r="OQT512" s="1755"/>
      <c r="OQU512" s="1756"/>
      <c r="OQV512" s="1756"/>
      <c r="OQW512" s="1757"/>
      <c r="OQX512" s="385"/>
      <c r="OQY512" s="69"/>
      <c r="OQZ512" s="69"/>
      <c r="ORA512" s="2511"/>
      <c r="ORB512" s="1755"/>
      <c r="ORC512" s="1756"/>
      <c r="ORD512" s="1756"/>
      <c r="ORE512" s="1757"/>
      <c r="ORF512" s="385"/>
      <c r="ORG512" s="69"/>
      <c r="ORH512" s="69"/>
      <c r="ORI512" s="2511"/>
      <c r="ORJ512" s="1755"/>
      <c r="ORK512" s="1756"/>
      <c r="ORL512" s="1756"/>
      <c r="ORM512" s="1757"/>
      <c r="ORN512" s="385"/>
      <c r="ORO512" s="69"/>
      <c r="ORP512" s="69"/>
      <c r="ORQ512" s="2511"/>
      <c r="ORR512" s="1755"/>
      <c r="ORS512" s="1756"/>
      <c r="ORT512" s="1756"/>
      <c r="ORU512" s="1757"/>
      <c r="ORV512" s="385"/>
      <c r="ORW512" s="69"/>
      <c r="ORX512" s="69"/>
      <c r="ORY512" s="2511"/>
      <c r="ORZ512" s="1755"/>
      <c r="OSA512" s="1756"/>
      <c r="OSB512" s="1756"/>
      <c r="OSC512" s="1757"/>
      <c r="OSD512" s="385"/>
      <c r="OSE512" s="69"/>
      <c r="OSF512" s="69"/>
      <c r="OSG512" s="2511"/>
      <c r="OSH512" s="1755"/>
      <c r="OSI512" s="1756"/>
      <c r="OSJ512" s="1756"/>
      <c r="OSK512" s="1757"/>
      <c r="OSL512" s="385"/>
      <c r="OSM512" s="69"/>
      <c r="OSN512" s="69"/>
      <c r="OSO512" s="2511"/>
      <c r="OSP512" s="1755"/>
      <c r="OSQ512" s="1756"/>
      <c r="OSR512" s="1756"/>
      <c r="OSS512" s="1757"/>
      <c r="OST512" s="385"/>
      <c r="OSU512" s="69"/>
      <c r="OSV512" s="69"/>
      <c r="OSW512" s="2511"/>
      <c r="OSX512" s="1755"/>
      <c r="OSY512" s="1756"/>
      <c r="OSZ512" s="1756"/>
      <c r="OTA512" s="1757"/>
      <c r="OTB512" s="385"/>
      <c r="OTC512" s="69"/>
      <c r="OTD512" s="69"/>
      <c r="OTE512" s="2511"/>
      <c r="OTF512" s="1755"/>
      <c r="OTG512" s="1756"/>
      <c r="OTH512" s="1756"/>
      <c r="OTI512" s="1757"/>
      <c r="OTJ512" s="385"/>
      <c r="OTK512" s="69"/>
      <c r="OTL512" s="69"/>
      <c r="OTM512" s="2511"/>
      <c r="OTN512" s="1755"/>
      <c r="OTO512" s="1756"/>
      <c r="OTP512" s="1756"/>
      <c r="OTQ512" s="1757"/>
      <c r="OTR512" s="385"/>
      <c r="OTS512" s="69"/>
      <c r="OTT512" s="69"/>
      <c r="OTU512" s="2511"/>
      <c r="OTV512" s="1755"/>
      <c r="OTW512" s="1756"/>
      <c r="OTX512" s="1756"/>
      <c r="OTY512" s="1757"/>
      <c r="OTZ512" s="385"/>
      <c r="OUA512" s="69"/>
      <c r="OUB512" s="69"/>
      <c r="OUC512" s="2511"/>
      <c r="OUD512" s="1755"/>
      <c r="OUE512" s="1756"/>
      <c r="OUF512" s="1756"/>
      <c r="OUG512" s="1757"/>
      <c r="OUH512" s="385"/>
      <c r="OUI512" s="69"/>
      <c r="OUJ512" s="69"/>
      <c r="OUK512" s="2511"/>
      <c r="OUL512" s="1755"/>
      <c r="OUM512" s="1756"/>
      <c r="OUN512" s="1756"/>
      <c r="OUO512" s="1757"/>
      <c r="OUP512" s="385"/>
      <c r="OUQ512" s="69"/>
      <c r="OUR512" s="69"/>
      <c r="OUS512" s="2511"/>
      <c r="OUT512" s="1755"/>
      <c r="OUU512" s="1756"/>
      <c r="OUV512" s="1756"/>
      <c r="OUW512" s="1757"/>
      <c r="OUX512" s="385"/>
      <c r="OUY512" s="69"/>
      <c r="OUZ512" s="69"/>
      <c r="OVA512" s="2511"/>
      <c r="OVB512" s="1755"/>
      <c r="OVC512" s="1756"/>
      <c r="OVD512" s="1756"/>
      <c r="OVE512" s="1757"/>
      <c r="OVF512" s="385"/>
      <c r="OVG512" s="69"/>
      <c r="OVH512" s="69"/>
      <c r="OVI512" s="2511"/>
      <c r="OVJ512" s="1755"/>
      <c r="OVK512" s="1756"/>
      <c r="OVL512" s="1756"/>
      <c r="OVM512" s="1757"/>
      <c r="OVN512" s="385"/>
      <c r="OVO512" s="69"/>
      <c r="OVP512" s="69"/>
      <c r="OVQ512" s="2511"/>
      <c r="OVR512" s="1755"/>
      <c r="OVS512" s="1756"/>
      <c r="OVT512" s="1756"/>
      <c r="OVU512" s="1757"/>
      <c r="OVV512" s="385"/>
      <c r="OVW512" s="69"/>
      <c r="OVX512" s="69"/>
      <c r="OVY512" s="2511"/>
      <c r="OVZ512" s="1755"/>
      <c r="OWA512" s="1756"/>
      <c r="OWB512" s="1756"/>
      <c r="OWC512" s="1757"/>
      <c r="OWD512" s="385"/>
      <c r="OWE512" s="69"/>
      <c r="OWF512" s="69"/>
      <c r="OWG512" s="2511"/>
      <c r="OWH512" s="1755"/>
      <c r="OWI512" s="1756"/>
      <c r="OWJ512" s="1756"/>
      <c r="OWK512" s="1757"/>
      <c r="OWL512" s="385"/>
      <c r="OWM512" s="69"/>
      <c r="OWN512" s="69"/>
      <c r="OWO512" s="2511"/>
      <c r="OWP512" s="1755"/>
      <c r="OWQ512" s="1756"/>
      <c r="OWR512" s="1756"/>
      <c r="OWS512" s="1757"/>
      <c r="OWT512" s="385"/>
      <c r="OWU512" s="69"/>
      <c r="OWV512" s="69"/>
      <c r="OWW512" s="2511"/>
      <c r="OWX512" s="1755"/>
      <c r="OWY512" s="1756"/>
      <c r="OWZ512" s="1756"/>
      <c r="OXA512" s="1757"/>
      <c r="OXB512" s="385"/>
      <c r="OXC512" s="69"/>
      <c r="OXD512" s="69"/>
      <c r="OXE512" s="2511"/>
      <c r="OXF512" s="1755"/>
      <c r="OXG512" s="1756"/>
      <c r="OXH512" s="1756"/>
      <c r="OXI512" s="1757"/>
      <c r="OXJ512" s="385"/>
      <c r="OXK512" s="69"/>
      <c r="OXL512" s="69"/>
      <c r="OXM512" s="2511"/>
      <c r="OXN512" s="1755"/>
      <c r="OXO512" s="1756"/>
      <c r="OXP512" s="1756"/>
      <c r="OXQ512" s="1757"/>
      <c r="OXR512" s="385"/>
      <c r="OXS512" s="69"/>
      <c r="OXT512" s="69"/>
      <c r="OXU512" s="2511"/>
      <c r="OXV512" s="1755"/>
      <c r="OXW512" s="1756"/>
      <c r="OXX512" s="1756"/>
      <c r="OXY512" s="1757"/>
      <c r="OXZ512" s="385"/>
      <c r="OYA512" s="69"/>
      <c r="OYB512" s="69"/>
      <c r="OYC512" s="2511"/>
      <c r="OYD512" s="1755"/>
      <c r="OYE512" s="1756"/>
      <c r="OYF512" s="1756"/>
      <c r="OYG512" s="1757"/>
      <c r="OYH512" s="385"/>
      <c r="OYI512" s="69"/>
      <c r="OYJ512" s="69"/>
      <c r="OYK512" s="2511"/>
      <c r="OYL512" s="1755"/>
      <c r="OYM512" s="1756"/>
      <c r="OYN512" s="1756"/>
      <c r="OYO512" s="1757"/>
      <c r="OYP512" s="385"/>
      <c r="OYQ512" s="69"/>
      <c r="OYR512" s="69"/>
      <c r="OYS512" s="2511"/>
      <c r="OYT512" s="1755"/>
      <c r="OYU512" s="1756"/>
      <c r="OYV512" s="1756"/>
      <c r="OYW512" s="1757"/>
      <c r="OYX512" s="385"/>
      <c r="OYY512" s="69"/>
      <c r="OYZ512" s="69"/>
      <c r="OZA512" s="2511"/>
      <c r="OZB512" s="1755"/>
      <c r="OZC512" s="1756"/>
      <c r="OZD512" s="1756"/>
      <c r="OZE512" s="1757"/>
      <c r="OZF512" s="385"/>
      <c r="OZG512" s="69"/>
      <c r="OZH512" s="69"/>
      <c r="OZI512" s="2511"/>
      <c r="OZJ512" s="1755"/>
      <c r="OZK512" s="1756"/>
      <c r="OZL512" s="1756"/>
      <c r="OZM512" s="1757"/>
      <c r="OZN512" s="385"/>
      <c r="OZO512" s="69"/>
      <c r="OZP512" s="69"/>
      <c r="OZQ512" s="2511"/>
      <c r="OZR512" s="1755"/>
      <c r="OZS512" s="1756"/>
      <c r="OZT512" s="1756"/>
      <c r="OZU512" s="1757"/>
      <c r="OZV512" s="385"/>
      <c r="OZW512" s="69"/>
      <c r="OZX512" s="69"/>
      <c r="OZY512" s="2511"/>
      <c r="OZZ512" s="1755"/>
      <c r="PAA512" s="1756"/>
      <c r="PAB512" s="1756"/>
      <c r="PAC512" s="1757"/>
      <c r="PAD512" s="385"/>
      <c r="PAE512" s="69"/>
      <c r="PAF512" s="69"/>
      <c r="PAG512" s="2511"/>
      <c r="PAH512" s="1755"/>
      <c r="PAI512" s="1756"/>
      <c r="PAJ512" s="1756"/>
      <c r="PAK512" s="1757"/>
      <c r="PAL512" s="385"/>
      <c r="PAM512" s="69"/>
      <c r="PAN512" s="69"/>
      <c r="PAO512" s="2511"/>
      <c r="PAP512" s="1755"/>
      <c r="PAQ512" s="1756"/>
      <c r="PAR512" s="1756"/>
      <c r="PAS512" s="1757"/>
      <c r="PAT512" s="385"/>
      <c r="PAU512" s="69"/>
      <c r="PAV512" s="69"/>
      <c r="PAW512" s="2511"/>
      <c r="PAX512" s="1755"/>
      <c r="PAY512" s="1756"/>
      <c r="PAZ512" s="1756"/>
      <c r="PBA512" s="1757"/>
      <c r="PBB512" s="385"/>
      <c r="PBC512" s="69"/>
      <c r="PBD512" s="69"/>
      <c r="PBE512" s="2511"/>
      <c r="PBF512" s="1755"/>
      <c r="PBG512" s="1756"/>
      <c r="PBH512" s="1756"/>
      <c r="PBI512" s="1757"/>
      <c r="PBJ512" s="385"/>
      <c r="PBK512" s="69"/>
      <c r="PBL512" s="69"/>
      <c r="PBM512" s="2511"/>
      <c r="PBN512" s="1755"/>
      <c r="PBO512" s="1756"/>
      <c r="PBP512" s="1756"/>
      <c r="PBQ512" s="1757"/>
      <c r="PBR512" s="385"/>
      <c r="PBS512" s="69"/>
      <c r="PBT512" s="69"/>
      <c r="PBU512" s="2511"/>
      <c r="PBV512" s="1755"/>
      <c r="PBW512" s="1756"/>
      <c r="PBX512" s="1756"/>
      <c r="PBY512" s="1757"/>
      <c r="PBZ512" s="385"/>
      <c r="PCA512" s="69"/>
      <c r="PCB512" s="69"/>
      <c r="PCC512" s="2511"/>
      <c r="PCD512" s="1755"/>
      <c r="PCE512" s="1756"/>
      <c r="PCF512" s="1756"/>
      <c r="PCG512" s="1757"/>
      <c r="PCH512" s="385"/>
      <c r="PCI512" s="69"/>
      <c r="PCJ512" s="69"/>
      <c r="PCK512" s="2511"/>
      <c r="PCL512" s="1755"/>
      <c r="PCM512" s="1756"/>
      <c r="PCN512" s="1756"/>
      <c r="PCO512" s="1757"/>
      <c r="PCP512" s="385"/>
      <c r="PCQ512" s="69"/>
      <c r="PCR512" s="69"/>
      <c r="PCS512" s="2511"/>
      <c r="PCT512" s="1755"/>
      <c r="PCU512" s="1756"/>
      <c r="PCV512" s="1756"/>
      <c r="PCW512" s="1757"/>
      <c r="PCX512" s="385"/>
      <c r="PCY512" s="69"/>
      <c r="PCZ512" s="69"/>
      <c r="PDA512" s="2511"/>
      <c r="PDB512" s="1755"/>
      <c r="PDC512" s="1756"/>
      <c r="PDD512" s="1756"/>
      <c r="PDE512" s="1757"/>
      <c r="PDF512" s="385"/>
      <c r="PDG512" s="69"/>
      <c r="PDH512" s="69"/>
      <c r="PDI512" s="2511"/>
      <c r="PDJ512" s="1755"/>
      <c r="PDK512" s="1756"/>
      <c r="PDL512" s="1756"/>
      <c r="PDM512" s="1757"/>
      <c r="PDN512" s="385"/>
      <c r="PDO512" s="69"/>
      <c r="PDP512" s="69"/>
      <c r="PDQ512" s="2511"/>
      <c r="PDR512" s="1755"/>
      <c r="PDS512" s="1756"/>
      <c r="PDT512" s="1756"/>
      <c r="PDU512" s="1757"/>
      <c r="PDV512" s="385"/>
      <c r="PDW512" s="69"/>
      <c r="PDX512" s="69"/>
      <c r="PDY512" s="2511"/>
      <c r="PDZ512" s="1755"/>
      <c r="PEA512" s="1756"/>
      <c r="PEB512" s="1756"/>
      <c r="PEC512" s="1757"/>
      <c r="PED512" s="385"/>
      <c r="PEE512" s="69"/>
      <c r="PEF512" s="69"/>
      <c r="PEG512" s="2511"/>
      <c r="PEH512" s="1755"/>
      <c r="PEI512" s="1756"/>
      <c r="PEJ512" s="1756"/>
      <c r="PEK512" s="1757"/>
      <c r="PEL512" s="385"/>
      <c r="PEM512" s="69"/>
      <c r="PEN512" s="69"/>
      <c r="PEO512" s="2511"/>
      <c r="PEP512" s="1755"/>
      <c r="PEQ512" s="1756"/>
      <c r="PER512" s="1756"/>
      <c r="PES512" s="1757"/>
      <c r="PET512" s="385"/>
      <c r="PEU512" s="69"/>
      <c r="PEV512" s="69"/>
      <c r="PEW512" s="2511"/>
      <c r="PEX512" s="1755"/>
      <c r="PEY512" s="1756"/>
      <c r="PEZ512" s="1756"/>
      <c r="PFA512" s="1757"/>
      <c r="PFB512" s="385"/>
      <c r="PFC512" s="69"/>
      <c r="PFD512" s="69"/>
      <c r="PFE512" s="2511"/>
      <c r="PFF512" s="1755"/>
      <c r="PFG512" s="1756"/>
      <c r="PFH512" s="1756"/>
      <c r="PFI512" s="1757"/>
      <c r="PFJ512" s="385"/>
      <c r="PFK512" s="69"/>
      <c r="PFL512" s="69"/>
      <c r="PFM512" s="2511"/>
      <c r="PFN512" s="1755"/>
      <c r="PFO512" s="1756"/>
      <c r="PFP512" s="1756"/>
      <c r="PFQ512" s="1757"/>
      <c r="PFR512" s="385"/>
      <c r="PFS512" s="69"/>
      <c r="PFT512" s="69"/>
      <c r="PFU512" s="2511"/>
      <c r="PFV512" s="1755"/>
      <c r="PFW512" s="1756"/>
      <c r="PFX512" s="1756"/>
      <c r="PFY512" s="1757"/>
      <c r="PFZ512" s="385"/>
      <c r="PGA512" s="69"/>
      <c r="PGB512" s="69"/>
      <c r="PGC512" s="2511"/>
      <c r="PGD512" s="1755"/>
      <c r="PGE512" s="1756"/>
      <c r="PGF512" s="1756"/>
      <c r="PGG512" s="1757"/>
      <c r="PGH512" s="385"/>
      <c r="PGI512" s="69"/>
      <c r="PGJ512" s="69"/>
      <c r="PGK512" s="2511"/>
      <c r="PGL512" s="1755"/>
      <c r="PGM512" s="1756"/>
      <c r="PGN512" s="1756"/>
      <c r="PGO512" s="1757"/>
      <c r="PGP512" s="385"/>
      <c r="PGQ512" s="69"/>
      <c r="PGR512" s="69"/>
      <c r="PGS512" s="2511"/>
      <c r="PGT512" s="1755"/>
      <c r="PGU512" s="1756"/>
      <c r="PGV512" s="1756"/>
      <c r="PGW512" s="1757"/>
      <c r="PGX512" s="385"/>
      <c r="PGY512" s="69"/>
      <c r="PGZ512" s="69"/>
      <c r="PHA512" s="2511"/>
      <c r="PHB512" s="1755"/>
      <c r="PHC512" s="1756"/>
      <c r="PHD512" s="1756"/>
      <c r="PHE512" s="1757"/>
      <c r="PHF512" s="385"/>
      <c r="PHG512" s="69"/>
      <c r="PHH512" s="69"/>
      <c r="PHI512" s="2511"/>
      <c r="PHJ512" s="1755"/>
      <c r="PHK512" s="1756"/>
      <c r="PHL512" s="1756"/>
      <c r="PHM512" s="1757"/>
      <c r="PHN512" s="385"/>
      <c r="PHO512" s="69"/>
      <c r="PHP512" s="69"/>
      <c r="PHQ512" s="2511"/>
      <c r="PHR512" s="1755"/>
      <c r="PHS512" s="1756"/>
      <c r="PHT512" s="1756"/>
      <c r="PHU512" s="1757"/>
      <c r="PHV512" s="385"/>
      <c r="PHW512" s="69"/>
      <c r="PHX512" s="69"/>
      <c r="PHY512" s="2511"/>
      <c r="PHZ512" s="1755"/>
      <c r="PIA512" s="1756"/>
      <c r="PIB512" s="1756"/>
      <c r="PIC512" s="1757"/>
      <c r="PID512" s="385"/>
      <c r="PIE512" s="69"/>
      <c r="PIF512" s="69"/>
      <c r="PIG512" s="2511"/>
      <c r="PIH512" s="1755"/>
      <c r="PII512" s="1756"/>
      <c r="PIJ512" s="1756"/>
      <c r="PIK512" s="1757"/>
      <c r="PIL512" s="385"/>
      <c r="PIM512" s="69"/>
      <c r="PIN512" s="69"/>
      <c r="PIO512" s="2511"/>
      <c r="PIP512" s="1755"/>
      <c r="PIQ512" s="1756"/>
      <c r="PIR512" s="1756"/>
      <c r="PIS512" s="1757"/>
      <c r="PIT512" s="385"/>
      <c r="PIU512" s="69"/>
      <c r="PIV512" s="69"/>
      <c r="PIW512" s="2511"/>
      <c r="PIX512" s="1755"/>
      <c r="PIY512" s="1756"/>
      <c r="PIZ512" s="1756"/>
      <c r="PJA512" s="1757"/>
      <c r="PJB512" s="385"/>
      <c r="PJC512" s="69"/>
      <c r="PJD512" s="69"/>
      <c r="PJE512" s="2511"/>
      <c r="PJF512" s="1755"/>
      <c r="PJG512" s="1756"/>
      <c r="PJH512" s="1756"/>
      <c r="PJI512" s="1757"/>
      <c r="PJJ512" s="385"/>
      <c r="PJK512" s="69"/>
      <c r="PJL512" s="69"/>
      <c r="PJM512" s="2511"/>
      <c r="PJN512" s="1755"/>
      <c r="PJO512" s="1756"/>
      <c r="PJP512" s="1756"/>
      <c r="PJQ512" s="1757"/>
      <c r="PJR512" s="385"/>
      <c r="PJS512" s="69"/>
      <c r="PJT512" s="69"/>
      <c r="PJU512" s="2511"/>
      <c r="PJV512" s="1755"/>
      <c r="PJW512" s="1756"/>
      <c r="PJX512" s="1756"/>
      <c r="PJY512" s="1757"/>
      <c r="PJZ512" s="385"/>
      <c r="PKA512" s="69"/>
      <c r="PKB512" s="69"/>
      <c r="PKC512" s="2511"/>
      <c r="PKD512" s="1755"/>
      <c r="PKE512" s="1756"/>
      <c r="PKF512" s="1756"/>
      <c r="PKG512" s="1757"/>
      <c r="PKH512" s="385"/>
      <c r="PKI512" s="69"/>
      <c r="PKJ512" s="69"/>
      <c r="PKK512" s="2511"/>
      <c r="PKL512" s="1755"/>
      <c r="PKM512" s="1756"/>
      <c r="PKN512" s="1756"/>
      <c r="PKO512" s="1757"/>
      <c r="PKP512" s="385"/>
      <c r="PKQ512" s="69"/>
      <c r="PKR512" s="69"/>
      <c r="PKS512" s="2511"/>
      <c r="PKT512" s="1755"/>
      <c r="PKU512" s="1756"/>
      <c r="PKV512" s="1756"/>
      <c r="PKW512" s="1757"/>
      <c r="PKX512" s="385"/>
      <c r="PKY512" s="69"/>
      <c r="PKZ512" s="69"/>
      <c r="PLA512" s="2511"/>
      <c r="PLB512" s="1755"/>
      <c r="PLC512" s="1756"/>
      <c r="PLD512" s="1756"/>
      <c r="PLE512" s="1757"/>
      <c r="PLF512" s="385"/>
      <c r="PLG512" s="69"/>
      <c r="PLH512" s="69"/>
      <c r="PLI512" s="2511"/>
      <c r="PLJ512" s="1755"/>
      <c r="PLK512" s="1756"/>
      <c r="PLL512" s="1756"/>
      <c r="PLM512" s="1757"/>
      <c r="PLN512" s="385"/>
      <c r="PLO512" s="69"/>
      <c r="PLP512" s="69"/>
      <c r="PLQ512" s="2511"/>
      <c r="PLR512" s="1755"/>
      <c r="PLS512" s="1756"/>
      <c r="PLT512" s="1756"/>
      <c r="PLU512" s="1757"/>
      <c r="PLV512" s="385"/>
      <c r="PLW512" s="69"/>
      <c r="PLX512" s="69"/>
      <c r="PLY512" s="2511"/>
      <c r="PLZ512" s="1755"/>
      <c r="PMA512" s="1756"/>
      <c r="PMB512" s="1756"/>
      <c r="PMC512" s="1757"/>
      <c r="PMD512" s="385"/>
      <c r="PME512" s="69"/>
      <c r="PMF512" s="69"/>
      <c r="PMG512" s="2511"/>
      <c r="PMH512" s="1755"/>
      <c r="PMI512" s="1756"/>
      <c r="PMJ512" s="1756"/>
      <c r="PMK512" s="1757"/>
      <c r="PML512" s="385"/>
      <c r="PMM512" s="69"/>
      <c r="PMN512" s="69"/>
      <c r="PMO512" s="2511"/>
      <c r="PMP512" s="1755"/>
      <c r="PMQ512" s="1756"/>
      <c r="PMR512" s="1756"/>
      <c r="PMS512" s="1757"/>
      <c r="PMT512" s="385"/>
      <c r="PMU512" s="69"/>
      <c r="PMV512" s="69"/>
      <c r="PMW512" s="2511"/>
      <c r="PMX512" s="1755"/>
      <c r="PMY512" s="1756"/>
      <c r="PMZ512" s="1756"/>
      <c r="PNA512" s="1757"/>
      <c r="PNB512" s="385"/>
      <c r="PNC512" s="69"/>
      <c r="PND512" s="69"/>
      <c r="PNE512" s="2511"/>
      <c r="PNF512" s="1755"/>
      <c r="PNG512" s="1756"/>
      <c r="PNH512" s="1756"/>
      <c r="PNI512" s="1757"/>
      <c r="PNJ512" s="385"/>
      <c r="PNK512" s="69"/>
      <c r="PNL512" s="69"/>
      <c r="PNM512" s="2511"/>
      <c r="PNN512" s="1755"/>
      <c r="PNO512" s="1756"/>
      <c r="PNP512" s="1756"/>
      <c r="PNQ512" s="1757"/>
      <c r="PNR512" s="385"/>
      <c r="PNS512" s="69"/>
      <c r="PNT512" s="69"/>
      <c r="PNU512" s="2511"/>
      <c r="PNV512" s="1755"/>
      <c r="PNW512" s="1756"/>
      <c r="PNX512" s="1756"/>
      <c r="PNY512" s="1757"/>
      <c r="PNZ512" s="385"/>
      <c r="POA512" s="69"/>
      <c r="POB512" s="69"/>
      <c r="POC512" s="2511"/>
      <c r="POD512" s="1755"/>
      <c r="POE512" s="1756"/>
      <c r="POF512" s="1756"/>
      <c r="POG512" s="1757"/>
      <c r="POH512" s="385"/>
      <c r="POI512" s="69"/>
      <c r="POJ512" s="69"/>
      <c r="POK512" s="2511"/>
      <c r="POL512" s="1755"/>
      <c r="POM512" s="1756"/>
      <c r="PON512" s="1756"/>
      <c r="POO512" s="1757"/>
      <c r="POP512" s="385"/>
      <c r="POQ512" s="69"/>
      <c r="POR512" s="69"/>
      <c r="POS512" s="2511"/>
      <c r="POT512" s="1755"/>
      <c r="POU512" s="1756"/>
      <c r="POV512" s="1756"/>
      <c r="POW512" s="1757"/>
      <c r="POX512" s="385"/>
      <c r="POY512" s="69"/>
      <c r="POZ512" s="69"/>
      <c r="PPA512" s="2511"/>
      <c r="PPB512" s="1755"/>
      <c r="PPC512" s="1756"/>
      <c r="PPD512" s="1756"/>
      <c r="PPE512" s="1757"/>
      <c r="PPF512" s="385"/>
      <c r="PPG512" s="69"/>
      <c r="PPH512" s="69"/>
      <c r="PPI512" s="2511"/>
      <c r="PPJ512" s="1755"/>
      <c r="PPK512" s="1756"/>
      <c r="PPL512" s="1756"/>
      <c r="PPM512" s="1757"/>
      <c r="PPN512" s="385"/>
      <c r="PPO512" s="69"/>
      <c r="PPP512" s="69"/>
      <c r="PPQ512" s="2511"/>
      <c r="PPR512" s="1755"/>
      <c r="PPS512" s="1756"/>
      <c r="PPT512" s="1756"/>
      <c r="PPU512" s="1757"/>
      <c r="PPV512" s="385"/>
      <c r="PPW512" s="69"/>
      <c r="PPX512" s="69"/>
      <c r="PPY512" s="2511"/>
      <c r="PPZ512" s="1755"/>
      <c r="PQA512" s="1756"/>
      <c r="PQB512" s="1756"/>
      <c r="PQC512" s="1757"/>
      <c r="PQD512" s="385"/>
      <c r="PQE512" s="69"/>
      <c r="PQF512" s="69"/>
      <c r="PQG512" s="2511"/>
      <c r="PQH512" s="1755"/>
      <c r="PQI512" s="1756"/>
      <c r="PQJ512" s="1756"/>
      <c r="PQK512" s="1757"/>
      <c r="PQL512" s="385"/>
      <c r="PQM512" s="69"/>
      <c r="PQN512" s="69"/>
      <c r="PQO512" s="2511"/>
      <c r="PQP512" s="1755"/>
      <c r="PQQ512" s="1756"/>
      <c r="PQR512" s="1756"/>
      <c r="PQS512" s="1757"/>
      <c r="PQT512" s="385"/>
      <c r="PQU512" s="69"/>
      <c r="PQV512" s="69"/>
      <c r="PQW512" s="2511"/>
      <c r="PQX512" s="1755"/>
      <c r="PQY512" s="1756"/>
      <c r="PQZ512" s="1756"/>
      <c r="PRA512" s="1757"/>
      <c r="PRB512" s="385"/>
      <c r="PRC512" s="69"/>
      <c r="PRD512" s="69"/>
      <c r="PRE512" s="2511"/>
      <c r="PRF512" s="1755"/>
      <c r="PRG512" s="1756"/>
      <c r="PRH512" s="1756"/>
      <c r="PRI512" s="1757"/>
      <c r="PRJ512" s="385"/>
      <c r="PRK512" s="69"/>
      <c r="PRL512" s="69"/>
      <c r="PRM512" s="2511"/>
      <c r="PRN512" s="1755"/>
      <c r="PRO512" s="1756"/>
      <c r="PRP512" s="1756"/>
      <c r="PRQ512" s="1757"/>
      <c r="PRR512" s="385"/>
      <c r="PRS512" s="69"/>
      <c r="PRT512" s="69"/>
      <c r="PRU512" s="2511"/>
      <c r="PRV512" s="1755"/>
      <c r="PRW512" s="1756"/>
      <c r="PRX512" s="1756"/>
      <c r="PRY512" s="1757"/>
      <c r="PRZ512" s="385"/>
      <c r="PSA512" s="69"/>
      <c r="PSB512" s="69"/>
      <c r="PSC512" s="2511"/>
      <c r="PSD512" s="1755"/>
      <c r="PSE512" s="1756"/>
      <c r="PSF512" s="1756"/>
      <c r="PSG512" s="1757"/>
      <c r="PSH512" s="385"/>
      <c r="PSI512" s="69"/>
      <c r="PSJ512" s="69"/>
      <c r="PSK512" s="2511"/>
      <c r="PSL512" s="1755"/>
      <c r="PSM512" s="1756"/>
      <c r="PSN512" s="1756"/>
      <c r="PSO512" s="1757"/>
      <c r="PSP512" s="385"/>
      <c r="PSQ512" s="69"/>
      <c r="PSR512" s="69"/>
      <c r="PSS512" s="2511"/>
      <c r="PST512" s="1755"/>
      <c r="PSU512" s="1756"/>
      <c r="PSV512" s="1756"/>
      <c r="PSW512" s="1757"/>
      <c r="PSX512" s="385"/>
      <c r="PSY512" s="69"/>
      <c r="PSZ512" s="69"/>
      <c r="PTA512" s="2511"/>
      <c r="PTB512" s="1755"/>
      <c r="PTC512" s="1756"/>
      <c r="PTD512" s="1756"/>
      <c r="PTE512" s="1757"/>
      <c r="PTF512" s="385"/>
      <c r="PTG512" s="69"/>
      <c r="PTH512" s="69"/>
      <c r="PTI512" s="2511"/>
      <c r="PTJ512" s="1755"/>
      <c r="PTK512" s="1756"/>
      <c r="PTL512" s="1756"/>
      <c r="PTM512" s="1757"/>
      <c r="PTN512" s="385"/>
      <c r="PTO512" s="69"/>
      <c r="PTP512" s="69"/>
      <c r="PTQ512" s="2511"/>
      <c r="PTR512" s="1755"/>
      <c r="PTS512" s="1756"/>
      <c r="PTT512" s="1756"/>
      <c r="PTU512" s="1757"/>
      <c r="PTV512" s="385"/>
      <c r="PTW512" s="69"/>
      <c r="PTX512" s="69"/>
      <c r="PTY512" s="2511"/>
      <c r="PTZ512" s="1755"/>
      <c r="PUA512" s="1756"/>
      <c r="PUB512" s="1756"/>
      <c r="PUC512" s="1757"/>
      <c r="PUD512" s="385"/>
      <c r="PUE512" s="69"/>
      <c r="PUF512" s="69"/>
      <c r="PUG512" s="2511"/>
      <c r="PUH512" s="1755"/>
      <c r="PUI512" s="1756"/>
      <c r="PUJ512" s="1756"/>
      <c r="PUK512" s="1757"/>
      <c r="PUL512" s="385"/>
      <c r="PUM512" s="69"/>
      <c r="PUN512" s="69"/>
      <c r="PUO512" s="2511"/>
      <c r="PUP512" s="1755"/>
      <c r="PUQ512" s="1756"/>
      <c r="PUR512" s="1756"/>
      <c r="PUS512" s="1757"/>
      <c r="PUT512" s="385"/>
      <c r="PUU512" s="69"/>
      <c r="PUV512" s="69"/>
      <c r="PUW512" s="2511"/>
      <c r="PUX512" s="1755"/>
      <c r="PUY512" s="1756"/>
      <c r="PUZ512" s="1756"/>
      <c r="PVA512" s="1757"/>
      <c r="PVB512" s="385"/>
      <c r="PVC512" s="69"/>
      <c r="PVD512" s="69"/>
      <c r="PVE512" s="2511"/>
      <c r="PVF512" s="1755"/>
      <c r="PVG512" s="1756"/>
      <c r="PVH512" s="1756"/>
      <c r="PVI512" s="1757"/>
      <c r="PVJ512" s="385"/>
      <c r="PVK512" s="69"/>
      <c r="PVL512" s="69"/>
      <c r="PVM512" s="2511"/>
      <c r="PVN512" s="1755"/>
      <c r="PVO512" s="1756"/>
      <c r="PVP512" s="1756"/>
      <c r="PVQ512" s="1757"/>
      <c r="PVR512" s="385"/>
      <c r="PVS512" s="69"/>
      <c r="PVT512" s="69"/>
      <c r="PVU512" s="2511"/>
      <c r="PVV512" s="1755"/>
      <c r="PVW512" s="1756"/>
      <c r="PVX512" s="1756"/>
      <c r="PVY512" s="1757"/>
      <c r="PVZ512" s="385"/>
      <c r="PWA512" s="69"/>
      <c r="PWB512" s="69"/>
      <c r="PWC512" s="2511"/>
      <c r="PWD512" s="1755"/>
      <c r="PWE512" s="1756"/>
      <c r="PWF512" s="1756"/>
      <c r="PWG512" s="1757"/>
      <c r="PWH512" s="385"/>
      <c r="PWI512" s="69"/>
      <c r="PWJ512" s="69"/>
      <c r="PWK512" s="2511"/>
      <c r="PWL512" s="1755"/>
      <c r="PWM512" s="1756"/>
      <c r="PWN512" s="1756"/>
      <c r="PWO512" s="1757"/>
      <c r="PWP512" s="385"/>
      <c r="PWQ512" s="69"/>
      <c r="PWR512" s="69"/>
      <c r="PWS512" s="2511"/>
      <c r="PWT512" s="1755"/>
      <c r="PWU512" s="1756"/>
      <c r="PWV512" s="1756"/>
      <c r="PWW512" s="1757"/>
      <c r="PWX512" s="385"/>
      <c r="PWY512" s="69"/>
      <c r="PWZ512" s="69"/>
      <c r="PXA512" s="2511"/>
      <c r="PXB512" s="1755"/>
      <c r="PXC512" s="1756"/>
      <c r="PXD512" s="1756"/>
      <c r="PXE512" s="1757"/>
      <c r="PXF512" s="385"/>
      <c r="PXG512" s="69"/>
      <c r="PXH512" s="69"/>
      <c r="PXI512" s="2511"/>
      <c r="PXJ512" s="1755"/>
      <c r="PXK512" s="1756"/>
      <c r="PXL512" s="1756"/>
      <c r="PXM512" s="1757"/>
      <c r="PXN512" s="385"/>
      <c r="PXO512" s="69"/>
      <c r="PXP512" s="69"/>
      <c r="PXQ512" s="2511"/>
      <c r="PXR512" s="1755"/>
      <c r="PXS512" s="1756"/>
      <c r="PXT512" s="1756"/>
      <c r="PXU512" s="1757"/>
      <c r="PXV512" s="385"/>
      <c r="PXW512" s="69"/>
      <c r="PXX512" s="69"/>
      <c r="PXY512" s="2511"/>
      <c r="PXZ512" s="1755"/>
      <c r="PYA512" s="1756"/>
      <c r="PYB512" s="1756"/>
      <c r="PYC512" s="1757"/>
      <c r="PYD512" s="385"/>
      <c r="PYE512" s="69"/>
      <c r="PYF512" s="69"/>
      <c r="PYG512" s="2511"/>
      <c r="PYH512" s="1755"/>
      <c r="PYI512" s="1756"/>
      <c r="PYJ512" s="1756"/>
      <c r="PYK512" s="1757"/>
      <c r="PYL512" s="385"/>
      <c r="PYM512" s="69"/>
      <c r="PYN512" s="69"/>
      <c r="PYO512" s="2511"/>
      <c r="PYP512" s="1755"/>
      <c r="PYQ512" s="1756"/>
      <c r="PYR512" s="1756"/>
      <c r="PYS512" s="1757"/>
      <c r="PYT512" s="385"/>
      <c r="PYU512" s="69"/>
      <c r="PYV512" s="69"/>
      <c r="PYW512" s="2511"/>
      <c r="PYX512" s="1755"/>
      <c r="PYY512" s="1756"/>
      <c r="PYZ512" s="1756"/>
      <c r="PZA512" s="1757"/>
      <c r="PZB512" s="385"/>
      <c r="PZC512" s="69"/>
      <c r="PZD512" s="69"/>
      <c r="PZE512" s="2511"/>
      <c r="PZF512" s="1755"/>
      <c r="PZG512" s="1756"/>
      <c r="PZH512" s="1756"/>
      <c r="PZI512" s="1757"/>
      <c r="PZJ512" s="385"/>
      <c r="PZK512" s="69"/>
      <c r="PZL512" s="69"/>
      <c r="PZM512" s="2511"/>
      <c r="PZN512" s="1755"/>
      <c r="PZO512" s="1756"/>
      <c r="PZP512" s="1756"/>
      <c r="PZQ512" s="1757"/>
      <c r="PZR512" s="385"/>
      <c r="PZS512" s="69"/>
      <c r="PZT512" s="69"/>
      <c r="PZU512" s="2511"/>
      <c r="PZV512" s="1755"/>
      <c r="PZW512" s="1756"/>
      <c r="PZX512" s="1756"/>
      <c r="PZY512" s="1757"/>
      <c r="PZZ512" s="385"/>
      <c r="QAA512" s="69"/>
      <c r="QAB512" s="69"/>
      <c r="QAC512" s="2511"/>
      <c r="QAD512" s="1755"/>
      <c r="QAE512" s="1756"/>
      <c r="QAF512" s="1756"/>
      <c r="QAG512" s="1757"/>
      <c r="QAH512" s="385"/>
      <c r="QAI512" s="69"/>
      <c r="QAJ512" s="69"/>
      <c r="QAK512" s="2511"/>
      <c r="QAL512" s="1755"/>
      <c r="QAM512" s="1756"/>
      <c r="QAN512" s="1756"/>
      <c r="QAO512" s="1757"/>
      <c r="QAP512" s="385"/>
      <c r="QAQ512" s="69"/>
      <c r="QAR512" s="69"/>
      <c r="QAS512" s="2511"/>
      <c r="QAT512" s="1755"/>
      <c r="QAU512" s="1756"/>
      <c r="QAV512" s="1756"/>
      <c r="QAW512" s="1757"/>
      <c r="QAX512" s="385"/>
      <c r="QAY512" s="69"/>
      <c r="QAZ512" s="69"/>
      <c r="QBA512" s="2511"/>
      <c r="QBB512" s="1755"/>
      <c r="QBC512" s="1756"/>
      <c r="QBD512" s="1756"/>
      <c r="QBE512" s="1757"/>
      <c r="QBF512" s="385"/>
      <c r="QBG512" s="69"/>
      <c r="QBH512" s="69"/>
      <c r="QBI512" s="2511"/>
      <c r="QBJ512" s="1755"/>
      <c r="QBK512" s="1756"/>
      <c r="QBL512" s="1756"/>
      <c r="QBM512" s="1757"/>
      <c r="QBN512" s="385"/>
      <c r="QBO512" s="69"/>
      <c r="QBP512" s="69"/>
      <c r="QBQ512" s="2511"/>
      <c r="QBR512" s="1755"/>
      <c r="QBS512" s="1756"/>
      <c r="QBT512" s="1756"/>
      <c r="QBU512" s="1757"/>
      <c r="QBV512" s="385"/>
      <c r="QBW512" s="69"/>
      <c r="QBX512" s="69"/>
      <c r="QBY512" s="2511"/>
      <c r="QBZ512" s="1755"/>
      <c r="QCA512" s="1756"/>
      <c r="QCB512" s="1756"/>
      <c r="QCC512" s="1757"/>
      <c r="QCD512" s="385"/>
      <c r="QCE512" s="69"/>
      <c r="QCF512" s="69"/>
      <c r="QCG512" s="2511"/>
      <c r="QCH512" s="1755"/>
      <c r="QCI512" s="1756"/>
      <c r="QCJ512" s="1756"/>
      <c r="QCK512" s="1757"/>
      <c r="QCL512" s="385"/>
      <c r="QCM512" s="69"/>
      <c r="QCN512" s="69"/>
      <c r="QCO512" s="2511"/>
      <c r="QCP512" s="1755"/>
      <c r="QCQ512" s="1756"/>
      <c r="QCR512" s="1756"/>
      <c r="QCS512" s="1757"/>
      <c r="QCT512" s="385"/>
      <c r="QCU512" s="69"/>
      <c r="QCV512" s="69"/>
      <c r="QCW512" s="2511"/>
      <c r="QCX512" s="1755"/>
      <c r="QCY512" s="1756"/>
      <c r="QCZ512" s="1756"/>
      <c r="QDA512" s="1757"/>
      <c r="QDB512" s="385"/>
      <c r="QDC512" s="69"/>
      <c r="QDD512" s="69"/>
      <c r="QDE512" s="2511"/>
      <c r="QDF512" s="1755"/>
      <c r="QDG512" s="1756"/>
      <c r="QDH512" s="1756"/>
      <c r="QDI512" s="1757"/>
      <c r="QDJ512" s="385"/>
      <c r="QDK512" s="69"/>
      <c r="QDL512" s="69"/>
      <c r="QDM512" s="2511"/>
      <c r="QDN512" s="1755"/>
      <c r="QDO512" s="1756"/>
      <c r="QDP512" s="1756"/>
      <c r="QDQ512" s="1757"/>
      <c r="QDR512" s="385"/>
      <c r="QDS512" s="69"/>
      <c r="QDT512" s="69"/>
      <c r="QDU512" s="2511"/>
      <c r="QDV512" s="1755"/>
      <c r="QDW512" s="1756"/>
      <c r="QDX512" s="1756"/>
      <c r="QDY512" s="1757"/>
      <c r="QDZ512" s="385"/>
      <c r="QEA512" s="69"/>
      <c r="QEB512" s="69"/>
      <c r="QEC512" s="2511"/>
      <c r="QED512" s="1755"/>
      <c r="QEE512" s="1756"/>
      <c r="QEF512" s="1756"/>
      <c r="QEG512" s="1757"/>
      <c r="QEH512" s="385"/>
      <c r="QEI512" s="69"/>
      <c r="QEJ512" s="69"/>
      <c r="QEK512" s="2511"/>
      <c r="QEL512" s="1755"/>
      <c r="QEM512" s="1756"/>
      <c r="QEN512" s="1756"/>
      <c r="QEO512" s="1757"/>
      <c r="QEP512" s="385"/>
      <c r="QEQ512" s="69"/>
      <c r="QER512" s="69"/>
      <c r="QES512" s="2511"/>
      <c r="QET512" s="1755"/>
      <c r="QEU512" s="1756"/>
      <c r="QEV512" s="1756"/>
      <c r="QEW512" s="1757"/>
      <c r="QEX512" s="385"/>
      <c r="QEY512" s="69"/>
      <c r="QEZ512" s="69"/>
      <c r="QFA512" s="2511"/>
      <c r="QFB512" s="1755"/>
      <c r="QFC512" s="1756"/>
      <c r="QFD512" s="1756"/>
      <c r="QFE512" s="1757"/>
      <c r="QFF512" s="385"/>
      <c r="QFG512" s="69"/>
      <c r="QFH512" s="69"/>
      <c r="QFI512" s="2511"/>
      <c r="QFJ512" s="1755"/>
      <c r="QFK512" s="1756"/>
      <c r="QFL512" s="1756"/>
      <c r="QFM512" s="1757"/>
      <c r="QFN512" s="385"/>
      <c r="QFO512" s="69"/>
      <c r="QFP512" s="69"/>
      <c r="QFQ512" s="2511"/>
      <c r="QFR512" s="1755"/>
      <c r="QFS512" s="1756"/>
      <c r="QFT512" s="1756"/>
      <c r="QFU512" s="1757"/>
      <c r="QFV512" s="385"/>
      <c r="QFW512" s="69"/>
      <c r="QFX512" s="69"/>
      <c r="QFY512" s="2511"/>
      <c r="QFZ512" s="1755"/>
      <c r="QGA512" s="1756"/>
      <c r="QGB512" s="1756"/>
      <c r="QGC512" s="1757"/>
      <c r="QGD512" s="385"/>
      <c r="QGE512" s="69"/>
      <c r="QGF512" s="69"/>
      <c r="QGG512" s="2511"/>
      <c r="QGH512" s="1755"/>
      <c r="QGI512" s="1756"/>
      <c r="QGJ512" s="1756"/>
      <c r="QGK512" s="1757"/>
      <c r="QGL512" s="385"/>
      <c r="QGM512" s="69"/>
      <c r="QGN512" s="69"/>
      <c r="QGO512" s="2511"/>
      <c r="QGP512" s="1755"/>
      <c r="QGQ512" s="1756"/>
      <c r="QGR512" s="1756"/>
      <c r="QGS512" s="1757"/>
      <c r="QGT512" s="385"/>
      <c r="QGU512" s="69"/>
      <c r="QGV512" s="69"/>
      <c r="QGW512" s="2511"/>
      <c r="QGX512" s="1755"/>
      <c r="QGY512" s="1756"/>
      <c r="QGZ512" s="1756"/>
      <c r="QHA512" s="1757"/>
      <c r="QHB512" s="385"/>
      <c r="QHC512" s="69"/>
      <c r="QHD512" s="69"/>
      <c r="QHE512" s="2511"/>
      <c r="QHF512" s="1755"/>
      <c r="QHG512" s="1756"/>
      <c r="QHH512" s="1756"/>
      <c r="QHI512" s="1757"/>
      <c r="QHJ512" s="385"/>
      <c r="QHK512" s="69"/>
      <c r="QHL512" s="69"/>
      <c r="QHM512" s="2511"/>
      <c r="QHN512" s="1755"/>
      <c r="QHO512" s="1756"/>
      <c r="QHP512" s="1756"/>
      <c r="QHQ512" s="1757"/>
      <c r="QHR512" s="385"/>
      <c r="QHS512" s="69"/>
      <c r="QHT512" s="69"/>
      <c r="QHU512" s="2511"/>
      <c r="QHV512" s="1755"/>
      <c r="QHW512" s="1756"/>
      <c r="QHX512" s="1756"/>
      <c r="QHY512" s="1757"/>
      <c r="QHZ512" s="385"/>
      <c r="QIA512" s="69"/>
      <c r="QIB512" s="69"/>
      <c r="QIC512" s="2511"/>
      <c r="QID512" s="1755"/>
      <c r="QIE512" s="1756"/>
      <c r="QIF512" s="1756"/>
      <c r="QIG512" s="1757"/>
      <c r="QIH512" s="385"/>
      <c r="QII512" s="69"/>
      <c r="QIJ512" s="69"/>
      <c r="QIK512" s="2511"/>
      <c r="QIL512" s="1755"/>
      <c r="QIM512" s="1756"/>
      <c r="QIN512" s="1756"/>
      <c r="QIO512" s="1757"/>
      <c r="QIP512" s="385"/>
      <c r="QIQ512" s="69"/>
      <c r="QIR512" s="69"/>
      <c r="QIS512" s="2511"/>
      <c r="QIT512" s="1755"/>
      <c r="QIU512" s="1756"/>
      <c r="QIV512" s="1756"/>
      <c r="QIW512" s="1757"/>
      <c r="QIX512" s="385"/>
      <c r="QIY512" s="69"/>
      <c r="QIZ512" s="69"/>
      <c r="QJA512" s="2511"/>
      <c r="QJB512" s="1755"/>
      <c r="QJC512" s="1756"/>
      <c r="QJD512" s="1756"/>
      <c r="QJE512" s="1757"/>
      <c r="QJF512" s="385"/>
      <c r="QJG512" s="69"/>
      <c r="QJH512" s="69"/>
      <c r="QJI512" s="2511"/>
      <c r="QJJ512" s="1755"/>
      <c r="QJK512" s="1756"/>
      <c r="QJL512" s="1756"/>
      <c r="QJM512" s="1757"/>
      <c r="QJN512" s="385"/>
      <c r="QJO512" s="69"/>
      <c r="QJP512" s="69"/>
      <c r="QJQ512" s="2511"/>
      <c r="QJR512" s="1755"/>
      <c r="QJS512" s="1756"/>
      <c r="QJT512" s="1756"/>
      <c r="QJU512" s="1757"/>
      <c r="QJV512" s="385"/>
      <c r="QJW512" s="69"/>
      <c r="QJX512" s="69"/>
      <c r="QJY512" s="2511"/>
      <c r="QJZ512" s="1755"/>
      <c r="QKA512" s="1756"/>
      <c r="QKB512" s="1756"/>
      <c r="QKC512" s="1757"/>
      <c r="QKD512" s="385"/>
      <c r="QKE512" s="69"/>
      <c r="QKF512" s="69"/>
      <c r="QKG512" s="2511"/>
      <c r="QKH512" s="1755"/>
      <c r="QKI512" s="1756"/>
      <c r="QKJ512" s="1756"/>
      <c r="QKK512" s="1757"/>
      <c r="QKL512" s="385"/>
      <c r="QKM512" s="69"/>
      <c r="QKN512" s="69"/>
      <c r="QKO512" s="2511"/>
      <c r="QKP512" s="1755"/>
      <c r="QKQ512" s="1756"/>
      <c r="QKR512" s="1756"/>
      <c r="QKS512" s="1757"/>
      <c r="QKT512" s="385"/>
      <c r="QKU512" s="69"/>
      <c r="QKV512" s="69"/>
      <c r="QKW512" s="2511"/>
      <c r="QKX512" s="1755"/>
      <c r="QKY512" s="1756"/>
      <c r="QKZ512" s="1756"/>
      <c r="QLA512" s="1757"/>
      <c r="QLB512" s="385"/>
      <c r="QLC512" s="69"/>
      <c r="QLD512" s="69"/>
      <c r="QLE512" s="2511"/>
      <c r="QLF512" s="1755"/>
      <c r="QLG512" s="1756"/>
      <c r="QLH512" s="1756"/>
      <c r="QLI512" s="1757"/>
      <c r="QLJ512" s="385"/>
      <c r="QLK512" s="69"/>
      <c r="QLL512" s="69"/>
      <c r="QLM512" s="2511"/>
      <c r="QLN512" s="1755"/>
      <c r="QLO512" s="1756"/>
      <c r="QLP512" s="1756"/>
      <c r="QLQ512" s="1757"/>
      <c r="QLR512" s="385"/>
      <c r="QLS512" s="69"/>
      <c r="QLT512" s="69"/>
      <c r="QLU512" s="2511"/>
      <c r="QLV512" s="1755"/>
      <c r="QLW512" s="1756"/>
      <c r="QLX512" s="1756"/>
      <c r="QLY512" s="1757"/>
      <c r="QLZ512" s="385"/>
      <c r="QMA512" s="69"/>
      <c r="QMB512" s="69"/>
      <c r="QMC512" s="2511"/>
      <c r="QMD512" s="1755"/>
      <c r="QME512" s="1756"/>
      <c r="QMF512" s="1756"/>
      <c r="QMG512" s="1757"/>
      <c r="QMH512" s="385"/>
      <c r="QMI512" s="69"/>
      <c r="QMJ512" s="69"/>
      <c r="QMK512" s="2511"/>
      <c r="QML512" s="1755"/>
      <c r="QMM512" s="1756"/>
      <c r="QMN512" s="1756"/>
      <c r="QMO512" s="1757"/>
      <c r="QMP512" s="385"/>
      <c r="QMQ512" s="69"/>
      <c r="QMR512" s="69"/>
      <c r="QMS512" s="2511"/>
      <c r="QMT512" s="1755"/>
      <c r="QMU512" s="1756"/>
      <c r="QMV512" s="1756"/>
      <c r="QMW512" s="1757"/>
      <c r="QMX512" s="385"/>
      <c r="QMY512" s="69"/>
      <c r="QMZ512" s="69"/>
      <c r="QNA512" s="2511"/>
      <c r="QNB512" s="1755"/>
      <c r="QNC512" s="1756"/>
      <c r="QND512" s="1756"/>
      <c r="QNE512" s="1757"/>
      <c r="QNF512" s="385"/>
      <c r="QNG512" s="69"/>
      <c r="QNH512" s="69"/>
      <c r="QNI512" s="2511"/>
      <c r="QNJ512" s="1755"/>
      <c r="QNK512" s="1756"/>
      <c r="QNL512" s="1756"/>
      <c r="QNM512" s="1757"/>
      <c r="QNN512" s="385"/>
      <c r="QNO512" s="69"/>
      <c r="QNP512" s="69"/>
      <c r="QNQ512" s="2511"/>
      <c r="QNR512" s="1755"/>
      <c r="QNS512" s="1756"/>
      <c r="QNT512" s="1756"/>
      <c r="QNU512" s="1757"/>
      <c r="QNV512" s="385"/>
      <c r="QNW512" s="69"/>
      <c r="QNX512" s="69"/>
      <c r="QNY512" s="2511"/>
      <c r="QNZ512" s="1755"/>
      <c r="QOA512" s="1756"/>
      <c r="QOB512" s="1756"/>
      <c r="QOC512" s="1757"/>
      <c r="QOD512" s="385"/>
      <c r="QOE512" s="69"/>
      <c r="QOF512" s="69"/>
      <c r="QOG512" s="2511"/>
      <c r="QOH512" s="1755"/>
      <c r="QOI512" s="1756"/>
      <c r="QOJ512" s="1756"/>
      <c r="QOK512" s="1757"/>
      <c r="QOL512" s="385"/>
      <c r="QOM512" s="69"/>
      <c r="QON512" s="69"/>
      <c r="QOO512" s="2511"/>
      <c r="QOP512" s="1755"/>
      <c r="QOQ512" s="1756"/>
      <c r="QOR512" s="1756"/>
      <c r="QOS512" s="1757"/>
      <c r="QOT512" s="385"/>
      <c r="QOU512" s="69"/>
      <c r="QOV512" s="69"/>
      <c r="QOW512" s="2511"/>
      <c r="QOX512" s="1755"/>
      <c r="QOY512" s="1756"/>
      <c r="QOZ512" s="1756"/>
      <c r="QPA512" s="1757"/>
      <c r="QPB512" s="385"/>
      <c r="QPC512" s="69"/>
      <c r="QPD512" s="69"/>
      <c r="QPE512" s="2511"/>
      <c r="QPF512" s="1755"/>
      <c r="QPG512" s="1756"/>
      <c r="QPH512" s="1756"/>
      <c r="QPI512" s="1757"/>
      <c r="QPJ512" s="385"/>
      <c r="QPK512" s="69"/>
      <c r="QPL512" s="69"/>
      <c r="QPM512" s="2511"/>
      <c r="QPN512" s="1755"/>
      <c r="QPO512" s="1756"/>
      <c r="QPP512" s="1756"/>
      <c r="QPQ512" s="1757"/>
      <c r="QPR512" s="385"/>
      <c r="QPS512" s="69"/>
      <c r="QPT512" s="69"/>
      <c r="QPU512" s="2511"/>
      <c r="QPV512" s="1755"/>
      <c r="QPW512" s="1756"/>
      <c r="QPX512" s="1756"/>
      <c r="QPY512" s="1757"/>
      <c r="QPZ512" s="385"/>
      <c r="QQA512" s="69"/>
      <c r="QQB512" s="69"/>
      <c r="QQC512" s="2511"/>
      <c r="QQD512" s="1755"/>
      <c r="QQE512" s="1756"/>
      <c r="QQF512" s="1756"/>
      <c r="QQG512" s="1757"/>
      <c r="QQH512" s="385"/>
      <c r="QQI512" s="69"/>
      <c r="QQJ512" s="69"/>
      <c r="QQK512" s="2511"/>
      <c r="QQL512" s="1755"/>
      <c r="QQM512" s="1756"/>
      <c r="QQN512" s="1756"/>
      <c r="QQO512" s="1757"/>
      <c r="QQP512" s="385"/>
      <c r="QQQ512" s="69"/>
      <c r="QQR512" s="69"/>
      <c r="QQS512" s="2511"/>
      <c r="QQT512" s="1755"/>
      <c r="QQU512" s="1756"/>
      <c r="QQV512" s="1756"/>
      <c r="QQW512" s="1757"/>
      <c r="QQX512" s="385"/>
      <c r="QQY512" s="69"/>
      <c r="QQZ512" s="69"/>
      <c r="QRA512" s="2511"/>
      <c r="QRB512" s="1755"/>
      <c r="QRC512" s="1756"/>
      <c r="QRD512" s="1756"/>
      <c r="QRE512" s="1757"/>
      <c r="QRF512" s="385"/>
      <c r="QRG512" s="69"/>
      <c r="QRH512" s="69"/>
      <c r="QRI512" s="2511"/>
      <c r="QRJ512" s="1755"/>
      <c r="QRK512" s="1756"/>
      <c r="QRL512" s="1756"/>
      <c r="QRM512" s="1757"/>
      <c r="QRN512" s="385"/>
      <c r="QRO512" s="69"/>
      <c r="QRP512" s="69"/>
      <c r="QRQ512" s="2511"/>
      <c r="QRR512" s="1755"/>
      <c r="QRS512" s="1756"/>
      <c r="QRT512" s="1756"/>
      <c r="QRU512" s="1757"/>
      <c r="QRV512" s="385"/>
      <c r="QRW512" s="69"/>
      <c r="QRX512" s="69"/>
      <c r="QRY512" s="2511"/>
      <c r="QRZ512" s="1755"/>
      <c r="QSA512" s="1756"/>
      <c r="QSB512" s="1756"/>
      <c r="QSC512" s="1757"/>
      <c r="QSD512" s="385"/>
      <c r="QSE512" s="69"/>
      <c r="QSF512" s="69"/>
      <c r="QSG512" s="2511"/>
      <c r="QSH512" s="1755"/>
      <c r="QSI512" s="1756"/>
      <c r="QSJ512" s="1756"/>
      <c r="QSK512" s="1757"/>
      <c r="QSL512" s="385"/>
      <c r="QSM512" s="69"/>
      <c r="QSN512" s="69"/>
      <c r="QSO512" s="2511"/>
      <c r="QSP512" s="1755"/>
      <c r="QSQ512" s="1756"/>
      <c r="QSR512" s="1756"/>
      <c r="QSS512" s="1757"/>
      <c r="QST512" s="385"/>
      <c r="QSU512" s="69"/>
      <c r="QSV512" s="69"/>
      <c r="QSW512" s="2511"/>
      <c r="QSX512" s="1755"/>
      <c r="QSY512" s="1756"/>
      <c r="QSZ512" s="1756"/>
      <c r="QTA512" s="1757"/>
      <c r="QTB512" s="385"/>
      <c r="QTC512" s="69"/>
      <c r="QTD512" s="69"/>
      <c r="QTE512" s="2511"/>
      <c r="QTF512" s="1755"/>
      <c r="QTG512" s="1756"/>
      <c r="QTH512" s="1756"/>
      <c r="QTI512" s="1757"/>
      <c r="QTJ512" s="385"/>
      <c r="QTK512" s="69"/>
      <c r="QTL512" s="69"/>
      <c r="QTM512" s="2511"/>
      <c r="QTN512" s="1755"/>
      <c r="QTO512" s="1756"/>
      <c r="QTP512" s="1756"/>
      <c r="QTQ512" s="1757"/>
      <c r="QTR512" s="385"/>
      <c r="QTS512" s="69"/>
      <c r="QTT512" s="69"/>
      <c r="QTU512" s="2511"/>
      <c r="QTV512" s="1755"/>
      <c r="QTW512" s="1756"/>
      <c r="QTX512" s="1756"/>
      <c r="QTY512" s="1757"/>
      <c r="QTZ512" s="385"/>
      <c r="QUA512" s="69"/>
      <c r="QUB512" s="69"/>
      <c r="QUC512" s="2511"/>
      <c r="QUD512" s="1755"/>
      <c r="QUE512" s="1756"/>
      <c r="QUF512" s="1756"/>
      <c r="QUG512" s="1757"/>
      <c r="QUH512" s="385"/>
      <c r="QUI512" s="69"/>
      <c r="QUJ512" s="69"/>
      <c r="QUK512" s="2511"/>
      <c r="QUL512" s="1755"/>
      <c r="QUM512" s="1756"/>
      <c r="QUN512" s="1756"/>
      <c r="QUO512" s="1757"/>
      <c r="QUP512" s="385"/>
      <c r="QUQ512" s="69"/>
      <c r="QUR512" s="69"/>
      <c r="QUS512" s="2511"/>
      <c r="QUT512" s="1755"/>
      <c r="QUU512" s="1756"/>
      <c r="QUV512" s="1756"/>
      <c r="QUW512" s="1757"/>
      <c r="QUX512" s="385"/>
      <c r="QUY512" s="69"/>
      <c r="QUZ512" s="69"/>
      <c r="QVA512" s="2511"/>
      <c r="QVB512" s="1755"/>
      <c r="QVC512" s="1756"/>
      <c r="QVD512" s="1756"/>
      <c r="QVE512" s="1757"/>
      <c r="QVF512" s="385"/>
      <c r="QVG512" s="69"/>
      <c r="QVH512" s="69"/>
      <c r="QVI512" s="2511"/>
      <c r="QVJ512" s="1755"/>
      <c r="QVK512" s="1756"/>
      <c r="QVL512" s="1756"/>
      <c r="QVM512" s="1757"/>
      <c r="QVN512" s="385"/>
      <c r="QVO512" s="69"/>
      <c r="QVP512" s="69"/>
      <c r="QVQ512" s="2511"/>
      <c r="QVR512" s="1755"/>
      <c r="QVS512" s="1756"/>
      <c r="QVT512" s="1756"/>
      <c r="QVU512" s="1757"/>
      <c r="QVV512" s="385"/>
      <c r="QVW512" s="69"/>
      <c r="QVX512" s="69"/>
      <c r="QVY512" s="2511"/>
      <c r="QVZ512" s="1755"/>
      <c r="QWA512" s="1756"/>
      <c r="QWB512" s="1756"/>
      <c r="QWC512" s="1757"/>
      <c r="QWD512" s="385"/>
      <c r="QWE512" s="69"/>
      <c r="QWF512" s="69"/>
      <c r="QWG512" s="2511"/>
      <c r="QWH512" s="1755"/>
      <c r="QWI512" s="1756"/>
      <c r="QWJ512" s="1756"/>
      <c r="QWK512" s="1757"/>
      <c r="QWL512" s="385"/>
      <c r="QWM512" s="69"/>
      <c r="QWN512" s="69"/>
      <c r="QWO512" s="2511"/>
      <c r="QWP512" s="1755"/>
      <c r="QWQ512" s="1756"/>
      <c r="QWR512" s="1756"/>
      <c r="QWS512" s="1757"/>
      <c r="QWT512" s="385"/>
      <c r="QWU512" s="69"/>
      <c r="QWV512" s="69"/>
      <c r="QWW512" s="2511"/>
      <c r="QWX512" s="1755"/>
      <c r="QWY512" s="1756"/>
      <c r="QWZ512" s="1756"/>
      <c r="QXA512" s="1757"/>
      <c r="QXB512" s="385"/>
      <c r="QXC512" s="69"/>
      <c r="QXD512" s="69"/>
      <c r="QXE512" s="2511"/>
      <c r="QXF512" s="1755"/>
      <c r="QXG512" s="1756"/>
      <c r="QXH512" s="1756"/>
      <c r="QXI512" s="1757"/>
      <c r="QXJ512" s="385"/>
      <c r="QXK512" s="69"/>
      <c r="QXL512" s="69"/>
      <c r="QXM512" s="2511"/>
      <c r="QXN512" s="1755"/>
      <c r="QXO512" s="1756"/>
      <c r="QXP512" s="1756"/>
      <c r="QXQ512" s="1757"/>
      <c r="QXR512" s="385"/>
      <c r="QXS512" s="69"/>
      <c r="QXT512" s="69"/>
      <c r="QXU512" s="2511"/>
      <c r="QXV512" s="1755"/>
      <c r="QXW512" s="1756"/>
      <c r="QXX512" s="1756"/>
      <c r="QXY512" s="1757"/>
      <c r="QXZ512" s="385"/>
      <c r="QYA512" s="69"/>
      <c r="QYB512" s="69"/>
      <c r="QYC512" s="2511"/>
      <c r="QYD512" s="1755"/>
      <c r="QYE512" s="1756"/>
      <c r="QYF512" s="1756"/>
      <c r="QYG512" s="1757"/>
      <c r="QYH512" s="385"/>
      <c r="QYI512" s="69"/>
      <c r="QYJ512" s="69"/>
      <c r="QYK512" s="2511"/>
      <c r="QYL512" s="1755"/>
      <c r="QYM512" s="1756"/>
      <c r="QYN512" s="1756"/>
      <c r="QYO512" s="1757"/>
      <c r="QYP512" s="385"/>
      <c r="QYQ512" s="69"/>
      <c r="QYR512" s="69"/>
      <c r="QYS512" s="2511"/>
      <c r="QYT512" s="1755"/>
      <c r="QYU512" s="1756"/>
      <c r="QYV512" s="1756"/>
      <c r="QYW512" s="1757"/>
      <c r="QYX512" s="385"/>
      <c r="QYY512" s="69"/>
      <c r="QYZ512" s="69"/>
      <c r="QZA512" s="2511"/>
      <c r="QZB512" s="1755"/>
      <c r="QZC512" s="1756"/>
      <c r="QZD512" s="1756"/>
      <c r="QZE512" s="1757"/>
      <c r="QZF512" s="385"/>
      <c r="QZG512" s="69"/>
      <c r="QZH512" s="69"/>
      <c r="QZI512" s="2511"/>
      <c r="QZJ512" s="1755"/>
      <c r="QZK512" s="1756"/>
      <c r="QZL512" s="1756"/>
      <c r="QZM512" s="1757"/>
      <c r="QZN512" s="385"/>
      <c r="QZO512" s="69"/>
      <c r="QZP512" s="69"/>
      <c r="QZQ512" s="2511"/>
      <c r="QZR512" s="1755"/>
      <c r="QZS512" s="1756"/>
      <c r="QZT512" s="1756"/>
      <c r="QZU512" s="1757"/>
      <c r="QZV512" s="385"/>
      <c r="QZW512" s="69"/>
      <c r="QZX512" s="69"/>
      <c r="QZY512" s="2511"/>
      <c r="QZZ512" s="1755"/>
      <c r="RAA512" s="1756"/>
      <c r="RAB512" s="1756"/>
      <c r="RAC512" s="1757"/>
      <c r="RAD512" s="385"/>
      <c r="RAE512" s="69"/>
      <c r="RAF512" s="69"/>
      <c r="RAG512" s="2511"/>
      <c r="RAH512" s="1755"/>
      <c r="RAI512" s="1756"/>
      <c r="RAJ512" s="1756"/>
      <c r="RAK512" s="1757"/>
      <c r="RAL512" s="385"/>
      <c r="RAM512" s="69"/>
      <c r="RAN512" s="69"/>
      <c r="RAO512" s="2511"/>
      <c r="RAP512" s="1755"/>
      <c r="RAQ512" s="1756"/>
      <c r="RAR512" s="1756"/>
      <c r="RAS512" s="1757"/>
      <c r="RAT512" s="385"/>
      <c r="RAU512" s="69"/>
      <c r="RAV512" s="69"/>
      <c r="RAW512" s="2511"/>
      <c r="RAX512" s="1755"/>
      <c r="RAY512" s="1756"/>
      <c r="RAZ512" s="1756"/>
      <c r="RBA512" s="1757"/>
      <c r="RBB512" s="385"/>
      <c r="RBC512" s="69"/>
      <c r="RBD512" s="69"/>
      <c r="RBE512" s="2511"/>
      <c r="RBF512" s="1755"/>
      <c r="RBG512" s="1756"/>
      <c r="RBH512" s="1756"/>
      <c r="RBI512" s="1757"/>
      <c r="RBJ512" s="385"/>
      <c r="RBK512" s="69"/>
      <c r="RBL512" s="69"/>
      <c r="RBM512" s="2511"/>
      <c r="RBN512" s="1755"/>
      <c r="RBO512" s="1756"/>
      <c r="RBP512" s="1756"/>
      <c r="RBQ512" s="1757"/>
      <c r="RBR512" s="385"/>
      <c r="RBS512" s="69"/>
      <c r="RBT512" s="69"/>
      <c r="RBU512" s="2511"/>
      <c r="RBV512" s="1755"/>
      <c r="RBW512" s="1756"/>
      <c r="RBX512" s="1756"/>
      <c r="RBY512" s="1757"/>
      <c r="RBZ512" s="385"/>
      <c r="RCA512" s="69"/>
      <c r="RCB512" s="69"/>
      <c r="RCC512" s="2511"/>
      <c r="RCD512" s="1755"/>
      <c r="RCE512" s="1756"/>
      <c r="RCF512" s="1756"/>
      <c r="RCG512" s="1757"/>
      <c r="RCH512" s="385"/>
      <c r="RCI512" s="69"/>
      <c r="RCJ512" s="69"/>
      <c r="RCK512" s="2511"/>
      <c r="RCL512" s="1755"/>
      <c r="RCM512" s="1756"/>
      <c r="RCN512" s="1756"/>
      <c r="RCO512" s="1757"/>
      <c r="RCP512" s="385"/>
      <c r="RCQ512" s="69"/>
      <c r="RCR512" s="69"/>
      <c r="RCS512" s="2511"/>
      <c r="RCT512" s="1755"/>
      <c r="RCU512" s="1756"/>
      <c r="RCV512" s="1756"/>
      <c r="RCW512" s="1757"/>
      <c r="RCX512" s="385"/>
      <c r="RCY512" s="69"/>
      <c r="RCZ512" s="69"/>
      <c r="RDA512" s="2511"/>
      <c r="RDB512" s="1755"/>
      <c r="RDC512" s="1756"/>
      <c r="RDD512" s="1756"/>
      <c r="RDE512" s="1757"/>
      <c r="RDF512" s="385"/>
      <c r="RDG512" s="69"/>
      <c r="RDH512" s="69"/>
      <c r="RDI512" s="2511"/>
      <c r="RDJ512" s="1755"/>
      <c r="RDK512" s="1756"/>
      <c r="RDL512" s="1756"/>
      <c r="RDM512" s="1757"/>
      <c r="RDN512" s="385"/>
      <c r="RDO512" s="69"/>
      <c r="RDP512" s="69"/>
      <c r="RDQ512" s="2511"/>
      <c r="RDR512" s="1755"/>
      <c r="RDS512" s="1756"/>
      <c r="RDT512" s="1756"/>
      <c r="RDU512" s="1757"/>
      <c r="RDV512" s="385"/>
      <c r="RDW512" s="69"/>
      <c r="RDX512" s="69"/>
      <c r="RDY512" s="2511"/>
      <c r="RDZ512" s="1755"/>
      <c r="REA512" s="1756"/>
      <c r="REB512" s="1756"/>
      <c r="REC512" s="1757"/>
      <c r="RED512" s="385"/>
      <c r="REE512" s="69"/>
      <c r="REF512" s="69"/>
      <c r="REG512" s="2511"/>
      <c r="REH512" s="1755"/>
      <c r="REI512" s="1756"/>
      <c r="REJ512" s="1756"/>
      <c r="REK512" s="1757"/>
      <c r="REL512" s="385"/>
      <c r="REM512" s="69"/>
      <c r="REN512" s="69"/>
      <c r="REO512" s="2511"/>
      <c r="REP512" s="1755"/>
      <c r="REQ512" s="1756"/>
      <c r="RER512" s="1756"/>
      <c r="RES512" s="1757"/>
      <c r="RET512" s="385"/>
      <c r="REU512" s="69"/>
      <c r="REV512" s="69"/>
      <c r="REW512" s="2511"/>
      <c r="REX512" s="1755"/>
      <c r="REY512" s="1756"/>
      <c r="REZ512" s="1756"/>
      <c r="RFA512" s="1757"/>
      <c r="RFB512" s="385"/>
      <c r="RFC512" s="69"/>
      <c r="RFD512" s="69"/>
      <c r="RFE512" s="2511"/>
      <c r="RFF512" s="1755"/>
      <c r="RFG512" s="1756"/>
      <c r="RFH512" s="1756"/>
      <c r="RFI512" s="1757"/>
      <c r="RFJ512" s="385"/>
      <c r="RFK512" s="69"/>
      <c r="RFL512" s="69"/>
      <c r="RFM512" s="2511"/>
      <c r="RFN512" s="1755"/>
      <c r="RFO512" s="1756"/>
      <c r="RFP512" s="1756"/>
      <c r="RFQ512" s="1757"/>
      <c r="RFR512" s="385"/>
      <c r="RFS512" s="69"/>
      <c r="RFT512" s="69"/>
      <c r="RFU512" s="2511"/>
      <c r="RFV512" s="1755"/>
      <c r="RFW512" s="1756"/>
      <c r="RFX512" s="1756"/>
      <c r="RFY512" s="1757"/>
      <c r="RFZ512" s="385"/>
      <c r="RGA512" s="69"/>
      <c r="RGB512" s="69"/>
      <c r="RGC512" s="2511"/>
      <c r="RGD512" s="1755"/>
      <c r="RGE512" s="1756"/>
      <c r="RGF512" s="1756"/>
      <c r="RGG512" s="1757"/>
      <c r="RGH512" s="385"/>
      <c r="RGI512" s="69"/>
      <c r="RGJ512" s="69"/>
      <c r="RGK512" s="2511"/>
      <c r="RGL512" s="1755"/>
      <c r="RGM512" s="1756"/>
      <c r="RGN512" s="1756"/>
      <c r="RGO512" s="1757"/>
      <c r="RGP512" s="385"/>
      <c r="RGQ512" s="69"/>
      <c r="RGR512" s="69"/>
      <c r="RGS512" s="2511"/>
      <c r="RGT512" s="1755"/>
      <c r="RGU512" s="1756"/>
      <c r="RGV512" s="1756"/>
      <c r="RGW512" s="1757"/>
      <c r="RGX512" s="385"/>
      <c r="RGY512" s="69"/>
      <c r="RGZ512" s="69"/>
      <c r="RHA512" s="2511"/>
      <c r="RHB512" s="1755"/>
      <c r="RHC512" s="1756"/>
      <c r="RHD512" s="1756"/>
      <c r="RHE512" s="1757"/>
      <c r="RHF512" s="385"/>
      <c r="RHG512" s="69"/>
      <c r="RHH512" s="69"/>
      <c r="RHI512" s="2511"/>
      <c r="RHJ512" s="1755"/>
      <c r="RHK512" s="1756"/>
      <c r="RHL512" s="1756"/>
      <c r="RHM512" s="1757"/>
      <c r="RHN512" s="385"/>
      <c r="RHO512" s="69"/>
      <c r="RHP512" s="69"/>
      <c r="RHQ512" s="2511"/>
      <c r="RHR512" s="1755"/>
      <c r="RHS512" s="1756"/>
      <c r="RHT512" s="1756"/>
      <c r="RHU512" s="1757"/>
      <c r="RHV512" s="385"/>
      <c r="RHW512" s="69"/>
      <c r="RHX512" s="69"/>
      <c r="RHY512" s="2511"/>
      <c r="RHZ512" s="1755"/>
      <c r="RIA512" s="1756"/>
      <c r="RIB512" s="1756"/>
      <c r="RIC512" s="1757"/>
      <c r="RID512" s="385"/>
      <c r="RIE512" s="69"/>
      <c r="RIF512" s="69"/>
      <c r="RIG512" s="2511"/>
      <c r="RIH512" s="1755"/>
      <c r="RII512" s="1756"/>
      <c r="RIJ512" s="1756"/>
      <c r="RIK512" s="1757"/>
      <c r="RIL512" s="385"/>
      <c r="RIM512" s="69"/>
      <c r="RIN512" s="69"/>
      <c r="RIO512" s="2511"/>
      <c r="RIP512" s="1755"/>
      <c r="RIQ512" s="1756"/>
      <c r="RIR512" s="1756"/>
      <c r="RIS512" s="1757"/>
      <c r="RIT512" s="385"/>
      <c r="RIU512" s="69"/>
      <c r="RIV512" s="69"/>
      <c r="RIW512" s="2511"/>
      <c r="RIX512" s="1755"/>
      <c r="RIY512" s="1756"/>
      <c r="RIZ512" s="1756"/>
      <c r="RJA512" s="1757"/>
      <c r="RJB512" s="385"/>
      <c r="RJC512" s="69"/>
      <c r="RJD512" s="69"/>
      <c r="RJE512" s="2511"/>
      <c r="RJF512" s="1755"/>
      <c r="RJG512" s="1756"/>
      <c r="RJH512" s="1756"/>
      <c r="RJI512" s="1757"/>
      <c r="RJJ512" s="385"/>
      <c r="RJK512" s="69"/>
      <c r="RJL512" s="69"/>
      <c r="RJM512" s="2511"/>
      <c r="RJN512" s="1755"/>
      <c r="RJO512" s="1756"/>
      <c r="RJP512" s="1756"/>
      <c r="RJQ512" s="1757"/>
      <c r="RJR512" s="385"/>
      <c r="RJS512" s="69"/>
      <c r="RJT512" s="69"/>
      <c r="RJU512" s="2511"/>
      <c r="RJV512" s="1755"/>
      <c r="RJW512" s="1756"/>
      <c r="RJX512" s="1756"/>
      <c r="RJY512" s="1757"/>
      <c r="RJZ512" s="385"/>
      <c r="RKA512" s="69"/>
      <c r="RKB512" s="69"/>
      <c r="RKC512" s="2511"/>
      <c r="RKD512" s="1755"/>
      <c r="RKE512" s="1756"/>
      <c r="RKF512" s="1756"/>
      <c r="RKG512" s="1757"/>
      <c r="RKH512" s="385"/>
      <c r="RKI512" s="69"/>
      <c r="RKJ512" s="69"/>
      <c r="RKK512" s="2511"/>
      <c r="RKL512" s="1755"/>
      <c r="RKM512" s="1756"/>
      <c r="RKN512" s="1756"/>
      <c r="RKO512" s="1757"/>
      <c r="RKP512" s="385"/>
      <c r="RKQ512" s="69"/>
      <c r="RKR512" s="69"/>
      <c r="RKS512" s="2511"/>
      <c r="RKT512" s="1755"/>
      <c r="RKU512" s="1756"/>
      <c r="RKV512" s="1756"/>
      <c r="RKW512" s="1757"/>
      <c r="RKX512" s="385"/>
      <c r="RKY512" s="69"/>
      <c r="RKZ512" s="69"/>
      <c r="RLA512" s="2511"/>
      <c r="RLB512" s="1755"/>
      <c r="RLC512" s="1756"/>
      <c r="RLD512" s="1756"/>
      <c r="RLE512" s="1757"/>
      <c r="RLF512" s="385"/>
      <c r="RLG512" s="69"/>
      <c r="RLH512" s="69"/>
      <c r="RLI512" s="2511"/>
      <c r="RLJ512" s="1755"/>
      <c r="RLK512" s="1756"/>
      <c r="RLL512" s="1756"/>
      <c r="RLM512" s="1757"/>
      <c r="RLN512" s="385"/>
      <c r="RLO512" s="69"/>
      <c r="RLP512" s="69"/>
      <c r="RLQ512" s="2511"/>
      <c r="RLR512" s="1755"/>
      <c r="RLS512" s="1756"/>
      <c r="RLT512" s="1756"/>
      <c r="RLU512" s="1757"/>
      <c r="RLV512" s="385"/>
      <c r="RLW512" s="69"/>
      <c r="RLX512" s="69"/>
      <c r="RLY512" s="2511"/>
      <c r="RLZ512" s="1755"/>
      <c r="RMA512" s="1756"/>
      <c r="RMB512" s="1756"/>
      <c r="RMC512" s="1757"/>
      <c r="RMD512" s="385"/>
      <c r="RME512" s="69"/>
      <c r="RMF512" s="69"/>
      <c r="RMG512" s="2511"/>
      <c r="RMH512" s="1755"/>
      <c r="RMI512" s="1756"/>
      <c r="RMJ512" s="1756"/>
      <c r="RMK512" s="1757"/>
      <c r="RML512" s="385"/>
      <c r="RMM512" s="69"/>
      <c r="RMN512" s="69"/>
      <c r="RMO512" s="2511"/>
      <c r="RMP512" s="1755"/>
      <c r="RMQ512" s="1756"/>
      <c r="RMR512" s="1756"/>
      <c r="RMS512" s="1757"/>
      <c r="RMT512" s="385"/>
      <c r="RMU512" s="69"/>
      <c r="RMV512" s="69"/>
      <c r="RMW512" s="2511"/>
      <c r="RMX512" s="1755"/>
      <c r="RMY512" s="1756"/>
      <c r="RMZ512" s="1756"/>
      <c r="RNA512" s="1757"/>
      <c r="RNB512" s="385"/>
      <c r="RNC512" s="69"/>
      <c r="RND512" s="69"/>
      <c r="RNE512" s="2511"/>
      <c r="RNF512" s="1755"/>
      <c r="RNG512" s="1756"/>
      <c r="RNH512" s="1756"/>
      <c r="RNI512" s="1757"/>
      <c r="RNJ512" s="385"/>
      <c r="RNK512" s="69"/>
      <c r="RNL512" s="69"/>
      <c r="RNM512" s="2511"/>
      <c r="RNN512" s="1755"/>
      <c r="RNO512" s="1756"/>
      <c r="RNP512" s="1756"/>
      <c r="RNQ512" s="1757"/>
      <c r="RNR512" s="385"/>
      <c r="RNS512" s="69"/>
      <c r="RNT512" s="69"/>
      <c r="RNU512" s="2511"/>
      <c r="RNV512" s="1755"/>
      <c r="RNW512" s="1756"/>
      <c r="RNX512" s="1756"/>
      <c r="RNY512" s="1757"/>
      <c r="RNZ512" s="385"/>
      <c r="ROA512" s="69"/>
      <c r="ROB512" s="69"/>
      <c r="ROC512" s="2511"/>
      <c r="ROD512" s="1755"/>
      <c r="ROE512" s="1756"/>
      <c r="ROF512" s="1756"/>
      <c r="ROG512" s="1757"/>
      <c r="ROH512" s="385"/>
      <c r="ROI512" s="69"/>
      <c r="ROJ512" s="69"/>
      <c r="ROK512" s="2511"/>
      <c r="ROL512" s="1755"/>
      <c r="ROM512" s="1756"/>
      <c r="RON512" s="1756"/>
      <c r="ROO512" s="1757"/>
      <c r="ROP512" s="385"/>
      <c r="ROQ512" s="69"/>
      <c r="ROR512" s="69"/>
      <c r="ROS512" s="2511"/>
      <c r="ROT512" s="1755"/>
      <c r="ROU512" s="1756"/>
      <c r="ROV512" s="1756"/>
      <c r="ROW512" s="1757"/>
      <c r="ROX512" s="385"/>
      <c r="ROY512" s="69"/>
      <c r="ROZ512" s="69"/>
      <c r="RPA512" s="2511"/>
      <c r="RPB512" s="1755"/>
      <c r="RPC512" s="1756"/>
      <c r="RPD512" s="1756"/>
      <c r="RPE512" s="1757"/>
      <c r="RPF512" s="385"/>
      <c r="RPG512" s="69"/>
      <c r="RPH512" s="69"/>
      <c r="RPI512" s="2511"/>
      <c r="RPJ512" s="1755"/>
      <c r="RPK512" s="1756"/>
      <c r="RPL512" s="1756"/>
      <c r="RPM512" s="1757"/>
      <c r="RPN512" s="385"/>
      <c r="RPO512" s="69"/>
      <c r="RPP512" s="69"/>
      <c r="RPQ512" s="2511"/>
      <c r="RPR512" s="1755"/>
      <c r="RPS512" s="1756"/>
      <c r="RPT512" s="1756"/>
      <c r="RPU512" s="1757"/>
      <c r="RPV512" s="385"/>
      <c r="RPW512" s="69"/>
      <c r="RPX512" s="69"/>
      <c r="RPY512" s="2511"/>
      <c r="RPZ512" s="1755"/>
      <c r="RQA512" s="1756"/>
      <c r="RQB512" s="1756"/>
      <c r="RQC512" s="1757"/>
      <c r="RQD512" s="385"/>
      <c r="RQE512" s="69"/>
      <c r="RQF512" s="69"/>
      <c r="RQG512" s="2511"/>
      <c r="RQH512" s="1755"/>
      <c r="RQI512" s="1756"/>
      <c r="RQJ512" s="1756"/>
      <c r="RQK512" s="1757"/>
      <c r="RQL512" s="385"/>
      <c r="RQM512" s="69"/>
      <c r="RQN512" s="69"/>
      <c r="RQO512" s="2511"/>
      <c r="RQP512" s="1755"/>
      <c r="RQQ512" s="1756"/>
      <c r="RQR512" s="1756"/>
      <c r="RQS512" s="1757"/>
      <c r="RQT512" s="385"/>
      <c r="RQU512" s="69"/>
      <c r="RQV512" s="69"/>
      <c r="RQW512" s="2511"/>
      <c r="RQX512" s="1755"/>
      <c r="RQY512" s="1756"/>
      <c r="RQZ512" s="1756"/>
      <c r="RRA512" s="1757"/>
      <c r="RRB512" s="385"/>
      <c r="RRC512" s="69"/>
      <c r="RRD512" s="69"/>
      <c r="RRE512" s="2511"/>
      <c r="RRF512" s="1755"/>
      <c r="RRG512" s="1756"/>
      <c r="RRH512" s="1756"/>
      <c r="RRI512" s="1757"/>
      <c r="RRJ512" s="385"/>
      <c r="RRK512" s="69"/>
      <c r="RRL512" s="69"/>
      <c r="RRM512" s="2511"/>
      <c r="RRN512" s="1755"/>
      <c r="RRO512" s="1756"/>
      <c r="RRP512" s="1756"/>
      <c r="RRQ512" s="1757"/>
      <c r="RRR512" s="385"/>
      <c r="RRS512" s="69"/>
      <c r="RRT512" s="69"/>
      <c r="RRU512" s="2511"/>
      <c r="RRV512" s="1755"/>
      <c r="RRW512" s="1756"/>
      <c r="RRX512" s="1756"/>
      <c r="RRY512" s="1757"/>
      <c r="RRZ512" s="385"/>
      <c r="RSA512" s="69"/>
      <c r="RSB512" s="69"/>
      <c r="RSC512" s="2511"/>
      <c r="RSD512" s="1755"/>
      <c r="RSE512" s="1756"/>
      <c r="RSF512" s="1756"/>
      <c r="RSG512" s="1757"/>
      <c r="RSH512" s="385"/>
      <c r="RSI512" s="69"/>
      <c r="RSJ512" s="69"/>
      <c r="RSK512" s="2511"/>
      <c r="RSL512" s="1755"/>
      <c r="RSM512" s="1756"/>
      <c r="RSN512" s="1756"/>
      <c r="RSO512" s="1757"/>
      <c r="RSP512" s="385"/>
      <c r="RSQ512" s="69"/>
      <c r="RSR512" s="69"/>
      <c r="RSS512" s="2511"/>
      <c r="RST512" s="1755"/>
      <c r="RSU512" s="1756"/>
      <c r="RSV512" s="1756"/>
      <c r="RSW512" s="1757"/>
      <c r="RSX512" s="385"/>
      <c r="RSY512" s="69"/>
      <c r="RSZ512" s="69"/>
      <c r="RTA512" s="2511"/>
      <c r="RTB512" s="1755"/>
      <c r="RTC512" s="1756"/>
      <c r="RTD512" s="1756"/>
      <c r="RTE512" s="1757"/>
      <c r="RTF512" s="385"/>
      <c r="RTG512" s="69"/>
      <c r="RTH512" s="69"/>
      <c r="RTI512" s="2511"/>
      <c r="RTJ512" s="1755"/>
      <c r="RTK512" s="1756"/>
      <c r="RTL512" s="1756"/>
      <c r="RTM512" s="1757"/>
      <c r="RTN512" s="385"/>
      <c r="RTO512" s="69"/>
      <c r="RTP512" s="69"/>
      <c r="RTQ512" s="2511"/>
      <c r="RTR512" s="1755"/>
      <c r="RTS512" s="1756"/>
      <c r="RTT512" s="1756"/>
      <c r="RTU512" s="1757"/>
      <c r="RTV512" s="385"/>
      <c r="RTW512" s="69"/>
      <c r="RTX512" s="69"/>
      <c r="RTY512" s="2511"/>
      <c r="RTZ512" s="1755"/>
      <c r="RUA512" s="1756"/>
      <c r="RUB512" s="1756"/>
      <c r="RUC512" s="1757"/>
      <c r="RUD512" s="385"/>
      <c r="RUE512" s="69"/>
      <c r="RUF512" s="69"/>
      <c r="RUG512" s="2511"/>
      <c r="RUH512" s="1755"/>
      <c r="RUI512" s="1756"/>
      <c r="RUJ512" s="1756"/>
      <c r="RUK512" s="1757"/>
      <c r="RUL512" s="385"/>
      <c r="RUM512" s="69"/>
      <c r="RUN512" s="69"/>
      <c r="RUO512" s="2511"/>
      <c r="RUP512" s="1755"/>
      <c r="RUQ512" s="1756"/>
      <c r="RUR512" s="1756"/>
      <c r="RUS512" s="1757"/>
      <c r="RUT512" s="385"/>
      <c r="RUU512" s="69"/>
      <c r="RUV512" s="69"/>
      <c r="RUW512" s="2511"/>
      <c r="RUX512" s="1755"/>
      <c r="RUY512" s="1756"/>
      <c r="RUZ512" s="1756"/>
      <c r="RVA512" s="1757"/>
      <c r="RVB512" s="385"/>
      <c r="RVC512" s="69"/>
      <c r="RVD512" s="69"/>
      <c r="RVE512" s="2511"/>
      <c r="RVF512" s="1755"/>
      <c r="RVG512" s="1756"/>
      <c r="RVH512" s="1756"/>
      <c r="RVI512" s="1757"/>
      <c r="RVJ512" s="385"/>
      <c r="RVK512" s="69"/>
      <c r="RVL512" s="69"/>
      <c r="RVM512" s="2511"/>
      <c r="RVN512" s="1755"/>
      <c r="RVO512" s="1756"/>
      <c r="RVP512" s="1756"/>
      <c r="RVQ512" s="1757"/>
      <c r="RVR512" s="385"/>
      <c r="RVS512" s="69"/>
      <c r="RVT512" s="69"/>
      <c r="RVU512" s="2511"/>
      <c r="RVV512" s="1755"/>
      <c r="RVW512" s="1756"/>
      <c r="RVX512" s="1756"/>
      <c r="RVY512" s="1757"/>
      <c r="RVZ512" s="385"/>
      <c r="RWA512" s="69"/>
      <c r="RWB512" s="69"/>
      <c r="RWC512" s="2511"/>
      <c r="RWD512" s="1755"/>
      <c r="RWE512" s="1756"/>
      <c r="RWF512" s="1756"/>
      <c r="RWG512" s="1757"/>
      <c r="RWH512" s="385"/>
      <c r="RWI512" s="69"/>
      <c r="RWJ512" s="69"/>
      <c r="RWK512" s="2511"/>
      <c r="RWL512" s="1755"/>
      <c r="RWM512" s="1756"/>
      <c r="RWN512" s="1756"/>
      <c r="RWO512" s="1757"/>
      <c r="RWP512" s="385"/>
      <c r="RWQ512" s="69"/>
      <c r="RWR512" s="69"/>
      <c r="RWS512" s="2511"/>
      <c r="RWT512" s="1755"/>
      <c r="RWU512" s="1756"/>
      <c r="RWV512" s="1756"/>
      <c r="RWW512" s="1757"/>
      <c r="RWX512" s="385"/>
      <c r="RWY512" s="69"/>
      <c r="RWZ512" s="69"/>
      <c r="RXA512" s="2511"/>
      <c r="RXB512" s="1755"/>
      <c r="RXC512" s="1756"/>
      <c r="RXD512" s="1756"/>
      <c r="RXE512" s="1757"/>
      <c r="RXF512" s="385"/>
      <c r="RXG512" s="69"/>
      <c r="RXH512" s="69"/>
      <c r="RXI512" s="2511"/>
      <c r="RXJ512" s="1755"/>
      <c r="RXK512" s="1756"/>
      <c r="RXL512" s="1756"/>
      <c r="RXM512" s="1757"/>
      <c r="RXN512" s="385"/>
      <c r="RXO512" s="69"/>
      <c r="RXP512" s="69"/>
      <c r="RXQ512" s="2511"/>
      <c r="RXR512" s="1755"/>
      <c r="RXS512" s="1756"/>
      <c r="RXT512" s="1756"/>
      <c r="RXU512" s="1757"/>
      <c r="RXV512" s="385"/>
      <c r="RXW512" s="69"/>
      <c r="RXX512" s="69"/>
      <c r="RXY512" s="2511"/>
      <c r="RXZ512" s="1755"/>
      <c r="RYA512" s="1756"/>
      <c r="RYB512" s="1756"/>
      <c r="RYC512" s="1757"/>
      <c r="RYD512" s="385"/>
      <c r="RYE512" s="69"/>
      <c r="RYF512" s="69"/>
      <c r="RYG512" s="2511"/>
      <c r="RYH512" s="1755"/>
      <c r="RYI512" s="1756"/>
      <c r="RYJ512" s="1756"/>
      <c r="RYK512" s="1757"/>
      <c r="RYL512" s="385"/>
      <c r="RYM512" s="69"/>
      <c r="RYN512" s="69"/>
      <c r="RYO512" s="2511"/>
      <c r="RYP512" s="1755"/>
      <c r="RYQ512" s="1756"/>
      <c r="RYR512" s="1756"/>
      <c r="RYS512" s="1757"/>
      <c r="RYT512" s="385"/>
      <c r="RYU512" s="69"/>
      <c r="RYV512" s="69"/>
      <c r="RYW512" s="2511"/>
      <c r="RYX512" s="1755"/>
      <c r="RYY512" s="1756"/>
      <c r="RYZ512" s="1756"/>
      <c r="RZA512" s="1757"/>
      <c r="RZB512" s="385"/>
      <c r="RZC512" s="69"/>
      <c r="RZD512" s="69"/>
      <c r="RZE512" s="2511"/>
      <c r="RZF512" s="1755"/>
      <c r="RZG512" s="1756"/>
      <c r="RZH512" s="1756"/>
      <c r="RZI512" s="1757"/>
      <c r="RZJ512" s="385"/>
      <c r="RZK512" s="69"/>
      <c r="RZL512" s="69"/>
      <c r="RZM512" s="2511"/>
      <c r="RZN512" s="1755"/>
      <c r="RZO512" s="1756"/>
      <c r="RZP512" s="1756"/>
      <c r="RZQ512" s="1757"/>
      <c r="RZR512" s="385"/>
      <c r="RZS512" s="69"/>
      <c r="RZT512" s="69"/>
      <c r="RZU512" s="2511"/>
      <c r="RZV512" s="1755"/>
      <c r="RZW512" s="1756"/>
      <c r="RZX512" s="1756"/>
      <c r="RZY512" s="1757"/>
      <c r="RZZ512" s="385"/>
      <c r="SAA512" s="69"/>
      <c r="SAB512" s="69"/>
      <c r="SAC512" s="2511"/>
      <c r="SAD512" s="1755"/>
      <c r="SAE512" s="1756"/>
      <c r="SAF512" s="1756"/>
      <c r="SAG512" s="1757"/>
      <c r="SAH512" s="385"/>
      <c r="SAI512" s="69"/>
      <c r="SAJ512" s="69"/>
      <c r="SAK512" s="2511"/>
      <c r="SAL512" s="1755"/>
      <c r="SAM512" s="1756"/>
      <c r="SAN512" s="1756"/>
      <c r="SAO512" s="1757"/>
      <c r="SAP512" s="385"/>
      <c r="SAQ512" s="69"/>
      <c r="SAR512" s="69"/>
      <c r="SAS512" s="2511"/>
      <c r="SAT512" s="1755"/>
      <c r="SAU512" s="1756"/>
      <c r="SAV512" s="1756"/>
      <c r="SAW512" s="1757"/>
      <c r="SAX512" s="385"/>
      <c r="SAY512" s="69"/>
      <c r="SAZ512" s="69"/>
      <c r="SBA512" s="2511"/>
      <c r="SBB512" s="1755"/>
      <c r="SBC512" s="1756"/>
      <c r="SBD512" s="1756"/>
      <c r="SBE512" s="1757"/>
      <c r="SBF512" s="385"/>
      <c r="SBG512" s="69"/>
      <c r="SBH512" s="69"/>
      <c r="SBI512" s="2511"/>
      <c r="SBJ512" s="1755"/>
      <c r="SBK512" s="1756"/>
      <c r="SBL512" s="1756"/>
      <c r="SBM512" s="1757"/>
      <c r="SBN512" s="385"/>
      <c r="SBO512" s="69"/>
      <c r="SBP512" s="69"/>
      <c r="SBQ512" s="2511"/>
      <c r="SBR512" s="1755"/>
      <c r="SBS512" s="1756"/>
      <c r="SBT512" s="1756"/>
      <c r="SBU512" s="1757"/>
      <c r="SBV512" s="385"/>
      <c r="SBW512" s="69"/>
      <c r="SBX512" s="69"/>
      <c r="SBY512" s="2511"/>
      <c r="SBZ512" s="1755"/>
      <c r="SCA512" s="1756"/>
      <c r="SCB512" s="1756"/>
      <c r="SCC512" s="1757"/>
      <c r="SCD512" s="385"/>
      <c r="SCE512" s="69"/>
      <c r="SCF512" s="69"/>
      <c r="SCG512" s="2511"/>
      <c r="SCH512" s="1755"/>
      <c r="SCI512" s="1756"/>
      <c r="SCJ512" s="1756"/>
      <c r="SCK512" s="1757"/>
      <c r="SCL512" s="385"/>
      <c r="SCM512" s="69"/>
      <c r="SCN512" s="69"/>
      <c r="SCO512" s="2511"/>
      <c r="SCP512" s="1755"/>
      <c r="SCQ512" s="1756"/>
      <c r="SCR512" s="1756"/>
      <c r="SCS512" s="1757"/>
      <c r="SCT512" s="385"/>
      <c r="SCU512" s="69"/>
      <c r="SCV512" s="69"/>
      <c r="SCW512" s="2511"/>
      <c r="SCX512" s="1755"/>
      <c r="SCY512" s="1756"/>
      <c r="SCZ512" s="1756"/>
      <c r="SDA512" s="1757"/>
      <c r="SDB512" s="385"/>
      <c r="SDC512" s="69"/>
      <c r="SDD512" s="69"/>
      <c r="SDE512" s="2511"/>
      <c r="SDF512" s="1755"/>
      <c r="SDG512" s="1756"/>
      <c r="SDH512" s="1756"/>
      <c r="SDI512" s="1757"/>
      <c r="SDJ512" s="385"/>
      <c r="SDK512" s="69"/>
      <c r="SDL512" s="69"/>
      <c r="SDM512" s="2511"/>
      <c r="SDN512" s="1755"/>
      <c r="SDO512" s="1756"/>
      <c r="SDP512" s="1756"/>
      <c r="SDQ512" s="1757"/>
      <c r="SDR512" s="385"/>
      <c r="SDS512" s="69"/>
      <c r="SDT512" s="69"/>
      <c r="SDU512" s="2511"/>
      <c r="SDV512" s="1755"/>
      <c r="SDW512" s="1756"/>
      <c r="SDX512" s="1756"/>
      <c r="SDY512" s="1757"/>
      <c r="SDZ512" s="385"/>
      <c r="SEA512" s="69"/>
      <c r="SEB512" s="69"/>
      <c r="SEC512" s="2511"/>
      <c r="SED512" s="1755"/>
      <c r="SEE512" s="1756"/>
      <c r="SEF512" s="1756"/>
      <c r="SEG512" s="1757"/>
      <c r="SEH512" s="385"/>
      <c r="SEI512" s="69"/>
      <c r="SEJ512" s="69"/>
      <c r="SEK512" s="2511"/>
      <c r="SEL512" s="1755"/>
      <c r="SEM512" s="1756"/>
      <c r="SEN512" s="1756"/>
      <c r="SEO512" s="1757"/>
      <c r="SEP512" s="385"/>
      <c r="SEQ512" s="69"/>
      <c r="SER512" s="69"/>
      <c r="SES512" s="2511"/>
      <c r="SET512" s="1755"/>
      <c r="SEU512" s="1756"/>
      <c r="SEV512" s="1756"/>
      <c r="SEW512" s="1757"/>
      <c r="SEX512" s="385"/>
      <c r="SEY512" s="69"/>
      <c r="SEZ512" s="69"/>
      <c r="SFA512" s="2511"/>
      <c r="SFB512" s="1755"/>
      <c r="SFC512" s="1756"/>
      <c r="SFD512" s="1756"/>
      <c r="SFE512" s="1757"/>
      <c r="SFF512" s="385"/>
      <c r="SFG512" s="69"/>
      <c r="SFH512" s="69"/>
      <c r="SFI512" s="2511"/>
      <c r="SFJ512" s="1755"/>
      <c r="SFK512" s="1756"/>
      <c r="SFL512" s="1756"/>
      <c r="SFM512" s="1757"/>
      <c r="SFN512" s="385"/>
      <c r="SFO512" s="69"/>
      <c r="SFP512" s="69"/>
      <c r="SFQ512" s="2511"/>
      <c r="SFR512" s="1755"/>
      <c r="SFS512" s="1756"/>
      <c r="SFT512" s="1756"/>
      <c r="SFU512" s="1757"/>
      <c r="SFV512" s="385"/>
      <c r="SFW512" s="69"/>
      <c r="SFX512" s="69"/>
      <c r="SFY512" s="2511"/>
      <c r="SFZ512" s="1755"/>
      <c r="SGA512" s="1756"/>
      <c r="SGB512" s="1756"/>
      <c r="SGC512" s="1757"/>
      <c r="SGD512" s="385"/>
      <c r="SGE512" s="69"/>
      <c r="SGF512" s="69"/>
      <c r="SGG512" s="2511"/>
      <c r="SGH512" s="1755"/>
      <c r="SGI512" s="1756"/>
      <c r="SGJ512" s="1756"/>
      <c r="SGK512" s="1757"/>
      <c r="SGL512" s="385"/>
      <c r="SGM512" s="69"/>
      <c r="SGN512" s="69"/>
      <c r="SGO512" s="2511"/>
      <c r="SGP512" s="1755"/>
      <c r="SGQ512" s="1756"/>
      <c r="SGR512" s="1756"/>
      <c r="SGS512" s="1757"/>
      <c r="SGT512" s="385"/>
      <c r="SGU512" s="69"/>
      <c r="SGV512" s="69"/>
      <c r="SGW512" s="2511"/>
      <c r="SGX512" s="1755"/>
      <c r="SGY512" s="1756"/>
      <c r="SGZ512" s="1756"/>
      <c r="SHA512" s="1757"/>
      <c r="SHB512" s="385"/>
      <c r="SHC512" s="69"/>
      <c r="SHD512" s="69"/>
      <c r="SHE512" s="2511"/>
      <c r="SHF512" s="1755"/>
      <c r="SHG512" s="1756"/>
      <c r="SHH512" s="1756"/>
      <c r="SHI512" s="1757"/>
      <c r="SHJ512" s="385"/>
      <c r="SHK512" s="69"/>
      <c r="SHL512" s="69"/>
      <c r="SHM512" s="2511"/>
      <c r="SHN512" s="1755"/>
      <c r="SHO512" s="1756"/>
      <c r="SHP512" s="1756"/>
      <c r="SHQ512" s="1757"/>
      <c r="SHR512" s="385"/>
      <c r="SHS512" s="69"/>
      <c r="SHT512" s="69"/>
      <c r="SHU512" s="2511"/>
      <c r="SHV512" s="1755"/>
      <c r="SHW512" s="1756"/>
      <c r="SHX512" s="1756"/>
      <c r="SHY512" s="1757"/>
      <c r="SHZ512" s="385"/>
      <c r="SIA512" s="69"/>
      <c r="SIB512" s="69"/>
      <c r="SIC512" s="2511"/>
      <c r="SID512" s="1755"/>
      <c r="SIE512" s="1756"/>
      <c r="SIF512" s="1756"/>
      <c r="SIG512" s="1757"/>
      <c r="SIH512" s="385"/>
      <c r="SII512" s="69"/>
      <c r="SIJ512" s="69"/>
      <c r="SIK512" s="2511"/>
      <c r="SIL512" s="1755"/>
      <c r="SIM512" s="1756"/>
      <c r="SIN512" s="1756"/>
      <c r="SIO512" s="1757"/>
      <c r="SIP512" s="385"/>
      <c r="SIQ512" s="69"/>
      <c r="SIR512" s="69"/>
      <c r="SIS512" s="2511"/>
      <c r="SIT512" s="1755"/>
      <c r="SIU512" s="1756"/>
      <c r="SIV512" s="1756"/>
      <c r="SIW512" s="1757"/>
      <c r="SIX512" s="385"/>
      <c r="SIY512" s="69"/>
      <c r="SIZ512" s="69"/>
      <c r="SJA512" s="2511"/>
      <c r="SJB512" s="1755"/>
      <c r="SJC512" s="1756"/>
      <c r="SJD512" s="1756"/>
      <c r="SJE512" s="1757"/>
      <c r="SJF512" s="385"/>
      <c r="SJG512" s="69"/>
      <c r="SJH512" s="69"/>
      <c r="SJI512" s="2511"/>
      <c r="SJJ512" s="1755"/>
      <c r="SJK512" s="1756"/>
      <c r="SJL512" s="1756"/>
      <c r="SJM512" s="1757"/>
      <c r="SJN512" s="385"/>
      <c r="SJO512" s="69"/>
      <c r="SJP512" s="69"/>
      <c r="SJQ512" s="2511"/>
      <c r="SJR512" s="1755"/>
      <c r="SJS512" s="1756"/>
      <c r="SJT512" s="1756"/>
      <c r="SJU512" s="1757"/>
      <c r="SJV512" s="385"/>
      <c r="SJW512" s="69"/>
      <c r="SJX512" s="69"/>
      <c r="SJY512" s="2511"/>
      <c r="SJZ512" s="1755"/>
      <c r="SKA512" s="1756"/>
      <c r="SKB512" s="1756"/>
      <c r="SKC512" s="1757"/>
      <c r="SKD512" s="385"/>
      <c r="SKE512" s="69"/>
      <c r="SKF512" s="69"/>
      <c r="SKG512" s="2511"/>
      <c r="SKH512" s="1755"/>
      <c r="SKI512" s="1756"/>
      <c r="SKJ512" s="1756"/>
      <c r="SKK512" s="1757"/>
      <c r="SKL512" s="385"/>
      <c r="SKM512" s="69"/>
      <c r="SKN512" s="69"/>
      <c r="SKO512" s="2511"/>
      <c r="SKP512" s="1755"/>
      <c r="SKQ512" s="1756"/>
      <c r="SKR512" s="1756"/>
      <c r="SKS512" s="1757"/>
      <c r="SKT512" s="385"/>
      <c r="SKU512" s="69"/>
      <c r="SKV512" s="69"/>
      <c r="SKW512" s="2511"/>
      <c r="SKX512" s="1755"/>
      <c r="SKY512" s="1756"/>
      <c r="SKZ512" s="1756"/>
      <c r="SLA512" s="1757"/>
      <c r="SLB512" s="385"/>
      <c r="SLC512" s="69"/>
      <c r="SLD512" s="69"/>
      <c r="SLE512" s="2511"/>
      <c r="SLF512" s="1755"/>
      <c r="SLG512" s="1756"/>
      <c r="SLH512" s="1756"/>
      <c r="SLI512" s="1757"/>
      <c r="SLJ512" s="385"/>
      <c r="SLK512" s="69"/>
      <c r="SLL512" s="69"/>
      <c r="SLM512" s="2511"/>
      <c r="SLN512" s="1755"/>
      <c r="SLO512" s="1756"/>
      <c r="SLP512" s="1756"/>
      <c r="SLQ512" s="1757"/>
      <c r="SLR512" s="385"/>
      <c r="SLS512" s="69"/>
      <c r="SLT512" s="69"/>
      <c r="SLU512" s="2511"/>
      <c r="SLV512" s="1755"/>
      <c r="SLW512" s="1756"/>
      <c r="SLX512" s="1756"/>
      <c r="SLY512" s="1757"/>
      <c r="SLZ512" s="385"/>
      <c r="SMA512" s="69"/>
      <c r="SMB512" s="69"/>
      <c r="SMC512" s="2511"/>
      <c r="SMD512" s="1755"/>
      <c r="SME512" s="1756"/>
      <c r="SMF512" s="1756"/>
      <c r="SMG512" s="1757"/>
      <c r="SMH512" s="385"/>
      <c r="SMI512" s="69"/>
      <c r="SMJ512" s="69"/>
      <c r="SMK512" s="2511"/>
      <c r="SML512" s="1755"/>
      <c r="SMM512" s="1756"/>
      <c r="SMN512" s="1756"/>
      <c r="SMO512" s="1757"/>
      <c r="SMP512" s="385"/>
      <c r="SMQ512" s="69"/>
      <c r="SMR512" s="69"/>
      <c r="SMS512" s="2511"/>
      <c r="SMT512" s="1755"/>
      <c r="SMU512" s="1756"/>
      <c r="SMV512" s="1756"/>
      <c r="SMW512" s="1757"/>
      <c r="SMX512" s="385"/>
      <c r="SMY512" s="69"/>
      <c r="SMZ512" s="69"/>
      <c r="SNA512" s="2511"/>
      <c r="SNB512" s="1755"/>
      <c r="SNC512" s="1756"/>
      <c r="SND512" s="1756"/>
      <c r="SNE512" s="1757"/>
      <c r="SNF512" s="385"/>
      <c r="SNG512" s="69"/>
      <c r="SNH512" s="69"/>
      <c r="SNI512" s="2511"/>
      <c r="SNJ512" s="1755"/>
      <c r="SNK512" s="1756"/>
      <c r="SNL512" s="1756"/>
      <c r="SNM512" s="1757"/>
      <c r="SNN512" s="385"/>
      <c r="SNO512" s="69"/>
      <c r="SNP512" s="69"/>
      <c r="SNQ512" s="2511"/>
      <c r="SNR512" s="1755"/>
      <c r="SNS512" s="1756"/>
      <c r="SNT512" s="1756"/>
      <c r="SNU512" s="1757"/>
      <c r="SNV512" s="385"/>
      <c r="SNW512" s="69"/>
      <c r="SNX512" s="69"/>
      <c r="SNY512" s="2511"/>
      <c r="SNZ512" s="1755"/>
      <c r="SOA512" s="1756"/>
      <c r="SOB512" s="1756"/>
      <c r="SOC512" s="1757"/>
      <c r="SOD512" s="385"/>
      <c r="SOE512" s="69"/>
      <c r="SOF512" s="69"/>
      <c r="SOG512" s="2511"/>
      <c r="SOH512" s="1755"/>
      <c r="SOI512" s="1756"/>
      <c r="SOJ512" s="1756"/>
      <c r="SOK512" s="1757"/>
      <c r="SOL512" s="385"/>
      <c r="SOM512" s="69"/>
      <c r="SON512" s="69"/>
      <c r="SOO512" s="2511"/>
      <c r="SOP512" s="1755"/>
      <c r="SOQ512" s="1756"/>
      <c r="SOR512" s="1756"/>
      <c r="SOS512" s="1757"/>
      <c r="SOT512" s="385"/>
      <c r="SOU512" s="69"/>
      <c r="SOV512" s="69"/>
      <c r="SOW512" s="2511"/>
      <c r="SOX512" s="1755"/>
      <c r="SOY512" s="1756"/>
      <c r="SOZ512" s="1756"/>
      <c r="SPA512" s="1757"/>
      <c r="SPB512" s="385"/>
      <c r="SPC512" s="69"/>
      <c r="SPD512" s="69"/>
      <c r="SPE512" s="2511"/>
      <c r="SPF512" s="1755"/>
      <c r="SPG512" s="1756"/>
      <c r="SPH512" s="1756"/>
      <c r="SPI512" s="1757"/>
      <c r="SPJ512" s="385"/>
      <c r="SPK512" s="69"/>
      <c r="SPL512" s="69"/>
      <c r="SPM512" s="2511"/>
      <c r="SPN512" s="1755"/>
      <c r="SPO512" s="1756"/>
      <c r="SPP512" s="1756"/>
      <c r="SPQ512" s="1757"/>
      <c r="SPR512" s="385"/>
      <c r="SPS512" s="69"/>
      <c r="SPT512" s="69"/>
      <c r="SPU512" s="2511"/>
      <c r="SPV512" s="1755"/>
      <c r="SPW512" s="1756"/>
      <c r="SPX512" s="1756"/>
      <c r="SPY512" s="1757"/>
      <c r="SPZ512" s="385"/>
      <c r="SQA512" s="69"/>
      <c r="SQB512" s="69"/>
      <c r="SQC512" s="2511"/>
      <c r="SQD512" s="1755"/>
      <c r="SQE512" s="1756"/>
      <c r="SQF512" s="1756"/>
      <c r="SQG512" s="1757"/>
      <c r="SQH512" s="385"/>
      <c r="SQI512" s="69"/>
      <c r="SQJ512" s="69"/>
      <c r="SQK512" s="2511"/>
      <c r="SQL512" s="1755"/>
      <c r="SQM512" s="1756"/>
      <c r="SQN512" s="1756"/>
      <c r="SQO512" s="1757"/>
      <c r="SQP512" s="385"/>
      <c r="SQQ512" s="69"/>
      <c r="SQR512" s="69"/>
      <c r="SQS512" s="2511"/>
      <c r="SQT512" s="1755"/>
      <c r="SQU512" s="1756"/>
      <c r="SQV512" s="1756"/>
      <c r="SQW512" s="1757"/>
      <c r="SQX512" s="385"/>
      <c r="SQY512" s="69"/>
      <c r="SQZ512" s="69"/>
      <c r="SRA512" s="2511"/>
      <c r="SRB512" s="1755"/>
      <c r="SRC512" s="1756"/>
      <c r="SRD512" s="1756"/>
      <c r="SRE512" s="1757"/>
      <c r="SRF512" s="385"/>
      <c r="SRG512" s="69"/>
      <c r="SRH512" s="69"/>
      <c r="SRI512" s="2511"/>
      <c r="SRJ512" s="1755"/>
      <c r="SRK512" s="1756"/>
      <c r="SRL512" s="1756"/>
      <c r="SRM512" s="1757"/>
      <c r="SRN512" s="385"/>
      <c r="SRO512" s="69"/>
      <c r="SRP512" s="69"/>
      <c r="SRQ512" s="2511"/>
      <c r="SRR512" s="1755"/>
      <c r="SRS512" s="1756"/>
      <c r="SRT512" s="1756"/>
      <c r="SRU512" s="1757"/>
      <c r="SRV512" s="385"/>
      <c r="SRW512" s="69"/>
      <c r="SRX512" s="69"/>
      <c r="SRY512" s="2511"/>
      <c r="SRZ512" s="1755"/>
      <c r="SSA512" s="1756"/>
      <c r="SSB512" s="1756"/>
      <c r="SSC512" s="1757"/>
      <c r="SSD512" s="385"/>
      <c r="SSE512" s="69"/>
      <c r="SSF512" s="69"/>
      <c r="SSG512" s="2511"/>
      <c r="SSH512" s="1755"/>
      <c r="SSI512" s="1756"/>
      <c r="SSJ512" s="1756"/>
      <c r="SSK512" s="1757"/>
      <c r="SSL512" s="385"/>
      <c r="SSM512" s="69"/>
      <c r="SSN512" s="69"/>
      <c r="SSO512" s="2511"/>
      <c r="SSP512" s="1755"/>
      <c r="SSQ512" s="1756"/>
      <c r="SSR512" s="1756"/>
      <c r="SSS512" s="1757"/>
      <c r="SST512" s="385"/>
      <c r="SSU512" s="69"/>
      <c r="SSV512" s="69"/>
      <c r="SSW512" s="2511"/>
      <c r="SSX512" s="1755"/>
      <c r="SSY512" s="1756"/>
      <c r="SSZ512" s="1756"/>
      <c r="STA512" s="1757"/>
      <c r="STB512" s="385"/>
      <c r="STC512" s="69"/>
      <c r="STD512" s="69"/>
      <c r="STE512" s="2511"/>
      <c r="STF512" s="1755"/>
      <c r="STG512" s="1756"/>
      <c r="STH512" s="1756"/>
      <c r="STI512" s="1757"/>
      <c r="STJ512" s="385"/>
      <c r="STK512" s="69"/>
      <c r="STL512" s="69"/>
      <c r="STM512" s="2511"/>
      <c r="STN512" s="1755"/>
      <c r="STO512" s="1756"/>
      <c r="STP512" s="1756"/>
      <c r="STQ512" s="1757"/>
      <c r="STR512" s="385"/>
      <c r="STS512" s="69"/>
      <c r="STT512" s="69"/>
      <c r="STU512" s="2511"/>
      <c r="STV512" s="1755"/>
      <c r="STW512" s="1756"/>
      <c r="STX512" s="1756"/>
      <c r="STY512" s="1757"/>
      <c r="STZ512" s="385"/>
      <c r="SUA512" s="69"/>
      <c r="SUB512" s="69"/>
      <c r="SUC512" s="2511"/>
      <c r="SUD512" s="1755"/>
      <c r="SUE512" s="1756"/>
      <c r="SUF512" s="1756"/>
      <c r="SUG512" s="1757"/>
      <c r="SUH512" s="385"/>
      <c r="SUI512" s="69"/>
      <c r="SUJ512" s="69"/>
      <c r="SUK512" s="2511"/>
      <c r="SUL512" s="1755"/>
      <c r="SUM512" s="1756"/>
      <c r="SUN512" s="1756"/>
      <c r="SUO512" s="1757"/>
      <c r="SUP512" s="385"/>
      <c r="SUQ512" s="69"/>
      <c r="SUR512" s="69"/>
      <c r="SUS512" s="2511"/>
      <c r="SUT512" s="1755"/>
      <c r="SUU512" s="1756"/>
      <c r="SUV512" s="1756"/>
      <c r="SUW512" s="1757"/>
      <c r="SUX512" s="385"/>
      <c r="SUY512" s="69"/>
      <c r="SUZ512" s="69"/>
      <c r="SVA512" s="2511"/>
      <c r="SVB512" s="1755"/>
      <c r="SVC512" s="1756"/>
      <c r="SVD512" s="1756"/>
      <c r="SVE512" s="1757"/>
      <c r="SVF512" s="385"/>
      <c r="SVG512" s="69"/>
      <c r="SVH512" s="69"/>
      <c r="SVI512" s="2511"/>
      <c r="SVJ512" s="1755"/>
      <c r="SVK512" s="1756"/>
      <c r="SVL512" s="1756"/>
      <c r="SVM512" s="1757"/>
      <c r="SVN512" s="385"/>
      <c r="SVO512" s="69"/>
      <c r="SVP512" s="69"/>
      <c r="SVQ512" s="2511"/>
      <c r="SVR512" s="1755"/>
      <c r="SVS512" s="1756"/>
      <c r="SVT512" s="1756"/>
      <c r="SVU512" s="1757"/>
      <c r="SVV512" s="385"/>
      <c r="SVW512" s="69"/>
      <c r="SVX512" s="69"/>
      <c r="SVY512" s="2511"/>
      <c r="SVZ512" s="1755"/>
      <c r="SWA512" s="1756"/>
      <c r="SWB512" s="1756"/>
      <c r="SWC512" s="1757"/>
      <c r="SWD512" s="385"/>
      <c r="SWE512" s="69"/>
      <c r="SWF512" s="69"/>
      <c r="SWG512" s="2511"/>
      <c r="SWH512" s="1755"/>
      <c r="SWI512" s="1756"/>
      <c r="SWJ512" s="1756"/>
      <c r="SWK512" s="1757"/>
      <c r="SWL512" s="385"/>
      <c r="SWM512" s="69"/>
      <c r="SWN512" s="69"/>
      <c r="SWO512" s="2511"/>
      <c r="SWP512" s="1755"/>
      <c r="SWQ512" s="1756"/>
      <c r="SWR512" s="1756"/>
      <c r="SWS512" s="1757"/>
      <c r="SWT512" s="385"/>
      <c r="SWU512" s="69"/>
      <c r="SWV512" s="69"/>
      <c r="SWW512" s="2511"/>
      <c r="SWX512" s="1755"/>
      <c r="SWY512" s="1756"/>
      <c r="SWZ512" s="1756"/>
      <c r="SXA512" s="1757"/>
      <c r="SXB512" s="385"/>
      <c r="SXC512" s="69"/>
      <c r="SXD512" s="69"/>
      <c r="SXE512" s="2511"/>
      <c r="SXF512" s="1755"/>
      <c r="SXG512" s="1756"/>
      <c r="SXH512" s="1756"/>
      <c r="SXI512" s="1757"/>
      <c r="SXJ512" s="385"/>
      <c r="SXK512" s="69"/>
      <c r="SXL512" s="69"/>
      <c r="SXM512" s="2511"/>
      <c r="SXN512" s="1755"/>
      <c r="SXO512" s="1756"/>
      <c r="SXP512" s="1756"/>
      <c r="SXQ512" s="1757"/>
      <c r="SXR512" s="385"/>
      <c r="SXS512" s="69"/>
      <c r="SXT512" s="69"/>
      <c r="SXU512" s="2511"/>
      <c r="SXV512" s="1755"/>
      <c r="SXW512" s="1756"/>
      <c r="SXX512" s="1756"/>
      <c r="SXY512" s="1757"/>
      <c r="SXZ512" s="385"/>
      <c r="SYA512" s="69"/>
      <c r="SYB512" s="69"/>
      <c r="SYC512" s="2511"/>
      <c r="SYD512" s="1755"/>
      <c r="SYE512" s="1756"/>
      <c r="SYF512" s="1756"/>
      <c r="SYG512" s="1757"/>
      <c r="SYH512" s="385"/>
      <c r="SYI512" s="69"/>
      <c r="SYJ512" s="69"/>
      <c r="SYK512" s="2511"/>
      <c r="SYL512" s="1755"/>
      <c r="SYM512" s="1756"/>
      <c r="SYN512" s="1756"/>
      <c r="SYO512" s="1757"/>
      <c r="SYP512" s="385"/>
      <c r="SYQ512" s="69"/>
      <c r="SYR512" s="69"/>
      <c r="SYS512" s="2511"/>
      <c r="SYT512" s="1755"/>
      <c r="SYU512" s="1756"/>
      <c r="SYV512" s="1756"/>
      <c r="SYW512" s="1757"/>
      <c r="SYX512" s="385"/>
      <c r="SYY512" s="69"/>
      <c r="SYZ512" s="69"/>
      <c r="SZA512" s="2511"/>
      <c r="SZB512" s="1755"/>
      <c r="SZC512" s="1756"/>
      <c r="SZD512" s="1756"/>
      <c r="SZE512" s="1757"/>
      <c r="SZF512" s="385"/>
      <c r="SZG512" s="69"/>
      <c r="SZH512" s="69"/>
      <c r="SZI512" s="2511"/>
      <c r="SZJ512" s="1755"/>
      <c r="SZK512" s="1756"/>
      <c r="SZL512" s="1756"/>
      <c r="SZM512" s="1757"/>
      <c r="SZN512" s="385"/>
      <c r="SZO512" s="69"/>
      <c r="SZP512" s="69"/>
      <c r="SZQ512" s="2511"/>
      <c r="SZR512" s="1755"/>
      <c r="SZS512" s="1756"/>
      <c r="SZT512" s="1756"/>
      <c r="SZU512" s="1757"/>
      <c r="SZV512" s="385"/>
      <c r="SZW512" s="69"/>
      <c r="SZX512" s="69"/>
      <c r="SZY512" s="2511"/>
      <c r="SZZ512" s="1755"/>
      <c r="TAA512" s="1756"/>
      <c r="TAB512" s="1756"/>
      <c r="TAC512" s="1757"/>
      <c r="TAD512" s="385"/>
      <c r="TAE512" s="69"/>
      <c r="TAF512" s="69"/>
      <c r="TAG512" s="2511"/>
      <c r="TAH512" s="1755"/>
      <c r="TAI512" s="1756"/>
      <c r="TAJ512" s="1756"/>
      <c r="TAK512" s="1757"/>
      <c r="TAL512" s="385"/>
      <c r="TAM512" s="69"/>
      <c r="TAN512" s="69"/>
      <c r="TAO512" s="2511"/>
      <c r="TAP512" s="1755"/>
      <c r="TAQ512" s="1756"/>
      <c r="TAR512" s="1756"/>
      <c r="TAS512" s="1757"/>
      <c r="TAT512" s="385"/>
      <c r="TAU512" s="69"/>
      <c r="TAV512" s="69"/>
      <c r="TAW512" s="2511"/>
      <c r="TAX512" s="1755"/>
      <c r="TAY512" s="1756"/>
      <c r="TAZ512" s="1756"/>
      <c r="TBA512" s="1757"/>
      <c r="TBB512" s="385"/>
      <c r="TBC512" s="69"/>
      <c r="TBD512" s="69"/>
      <c r="TBE512" s="2511"/>
      <c r="TBF512" s="1755"/>
      <c r="TBG512" s="1756"/>
      <c r="TBH512" s="1756"/>
      <c r="TBI512" s="1757"/>
      <c r="TBJ512" s="385"/>
      <c r="TBK512" s="69"/>
      <c r="TBL512" s="69"/>
      <c r="TBM512" s="2511"/>
      <c r="TBN512" s="1755"/>
      <c r="TBO512" s="1756"/>
      <c r="TBP512" s="1756"/>
      <c r="TBQ512" s="1757"/>
      <c r="TBR512" s="385"/>
      <c r="TBS512" s="69"/>
      <c r="TBT512" s="69"/>
      <c r="TBU512" s="2511"/>
      <c r="TBV512" s="1755"/>
      <c r="TBW512" s="1756"/>
      <c r="TBX512" s="1756"/>
      <c r="TBY512" s="1757"/>
      <c r="TBZ512" s="385"/>
      <c r="TCA512" s="69"/>
      <c r="TCB512" s="69"/>
      <c r="TCC512" s="2511"/>
      <c r="TCD512" s="1755"/>
      <c r="TCE512" s="1756"/>
      <c r="TCF512" s="1756"/>
      <c r="TCG512" s="1757"/>
      <c r="TCH512" s="385"/>
      <c r="TCI512" s="69"/>
      <c r="TCJ512" s="69"/>
      <c r="TCK512" s="2511"/>
      <c r="TCL512" s="1755"/>
      <c r="TCM512" s="1756"/>
      <c r="TCN512" s="1756"/>
      <c r="TCO512" s="1757"/>
      <c r="TCP512" s="385"/>
      <c r="TCQ512" s="69"/>
      <c r="TCR512" s="69"/>
      <c r="TCS512" s="2511"/>
      <c r="TCT512" s="1755"/>
      <c r="TCU512" s="1756"/>
      <c r="TCV512" s="1756"/>
      <c r="TCW512" s="1757"/>
      <c r="TCX512" s="385"/>
      <c r="TCY512" s="69"/>
      <c r="TCZ512" s="69"/>
      <c r="TDA512" s="2511"/>
      <c r="TDB512" s="1755"/>
      <c r="TDC512" s="1756"/>
      <c r="TDD512" s="1756"/>
      <c r="TDE512" s="1757"/>
      <c r="TDF512" s="385"/>
      <c r="TDG512" s="69"/>
      <c r="TDH512" s="69"/>
      <c r="TDI512" s="2511"/>
      <c r="TDJ512" s="1755"/>
      <c r="TDK512" s="1756"/>
      <c r="TDL512" s="1756"/>
      <c r="TDM512" s="1757"/>
      <c r="TDN512" s="385"/>
      <c r="TDO512" s="69"/>
      <c r="TDP512" s="69"/>
      <c r="TDQ512" s="2511"/>
      <c r="TDR512" s="1755"/>
      <c r="TDS512" s="1756"/>
      <c r="TDT512" s="1756"/>
      <c r="TDU512" s="1757"/>
      <c r="TDV512" s="385"/>
      <c r="TDW512" s="69"/>
      <c r="TDX512" s="69"/>
      <c r="TDY512" s="2511"/>
      <c r="TDZ512" s="1755"/>
      <c r="TEA512" s="1756"/>
      <c r="TEB512" s="1756"/>
      <c r="TEC512" s="1757"/>
      <c r="TED512" s="385"/>
      <c r="TEE512" s="69"/>
      <c r="TEF512" s="69"/>
      <c r="TEG512" s="2511"/>
      <c r="TEH512" s="1755"/>
      <c r="TEI512" s="1756"/>
      <c r="TEJ512" s="1756"/>
      <c r="TEK512" s="1757"/>
      <c r="TEL512" s="385"/>
      <c r="TEM512" s="69"/>
      <c r="TEN512" s="69"/>
      <c r="TEO512" s="2511"/>
      <c r="TEP512" s="1755"/>
      <c r="TEQ512" s="1756"/>
      <c r="TER512" s="1756"/>
      <c r="TES512" s="1757"/>
      <c r="TET512" s="385"/>
      <c r="TEU512" s="69"/>
      <c r="TEV512" s="69"/>
      <c r="TEW512" s="2511"/>
      <c r="TEX512" s="1755"/>
      <c r="TEY512" s="1756"/>
      <c r="TEZ512" s="1756"/>
      <c r="TFA512" s="1757"/>
      <c r="TFB512" s="385"/>
      <c r="TFC512" s="69"/>
      <c r="TFD512" s="69"/>
      <c r="TFE512" s="2511"/>
      <c r="TFF512" s="1755"/>
      <c r="TFG512" s="1756"/>
      <c r="TFH512" s="1756"/>
      <c r="TFI512" s="1757"/>
      <c r="TFJ512" s="385"/>
      <c r="TFK512" s="69"/>
      <c r="TFL512" s="69"/>
      <c r="TFM512" s="2511"/>
      <c r="TFN512" s="1755"/>
      <c r="TFO512" s="1756"/>
      <c r="TFP512" s="1756"/>
      <c r="TFQ512" s="1757"/>
      <c r="TFR512" s="385"/>
      <c r="TFS512" s="69"/>
      <c r="TFT512" s="69"/>
      <c r="TFU512" s="2511"/>
      <c r="TFV512" s="1755"/>
      <c r="TFW512" s="1756"/>
      <c r="TFX512" s="1756"/>
      <c r="TFY512" s="1757"/>
      <c r="TFZ512" s="385"/>
      <c r="TGA512" s="69"/>
      <c r="TGB512" s="69"/>
      <c r="TGC512" s="2511"/>
      <c r="TGD512" s="1755"/>
      <c r="TGE512" s="1756"/>
      <c r="TGF512" s="1756"/>
      <c r="TGG512" s="1757"/>
      <c r="TGH512" s="385"/>
      <c r="TGI512" s="69"/>
      <c r="TGJ512" s="69"/>
      <c r="TGK512" s="2511"/>
      <c r="TGL512" s="1755"/>
      <c r="TGM512" s="1756"/>
      <c r="TGN512" s="1756"/>
      <c r="TGO512" s="1757"/>
      <c r="TGP512" s="385"/>
      <c r="TGQ512" s="69"/>
      <c r="TGR512" s="69"/>
      <c r="TGS512" s="2511"/>
      <c r="TGT512" s="1755"/>
      <c r="TGU512" s="1756"/>
      <c r="TGV512" s="1756"/>
      <c r="TGW512" s="1757"/>
      <c r="TGX512" s="385"/>
      <c r="TGY512" s="69"/>
      <c r="TGZ512" s="69"/>
      <c r="THA512" s="2511"/>
      <c r="THB512" s="1755"/>
      <c r="THC512" s="1756"/>
      <c r="THD512" s="1756"/>
      <c r="THE512" s="1757"/>
      <c r="THF512" s="385"/>
      <c r="THG512" s="69"/>
      <c r="THH512" s="69"/>
      <c r="THI512" s="2511"/>
      <c r="THJ512" s="1755"/>
      <c r="THK512" s="1756"/>
      <c r="THL512" s="1756"/>
      <c r="THM512" s="1757"/>
      <c r="THN512" s="385"/>
      <c r="THO512" s="69"/>
      <c r="THP512" s="69"/>
      <c r="THQ512" s="2511"/>
      <c r="THR512" s="1755"/>
      <c r="THS512" s="1756"/>
      <c r="THT512" s="1756"/>
      <c r="THU512" s="1757"/>
      <c r="THV512" s="385"/>
      <c r="THW512" s="69"/>
      <c r="THX512" s="69"/>
      <c r="THY512" s="2511"/>
      <c r="THZ512" s="1755"/>
      <c r="TIA512" s="1756"/>
      <c r="TIB512" s="1756"/>
      <c r="TIC512" s="1757"/>
      <c r="TID512" s="385"/>
      <c r="TIE512" s="69"/>
      <c r="TIF512" s="69"/>
      <c r="TIG512" s="2511"/>
      <c r="TIH512" s="1755"/>
      <c r="TII512" s="1756"/>
      <c r="TIJ512" s="1756"/>
      <c r="TIK512" s="1757"/>
      <c r="TIL512" s="385"/>
      <c r="TIM512" s="69"/>
      <c r="TIN512" s="69"/>
      <c r="TIO512" s="2511"/>
      <c r="TIP512" s="1755"/>
      <c r="TIQ512" s="1756"/>
      <c r="TIR512" s="1756"/>
      <c r="TIS512" s="1757"/>
      <c r="TIT512" s="385"/>
      <c r="TIU512" s="69"/>
      <c r="TIV512" s="69"/>
      <c r="TIW512" s="2511"/>
      <c r="TIX512" s="1755"/>
      <c r="TIY512" s="1756"/>
      <c r="TIZ512" s="1756"/>
      <c r="TJA512" s="1757"/>
      <c r="TJB512" s="385"/>
      <c r="TJC512" s="69"/>
      <c r="TJD512" s="69"/>
      <c r="TJE512" s="2511"/>
      <c r="TJF512" s="1755"/>
      <c r="TJG512" s="1756"/>
      <c r="TJH512" s="1756"/>
      <c r="TJI512" s="1757"/>
      <c r="TJJ512" s="385"/>
      <c r="TJK512" s="69"/>
      <c r="TJL512" s="69"/>
      <c r="TJM512" s="2511"/>
      <c r="TJN512" s="1755"/>
      <c r="TJO512" s="1756"/>
      <c r="TJP512" s="1756"/>
      <c r="TJQ512" s="1757"/>
      <c r="TJR512" s="385"/>
      <c r="TJS512" s="69"/>
      <c r="TJT512" s="69"/>
      <c r="TJU512" s="2511"/>
      <c r="TJV512" s="1755"/>
      <c r="TJW512" s="1756"/>
      <c r="TJX512" s="1756"/>
      <c r="TJY512" s="1757"/>
      <c r="TJZ512" s="385"/>
      <c r="TKA512" s="69"/>
      <c r="TKB512" s="69"/>
      <c r="TKC512" s="2511"/>
      <c r="TKD512" s="1755"/>
      <c r="TKE512" s="1756"/>
      <c r="TKF512" s="1756"/>
      <c r="TKG512" s="1757"/>
      <c r="TKH512" s="385"/>
      <c r="TKI512" s="69"/>
      <c r="TKJ512" s="69"/>
      <c r="TKK512" s="2511"/>
      <c r="TKL512" s="1755"/>
      <c r="TKM512" s="1756"/>
      <c r="TKN512" s="1756"/>
      <c r="TKO512" s="1757"/>
      <c r="TKP512" s="385"/>
      <c r="TKQ512" s="69"/>
      <c r="TKR512" s="69"/>
      <c r="TKS512" s="2511"/>
      <c r="TKT512" s="1755"/>
      <c r="TKU512" s="1756"/>
      <c r="TKV512" s="1756"/>
      <c r="TKW512" s="1757"/>
      <c r="TKX512" s="385"/>
      <c r="TKY512" s="69"/>
      <c r="TKZ512" s="69"/>
      <c r="TLA512" s="2511"/>
      <c r="TLB512" s="1755"/>
      <c r="TLC512" s="1756"/>
      <c r="TLD512" s="1756"/>
      <c r="TLE512" s="1757"/>
      <c r="TLF512" s="385"/>
      <c r="TLG512" s="69"/>
      <c r="TLH512" s="69"/>
      <c r="TLI512" s="2511"/>
      <c r="TLJ512" s="1755"/>
      <c r="TLK512" s="1756"/>
      <c r="TLL512" s="1756"/>
      <c r="TLM512" s="1757"/>
      <c r="TLN512" s="385"/>
      <c r="TLO512" s="69"/>
      <c r="TLP512" s="69"/>
      <c r="TLQ512" s="2511"/>
      <c r="TLR512" s="1755"/>
      <c r="TLS512" s="1756"/>
      <c r="TLT512" s="1756"/>
      <c r="TLU512" s="1757"/>
      <c r="TLV512" s="385"/>
      <c r="TLW512" s="69"/>
      <c r="TLX512" s="69"/>
      <c r="TLY512" s="2511"/>
      <c r="TLZ512" s="1755"/>
      <c r="TMA512" s="1756"/>
      <c r="TMB512" s="1756"/>
      <c r="TMC512" s="1757"/>
      <c r="TMD512" s="385"/>
      <c r="TME512" s="69"/>
      <c r="TMF512" s="69"/>
      <c r="TMG512" s="2511"/>
      <c r="TMH512" s="1755"/>
      <c r="TMI512" s="1756"/>
      <c r="TMJ512" s="1756"/>
      <c r="TMK512" s="1757"/>
      <c r="TML512" s="385"/>
      <c r="TMM512" s="69"/>
      <c r="TMN512" s="69"/>
      <c r="TMO512" s="2511"/>
      <c r="TMP512" s="1755"/>
      <c r="TMQ512" s="1756"/>
      <c r="TMR512" s="1756"/>
      <c r="TMS512" s="1757"/>
      <c r="TMT512" s="385"/>
      <c r="TMU512" s="69"/>
      <c r="TMV512" s="69"/>
      <c r="TMW512" s="2511"/>
      <c r="TMX512" s="1755"/>
      <c r="TMY512" s="1756"/>
      <c r="TMZ512" s="1756"/>
      <c r="TNA512" s="1757"/>
      <c r="TNB512" s="385"/>
      <c r="TNC512" s="69"/>
      <c r="TND512" s="69"/>
      <c r="TNE512" s="2511"/>
      <c r="TNF512" s="1755"/>
      <c r="TNG512" s="1756"/>
      <c r="TNH512" s="1756"/>
      <c r="TNI512" s="1757"/>
      <c r="TNJ512" s="385"/>
      <c r="TNK512" s="69"/>
      <c r="TNL512" s="69"/>
      <c r="TNM512" s="2511"/>
      <c r="TNN512" s="1755"/>
      <c r="TNO512" s="1756"/>
      <c r="TNP512" s="1756"/>
      <c r="TNQ512" s="1757"/>
      <c r="TNR512" s="385"/>
      <c r="TNS512" s="69"/>
      <c r="TNT512" s="69"/>
      <c r="TNU512" s="2511"/>
      <c r="TNV512" s="1755"/>
      <c r="TNW512" s="1756"/>
      <c r="TNX512" s="1756"/>
      <c r="TNY512" s="1757"/>
      <c r="TNZ512" s="385"/>
      <c r="TOA512" s="69"/>
      <c r="TOB512" s="69"/>
      <c r="TOC512" s="2511"/>
      <c r="TOD512" s="1755"/>
      <c r="TOE512" s="1756"/>
      <c r="TOF512" s="1756"/>
      <c r="TOG512" s="1757"/>
      <c r="TOH512" s="385"/>
      <c r="TOI512" s="69"/>
      <c r="TOJ512" s="69"/>
      <c r="TOK512" s="2511"/>
      <c r="TOL512" s="1755"/>
      <c r="TOM512" s="1756"/>
      <c r="TON512" s="1756"/>
      <c r="TOO512" s="1757"/>
      <c r="TOP512" s="385"/>
      <c r="TOQ512" s="69"/>
      <c r="TOR512" s="69"/>
      <c r="TOS512" s="2511"/>
      <c r="TOT512" s="1755"/>
      <c r="TOU512" s="1756"/>
      <c r="TOV512" s="1756"/>
      <c r="TOW512" s="1757"/>
      <c r="TOX512" s="385"/>
      <c r="TOY512" s="69"/>
      <c r="TOZ512" s="69"/>
      <c r="TPA512" s="2511"/>
      <c r="TPB512" s="1755"/>
      <c r="TPC512" s="1756"/>
      <c r="TPD512" s="1756"/>
      <c r="TPE512" s="1757"/>
      <c r="TPF512" s="385"/>
      <c r="TPG512" s="69"/>
      <c r="TPH512" s="69"/>
      <c r="TPI512" s="2511"/>
      <c r="TPJ512" s="1755"/>
      <c r="TPK512" s="1756"/>
      <c r="TPL512" s="1756"/>
      <c r="TPM512" s="1757"/>
      <c r="TPN512" s="385"/>
      <c r="TPO512" s="69"/>
      <c r="TPP512" s="69"/>
      <c r="TPQ512" s="2511"/>
      <c r="TPR512" s="1755"/>
      <c r="TPS512" s="1756"/>
      <c r="TPT512" s="1756"/>
      <c r="TPU512" s="1757"/>
      <c r="TPV512" s="385"/>
      <c r="TPW512" s="69"/>
      <c r="TPX512" s="69"/>
      <c r="TPY512" s="2511"/>
      <c r="TPZ512" s="1755"/>
      <c r="TQA512" s="1756"/>
      <c r="TQB512" s="1756"/>
      <c r="TQC512" s="1757"/>
      <c r="TQD512" s="385"/>
      <c r="TQE512" s="69"/>
      <c r="TQF512" s="69"/>
      <c r="TQG512" s="2511"/>
      <c r="TQH512" s="1755"/>
      <c r="TQI512" s="1756"/>
      <c r="TQJ512" s="1756"/>
      <c r="TQK512" s="1757"/>
      <c r="TQL512" s="385"/>
      <c r="TQM512" s="69"/>
      <c r="TQN512" s="69"/>
      <c r="TQO512" s="2511"/>
      <c r="TQP512" s="1755"/>
      <c r="TQQ512" s="1756"/>
      <c r="TQR512" s="1756"/>
      <c r="TQS512" s="1757"/>
      <c r="TQT512" s="385"/>
      <c r="TQU512" s="69"/>
      <c r="TQV512" s="69"/>
      <c r="TQW512" s="2511"/>
      <c r="TQX512" s="1755"/>
      <c r="TQY512" s="1756"/>
      <c r="TQZ512" s="1756"/>
      <c r="TRA512" s="1757"/>
      <c r="TRB512" s="385"/>
      <c r="TRC512" s="69"/>
      <c r="TRD512" s="69"/>
      <c r="TRE512" s="2511"/>
      <c r="TRF512" s="1755"/>
      <c r="TRG512" s="1756"/>
      <c r="TRH512" s="1756"/>
      <c r="TRI512" s="1757"/>
      <c r="TRJ512" s="385"/>
      <c r="TRK512" s="69"/>
      <c r="TRL512" s="69"/>
      <c r="TRM512" s="2511"/>
      <c r="TRN512" s="1755"/>
      <c r="TRO512" s="1756"/>
      <c r="TRP512" s="1756"/>
      <c r="TRQ512" s="1757"/>
      <c r="TRR512" s="385"/>
      <c r="TRS512" s="69"/>
      <c r="TRT512" s="69"/>
      <c r="TRU512" s="2511"/>
      <c r="TRV512" s="1755"/>
      <c r="TRW512" s="1756"/>
      <c r="TRX512" s="1756"/>
      <c r="TRY512" s="1757"/>
      <c r="TRZ512" s="385"/>
      <c r="TSA512" s="69"/>
      <c r="TSB512" s="69"/>
      <c r="TSC512" s="2511"/>
      <c r="TSD512" s="1755"/>
      <c r="TSE512" s="1756"/>
      <c r="TSF512" s="1756"/>
      <c r="TSG512" s="1757"/>
      <c r="TSH512" s="385"/>
      <c r="TSI512" s="69"/>
      <c r="TSJ512" s="69"/>
      <c r="TSK512" s="2511"/>
      <c r="TSL512" s="1755"/>
      <c r="TSM512" s="1756"/>
      <c r="TSN512" s="1756"/>
      <c r="TSO512" s="1757"/>
      <c r="TSP512" s="385"/>
      <c r="TSQ512" s="69"/>
      <c r="TSR512" s="69"/>
      <c r="TSS512" s="2511"/>
      <c r="TST512" s="1755"/>
      <c r="TSU512" s="1756"/>
      <c r="TSV512" s="1756"/>
      <c r="TSW512" s="1757"/>
      <c r="TSX512" s="385"/>
      <c r="TSY512" s="69"/>
      <c r="TSZ512" s="69"/>
      <c r="TTA512" s="2511"/>
      <c r="TTB512" s="1755"/>
      <c r="TTC512" s="1756"/>
      <c r="TTD512" s="1756"/>
      <c r="TTE512" s="1757"/>
      <c r="TTF512" s="385"/>
      <c r="TTG512" s="69"/>
      <c r="TTH512" s="69"/>
      <c r="TTI512" s="2511"/>
      <c r="TTJ512" s="1755"/>
      <c r="TTK512" s="1756"/>
      <c r="TTL512" s="1756"/>
      <c r="TTM512" s="1757"/>
      <c r="TTN512" s="385"/>
      <c r="TTO512" s="69"/>
      <c r="TTP512" s="69"/>
      <c r="TTQ512" s="2511"/>
      <c r="TTR512" s="1755"/>
      <c r="TTS512" s="1756"/>
      <c r="TTT512" s="1756"/>
      <c r="TTU512" s="1757"/>
      <c r="TTV512" s="385"/>
      <c r="TTW512" s="69"/>
      <c r="TTX512" s="69"/>
      <c r="TTY512" s="2511"/>
      <c r="TTZ512" s="1755"/>
      <c r="TUA512" s="1756"/>
      <c r="TUB512" s="1756"/>
      <c r="TUC512" s="1757"/>
      <c r="TUD512" s="385"/>
      <c r="TUE512" s="69"/>
      <c r="TUF512" s="69"/>
      <c r="TUG512" s="2511"/>
      <c r="TUH512" s="1755"/>
      <c r="TUI512" s="1756"/>
      <c r="TUJ512" s="1756"/>
      <c r="TUK512" s="1757"/>
      <c r="TUL512" s="385"/>
      <c r="TUM512" s="69"/>
      <c r="TUN512" s="69"/>
      <c r="TUO512" s="2511"/>
      <c r="TUP512" s="1755"/>
      <c r="TUQ512" s="1756"/>
      <c r="TUR512" s="1756"/>
      <c r="TUS512" s="1757"/>
      <c r="TUT512" s="385"/>
      <c r="TUU512" s="69"/>
      <c r="TUV512" s="69"/>
      <c r="TUW512" s="2511"/>
      <c r="TUX512" s="1755"/>
      <c r="TUY512" s="1756"/>
      <c r="TUZ512" s="1756"/>
      <c r="TVA512" s="1757"/>
      <c r="TVB512" s="385"/>
      <c r="TVC512" s="69"/>
      <c r="TVD512" s="69"/>
      <c r="TVE512" s="2511"/>
      <c r="TVF512" s="1755"/>
      <c r="TVG512" s="1756"/>
      <c r="TVH512" s="1756"/>
      <c r="TVI512" s="1757"/>
      <c r="TVJ512" s="385"/>
      <c r="TVK512" s="69"/>
      <c r="TVL512" s="69"/>
      <c r="TVM512" s="2511"/>
      <c r="TVN512" s="1755"/>
      <c r="TVO512" s="1756"/>
      <c r="TVP512" s="1756"/>
      <c r="TVQ512" s="1757"/>
      <c r="TVR512" s="385"/>
      <c r="TVS512" s="69"/>
      <c r="TVT512" s="69"/>
      <c r="TVU512" s="2511"/>
      <c r="TVV512" s="1755"/>
      <c r="TVW512" s="1756"/>
      <c r="TVX512" s="1756"/>
      <c r="TVY512" s="1757"/>
      <c r="TVZ512" s="385"/>
      <c r="TWA512" s="69"/>
      <c r="TWB512" s="69"/>
      <c r="TWC512" s="2511"/>
      <c r="TWD512" s="1755"/>
      <c r="TWE512" s="1756"/>
      <c r="TWF512" s="1756"/>
      <c r="TWG512" s="1757"/>
      <c r="TWH512" s="385"/>
      <c r="TWI512" s="69"/>
      <c r="TWJ512" s="69"/>
      <c r="TWK512" s="2511"/>
      <c r="TWL512" s="1755"/>
      <c r="TWM512" s="1756"/>
      <c r="TWN512" s="1756"/>
      <c r="TWO512" s="1757"/>
      <c r="TWP512" s="385"/>
      <c r="TWQ512" s="69"/>
      <c r="TWR512" s="69"/>
      <c r="TWS512" s="2511"/>
      <c r="TWT512" s="1755"/>
      <c r="TWU512" s="1756"/>
      <c r="TWV512" s="1756"/>
      <c r="TWW512" s="1757"/>
      <c r="TWX512" s="385"/>
      <c r="TWY512" s="69"/>
      <c r="TWZ512" s="69"/>
      <c r="TXA512" s="2511"/>
      <c r="TXB512" s="1755"/>
      <c r="TXC512" s="1756"/>
      <c r="TXD512" s="1756"/>
      <c r="TXE512" s="1757"/>
      <c r="TXF512" s="385"/>
      <c r="TXG512" s="69"/>
      <c r="TXH512" s="69"/>
      <c r="TXI512" s="2511"/>
      <c r="TXJ512" s="1755"/>
      <c r="TXK512" s="1756"/>
      <c r="TXL512" s="1756"/>
      <c r="TXM512" s="1757"/>
      <c r="TXN512" s="385"/>
      <c r="TXO512" s="69"/>
      <c r="TXP512" s="69"/>
      <c r="TXQ512" s="2511"/>
      <c r="TXR512" s="1755"/>
      <c r="TXS512" s="1756"/>
      <c r="TXT512" s="1756"/>
      <c r="TXU512" s="1757"/>
      <c r="TXV512" s="385"/>
      <c r="TXW512" s="69"/>
      <c r="TXX512" s="69"/>
      <c r="TXY512" s="2511"/>
      <c r="TXZ512" s="1755"/>
      <c r="TYA512" s="1756"/>
      <c r="TYB512" s="1756"/>
      <c r="TYC512" s="1757"/>
      <c r="TYD512" s="385"/>
      <c r="TYE512" s="69"/>
      <c r="TYF512" s="69"/>
      <c r="TYG512" s="2511"/>
      <c r="TYH512" s="1755"/>
      <c r="TYI512" s="1756"/>
      <c r="TYJ512" s="1756"/>
      <c r="TYK512" s="1757"/>
      <c r="TYL512" s="385"/>
      <c r="TYM512" s="69"/>
      <c r="TYN512" s="69"/>
      <c r="TYO512" s="2511"/>
      <c r="TYP512" s="1755"/>
      <c r="TYQ512" s="1756"/>
      <c r="TYR512" s="1756"/>
      <c r="TYS512" s="1757"/>
      <c r="TYT512" s="385"/>
      <c r="TYU512" s="69"/>
      <c r="TYV512" s="69"/>
      <c r="TYW512" s="2511"/>
      <c r="TYX512" s="1755"/>
      <c r="TYY512" s="1756"/>
      <c r="TYZ512" s="1756"/>
      <c r="TZA512" s="1757"/>
      <c r="TZB512" s="385"/>
      <c r="TZC512" s="69"/>
      <c r="TZD512" s="69"/>
      <c r="TZE512" s="2511"/>
      <c r="TZF512" s="1755"/>
      <c r="TZG512" s="1756"/>
      <c r="TZH512" s="1756"/>
      <c r="TZI512" s="1757"/>
      <c r="TZJ512" s="385"/>
      <c r="TZK512" s="69"/>
      <c r="TZL512" s="69"/>
      <c r="TZM512" s="2511"/>
      <c r="TZN512" s="1755"/>
      <c r="TZO512" s="1756"/>
      <c r="TZP512" s="1756"/>
      <c r="TZQ512" s="1757"/>
      <c r="TZR512" s="385"/>
      <c r="TZS512" s="69"/>
      <c r="TZT512" s="69"/>
      <c r="TZU512" s="2511"/>
      <c r="TZV512" s="1755"/>
      <c r="TZW512" s="1756"/>
      <c r="TZX512" s="1756"/>
      <c r="TZY512" s="1757"/>
      <c r="TZZ512" s="385"/>
      <c r="UAA512" s="69"/>
      <c r="UAB512" s="69"/>
      <c r="UAC512" s="2511"/>
      <c r="UAD512" s="1755"/>
      <c r="UAE512" s="1756"/>
      <c r="UAF512" s="1756"/>
      <c r="UAG512" s="1757"/>
      <c r="UAH512" s="385"/>
      <c r="UAI512" s="69"/>
      <c r="UAJ512" s="69"/>
      <c r="UAK512" s="2511"/>
      <c r="UAL512" s="1755"/>
      <c r="UAM512" s="1756"/>
      <c r="UAN512" s="1756"/>
      <c r="UAO512" s="1757"/>
      <c r="UAP512" s="385"/>
      <c r="UAQ512" s="69"/>
      <c r="UAR512" s="69"/>
      <c r="UAS512" s="2511"/>
      <c r="UAT512" s="1755"/>
      <c r="UAU512" s="1756"/>
      <c r="UAV512" s="1756"/>
      <c r="UAW512" s="1757"/>
      <c r="UAX512" s="385"/>
      <c r="UAY512" s="69"/>
      <c r="UAZ512" s="69"/>
      <c r="UBA512" s="2511"/>
      <c r="UBB512" s="1755"/>
      <c r="UBC512" s="1756"/>
      <c r="UBD512" s="1756"/>
      <c r="UBE512" s="1757"/>
      <c r="UBF512" s="385"/>
      <c r="UBG512" s="69"/>
      <c r="UBH512" s="69"/>
      <c r="UBI512" s="2511"/>
      <c r="UBJ512" s="1755"/>
      <c r="UBK512" s="1756"/>
      <c r="UBL512" s="1756"/>
      <c r="UBM512" s="1757"/>
      <c r="UBN512" s="385"/>
      <c r="UBO512" s="69"/>
      <c r="UBP512" s="69"/>
      <c r="UBQ512" s="2511"/>
      <c r="UBR512" s="1755"/>
      <c r="UBS512" s="1756"/>
      <c r="UBT512" s="1756"/>
      <c r="UBU512" s="1757"/>
      <c r="UBV512" s="385"/>
      <c r="UBW512" s="69"/>
      <c r="UBX512" s="69"/>
      <c r="UBY512" s="2511"/>
      <c r="UBZ512" s="1755"/>
      <c r="UCA512" s="1756"/>
      <c r="UCB512" s="1756"/>
      <c r="UCC512" s="1757"/>
      <c r="UCD512" s="385"/>
      <c r="UCE512" s="69"/>
      <c r="UCF512" s="69"/>
      <c r="UCG512" s="2511"/>
      <c r="UCH512" s="1755"/>
      <c r="UCI512" s="1756"/>
      <c r="UCJ512" s="1756"/>
      <c r="UCK512" s="1757"/>
      <c r="UCL512" s="385"/>
      <c r="UCM512" s="69"/>
      <c r="UCN512" s="69"/>
      <c r="UCO512" s="2511"/>
      <c r="UCP512" s="1755"/>
      <c r="UCQ512" s="1756"/>
      <c r="UCR512" s="1756"/>
      <c r="UCS512" s="1757"/>
      <c r="UCT512" s="385"/>
      <c r="UCU512" s="69"/>
      <c r="UCV512" s="69"/>
      <c r="UCW512" s="2511"/>
      <c r="UCX512" s="1755"/>
      <c r="UCY512" s="1756"/>
      <c r="UCZ512" s="1756"/>
      <c r="UDA512" s="1757"/>
      <c r="UDB512" s="385"/>
      <c r="UDC512" s="69"/>
      <c r="UDD512" s="69"/>
      <c r="UDE512" s="2511"/>
      <c r="UDF512" s="1755"/>
      <c r="UDG512" s="1756"/>
      <c r="UDH512" s="1756"/>
      <c r="UDI512" s="1757"/>
      <c r="UDJ512" s="385"/>
      <c r="UDK512" s="69"/>
      <c r="UDL512" s="69"/>
      <c r="UDM512" s="2511"/>
      <c r="UDN512" s="1755"/>
      <c r="UDO512" s="1756"/>
      <c r="UDP512" s="1756"/>
      <c r="UDQ512" s="1757"/>
      <c r="UDR512" s="385"/>
      <c r="UDS512" s="69"/>
      <c r="UDT512" s="69"/>
      <c r="UDU512" s="2511"/>
      <c r="UDV512" s="1755"/>
      <c r="UDW512" s="1756"/>
      <c r="UDX512" s="1756"/>
      <c r="UDY512" s="1757"/>
      <c r="UDZ512" s="385"/>
      <c r="UEA512" s="69"/>
      <c r="UEB512" s="69"/>
      <c r="UEC512" s="2511"/>
      <c r="UED512" s="1755"/>
      <c r="UEE512" s="1756"/>
      <c r="UEF512" s="1756"/>
      <c r="UEG512" s="1757"/>
      <c r="UEH512" s="385"/>
      <c r="UEI512" s="69"/>
      <c r="UEJ512" s="69"/>
      <c r="UEK512" s="2511"/>
      <c r="UEL512" s="1755"/>
      <c r="UEM512" s="1756"/>
      <c r="UEN512" s="1756"/>
      <c r="UEO512" s="1757"/>
      <c r="UEP512" s="385"/>
      <c r="UEQ512" s="69"/>
      <c r="UER512" s="69"/>
      <c r="UES512" s="2511"/>
      <c r="UET512" s="1755"/>
      <c r="UEU512" s="1756"/>
      <c r="UEV512" s="1756"/>
      <c r="UEW512" s="1757"/>
      <c r="UEX512" s="385"/>
      <c r="UEY512" s="69"/>
      <c r="UEZ512" s="69"/>
      <c r="UFA512" s="2511"/>
      <c r="UFB512" s="1755"/>
      <c r="UFC512" s="1756"/>
      <c r="UFD512" s="1756"/>
      <c r="UFE512" s="1757"/>
      <c r="UFF512" s="385"/>
      <c r="UFG512" s="69"/>
      <c r="UFH512" s="69"/>
      <c r="UFI512" s="2511"/>
      <c r="UFJ512" s="1755"/>
      <c r="UFK512" s="1756"/>
      <c r="UFL512" s="1756"/>
      <c r="UFM512" s="1757"/>
      <c r="UFN512" s="385"/>
      <c r="UFO512" s="69"/>
      <c r="UFP512" s="69"/>
      <c r="UFQ512" s="2511"/>
      <c r="UFR512" s="1755"/>
      <c r="UFS512" s="1756"/>
      <c r="UFT512" s="1756"/>
      <c r="UFU512" s="1757"/>
      <c r="UFV512" s="385"/>
      <c r="UFW512" s="69"/>
      <c r="UFX512" s="69"/>
      <c r="UFY512" s="2511"/>
      <c r="UFZ512" s="1755"/>
      <c r="UGA512" s="1756"/>
      <c r="UGB512" s="1756"/>
      <c r="UGC512" s="1757"/>
      <c r="UGD512" s="385"/>
      <c r="UGE512" s="69"/>
      <c r="UGF512" s="69"/>
      <c r="UGG512" s="2511"/>
      <c r="UGH512" s="1755"/>
      <c r="UGI512" s="1756"/>
      <c r="UGJ512" s="1756"/>
      <c r="UGK512" s="1757"/>
      <c r="UGL512" s="385"/>
      <c r="UGM512" s="69"/>
      <c r="UGN512" s="69"/>
      <c r="UGO512" s="2511"/>
      <c r="UGP512" s="1755"/>
      <c r="UGQ512" s="1756"/>
      <c r="UGR512" s="1756"/>
      <c r="UGS512" s="1757"/>
      <c r="UGT512" s="385"/>
      <c r="UGU512" s="69"/>
      <c r="UGV512" s="69"/>
      <c r="UGW512" s="2511"/>
      <c r="UGX512" s="1755"/>
      <c r="UGY512" s="1756"/>
      <c r="UGZ512" s="1756"/>
      <c r="UHA512" s="1757"/>
      <c r="UHB512" s="385"/>
      <c r="UHC512" s="69"/>
      <c r="UHD512" s="69"/>
      <c r="UHE512" s="2511"/>
      <c r="UHF512" s="1755"/>
      <c r="UHG512" s="1756"/>
      <c r="UHH512" s="1756"/>
      <c r="UHI512" s="1757"/>
      <c r="UHJ512" s="385"/>
      <c r="UHK512" s="69"/>
      <c r="UHL512" s="69"/>
      <c r="UHM512" s="2511"/>
      <c r="UHN512" s="1755"/>
      <c r="UHO512" s="1756"/>
      <c r="UHP512" s="1756"/>
      <c r="UHQ512" s="1757"/>
      <c r="UHR512" s="385"/>
      <c r="UHS512" s="69"/>
      <c r="UHT512" s="69"/>
      <c r="UHU512" s="2511"/>
      <c r="UHV512" s="1755"/>
      <c r="UHW512" s="1756"/>
      <c r="UHX512" s="1756"/>
      <c r="UHY512" s="1757"/>
      <c r="UHZ512" s="385"/>
      <c r="UIA512" s="69"/>
      <c r="UIB512" s="69"/>
      <c r="UIC512" s="2511"/>
      <c r="UID512" s="1755"/>
      <c r="UIE512" s="1756"/>
      <c r="UIF512" s="1756"/>
      <c r="UIG512" s="1757"/>
      <c r="UIH512" s="385"/>
      <c r="UII512" s="69"/>
      <c r="UIJ512" s="69"/>
      <c r="UIK512" s="2511"/>
      <c r="UIL512" s="1755"/>
      <c r="UIM512" s="1756"/>
      <c r="UIN512" s="1756"/>
      <c r="UIO512" s="1757"/>
      <c r="UIP512" s="385"/>
      <c r="UIQ512" s="69"/>
      <c r="UIR512" s="69"/>
      <c r="UIS512" s="2511"/>
      <c r="UIT512" s="1755"/>
      <c r="UIU512" s="1756"/>
      <c r="UIV512" s="1756"/>
      <c r="UIW512" s="1757"/>
      <c r="UIX512" s="385"/>
      <c r="UIY512" s="69"/>
      <c r="UIZ512" s="69"/>
      <c r="UJA512" s="2511"/>
      <c r="UJB512" s="1755"/>
      <c r="UJC512" s="1756"/>
      <c r="UJD512" s="1756"/>
      <c r="UJE512" s="1757"/>
      <c r="UJF512" s="385"/>
      <c r="UJG512" s="69"/>
      <c r="UJH512" s="69"/>
      <c r="UJI512" s="2511"/>
      <c r="UJJ512" s="1755"/>
      <c r="UJK512" s="1756"/>
      <c r="UJL512" s="1756"/>
      <c r="UJM512" s="1757"/>
      <c r="UJN512" s="385"/>
      <c r="UJO512" s="69"/>
      <c r="UJP512" s="69"/>
      <c r="UJQ512" s="2511"/>
      <c r="UJR512" s="1755"/>
      <c r="UJS512" s="1756"/>
      <c r="UJT512" s="1756"/>
      <c r="UJU512" s="1757"/>
      <c r="UJV512" s="385"/>
      <c r="UJW512" s="69"/>
      <c r="UJX512" s="69"/>
      <c r="UJY512" s="2511"/>
      <c r="UJZ512" s="1755"/>
      <c r="UKA512" s="1756"/>
      <c r="UKB512" s="1756"/>
      <c r="UKC512" s="1757"/>
      <c r="UKD512" s="385"/>
      <c r="UKE512" s="69"/>
      <c r="UKF512" s="69"/>
      <c r="UKG512" s="2511"/>
      <c r="UKH512" s="1755"/>
      <c r="UKI512" s="1756"/>
      <c r="UKJ512" s="1756"/>
      <c r="UKK512" s="1757"/>
      <c r="UKL512" s="385"/>
      <c r="UKM512" s="69"/>
      <c r="UKN512" s="69"/>
      <c r="UKO512" s="2511"/>
      <c r="UKP512" s="1755"/>
      <c r="UKQ512" s="1756"/>
      <c r="UKR512" s="1756"/>
      <c r="UKS512" s="1757"/>
      <c r="UKT512" s="385"/>
      <c r="UKU512" s="69"/>
      <c r="UKV512" s="69"/>
      <c r="UKW512" s="2511"/>
      <c r="UKX512" s="1755"/>
      <c r="UKY512" s="1756"/>
      <c r="UKZ512" s="1756"/>
      <c r="ULA512" s="1757"/>
      <c r="ULB512" s="385"/>
      <c r="ULC512" s="69"/>
      <c r="ULD512" s="69"/>
      <c r="ULE512" s="2511"/>
      <c r="ULF512" s="1755"/>
      <c r="ULG512" s="1756"/>
      <c r="ULH512" s="1756"/>
      <c r="ULI512" s="1757"/>
      <c r="ULJ512" s="385"/>
      <c r="ULK512" s="69"/>
      <c r="ULL512" s="69"/>
      <c r="ULM512" s="2511"/>
      <c r="ULN512" s="1755"/>
      <c r="ULO512" s="1756"/>
      <c r="ULP512" s="1756"/>
      <c r="ULQ512" s="1757"/>
      <c r="ULR512" s="385"/>
      <c r="ULS512" s="69"/>
      <c r="ULT512" s="69"/>
      <c r="ULU512" s="2511"/>
      <c r="ULV512" s="1755"/>
      <c r="ULW512" s="1756"/>
      <c r="ULX512" s="1756"/>
      <c r="ULY512" s="1757"/>
      <c r="ULZ512" s="385"/>
      <c r="UMA512" s="69"/>
      <c r="UMB512" s="69"/>
      <c r="UMC512" s="2511"/>
      <c r="UMD512" s="1755"/>
      <c r="UME512" s="1756"/>
      <c r="UMF512" s="1756"/>
      <c r="UMG512" s="1757"/>
      <c r="UMH512" s="385"/>
      <c r="UMI512" s="69"/>
      <c r="UMJ512" s="69"/>
      <c r="UMK512" s="2511"/>
      <c r="UML512" s="1755"/>
      <c r="UMM512" s="1756"/>
      <c r="UMN512" s="1756"/>
      <c r="UMO512" s="1757"/>
      <c r="UMP512" s="385"/>
      <c r="UMQ512" s="69"/>
      <c r="UMR512" s="69"/>
      <c r="UMS512" s="2511"/>
      <c r="UMT512" s="1755"/>
      <c r="UMU512" s="1756"/>
      <c r="UMV512" s="1756"/>
      <c r="UMW512" s="1757"/>
      <c r="UMX512" s="385"/>
      <c r="UMY512" s="69"/>
      <c r="UMZ512" s="69"/>
      <c r="UNA512" s="2511"/>
      <c r="UNB512" s="1755"/>
      <c r="UNC512" s="1756"/>
      <c r="UND512" s="1756"/>
      <c r="UNE512" s="1757"/>
      <c r="UNF512" s="385"/>
      <c r="UNG512" s="69"/>
      <c r="UNH512" s="69"/>
      <c r="UNI512" s="2511"/>
      <c r="UNJ512" s="1755"/>
      <c r="UNK512" s="1756"/>
      <c r="UNL512" s="1756"/>
      <c r="UNM512" s="1757"/>
      <c r="UNN512" s="385"/>
      <c r="UNO512" s="69"/>
      <c r="UNP512" s="69"/>
      <c r="UNQ512" s="2511"/>
      <c r="UNR512" s="1755"/>
      <c r="UNS512" s="1756"/>
      <c r="UNT512" s="1756"/>
      <c r="UNU512" s="1757"/>
      <c r="UNV512" s="385"/>
      <c r="UNW512" s="69"/>
      <c r="UNX512" s="69"/>
      <c r="UNY512" s="2511"/>
      <c r="UNZ512" s="1755"/>
      <c r="UOA512" s="1756"/>
      <c r="UOB512" s="1756"/>
      <c r="UOC512" s="1757"/>
      <c r="UOD512" s="385"/>
      <c r="UOE512" s="69"/>
      <c r="UOF512" s="69"/>
      <c r="UOG512" s="2511"/>
      <c r="UOH512" s="1755"/>
      <c r="UOI512" s="1756"/>
      <c r="UOJ512" s="1756"/>
      <c r="UOK512" s="1757"/>
      <c r="UOL512" s="385"/>
      <c r="UOM512" s="69"/>
      <c r="UON512" s="69"/>
      <c r="UOO512" s="2511"/>
      <c r="UOP512" s="1755"/>
      <c r="UOQ512" s="1756"/>
      <c r="UOR512" s="1756"/>
      <c r="UOS512" s="1757"/>
      <c r="UOT512" s="385"/>
      <c r="UOU512" s="69"/>
      <c r="UOV512" s="69"/>
      <c r="UOW512" s="2511"/>
      <c r="UOX512" s="1755"/>
      <c r="UOY512" s="1756"/>
      <c r="UOZ512" s="1756"/>
      <c r="UPA512" s="1757"/>
      <c r="UPB512" s="385"/>
      <c r="UPC512" s="69"/>
      <c r="UPD512" s="69"/>
      <c r="UPE512" s="2511"/>
      <c r="UPF512" s="1755"/>
      <c r="UPG512" s="1756"/>
      <c r="UPH512" s="1756"/>
      <c r="UPI512" s="1757"/>
      <c r="UPJ512" s="385"/>
      <c r="UPK512" s="69"/>
      <c r="UPL512" s="69"/>
      <c r="UPM512" s="2511"/>
      <c r="UPN512" s="1755"/>
      <c r="UPO512" s="1756"/>
      <c r="UPP512" s="1756"/>
      <c r="UPQ512" s="1757"/>
      <c r="UPR512" s="385"/>
      <c r="UPS512" s="69"/>
      <c r="UPT512" s="69"/>
      <c r="UPU512" s="2511"/>
      <c r="UPV512" s="1755"/>
      <c r="UPW512" s="1756"/>
      <c r="UPX512" s="1756"/>
      <c r="UPY512" s="1757"/>
      <c r="UPZ512" s="385"/>
      <c r="UQA512" s="69"/>
      <c r="UQB512" s="69"/>
      <c r="UQC512" s="2511"/>
      <c r="UQD512" s="1755"/>
      <c r="UQE512" s="1756"/>
      <c r="UQF512" s="1756"/>
      <c r="UQG512" s="1757"/>
      <c r="UQH512" s="385"/>
      <c r="UQI512" s="69"/>
      <c r="UQJ512" s="69"/>
      <c r="UQK512" s="2511"/>
      <c r="UQL512" s="1755"/>
      <c r="UQM512" s="1756"/>
      <c r="UQN512" s="1756"/>
      <c r="UQO512" s="1757"/>
      <c r="UQP512" s="385"/>
      <c r="UQQ512" s="69"/>
      <c r="UQR512" s="69"/>
      <c r="UQS512" s="2511"/>
      <c r="UQT512" s="1755"/>
      <c r="UQU512" s="1756"/>
      <c r="UQV512" s="1756"/>
      <c r="UQW512" s="1757"/>
      <c r="UQX512" s="385"/>
      <c r="UQY512" s="69"/>
      <c r="UQZ512" s="69"/>
      <c r="URA512" s="2511"/>
      <c r="URB512" s="1755"/>
      <c r="URC512" s="1756"/>
      <c r="URD512" s="1756"/>
      <c r="URE512" s="1757"/>
      <c r="URF512" s="385"/>
      <c r="URG512" s="69"/>
      <c r="URH512" s="69"/>
      <c r="URI512" s="2511"/>
      <c r="URJ512" s="1755"/>
      <c r="URK512" s="1756"/>
      <c r="URL512" s="1756"/>
      <c r="URM512" s="1757"/>
      <c r="URN512" s="385"/>
      <c r="URO512" s="69"/>
      <c r="URP512" s="69"/>
      <c r="URQ512" s="2511"/>
      <c r="URR512" s="1755"/>
      <c r="URS512" s="1756"/>
      <c r="URT512" s="1756"/>
      <c r="URU512" s="1757"/>
      <c r="URV512" s="385"/>
      <c r="URW512" s="69"/>
      <c r="URX512" s="69"/>
      <c r="URY512" s="2511"/>
      <c r="URZ512" s="1755"/>
      <c r="USA512" s="1756"/>
      <c r="USB512" s="1756"/>
      <c r="USC512" s="1757"/>
      <c r="USD512" s="385"/>
      <c r="USE512" s="69"/>
      <c r="USF512" s="69"/>
      <c r="USG512" s="2511"/>
      <c r="USH512" s="1755"/>
      <c r="USI512" s="1756"/>
      <c r="USJ512" s="1756"/>
      <c r="USK512" s="1757"/>
      <c r="USL512" s="385"/>
      <c r="USM512" s="69"/>
      <c r="USN512" s="69"/>
      <c r="USO512" s="2511"/>
      <c r="USP512" s="1755"/>
      <c r="USQ512" s="1756"/>
      <c r="USR512" s="1756"/>
      <c r="USS512" s="1757"/>
      <c r="UST512" s="385"/>
      <c r="USU512" s="69"/>
      <c r="USV512" s="69"/>
      <c r="USW512" s="2511"/>
      <c r="USX512" s="1755"/>
      <c r="USY512" s="1756"/>
      <c r="USZ512" s="1756"/>
      <c r="UTA512" s="1757"/>
      <c r="UTB512" s="385"/>
      <c r="UTC512" s="69"/>
      <c r="UTD512" s="69"/>
      <c r="UTE512" s="2511"/>
      <c r="UTF512" s="1755"/>
      <c r="UTG512" s="1756"/>
      <c r="UTH512" s="1756"/>
      <c r="UTI512" s="1757"/>
      <c r="UTJ512" s="385"/>
      <c r="UTK512" s="69"/>
      <c r="UTL512" s="69"/>
      <c r="UTM512" s="2511"/>
      <c r="UTN512" s="1755"/>
      <c r="UTO512" s="1756"/>
      <c r="UTP512" s="1756"/>
      <c r="UTQ512" s="1757"/>
      <c r="UTR512" s="385"/>
      <c r="UTS512" s="69"/>
      <c r="UTT512" s="69"/>
      <c r="UTU512" s="2511"/>
      <c r="UTV512" s="1755"/>
      <c r="UTW512" s="1756"/>
      <c r="UTX512" s="1756"/>
      <c r="UTY512" s="1757"/>
      <c r="UTZ512" s="385"/>
      <c r="UUA512" s="69"/>
      <c r="UUB512" s="69"/>
      <c r="UUC512" s="2511"/>
      <c r="UUD512" s="1755"/>
      <c r="UUE512" s="1756"/>
      <c r="UUF512" s="1756"/>
      <c r="UUG512" s="1757"/>
      <c r="UUH512" s="385"/>
      <c r="UUI512" s="69"/>
      <c r="UUJ512" s="69"/>
      <c r="UUK512" s="2511"/>
      <c r="UUL512" s="1755"/>
      <c r="UUM512" s="1756"/>
      <c r="UUN512" s="1756"/>
      <c r="UUO512" s="1757"/>
      <c r="UUP512" s="385"/>
      <c r="UUQ512" s="69"/>
      <c r="UUR512" s="69"/>
      <c r="UUS512" s="2511"/>
      <c r="UUT512" s="1755"/>
      <c r="UUU512" s="1756"/>
      <c r="UUV512" s="1756"/>
      <c r="UUW512" s="1757"/>
      <c r="UUX512" s="385"/>
      <c r="UUY512" s="69"/>
      <c r="UUZ512" s="69"/>
      <c r="UVA512" s="2511"/>
      <c r="UVB512" s="1755"/>
      <c r="UVC512" s="1756"/>
      <c r="UVD512" s="1756"/>
      <c r="UVE512" s="1757"/>
      <c r="UVF512" s="385"/>
      <c r="UVG512" s="69"/>
      <c r="UVH512" s="69"/>
      <c r="UVI512" s="2511"/>
      <c r="UVJ512" s="1755"/>
      <c r="UVK512" s="1756"/>
      <c r="UVL512" s="1756"/>
      <c r="UVM512" s="1757"/>
      <c r="UVN512" s="385"/>
      <c r="UVO512" s="69"/>
      <c r="UVP512" s="69"/>
      <c r="UVQ512" s="2511"/>
      <c r="UVR512" s="1755"/>
      <c r="UVS512" s="1756"/>
      <c r="UVT512" s="1756"/>
      <c r="UVU512" s="1757"/>
      <c r="UVV512" s="385"/>
      <c r="UVW512" s="69"/>
      <c r="UVX512" s="69"/>
      <c r="UVY512" s="2511"/>
      <c r="UVZ512" s="1755"/>
      <c r="UWA512" s="1756"/>
      <c r="UWB512" s="1756"/>
      <c r="UWC512" s="1757"/>
      <c r="UWD512" s="385"/>
      <c r="UWE512" s="69"/>
      <c r="UWF512" s="69"/>
      <c r="UWG512" s="2511"/>
      <c r="UWH512" s="1755"/>
      <c r="UWI512" s="1756"/>
      <c r="UWJ512" s="1756"/>
      <c r="UWK512" s="1757"/>
      <c r="UWL512" s="385"/>
      <c r="UWM512" s="69"/>
      <c r="UWN512" s="69"/>
      <c r="UWO512" s="2511"/>
      <c r="UWP512" s="1755"/>
      <c r="UWQ512" s="1756"/>
      <c r="UWR512" s="1756"/>
      <c r="UWS512" s="1757"/>
      <c r="UWT512" s="385"/>
      <c r="UWU512" s="69"/>
      <c r="UWV512" s="69"/>
      <c r="UWW512" s="2511"/>
      <c r="UWX512" s="1755"/>
      <c r="UWY512" s="1756"/>
      <c r="UWZ512" s="1756"/>
      <c r="UXA512" s="1757"/>
      <c r="UXB512" s="385"/>
      <c r="UXC512" s="69"/>
      <c r="UXD512" s="69"/>
      <c r="UXE512" s="2511"/>
      <c r="UXF512" s="1755"/>
      <c r="UXG512" s="1756"/>
      <c r="UXH512" s="1756"/>
      <c r="UXI512" s="1757"/>
      <c r="UXJ512" s="385"/>
      <c r="UXK512" s="69"/>
      <c r="UXL512" s="69"/>
      <c r="UXM512" s="2511"/>
      <c r="UXN512" s="1755"/>
      <c r="UXO512" s="1756"/>
      <c r="UXP512" s="1756"/>
      <c r="UXQ512" s="1757"/>
      <c r="UXR512" s="385"/>
      <c r="UXS512" s="69"/>
      <c r="UXT512" s="69"/>
      <c r="UXU512" s="2511"/>
      <c r="UXV512" s="1755"/>
      <c r="UXW512" s="1756"/>
      <c r="UXX512" s="1756"/>
      <c r="UXY512" s="1757"/>
      <c r="UXZ512" s="385"/>
      <c r="UYA512" s="69"/>
      <c r="UYB512" s="69"/>
      <c r="UYC512" s="2511"/>
      <c r="UYD512" s="1755"/>
      <c r="UYE512" s="1756"/>
      <c r="UYF512" s="1756"/>
      <c r="UYG512" s="1757"/>
      <c r="UYH512" s="385"/>
      <c r="UYI512" s="69"/>
      <c r="UYJ512" s="69"/>
      <c r="UYK512" s="2511"/>
      <c r="UYL512" s="1755"/>
      <c r="UYM512" s="1756"/>
      <c r="UYN512" s="1756"/>
      <c r="UYO512" s="1757"/>
      <c r="UYP512" s="385"/>
      <c r="UYQ512" s="69"/>
      <c r="UYR512" s="69"/>
      <c r="UYS512" s="2511"/>
      <c r="UYT512" s="1755"/>
      <c r="UYU512" s="1756"/>
      <c r="UYV512" s="1756"/>
      <c r="UYW512" s="1757"/>
      <c r="UYX512" s="385"/>
      <c r="UYY512" s="69"/>
      <c r="UYZ512" s="69"/>
      <c r="UZA512" s="2511"/>
      <c r="UZB512" s="1755"/>
      <c r="UZC512" s="1756"/>
      <c r="UZD512" s="1756"/>
      <c r="UZE512" s="1757"/>
      <c r="UZF512" s="385"/>
      <c r="UZG512" s="69"/>
      <c r="UZH512" s="69"/>
      <c r="UZI512" s="2511"/>
      <c r="UZJ512" s="1755"/>
      <c r="UZK512" s="1756"/>
      <c r="UZL512" s="1756"/>
      <c r="UZM512" s="1757"/>
      <c r="UZN512" s="385"/>
      <c r="UZO512" s="69"/>
      <c r="UZP512" s="69"/>
      <c r="UZQ512" s="2511"/>
      <c r="UZR512" s="1755"/>
      <c r="UZS512" s="1756"/>
      <c r="UZT512" s="1756"/>
      <c r="UZU512" s="1757"/>
      <c r="UZV512" s="385"/>
      <c r="UZW512" s="69"/>
      <c r="UZX512" s="69"/>
      <c r="UZY512" s="2511"/>
      <c r="UZZ512" s="1755"/>
      <c r="VAA512" s="1756"/>
      <c r="VAB512" s="1756"/>
      <c r="VAC512" s="1757"/>
      <c r="VAD512" s="385"/>
      <c r="VAE512" s="69"/>
      <c r="VAF512" s="69"/>
      <c r="VAG512" s="2511"/>
      <c r="VAH512" s="1755"/>
      <c r="VAI512" s="1756"/>
      <c r="VAJ512" s="1756"/>
      <c r="VAK512" s="1757"/>
      <c r="VAL512" s="385"/>
      <c r="VAM512" s="69"/>
      <c r="VAN512" s="69"/>
      <c r="VAO512" s="2511"/>
      <c r="VAP512" s="1755"/>
      <c r="VAQ512" s="1756"/>
      <c r="VAR512" s="1756"/>
      <c r="VAS512" s="1757"/>
      <c r="VAT512" s="385"/>
      <c r="VAU512" s="69"/>
      <c r="VAV512" s="69"/>
      <c r="VAW512" s="2511"/>
      <c r="VAX512" s="1755"/>
      <c r="VAY512" s="1756"/>
      <c r="VAZ512" s="1756"/>
      <c r="VBA512" s="1757"/>
      <c r="VBB512" s="385"/>
      <c r="VBC512" s="69"/>
      <c r="VBD512" s="69"/>
      <c r="VBE512" s="2511"/>
      <c r="VBF512" s="1755"/>
      <c r="VBG512" s="1756"/>
      <c r="VBH512" s="1756"/>
      <c r="VBI512" s="1757"/>
      <c r="VBJ512" s="385"/>
      <c r="VBK512" s="69"/>
      <c r="VBL512" s="69"/>
      <c r="VBM512" s="2511"/>
      <c r="VBN512" s="1755"/>
      <c r="VBO512" s="1756"/>
      <c r="VBP512" s="1756"/>
      <c r="VBQ512" s="1757"/>
      <c r="VBR512" s="385"/>
      <c r="VBS512" s="69"/>
      <c r="VBT512" s="69"/>
      <c r="VBU512" s="2511"/>
      <c r="VBV512" s="1755"/>
      <c r="VBW512" s="1756"/>
      <c r="VBX512" s="1756"/>
      <c r="VBY512" s="1757"/>
      <c r="VBZ512" s="385"/>
      <c r="VCA512" s="69"/>
      <c r="VCB512" s="69"/>
      <c r="VCC512" s="2511"/>
      <c r="VCD512" s="1755"/>
      <c r="VCE512" s="1756"/>
      <c r="VCF512" s="1756"/>
      <c r="VCG512" s="1757"/>
      <c r="VCH512" s="385"/>
      <c r="VCI512" s="69"/>
      <c r="VCJ512" s="69"/>
      <c r="VCK512" s="2511"/>
      <c r="VCL512" s="1755"/>
      <c r="VCM512" s="1756"/>
      <c r="VCN512" s="1756"/>
      <c r="VCO512" s="1757"/>
      <c r="VCP512" s="385"/>
      <c r="VCQ512" s="69"/>
      <c r="VCR512" s="69"/>
      <c r="VCS512" s="2511"/>
      <c r="VCT512" s="1755"/>
      <c r="VCU512" s="1756"/>
      <c r="VCV512" s="1756"/>
      <c r="VCW512" s="1757"/>
      <c r="VCX512" s="385"/>
      <c r="VCY512" s="69"/>
      <c r="VCZ512" s="69"/>
      <c r="VDA512" s="2511"/>
      <c r="VDB512" s="1755"/>
      <c r="VDC512" s="1756"/>
      <c r="VDD512" s="1756"/>
      <c r="VDE512" s="1757"/>
      <c r="VDF512" s="385"/>
      <c r="VDG512" s="69"/>
      <c r="VDH512" s="69"/>
      <c r="VDI512" s="2511"/>
      <c r="VDJ512" s="1755"/>
      <c r="VDK512" s="1756"/>
      <c r="VDL512" s="1756"/>
      <c r="VDM512" s="1757"/>
      <c r="VDN512" s="385"/>
      <c r="VDO512" s="69"/>
      <c r="VDP512" s="69"/>
      <c r="VDQ512" s="2511"/>
      <c r="VDR512" s="1755"/>
      <c r="VDS512" s="1756"/>
      <c r="VDT512" s="1756"/>
      <c r="VDU512" s="1757"/>
      <c r="VDV512" s="385"/>
      <c r="VDW512" s="69"/>
      <c r="VDX512" s="69"/>
      <c r="VDY512" s="2511"/>
      <c r="VDZ512" s="1755"/>
      <c r="VEA512" s="1756"/>
      <c r="VEB512" s="1756"/>
      <c r="VEC512" s="1757"/>
      <c r="VED512" s="385"/>
      <c r="VEE512" s="69"/>
      <c r="VEF512" s="69"/>
      <c r="VEG512" s="2511"/>
      <c r="VEH512" s="1755"/>
      <c r="VEI512" s="1756"/>
      <c r="VEJ512" s="1756"/>
      <c r="VEK512" s="1757"/>
      <c r="VEL512" s="385"/>
      <c r="VEM512" s="69"/>
      <c r="VEN512" s="69"/>
      <c r="VEO512" s="2511"/>
      <c r="VEP512" s="1755"/>
      <c r="VEQ512" s="1756"/>
      <c r="VER512" s="1756"/>
      <c r="VES512" s="1757"/>
      <c r="VET512" s="385"/>
      <c r="VEU512" s="69"/>
      <c r="VEV512" s="69"/>
      <c r="VEW512" s="2511"/>
      <c r="VEX512" s="1755"/>
      <c r="VEY512" s="1756"/>
      <c r="VEZ512" s="1756"/>
      <c r="VFA512" s="1757"/>
      <c r="VFB512" s="385"/>
      <c r="VFC512" s="69"/>
      <c r="VFD512" s="69"/>
      <c r="VFE512" s="2511"/>
      <c r="VFF512" s="1755"/>
      <c r="VFG512" s="1756"/>
      <c r="VFH512" s="1756"/>
      <c r="VFI512" s="1757"/>
      <c r="VFJ512" s="385"/>
      <c r="VFK512" s="69"/>
      <c r="VFL512" s="69"/>
      <c r="VFM512" s="2511"/>
      <c r="VFN512" s="1755"/>
      <c r="VFO512" s="1756"/>
      <c r="VFP512" s="1756"/>
      <c r="VFQ512" s="1757"/>
      <c r="VFR512" s="385"/>
      <c r="VFS512" s="69"/>
      <c r="VFT512" s="69"/>
      <c r="VFU512" s="2511"/>
      <c r="VFV512" s="1755"/>
      <c r="VFW512" s="1756"/>
      <c r="VFX512" s="1756"/>
      <c r="VFY512" s="1757"/>
      <c r="VFZ512" s="385"/>
      <c r="VGA512" s="69"/>
      <c r="VGB512" s="69"/>
      <c r="VGC512" s="2511"/>
      <c r="VGD512" s="1755"/>
      <c r="VGE512" s="1756"/>
      <c r="VGF512" s="1756"/>
      <c r="VGG512" s="1757"/>
      <c r="VGH512" s="385"/>
      <c r="VGI512" s="69"/>
      <c r="VGJ512" s="69"/>
      <c r="VGK512" s="2511"/>
      <c r="VGL512" s="1755"/>
      <c r="VGM512" s="1756"/>
      <c r="VGN512" s="1756"/>
      <c r="VGO512" s="1757"/>
      <c r="VGP512" s="385"/>
      <c r="VGQ512" s="69"/>
      <c r="VGR512" s="69"/>
      <c r="VGS512" s="2511"/>
      <c r="VGT512" s="1755"/>
      <c r="VGU512" s="1756"/>
      <c r="VGV512" s="1756"/>
      <c r="VGW512" s="1757"/>
      <c r="VGX512" s="385"/>
      <c r="VGY512" s="69"/>
      <c r="VGZ512" s="69"/>
      <c r="VHA512" s="2511"/>
      <c r="VHB512" s="1755"/>
      <c r="VHC512" s="1756"/>
      <c r="VHD512" s="1756"/>
      <c r="VHE512" s="1757"/>
      <c r="VHF512" s="385"/>
      <c r="VHG512" s="69"/>
      <c r="VHH512" s="69"/>
      <c r="VHI512" s="2511"/>
      <c r="VHJ512" s="1755"/>
      <c r="VHK512" s="1756"/>
      <c r="VHL512" s="1756"/>
      <c r="VHM512" s="1757"/>
      <c r="VHN512" s="385"/>
      <c r="VHO512" s="69"/>
      <c r="VHP512" s="69"/>
      <c r="VHQ512" s="2511"/>
      <c r="VHR512" s="1755"/>
      <c r="VHS512" s="1756"/>
      <c r="VHT512" s="1756"/>
      <c r="VHU512" s="1757"/>
      <c r="VHV512" s="385"/>
      <c r="VHW512" s="69"/>
      <c r="VHX512" s="69"/>
      <c r="VHY512" s="2511"/>
      <c r="VHZ512" s="1755"/>
      <c r="VIA512" s="1756"/>
      <c r="VIB512" s="1756"/>
      <c r="VIC512" s="1757"/>
      <c r="VID512" s="385"/>
      <c r="VIE512" s="69"/>
      <c r="VIF512" s="69"/>
      <c r="VIG512" s="2511"/>
      <c r="VIH512" s="1755"/>
      <c r="VII512" s="1756"/>
      <c r="VIJ512" s="1756"/>
      <c r="VIK512" s="1757"/>
      <c r="VIL512" s="385"/>
      <c r="VIM512" s="69"/>
      <c r="VIN512" s="69"/>
      <c r="VIO512" s="2511"/>
      <c r="VIP512" s="1755"/>
      <c r="VIQ512" s="1756"/>
      <c r="VIR512" s="1756"/>
      <c r="VIS512" s="1757"/>
      <c r="VIT512" s="385"/>
      <c r="VIU512" s="69"/>
      <c r="VIV512" s="69"/>
      <c r="VIW512" s="2511"/>
      <c r="VIX512" s="1755"/>
      <c r="VIY512" s="1756"/>
      <c r="VIZ512" s="1756"/>
      <c r="VJA512" s="1757"/>
      <c r="VJB512" s="385"/>
      <c r="VJC512" s="69"/>
      <c r="VJD512" s="69"/>
      <c r="VJE512" s="2511"/>
      <c r="VJF512" s="1755"/>
      <c r="VJG512" s="1756"/>
      <c r="VJH512" s="1756"/>
      <c r="VJI512" s="1757"/>
      <c r="VJJ512" s="385"/>
      <c r="VJK512" s="69"/>
      <c r="VJL512" s="69"/>
      <c r="VJM512" s="2511"/>
      <c r="VJN512" s="1755"/>
      <c r="VJO512" s="1756"/>
      <c r="VJP512" s="1756"/>
      <c r="VJQ512" s="1757"/>
      <c r="VJR512" s="385"/>
      <c r="VJS512" s="69"/>
      <c r="VJT512" s="69"/>
      <c r="VJU512" s="2511"/>
      <c r="VJV512" s="1755"/>
      <c r="VJW512" s="1756"/>
      <c r="VJX512" s="1756"/>
      <c r="VJY512" s="1757"/>
      <c r="VJZ512" s="385"/>
      <c r="VKA512" s="69"/>
      <c r="VKB512" s="69"/>
      <c r="VKC512" s="2511"/>
      <c r="VKD512" s="1755"/>
      <c r="VKE512" s="1756"/>
      <c r="VKF512" s="1756"/>
      <c r="VKG512" s="1757"/>
      <c r="VKH512" s="385"/>
      <c r="VKI512" s="69"/>
      <c r="VKJ512" s="69"/>
      <c r="VKK512" s="2511"/>
      <c r="VKL512" s="1755"/>
      <c r="VKM512" s="1756"/>
      <c r="VKN512" s="1756"/>
      <c r="VKO512" s="1757"/>
      <c r="VKP512" s="385"/>
      <c r="VKQ512" s="69"/>
      <c r="VKR512" s="69"/>
      <c r="VKS512" s="2511"/>
      <c r="VKT512" s="1755"/>
      <c r="VKU512" s="1756"/>
      <c r="VKV512" s="1756"/>
      <c r="VKW512" s="1757"/>
      <c r="VKX512" s="385"/>
      <c r="VKY512" s="69"/>
      <c r="VKZ512" s="69"/>
      <c r="VLA512" s="2511"/>
      <c r="VLB512" s="1755"/>
      <c r="VLC512" s="1756"/>
      <c r="VLD512" s="1756"/>
      <c r="VLE512" s="1757"/>
      <c r="VLF512" s="385"/>
      <c r="VLG512" s="69"/>
      <c r="VLH512" s="69"/>
      <c r="VLI512" s="2511"/>
      <c r="VLJ512" s="1755"/>
      <c r="VLK512" s="1756"/>
      <c r="VLL512" s="1756"/>
      <c r="VLM512" s="1757"/>
      <c r="VLN512" s="385"/>
      <c r="VLO512" s="69"/>
      <c r="VLP512" s="69"/>
      <c r="VLQ512" s="2511"/>
      <c r="VLR512" s="1755"/>
      <c r="VLS512" s="1756"/>
      <c r="VLT512" s="1756"/>
      <c r="VLU512" s="1757"/>
      <c r="VLV512" s="385"/>
      <c r="VLW512" s="69"/>
      <c r="VLX512" s="69"/>
      <c r="VLY512" s="2511"/>
      <c r="VLZ512" s="1755"/>
      <c r="VMA512" s="1756"/>
      <c r="VMB512" s="1756"/>
      <c r="VMC512" s="1757"/>
      <c r="VMD512" s="385"/>
      <c r="VME512" s="69"/>
      <c r="VMF512" s="69"/>
      <c r="VMG512" s="2511"/>
      <c r="VMH512" s="1755"/>
      <c r="VMI512" s="1756"/>
      <c r="VMJ512" s="1756"/>
      <c r="VMK512" s="1757"/>
      <c r="VML512" s="385"/>
      <c r="VMM512" s="69"/>
      <c r="VMN512" s="69"/>
      <c r="VMO512" s="2511"/>
      <c r="VMP512" s="1755"/>
      <c r="VMQ512" s="1756"/>
      <c r="VMR512" s="1756"/>
      <c r="VMS512" s="1757"/>
      <c r="VMT512" s="385"/>
      <c r="VMU512" s="69"/>
      <c r="VMV512" s="69"/>
      <c r="VMW512" s="2511"/>
      <c r="VMX512" s="1755"/>
      <c r="VMY512" s="1756"/>
      <c r="VMZ512" s="1756"/>
      <c r="VNA512" s="1757"/>
      <c r="VNB512" s="385"/>
      <c r="VNC512" s="69"/>
      <c r="VND512" s="69"/>
      <c r="VNE512" s="2511"/>
      <c r="VNF512" s="1755"/>
      <c r="VNG512" s="1756"/>
      <c r="VNH512" s="1756"/>
      <c r="VNI512" s="1757"/>
      <c r="VNJ512" s="385"/>
      <c r="VNK512" s="69"/>
      <c r="VNL512" s="69"/>
      <c r="VNM512" s="2511"/>
      <c r="VNN512" s="1755"/>
      <c r="VNO512" s="1756"/>
      <c r="VNP512" s="1756"/>
      <c r="VNQ512" s="1757"/>
      <c r="VNR512" s="385"/>
      <c r="VNS512" s="69"/>
      <c r="VNT512" s="69"/>
      <c r="VNU512" s="2511"/>
      <c r="VNV512" s="1755"/>
      <c r="VNW512" s="1756"/>
      <c r="VNX512" s="1756"/>
      <c r="VNY512" s="1757"/>
      <c r="VNZ512" s="385"/>
      <c r="VOA512" s="69"/>
      <c r="VOB512" s="69"/>
      <c r="VOC512" s="2511"/>
      <c r="VOD512" s="1755"/>
      <c r="VOE512" s="1756"/>
      <c r="VOF512" s="1756"/>
      <c r="VOG512" s="1757"/>
      <c r="VOH512" s="385"/>
      <c r="VOI512" s="69"/>
      <c r="VOJ512" s="69"/>
      <c r="VOK512" s="2511"/>
      <c r="VOL512" s="1755"/>
      <c r="VOM512" s="1756"/>
      <c r="VON512" s="1756"/>
      <c r="VOO512" s="1757"/>
      <c r="VOP512" s="385"/>
      <c r="VOQ512" s="69"/>
      <c r="VOR512" s="69"/>
      <c r="VOS512" s="2511"/>
      <c r="VOT512" s="1755"/>
      <c r="VOU512" s="1756"/>
      <c r="VOV512" s="1756"/>
      <c r="VOW512" s="1757"/>
      <c r="VOX512" s="385"/>
      <c r="VOY512" s="69"/>
      <c r="VOZ512" s="69"/>
      <c r="VPA512" s="2511"/>
      <c r="VPB512" s="1755"/>
      <c r="VPC512" s="1756"/>
      <c r="VPD512" s="1756"/>
      <c r="VPE512" s="1757"/>
      <c r="VPF512" s="385"/>
      <c r="VPG512" s="69"/>
      <c r="VPH512" s="69"/>
      <c r="VPI512" s="2511"/>
      <c r="VPJ512" s="1755"/>
      <c r="VPK512" s="1756"/>
      <c r="VPL512" s="1756"/>
      <c r="VPM512" s="1757"/>
      <c r="VPN512" s="385"/>
      <c r="VPO512" s="69"/>
      <c r="VPP512" s="69"/>
      <c r="VPQ512" s="2511"/>
      <c r="VPR512" s="1755"/>
      <c r="VPS512" s="1756"/>
      <c r="VPT512" s="1756"/>
      <c r="VPU512" s="1757"/>
      <c r="VPV512" s="385"/>
      <c r="VPW512" s="69"/>
      <c r="VPX512" s="69"/>
      <c r="VPY512" s="2511"/>
      <c r="VPZ512" s="1755"/>
      <c r="VQA512" s="1756"/>
      <c r="VQB512" s="1756"/>
      <c r="VQC512" s="1757"/>
      <c r="VQD512" s="385"/>
      <c r="VQE512" s="69"/>
      <c r="VQF512" s="69"/>
      <c r="VQG512" s="2511"/>
      <c r="VQH512" s="1755"/>
      <c r="VQI512" s="1756"/>
      <c r="VQJ512" s="1756"/>
      <c r="VQK512" s="1757"/>
      <c r="VQL512" s="385"/>
      <c r="VQM512" s="69"/>
      <c r="VQN512" s="69"/>
      <c r="VQO512" s="2511"/>
      <c r="VQP512" s="1755"/>
      <c r="VQQ512" s="1756"/>
      <c r="VQR512" s="1756"/>
      <c r="VQS512" s="1757"/>
      <c r="VQT512" s="385"/>
      <c r="VQU512" s="69"/>
      <c r="VQV512" s="69"/>
      <c r="VQW512" s="2511"/>
      <c r="VQX512" s="1755"/>
      <c r="VQY512" s="1756"/>
      <c r="VQZ512" s="1756"/>
      <c r="VRA512" s="1757"/>
      <c r="VRB512" s="385"/>
      <c r="VRC512" s="69"/>
      <c r="VRD512" s="69"/>
      <c r="VRE512" s="2511"/>
      <c r="VRF512" s="1755"/>
      <c r="VRG512" s="1756"/>
      <c r="VRH512" s="1756"/>
      <c r="VRI512" s="1757"/>
      <c r="VRJ512" s="385"/>
      <c r="VRK512" s="69"/>
      <c r="VRL512" s="69"/>
      <c r="VRM512" s="2511"/>
      <c r="VRN512" s="1755"/>
      <c r="VRO512" s="1756"/>
      <c r="VRP512" s="1756"/>
      <c r="VRQ512" s="1757"/>
      <c r="VRR512" s="385"/>
      <c r="VRS512" s="69"/>
      <c r="VRT512" s="69"/>
      <c r="VRU512" s="2511"/>
      <c r="VRV512" s="1755"/>
      <c r="VRW512" s="1756"/>
      <c r="VRX512" s="1756"/>
      <c r="VRY512" s="1757"/>
      <c r="VRZ512" s="385"/>
      <c r="VSA512" s="69"/>
      <c r="VSB512" s="69"/>
      <c r="VSC512" s="2511"/>
      <c r="VSD512" s="1755"/>
      <c r="VSE512" s="1756"/>
      <c r="VSF512" s="1756"/>
      <c r="VSG512" s="1757"/>
      <c r="VSH512" s="385"/>
      <c r="VSI512" s="69"/>
      <c r="VSJ512" s="69"/>
      <c r="VSK512" s="2511"/>
      <c r="VSL512" s="1755"/>
      <c r="VSM512" s="1756"/>
      <c r="VSN512" s="1756"/>
      <c r="VSO512" s="1757"/>
      <c r="VSP512" s="385"/>
      <c r="VSQ512" s="69"/>
      <c r="VSR512" s="69"/>
      <c r="VSS512" s="2511"/>
      <c r="VST512" s="1755"/>
      <c r="VSU512" s="1756"/>
      <c r="VSV512" s="1756"/>
      <c r="VSW512" s="1757"/>
      <c r="VSX512" s="385"/>
      <c r="VSY512" s="69"/>
      <c r="VSZ512" s="69"/>
      <c r="VTA512" s="2511"/>
      <c r="VTB512" s="1755"/>
      <c r="VTC512" s="1756"/>
      <c r="VTD512" s="1756"/>
      <c r="VTE512" s="1757"/>
      <c r="VTF512" s="385"/>
      <c r="VTG512" s="69"/>
      <c r="VTH512" s="69"/>
      <c r="VTI512" s="2511"/>
      <c r="VTJ512" s="1755"/>
      <c r="VTK512" s="1756"/>
      <c r="VTL512" s="1756"/>
      <c r="VTM512" s="1757"/>
      <c r="VTN512" s="385"/>
      <c r="VTO512" s="69"/>
      <c r="VTP512" s="69"/>
      <c r="VTQ512" s="2511"/>
      <c r="VTR512" s="1755"/>
      <c r="VTS512" s="1756"/>
      <c r="VTT512" s="1756"/>
      <c r="VTU512" s="1757"/>
      <c r="VTV512" s="385"/>
      <c r="VTW512" s="69"/>
      <c r="VTX512" s="69"/>
      <c r="VTY512" s="2511"/>
      <c r="VTZ512" s="1755"/>
      <c r="VUA512" s="1756"/>
      <c r="VUB512" s="1756"/>
      <c r="VUC512" s="1757"/>
      <c r="VUD512" s="385"/>
      <c r="VUE512" s="69"/>
      <c r="VUF512" s="69"/>
      <c r="VUG512" s="2511"/>
      <c r="VUH512" s="1755"/>
      <c r="VUI512" s="1756"/>
      <c r="VUJ512" s="1756"/>
      <c r="VUK512" s="1757"/>
      <c r="VUL512" s="385"/>
      <c r="VUM512" s="69"/>
      <c r="VUN512" s="69"/>
      <c r="VUO512" s="2511"/>
      <c r="VUP512" s="1755"/>
      <c r="VUQ512" s="1756"/>
      <c r="VUR512" s="1756"/>
      <c r="VUS512" s="1757"/>
      <c r="VUT512" s="385"/>
      <c r="VUU512" s="69"/>
      <c r="VUV512" s="69"/>
      <c r="VUW512" s="2511"/>
      <c r="VUX512" s="1755"/>
      <c r="VUY512" s="1756"/>
      <c r="VUZ512" s="1756"/>
      <c r="VVA512" s="1757"/>
      <c r="VVB512" s="385"/>
      <c r="VVC512" s="69"/>
      <c r="VVD512" s="69"/>
      <c r="VVE512" s="2511"/>
      <c r="VVF512" s="1755"/>
      <c r="VVG512" s="1756"/>
      <c r="VVH512" s="1756"/>
      <c r="VVI512" s="1757"/>
      <c r="VVJ512" s="385"/>
      <c r="VVK512" s="69"/>
      <c r="VVL512" s="69"/>
      <c r="VVM512" s="2511"/>
      <c r="VVN512" s="1755"/>
      <c r="VVO512" s="1756"/>
      <c r="VVP512" s="1756"/>
      <c r="VVQ512" s="1757"/>
      <c r="VVR512" s="385"/>
      <c r="VVS512" s="69"/>
      <c r="VVT512" s="69"/>
      <c r="VVU512" s="2511"/>
      <c r="VVV512" s="1755"/>
      <c r="VVW512" s="1756"/>
      <c r="VVX512" s="1756"/>
      <c r="VVY512" s="1757"/>
      <c r="VVZ512" s="385"/>
      <c r="VWA512" s="69"/>
      <c r="VWB512" s="69"/>
      <c r="VWC512" s="2511"/>
      <c r="VWD512" s="1755"/>
      <c r="VWE512" s="1756"/>
      <c r="VWF512" s="1756"/>
      <c r="VWG512" s="1757"/>
      <c r="VWH512" s="385"/>
      <c r="VWI512" s="69"/>
      <c r="VWJ512" s="69"/>
      <c r="VWK512" s="2511"/>
      <c r="VWL512" s="1755"/>
      <c r="VWM512" s="1756"/>
      <c r="VWN512" s="1756"/>
      <c r="VWO512" s="1757"/>
      <c r="VWP512" s="385"/>
      <c r="VWQ512" s="69"/>
      <c r="VWR512" s="69"/>
      <c r="VWS512" s="2511"/>
      <c r="VWT512" s="1755"/>
      <c r="VWU512" s="1756"/>
      <c r="VWV512" s="1756"/>
      <c r="VWW512" s="1757"/>
      <c r="VWX512" s="385"/>
      <c r="VWY512" s="69"/>
      <c r="VWZ512" s="69"/>
      <c r="VXA512" s="2511"/>
      <c r="VXB512" s="1755"/>
      <c r="VXC512" s="1756"/>
      <c r="VXD512" s="1756"/>
      <c r="VXE512" s="1757"/>
      <c r="VXF512" s="385"/>
      <c r="VXG512" s="69"/>
      <c r="VXH512" s="69"/>
      <c r="VXI512" s="2511"/>
      <c r="VXJ512" s="1755"/>
      <c r="VXK512" s="1756"/>
      <c r="VXL512" s="1756"/>
      <c r="VXM512" s="1757"/>
      <c r="VXN512" s="385"/>
      <c r="VXO512" s="69"/>
      <c r="VXP512" s="69"/>
      <c r="VXQ512" s="2511"/>
      <c r="VXR512" s="1755"/>
      <c r="VXS512" s="1756"/>
      <c r="VXT512" s="1756"/>
      <c r="VXU512" s="1757"/>
      <c r="VXV512" s="385"/>
      <c r="VXW512" s="69"/>
      <c r="VXX512" s="69"/>
      <c r="VXY512" s="2511"/>
      <c r="VXZ512" s="1755"/>
      <c r="VYA512" s="1756"/>
      <c r="VYB512" s="1756"/>
      <c r="VYC512" s="1757"/>
      <c r="VYD512" s="385"/>
      <c r="VYE512" s="69"/>
      <c r="VYF512" s="69"/>
      <c r="VYG512" s="2511"/>
      <c r="VYH512" s="1755"/>
      <c r="VYI512" s="1756"/>
      <c r="VYJ512" s="1756"/>
      <c r="VYK512" s="1757"/>
      <c r="VYL512" s="385"/>
      <c r="VYM512" s="69"/>
      <c r="VYN512" s="69"/>
      <c r="VYO512" s="2511"/>
      <c r="VYP512" s="1755"/>
      <c r="VYQ512" s="1756"/>
      <c r="VYR512" s="1756"/>
      <c r="VYS512" s="1757"/>
      <c r="VYT512" s="385"/>
      <c r="VYU512" s="69"/>
      <c r="VYV512" s="69"/>
      <c r="VYW512" s="2511"/>
      <c r="VYX512" s="1755"/>
      <c r="VYY512" s="1756"/>
      <c r="VYZ512" s="1756"/>
      <c r="VZA512" s="1757"/>
      <c r="VZB512" s="385"/>
      <c r="VZC512" s="69"/>
      <c r="VZD512" s="69"/>
      <c r="VZE512" s="2511"/>
      <c r="VZF512" s="1755"/>
      <c r="VZG512" s="1756"/>
      <c r="VZH512" s="1756"/>
      <c r="VZI512" s="1757"/>
      <c r="VZJ512" s="385"/>
      <c r="VZK512" s="69"/>
      <c r="VZL512" s="69"/>
      <c r="VZM512" s="2511"/>
      <c r="VZN512" s="1755"/>
      <c r="VZO512" s="1756"/>
      <c r="VZP512" s="1756"/>
      <c r="VZQ512" s="1757"/>
      <c r="VZR512" s="385"/>
      <c r="VZS512" s="69"/>
      <c r="VZT512" s="69"/>
      <c r="VZU512" s="2511"/>
      <c r="VZV512" s="1755"/>
      <c r="VZW512" s="1756"/>
      <c r="VZX512" s="1756"/>
      <c r="VZY512" s="1757"/>
      <c r="VZZ512" s="385"/>
      <c r="WAA512" s="69"/>
      <c r="WAB512" s="69"/>
      <c r="WAC512" s="2511"/>
      <c r="WAD512" s="1755"/>
      <c r="WAE512" s="1756"/>
      <c r="WAF512" s="1756"/>
      <c r="WAG512" s="1757"/>
      <c r="WAH512" s="385"/>
      <c r="WAI512" s="69"/>
      <c r="WAJ512" s="69"/>
      <c r="WAK512" s="2511"/>
      <c r="WAL512" s="1755"/>
      <c r="WAM512" s="1756"/>
      <c r="WAN512" s="1756"/>
      <c r="WAO512" s="1757"/>
      <c r="WAP512" s="385"/>
      <c r="WAQ512" s="69"/>
      <c r="WAR512" s="69"/>
      <c r="WAS512" s="2511"/>
      <c r="WAT512" s="1755"/>
      <c r="WAU512" s="1756"/>
      <c r="WAV512" s="1756"/>
      <c r="WAW512" s="1757"/>
      <c r="WAX512" s="385"/>
      <c r="WAY512" s="69"/>
      <c r="WAZ512" s="69"/>
      <c r="WBA512" s="2511"/>
      <c r="WBB512" s="1755"/>
      <c r="WBC512" s="1756"/>
      <c r="WBD512" s="1756"/>
      <c r="WBE512" s="1757"/>
      <c r="WBF512" s="385"/>
      <c r="WBG512" s="69"/>
      <c r="WBH512" s="69"/>
      <c r="WBI512" s="2511"/>
      <c r="WBJ512" s="1755"/>
      <c r="WBK512" s="1756"/>
      <c r="WBL512" s="1756"/>
      <c r="WBM512" s="1757"/>
      <c r="WBN512" s="385"/>
      <c r="WBO512" s="69"/>
      <c r="WBP512" s="69"/>
      <c r="WBQ512" s="2511"/>
      <c r="WBR512" s="1755"/>
      <c r="WBS512" s="1756"/>
      <c r="WBT512" s="1756"/>
      <c r="WBU512" s="1757"/>
      <c r="WBV512" s="385"/>
      <c r="WBW512" s="69"/>
      <c r="WBX512" s="69"/>
      <c r="WBY512" s="2511"/>
      <c r="WBZ512" s="1755"/>
      <c r="WCA512" s="1756"/>
      <c r="WCB512" s="1756"/>
      <c r="WCC512" s="1757"/>
      <c r="WCD512" s="385"/>
      <c r="WCE512" s="69"/>
      <c r="WCF512" s="69"/>
      <c r="WCG512" s="2511"/>
      <c r="WCH512" s="1755"/>
      <c r="WCI512" s="1756"/>
      <c r="WCJ512" s="1756"/>
      <c r="WCK512" s="1757"/>
      <c r="WCL512" s="385"/>
      <c r="WCM512" s="69"/>
      <c r="WCN512" s="69"/>
      <c r="WCO512" s="2511"/>
      <c r="WCP512" s="1755"/>
      <c r="WCQ512" s="1756"/>
      <c r="WCR512" s="1756"/>
      <c r="WCS512" s="1757"/>
      <c r="WCT512" s="385"/>
      <c r="WCU512" s="69"/>
      <c r="WCV512" s="69"/>
      <c r="WCW512" s="2511"/>
      <c r="WCX512" s="1755"/>
      <c r="WCY512" s="1756"/>
      <c r="WCZ512" s="1756"/>
      <c r="WDA512" s="1757"/>
      <c r="WDB512" s="385"/>
      <c r="WDC512" s="69"/>
      <c r="WDD512" s="69"/>
      <c r="WDE512" s="2511"/>
      <c r="WDF512" s="1755"/>
      <c r="WDG512" s="1756"/>
      <c r="WDH512" s="1756"/>
      <c r="WDI512" s="1757"/>
      <c r="WDJ512" s="385"/>
      <c r="WDK512" s="69"/>
      <c r="WDL512" s="69"/>
      <c r="WDM512" s="2511"/>
      <c r="WDN512" s="1755"/>
      <c r="WDO512" s="1756"/>
      <c r="WDP512" s="1756"/>
      <c r="WDQ512" s="1757"/>
      <c r="WDR512" s="385"/>
      <c r="WDS512" s="69"/>
      <c r="WDT512" s="69"/>
      <c r="WDU512" s="2511"/>
      <c r="WDV512" s="1755"/>
      <c r="WDW512" s="1756"/>
      <c r="WDX512" s="1756"/>
      <c r="WDY512" s="1757"/>
      <c r="WDZ512" s="385"/>
      <c r="WEA512" s="69"/>
      <c r="WEB512" s="69"/>
      <c r="WEC512" s="2511"/>
      <c r="WED512" s="1755"/>
      <c r="WEE512" s="1756"/>
      <c r="WEF512" s="1756"/>
      <c r="WEG512" s="1757"/>
      <c r="WEH512" s="385"/>
      <c r="WEI512" s="69"/>
      <c r="WEJ512" s="69"/>
      <c r="WEK512" s="2511"/>
      <c r="WEL512" s="1755"/>
      <c r="WEM512" s="1756"/>
      <c r="WEN512" s="1756"/>
      <c r="WEO512" s="1757"/>
      <c r="WEP512" s="385"/>
      <c r="WEQ512" s="69"/>
      <c r="WER512" s="69"/>
      <c r="WES512" s="2511"/>
      <c r="WET512" s="1755"/>
      <c r="WEU512" s="1756"/>
      <c r="WEV512" s="1756"/>
      <c r="WEW512" s="1757"/>
      <c r="WEX512" s="385"/>
      <c r="WEY512" s="69"/>
      <c r="WEZ512" s="69"/>
      <c r="WFA512" s="2511"/>
      <c r="WFB512" s="1755"/>
      <c r="WFC512" s="1756"/>
      <c r="WFD512" s="1756"/>
      <c r="WFE512" s="1757"/>
      <c r="WFF512" s="385"/>
      <c r="WFG512" s="69"/>
      <c r="WFH512" s="69"/>
      <c r="WFI512" s="2511"/>
      <c r="WFJ512" s="1755"/>
      <c r="WFK512" s="1756"/>
      <c r="WFL512" s="1756"/>
      <c r="WFM512" s="1757"/>
      <c r="WFN512" s="385"/>
      <c r="WFO512" s="69"/>
      <c r="WFP512" s="69"/>
      <c r="WFQ512" s="2511"/>
      <c r="WFR512" s="1755"/>
      <c r="WFS512" s="1756"/>
      <c r="WFT512" s="1756"/>
      <c r="WFU512" s="1757"/>
      <c r="WFV512" s="385"/>
      <c r="WFW512" s="69"/>
      <c r="WFX512" s="69"/>
      <c r="WFY512" s="2511"/>
      <c r="WFZ512" s="1755"/>
      <c r="WGA512" s="1756"/>
      <c r="WGB512" s="1756"/>
      <c r="WGC512" s="1757"/>
      <c r="WGD512" s="385"/>
      <c r="WGE512" s="69"/>
      <c r="WGF512" s="69"/>
      <c r="WGG512" s="2511"/>
      <c r="WGH512" s="1755"/>
      <c r="WGI512" s="1756"/>
      <c r="WGJ512" s="1756"/>
      <c r="WGK512" s="1757"/>
      <c r="WGL512" s="385"/>
      <c r="WGM512" s="69"/>
      <c r="WGN512" s="69"/>
      <c r="WGO512" s="2511"/>
      <c r="WGP512" s="1755"/>
      <c r="WGQ512" s="1756"/>
      <c r="WGR512" s="1756"/>
      <c r="WGS512" s="1757"/>
      <c r="WGT512" s="385"/>
      <c r="WGU512" s="69"/>
      <c r="WGV512" s="69"/>
      <c r="WGW512" s="2511"/>
      <c r="WGX512" s="1755"/>
      <c r="WGY512" s="1756"/>
      <c r="WGZ512" s="1756"/>
      <c r="WHA512" s="1757"/>
      <c r="WHB512" s="385"/>
      <c r="WHC512" s="69"/>
      <c r="WHD512" s="69"/>
      <c r="WHE512" s="2511"/>
      <c r="WHF512" s="1755"/>
      <c r="WHG512" s="1756"/>
      <c r="WHH512" s="1756"/>
      <c r="WHI512" s="1757"/>
      <c r="WHJ512" s="385"/>
      <c r="WHK512" s="69"/>
      <c r="WHL512" s="69"/>
      <c r="WHM512" s="2511"/>
      <c r="WHN512" s="1755"/>
      <c r="WHO512" s="1756"/>
      <c r="WHP512" s="1756"/>
      <c r="WHQ512" s="1757"/>
      <c r="WHR512" s="385"/>
      <c r="WHS512" s="69"/>
      <c r="WHT512" s="69"/>
      <c r="WHU512" s="2511"/>
      <c r="WHV512" s="1755"/>
      <c r="WHW512" s="1756"/>
      <c r="WHX512" s="1756"/>
      <c r="WHY512" s="1757"/>
      <c r="WHZ512" s="385"/>
      <c r="WIA512" s="69"/>
      <c r="WIB512" s="69"/>
      <c r="WIC512" s="2511"/>
      <c r="WID512" s="1755"/>
      <c r="WIE512" s="1756"/>
      <c r="WIF512" s="1756"/>
      <c r="WIG512" s="1757"/>
      <c r="WIH512" s="385"/>
      <c r="WII512" s="69"/>
      <c r="WIJ512" s="69"/>
      <c r="WIK512" s="2511"/>
      <c r="WIL512" s="1755"/>
      <c r="WIM512" s="1756"/>
      <c r="WIN512" s="1756"/>
      <c r="WIO512" s="1757"/>
      <c r="WIP512" s="385"/>
      <c r="WIQ512" s="69"/>
      <c r="WIR512" s="69"/>
      <c r="WIS512" s="2511"/>
      <c r="WIT512" s="1755"/>
      <c r="WIU512" s="1756"/>
      <c r="WIV512" s="1756"/>
      <c r="WIW512" s="1757"/>
      <c r="WIX512" s="385"/>
      <c r="WIY512" s="69"/>
      <c r="WIZ512" s="69"/>
      <c r="WJA512" s="2511"/>
      <c r="WJB512" s="1755"/>
      <c r="WJC512" s="1756"/>
      <c r="WJD512" s="1756"/>
      <c r="WJE512" s="1757"/>
      <c r="WJF512" s="385"/>
      <c r="WJG512" s="69"/>
      <c r="WJH512" s="69"/>
      <c r="WJI512" s="2511"/>
      <c r="WJJ512" s="1755"/>
      <c r="WJK512" s="1756"/>
      <c r="WJL512" s="1756"/>
      <c r="WJM512" s="1757"/>
      <c r="WJN512" s="385"/>
      <c r="WJO512" s="69"/>
      <c r="WJP512" s="69"/>
      <c r="WJQ512" s="2511"/>
      <c r="WJR512" s="1755"/>
      <c r="WJS512" s="1756"/>
      <c r="WJT512" s="1756"/>
      <c r="WJU512" s="1757"/>
      <c r="WJV512" s="385"/>
      <c r="WJW512" s="69"/>
      <c r="WJX512" s="69"/>
      <c r="WJY512" s="2511"/>
      <c r="WJZ512" s="1755"/>
      <c r="WKA512" s="1756"/>
      <c r="WKB512" s="1756"/>
      <c r="WKC512" s="1757"/>
      <c r="WKD512" s="385"/>
      <c r="WKE512" s="69"/>
      <c r="WKF512" s="69"/>
      <c r="WKG512" s="2511"/>
      <c r="WKH512" s="1755"/>
      <c r="WKI512" s="1756"/>
      <c r="WKJ512" s="1756"/>
      <c r="WKK512" s="1757"/>
      <c r="WKL512" s="385"/>
      <c r="WKM512" s="69"/>
      <c r="WKN512" s="69"/>
      <c r="WKO512" s="2511"/>
      <c r="WKP512" s="1755"/>
      <c r="WKQ512" s="1756"/>
      <c r="WKR512" s="1756"/>
      <c r="WKS512" s="1757"/>
      <c r="WKT512" s="385"/>
      <c r="WKU512" s="69"/>
      <c r="WKV512" s="69"/>
      <c r="WKW512" s="2511"/>
      <c r="WKX512" s="1755"/>
      <c r="WKY512" s="1756"/>
      <c r="WKZ512" s="1756"/>
      <c r="WLA512" s="1757"/>
      <c r="WLB512" s="385"/>
      <c r="WLC512" s="69"/>
      <c r="WLD512" s="69"/>
      <c r="WLE512" s="2511"/>
      <c r="WLF512" s="1755"/>
      <c r="WLG512" s="1756"/>
      <c r="WLH512" s="1756"/>
      <c r="WLI512" s="1757"/>
      <c r="WLJ512" s="385"/>
      <c r="WLK512" s="69"/>
      <c r="WLL512" s="69"/>
      <c r="WLM512" s="2511"/>
      <c r="WLN512" s="1755"/>
      <c r="WLO512" s="1756"/>
      <c r="WLP512" s="1756"/>
      <c r="WLQ512" s="1757"/>
      <c r="WLR512" s="385"/>
      <c r="WLS512" s="69"/>
      <c r="WLT512" s="69"/>
      <c r="WLU512" s="2511"/>
      <c r="WLV512" s="1755"/>
      <c r="WLW512" s="1756"/>
      <c r="WLX512" s="1756"/>
      <c r="WLY512" s="1757"/>
      <c r="WLZ512" s="385"/>
      <c r="WMA512" s="69"/>
      <c r="WMB512" s="69"/>
      <c r="WMC512" s="2511"/>
      <c r="WMD512" s="1755"/>
      <c r="WME512" s="1756"/>
      <c r="WMF512" s="1756"/>
      <c r="WMG512" s="1757"/>
      <c r="WMH512" s="385"/>
      <c r="WMI512" s="69"/>
      <c r="WMJ512" s="69"/>
      <c r="WMK512" s="2511"/>
      <c r="WML512" s="1755"/>
      <c r="WMM512" s="1756"/>
      <c r="WMN512" s="1756"/>
      <c r="WMO512" s="1757"/>
      <c r="WMP512" s="385"/>
      <c r="WMQ512" s="69"/>
      <c r="WMR512" s="69"/>
      <c r="WMS512" s="2511"/>
      <c r="WMT512" s="1755"/>
      <c r="WMU512" s="1756"/>
      <c r="WMV512" s="1756"/>
      <c r="WMW512" s="1757"/>
      <c r="WMX512" s="385"/>
      <c r="WMY512" s="69"/>
      <c r="WMZ512" s="69"/>
      <c r="WNA512" s="2511"/>
      <c r="WNB512" s="1755"/>
      <c r="WNC512" s="1756"/>
      <c r="WND512" s="1756"/>
      <c r="WNE512" s="1757"/>
      <c r="WNF512" s="385"/>
      <c r="WNG512" s="69"/>
      <c r="WNH512" s="69"/>
      <c r="WNI512" s="2511"/>
      <c r="WNJ512" s="1755"/>
      <c r="WNK512" s="1756"/>
      <c r="WNL512" s="1756"/>
      <c r="WNM512" s="1757"/>
      <c r="WNN512" s="385"/>
      <c r="WNO512" s="69"/>
      <c r="WNP512" s="69"/>
      <c r="WNQ512" s="2511"/>
      <c r="WNR512" s="1755"/>
      <c r="WNS512" s="1756"/>
      <c r="WNT512" s="1756"/>
      <c r="WNU512" s="1757"/>
      <c r="WNV512" s="385"/>
      <c r="WNW512" s="69"/>
      <c r="WNX512" s="69"/>
      <c r="WNY512" s="2511"/>
      <c r="WNZ512" s="1755"/>
      <c r="WOA512" s="1756"/>
      <c r="WOB512" s="1756"/>
      <c r="WOC512" s="1757"/>
      <c r="WOD512" s="385"/>
      <c r="WOE512" s="69"/>
      <c r="WOF512" s="69"/>
      <c r="WOG512" s="2511"/>
      <c r="WOH512" s="1755"/>
      <c r="WOI512" s="1756"/>
      <c r="WOJ512" s="1756"/>
      <c r="WOK512" s="1757"/>
      <c r="WOL512" s="385"/>
      <c r="WOM512" s="69"/>
      <c r="WON512" s="69"/>
      <c r="WOO512" s="2511"/>
      <c r="WOP512" s="1755"/>
      <c r="WOQ512" s="1756"/>
      <c r="WOR512" s="1756"/>
      <c r="WOS512" s="1757"/>
      <c r="WOT512" s="385"/>
      <c r="WOU512" s="69"/>
      <c r="WOV512" s="69"/>
      <c r="WOW512" s="2511"/>
      <c r="WOX512" s="1755"/>
      <c r="WOY512" s="1756"/>
      <c r="WOZ512" s="1756"/>
      <c r="WPA512" s="1757"/>
      <c r="WPB512" s="385"/>
      <c r="WPC512" s="69"/>
      <c r="WPD512" s="69"/>
      <c r="WPE512" s="2511"/>
      <c r="WPF512" s="1755"/>
      <c r="WPG512" s="1756"/>
      <c r="WPH512" s="1756"/>
      <c r="WPI512" s="1757"/>
      <c r="WPJ512" s="385"/>
      <c r="WPK512" s="69"/>
      <c r="WPL512" s="69"/>
      <c r="WPM512" s="2511"/>
      <c r="WPN512" s="1755"/>
      <c r="WPO512" s="1756"/>
      <c r="WPP512" s="1756"/>
      <c r="WPQ512" s="1757"/>
      <c r="WPR512" s="385"/>
      <c r="WPS512" s="69"/>
      <c r="WPT512" s="69"/>
      <c r="WPU512" s="2511"/>
      <c r="WPV512" s="1755"/>
      <c r="WPW512" s="1756"/>
      <c r="WPX512" s="1756"/>
      <c r="WPY512" s="1757"/>
      <c r="WPZ512" s="385"/>
      <c r="WQA512" s="69"/>
      <c r="WQB512" s="69"/>
      <c r="WQC512" s="2511"/>
      <c r="WQD512" s="1755"/>
      <c r="WQE512" s="1756"/>
      <c r="WQF512" s="1756"/>
      <c r="WQG512" s="1757"/>
      <c r="WQH512" s="385"/>
      <c r="WQI512" s="69"/>
      <c r="WQJ512" s="69"/>
      <c r="WQK512" s="2511"/>
      <c r="WQL512" s="1755"/>
      <c r="WQM512" s="1756"/>
      <c r="WQN512" s="1756"/>
      <c r="WQO512" s="1757"/>
      <c r="WQP512" s="385"/>
      <c r="WQQ512" s="69"/>
      <c r="WQR512" s="69"/>
      <c r="WQS512" s="2511"/>
      <c r="WQT512" s="1755"/>
      <c r="WQU512" s="1756"/>
      <c r="WQV512" s="1756"/>
      <c r="WQW512" s="1757"/>
      <c r="WQX512" s="385"/>
      <c r="WQY512" s="69"/>
      <c r="WQZ512" s="69"/>
      <c r="WRA512" s="2511"/>
      <c r="WRB512" s="1755"/>
      <c r="WRC512" s="1756"/>
      <c r="WRD512" s="1756"/>
      <c r="WRE512" s="1757"/>
      <c r="WRF512" s="385"/>
      <c r="WRG512" s="69"/>
      <c r="WRH512" s="69"/>
      <c r="WRI512" s="2511"/>
      <c r="WRJ512" s="1755"/>
      <c r="WRK512" s="1756"/>
      <c r="WRL512" s="1756"/>
      <c r="WRM512" s="1757"/>
      <c r="WRN512" s="385"/>
      <c r="WRO512" s="69"/>
      <c r="WRP512" s="69"/>
      <c r="WRQ512" s="2511"/>
      <c r="WRR512" s="1755"/>
      <c r="WRS512" s="1756"/>
      <c r="WRT512" s="1756"/>
      <c r="WRU512" s="1757"/>
      <c r="WRV512" s="385"/>
      <c r="WRW512" s="69"/>
      <c r="WRX512" s="69"/>
      <c r="WRY512" s="2511"/>
      <c r="WRZ512" s="1755"/>
      <c r="WSA512" s="1756"/>
      <c r="WSB512" s="1756"/>
      <c r="WSC512" s="1757"/>
      <c r="WSD512" s="385"/>
      <c r="WSE512" s="69"/>
      <c r="WSF512" s="69"/>
      <c r="WSG512" s="2511"/>
      <c r="WSH512" s="1755"/>
      <c r="WSI512" s="1756"/>
      <c r="WSJ512" s="1756"/>
      <c r="WSK512" s="1757"/>
      <c r="WSL512" s="385"/>
      <c r="WSM512" s="69"/>
      <c r="WSN512" s="69"/>
      <c r="WSO512" s="2511"/>
      <c r="WSP512" s="1755"/>
      <c r="WSQ512" s="1756"/>
      <c r="WSR512" s="1756"/>
      <c r="WSS512" s="1757"/>
      <c r="WST512" s="385"/>
      <c r="WSU512" s="69"/>
      <c r="WSV512" s="69"/>
      <c r="WSW512" s="2511"/>
      <c r="WSX512" s="1755"/>
      <c r="WSY512" s="1756"/>
      <c r="WSZ512" s="1756"/>
      <c r="WTA512" s="1757"/>
      <c r="WTB512" s="385"/>
      <c r="WTC512" s="69"/>
      <c r="WTD512" s="69"/>
      <c r="WTE512" s="2511"/>
      <c r="WTF512" s="1755"/>
      <c r="WTG512" s="1756"/>
      <c r="WTH512" s="1756"/>
      <c r="WTI512" s="1757"/>
      <c r="WTJ512" s="385"/>
      <c r="WTK512" s="69"/>
      <c r="WTL512" s="69"/>
      <c r="WTM512" s="2511"/>
      <c r="WTN512" s="1755"/>
      <c r="WTO512" s="1756"/>
      <c r="WTP512" s="1756"/>
      <c r="WTQ512" s="1757"/>
      <c r="WTR512" s="385"/>
      <c r="WTS512" s="69"/>
      <c r="WTT512" s="69"/>
      <c r="WTU512" s="2511"/>
      <c r="WTV512" s="1755"/>
      <c r="WTW512" s="1756"/>
      <c r="WTX512" s="1756"/>
      <c r="WTY512" s="1757"/>
      <c r="WTZ512" s="385"/>
      <c r="WUA512" s="69"/>
      <c r="WUB512" s="69"/>
      <c r="WUC512" s="2511"/>
      <c r="WUD512" s="1755"/>
      <c r="WUE512" s="1756"/>
      <c r="WUF512" s="1756"/>
      <c r="WUG512" s="1757"/>
      <c r="WUH512" s="385"/>
      <c r="WUI512" s="69"/>
      <c r="WUJ512" s="69"/>
      <c r="WUK512" s="2511"/>
      <c r="WUL512" s="1755"/>
      <c r="WUM512" s="1756"/>
      <c r="WUN512" s="1756"/>
      <c r="WUO512" s="1757"/>
      <c r="WUP512" s="385"/>
      <c r="WUQ512" s="69"/>
      <c r="WUR512" s="69"/>
      <c r="WUS512" s="2511"/>
      <c r="WUT512" s="1755"/>
      <c r="WUU512" s="1756"/>
      <c r="WUV512" s="1756"/>
      <c r="WUW512" s="1757"/>
      <c r="WUX512" s="385"/>
      <c r="WUY512" s="69"/>
      <c r="WUZ512" s="69"/>
      <c r="WVA512" s="2511"/>
      <c r="WVB512" s="1755"/>
      <c r="WVC512" s="1756"/>
      <c r="WVD512" s="1756"/>
      <c r="WVE512" s="1757"/>
      <c r="WVF512" s="385"/>
      <c r="WVG512" s="69"/>
      <c r="WVH512" s="69"/>
      <c r="WVI512" s="2511"/>
      <c r="WVJ512" s="1755"/>
      <c r="WVK512" s="1756"/>
      <c r="WVL512" s="1756"/>
      <c r="WVM512" s="1757"/>
      <c r="WVN512" s="385"/>
      <c r="WVO512" s="69"/>
      <c r="WVP512" s="69"/>
      <c r="WVQ512" s="2511"/>
      <c r="WVR512" s="1755"/>
      <c r="WVS512" s="1756"/>
      <c r="WVT512" s="1756"/>
      <c r="WVU512" s="1757"/>
      <c r="WVV512" s="385"/>
      <c r="WVW512" s="69"/>
      <c r="WVX512" s="69"/>
      <c r="WVY512" s="2511"/>
      <c r="WVZ512" s="1755"/>
      <c r="WWA512" s="1756"/>
      <c r="WWB512" s="1756"/>
      <c r="WWC512" s="1757"/>
      <c r="WWD512" s="385"/>
      <c r="WWE512" s="69"/>
      <c r="WWF512" s="69"/>
      <c r="WWG512" s="2511"/>
      <c r="WWH512" s="1755"/>
      <c r="WWI512" s="1756"/>
      <c r="WWJ512" s="1756"/>
      <c r="WWK512" s="1757"/>
      <c r="WWL512" s="385"/>
      <c r="WWM512" s="69"/>
      <c r="WWN512" s="69"/>
      <c r="WWO512" s="2511"/>
      <c r="WWP512" s="1755"/>
      <c r="WWQ512" s="1756"/>
      <c r="WWR512" s="1756"/>
      <c r="WWS512" s="1757"/>
      <c r="WWT512" s="385"/>
      <c r="WWU512" s="69"/>
      <c r="WWV512" s="69"/>
      <c r="WWW512" s="2511"/>
      <c r="WWX512" s="1755"/>
      <c r="WWY512" s="1756"/>
      <c r="WWZ512" s="1756"/>
      <c r="WXA512" s="1757"/>
      <c r="WXB512" s="385"/>
      <c r="WXC512" s="69"/>
      <c r="WXD512" s="69"/>
      <c r="WXE512" s="2511"/>
      <c r="WXF512" s="1755"/>
      <c r="WXG512" s="1756"/>
      <c r="WXH512" s="1756"/>
      <c r="WXI512" s="1757"/>
      <c r="WXJ512" s="385"/>
      <c r="WXK512" s="69"/>
      <c r="WXL512" s="69"/>
      <c r="WXM512" s="2511"/>
      <c r="WXN512" s="1755"/>
      <c r="WXO512" s="1756"/>
      <c r="WXP512" s="1756"/>
      <c r="WXQ512" s="1757"/>
      <c r="WXR512" s="385"/>
      <c r="WXS512" s="69"/>
      <c r="WXT512" s="69"/>
      <c r="WXU512" s="2511"/>
      <c r="WXV512" s="1755"/>
      <c r="WXW512" s="1756"/>
      <c r="WXX512" s="1756"/>
      <c r="WXY512" s="1757"/>
      <c r="WXZ512" s="385"/>
      <c r="WYA512" s="69"/>
      <c r="WYB512" s="69"/>
      <c r="WYC512" s="2511"/>
      <c r="WYD512" s="1755"/>
      <c r="WYE512" s="1756"/>
      <c r="WYF512" s="1756"/>
      <c r="WYG512" s="1757"/>
      <c r="WYH512" s="385"/>
      <c r="WYI512" s="69"/>
      <c r="WYJ512" s="69"/>
      <c r="WYK512" s="2511"/>
      <c r="WYL512" s="1755"/>
      <c r="WYM512" s="1756"/>
      <c r="WYN512" s="1756"/>
      <c r="WYO512" s="1757"/>
      <c r="WYP512" s="385"/>
      <c r="WYQ512" s="69"/>
      <c r="WYR512" s="69"/>
      <c r="WYS512" s="2511"/>
      <c r="WYT512" s="1755"/>
      <c r="WYU512" s="1756"/>
      <c r="WYV512" s="1756"/>
      <c r="WYW512" s="1757"/>
      <c r="WYX512" s="385"/>
      <c r="WYY512" s="69"/>
      <c r="WYZ512" s="69"/>
      <c r="WZA512" s="2511"/>
      <c r="WZB512" s="1755"/>
      <c r="WZC512" s="1756"/>
      <c r="WZD512" s="1756"/>
      <c r="WZE512" s="1757"/>
      <c r="WZF512" s="385"/>
      <c r="WZG512" s="69"/>
      <c r="WZH512" s="69"/>
      <c r="WZI512" s="2511"/>
      <c r="WZJ512" s="1755"/>
      <c r="WZK512" s="1756"/>
      <c r="WZL512" s="1756"/>
      <c r="WZM512" s="1757"/>
      <c r="WZN512" s="385"/>
      <c r="WZO512" s="69"/>
      <c r="WZP512" s="69"/>
      <c r="WZQ512" s="2511"/>
      <c r="WZR512" s="1755"/>
      <c r="WZS512" s="1756"/>
      <c r="WZT512" s="1756"/>
      <c r="WZU512" s="1757"/>
      <c r="WZV512" s="385"/>
      <c r="WZW512" s="69"/>
      <c r="WZX512" s="69"/>
      <c r="WZY512" s="2511"/>
      <c r="WZZ512" s="1755"/>
      <c r="XAA512" s="1756"/>
      <c r="XAB512" s="1756"/>
      <c r="XAC512" s="1757"/>
      <c r="XAD512" s="385"/>
      <c r="XAE512" s="69"/>
      <c r="XAF512" s="69"/>
      <c r="XAG512" s="2511"/>
      <c r="XAH512" s="1755"/>
      <c r="XAI512" s="1756"/>
      <c r="XAJ512" s="1756"/>
      <c r="XAK512" s="1757"/>
      <c r="XAL512" s="385"/>
      <c r="XAM512" s="69"/>
      <c r="XAN512" s="69"/>
      <c r="XAO512" s="2511"/>
      <c r="XAP512" s="1755"/>
      <c r="XAQ512" s="1756"/>
      <c r="XAR512" s="1756"/>
      <c r="XAS512" s="1757"/>
      <c r="XAT512" s="385"/>
      <c r="XAU512" s="69"/>
      <c r="XAV512" s="69"/>
      <c r="XAW512" s="2511"/>
      <c r="XAX512" s="1755"/>
      <c r="XAY512" s="1756"/>
      <c r="XAZ512" s="1756"/>
      <c r="XBA512" s="1757"/>
      <c r="XBB512" s="385"/>
      <c r="XBC512" s="69"/>
      <c r="XBD512" s="69"/>
      <c r="XBE512" s="2511"/>
      <c r="XBF512" s="1755"/>
      <c r="XBG512" s="1756"/>
      <c r="XBH512" s="1756"/>
      <c r="XBI512" s="1757"/>
      <c r="XBJ512" s="385"/>
      <c r="XBK512" s="69"/>
      <c r="XBL512" s="69"/>
      <c r="XBM512" s="2511"/>
      <c r="XBN512" s="1755"/>
      <c r="XBO512" s="1756"/>
      <c r="XBP512" s="1756"/>
      <c r="XBQ512" s="1757"/>
      <c r="XBR512" s="385"/>
      <c r="XBS512" s="69"/>
      <c r="XBT512" s="69"/>
      <c r="XBU512" s="2511"/>
      <c r="XBV512" s="1755"/>
      <c r="XBW512" s="1756"/>
      <c r="XBX512" s="1756"/>
      <c r="XBY512" s="1757"/>
      <c r="XBZ512" s="385"/>
      <c r="XCA512" s="69"/>
      <c r="XCB512" s="69"/>
      <c r="XCC512" s="2511"/>
      <c r="XCD512" s="1755"/>
      <c r="XCE512" s="1756"/>
      <c r="XCF512" s="1756"/>
      <c r="XCG512" s="1757"/>
      <c r="XCH512" s="385"/>
      <c r="XCI512" s="69"/>
      <c r="XCJ512" s="69"/>
      <c r="XCK512" s="2511"/>
      <c r="XCL512" s="1755"/>
      <c r="XCM512" s="1756"/>
      <c r="XCN512" s="1756"/>
      <c r="XCO512" s="1757"/>
      <c r="XCP512" s="385"/>
      <c r="XCQ512" s="69"/>
      <c r="XCR512" s="69"/>
      <c r="XCS512" s="2511"/>
      <c r="XCT512" s="1755"/>
      <c r="XCU512" s="1756"/>
      <c r="XCV512" s="1756"/>
      <c r="XCW512" s="1757"/>
      <c r="XCX512" s="385"/>
      <c r="XCY512" s="69"/>
      <c r="XCZ512" s="69"/>
      <c r="XDA512" s="2511"/>
      <c r="XDB512" s="1755"/>
      <c r="XDC512" s="1756"/>
      <c r="XDD512" s="1756"/>
      <c r="XDE512" s="1757"/>
      <c r="XDF512" s="385"/>
      <c r="XDG512" s="69"/>
      <c r="XDH512" s="69"/>
      <c r="XDI512" s="2511"/>
      <c r="XDJ512" s="1755"/>
      <c r="XDK512" s="1756"/>
      <c r="XDL512" s="1756"/>
      <c r="XDM512" s="1757"/>
      <c r="XDN512" s="385"/>
      <c r="XDO512" s="69"/>
      <c r="XDP512" s="69"/>
      <c r="XDQ512" s="2511"/>
      <c r="XDR512" s="1755"/>
      <c r="XDS512" s="1756"/>
      <c r="XDT512" s="1756"/>
      <c r="XDU512" s="1757"/>
      <c r="XDV512" s="385"/>
      <c r="XDW512" s="69"/>
      <c r="XDX512" s="69"/>
      <c r="XDY512" s="2511"/>
      <c r="XDZ512" s="1755"/>
      <c r="XEA512" s="1756"/>
      <c r="XEB512" s="1756"/>
      <c r="XEC512" s="1757"/>
      <c r="XED512" s="385"/>
      <c r="XEE512" s="69"/>
      <c r="XEF512" s="69"/>
      <c r="XEG512" s="2511"/>
      <c r="XEH512" s="1755"/>
      <c r="XEI512" s="1756"/>
      <c r="XEJ512" s="1756"/>
      <c r="XEK512" s="1757"/>
      <c r="XEL512" s="385"/>
      <c r="XEM512" s="69"/>
      <c r="XEN512" s="69"/>
      <c r="XEO512" s="2511"/>
      <c r="XEP512" s="1755"/>
      <c r="XEQ512" s="1756"/>
      <c r="XER512" s="1756"/>
      <c r="XES512" s="1757"/>
      <c r="XET512" s="385"/>
      <c r="XEU512" s="69"/>
      <c r="XEV512" s="69"/>
      <c r="XEW512" s="2511"/>
      <c r="XEX512" s="1755"/>
      <c r="XEY512" s="1756"/>
      <c r="XEZ512" s="1756"/>
      <c r="XFA512" s="1757"/>
      <c r="XFB512" s="385"/>
      <c r="XFC512" s="69"/>
      <c r="XFD512" s="69"/>
    </row>
    <row r="513" spans="1:16384" s="640" customFormat="1" ht="18" customHeight="1" x14ac:dyDescent="0.3">
      <c r="A513" s="2314"/>
      <c r="B513" s="1718"/>
      <c r="C513" s="1718"/>
      <c r="D513" s="1718"/>
      <c r="E513" s="1718"/>
      <c r="F513" s="385" t="s">
        <v>13</v>
      </c>
      <c r="G513" s="69">
        <f>SUM(H513:L513)</f>
        <v>2464.54</v>
      </c>
      <c r="H513" s="69">
        <f>2464.54</f>
        <v>2464.54</v>
      </c>
      <c r="I513" s="69"/>
      <c r="J513" s="69"/>
      <c r="K513" s="69"/>
      <c r="L513" s="69"/>
      <c r="M513" s="677"/>
      <c r="N513" s="609"/>
      <c r="O513" s="69"/>
      <c r="P513" s="1117" t="s">
        <v>1575</v>
      </c>
      <c r="Q513" s="2512"/>
      <c r="R513" s="1758"/>
      <c r="S513" s="1759"/>
      <c r="T513" s="1759"/>
      <c r="U513" s="1760"/>
      <c r="V513" s="385"/>
      <c r="W513" s="1171">
        <v>1</v>
      </c>
      <c r="X513" s="69"/>
      <c r="Y513" s="2512"/>
      <c r="Z513" s="1758"/>
      <c r="AA513" s="1759"/>
      <c r="AB513" s="1759"/>
      <c r="AC513" s="1760"/>
      <c r="AD513" s="385"/>
      <c r="AE513" s="69"/>
      <c r="AF513" s="69"/>
      <c r="AG513" s="2512"/>
      <c r="AH513" s="1758"/>
      <c r="AI513" s="1759"/>
      <c r="AJ513" s="1759"/>
      <c r="AK513" s="1760"/>
      <c r="AL513" s="385"/>
      <c r="AM513" s="69"/>
      <c r="AN513" s="69"/>
      <c r="AO513" s="2512"/>
      <c r="AP513" s="1758"/>
      <c r="AQ513" s="1759"/>
      <c r="AR513" s="1759"/>
      <c r="AS513" s="1760"/>
      <c r="AT513" s="385"/>
      <c r="AU513" s="69"/>
      <c r="AV513" s="69"/>
      <c r="AW513" s="2512"/>
      <c r="AX513" s="1758"/>
      <c r="AY513" s="1759"/>
      <c r="AZ513" s="1759"/>
      <c r="BA513" s="1760"/>
      <c r="BB513" s="385"/>
      <c r="BC513" s="69"/>
      <c r="BD513" s="69"/>
      <c r="BE513" s="2512"/>
      <c r="BF513" s="1758"/>
      <c r="BG513" s="1759"/>
      <c r="BH513" s="1759"/>
      <c r="BI513" s="1760"/>
      <c r="BJ513" s="385"/>
      <c r="BK513" s="69"/>
      <c r="BL513" s="69"/>
      <c r="BM513" s="2512"/>
      <c r="BN513" s="1758"/>
      <c r="BO513" s="1759"/>
      <c r="BP513" s="1759"/>
      <c r="BQ513" s="1760"/>
      <c r="BR513" s="385"/>
      <c r="BS513" s="69"/>
      <c r="BT513" s="69"/>
      <c r="BU513" s="2512"/>
      <c r="BV513" s="1758"/>
      <c r="BW513" s="1759"/>
      <c r="BX513" s="1759"/>
      <c r="BY513" s="1760"/>
      <c r="BZ513" s="385"/>
      <c r="CA513" s="69"/>
      <c r="CB513" s="69"/>
      <c r="CC513" s="2512"/>
      <c r="CD513" s="1758"/>
      <c r="CE513" s="1759"/>
      <c r="CF513" s="1759"/>
      <c r="CG513" s="1760"/>
      <c r="CH513" s="385"/>
      <c r="CI513" s="69"/>
      <c r="CJ513" s="69"/>
      <c r="CK513" s="2512"/>
      <c r="CL513" s="1758"/>
      <c r="CM513" s="1759"/>
      <c r="CN513" s="1759"/>
      <c r="CO513" s="1760"/>
      <c r="CP513" s="385"/>
      <c r="CQ513" s="69"/>
      <c r="CR513" s="69"/>
      <c r="CS513" s="2512"/>
      <c r="CT513" s="1758"/>
      <c r="CU513" s="1759"/>
      <c r="CV513" s="1759"/>
      <c r="CW513" s="1760"/>
      <c r="CX513" s="385"/>
      <c r="CY513" s="69"/>
      <c r="CZ513" s="69"/>
      <c r="DA513" s="2512"/>
      <c r="DB513" s="1758"/>
      <c r="DC513" s="1759"/>
      <c r="DD513" s="1759"/>
      <c r="DE513" s="1760"/>
      <c r="DF513" s="385"/>
      <c r="DG513" s="69"/>
      <c r="DH513" s="69"/>
      <c r="DI513" s="2512"/>
      <c r="DJ513" s="1758"/>
      <c r="DK513" s="1759"/>
      <c r="DL513" s="1759"/>
      <c r="DM513" s="1760"/>
      <c r="DN513" s="385"/>
      <c r="DO513" s="69"/>
      <c r="DP513" s="69"/>
      <c r="DQ513" s="2512"/>
      <c r="DR513" s="1758"/>
      <c r="DS513" s="1759"/>
      <c r="DT513" s="1759"/>
      <c r="DU513" s="1760"/>
      <c r="DV513" s="385"/>
      <c r="DW513" s="69"/>
      <c r="DX513" s="69"/>
      <c r="DY513" s="2512"/>
      <c r="DZ513" s="1758"/>
      <c r="EA513" s="1759"/>
      <c r="EB513" s="1759"/>
      <c r="EC513" s="1760"/>
      <c r="ED513" s="385"/>
      <c r="EE513" s="69"/>
      <c r="EF513" s="69"/>
      <c r="EG513" s="2512"/>
      <c r="EH513" s="1758"/>
      <c r="EI513" s="1759"/>
      <c r="EJ513" s="1759"/>
      <c r="EK513" s="1760"/>
      <c r="EL513" s="385"/>
      <c r="EM513" s="69"/>
      <c r="EN513" s="69"/>
      <c r="EO513" s="2512"/>
      <c r="EP513" s="1758"/>
      <c r="EQ513" s="1759"/>
      <c r="ER513" s="1759"/>
      <c r="ES513" s="1760"/>
      <c r="ET513" s="385"/>
      <c r="EU513" s="69"/>
      <c r="EV513" s="69"/>
      <c r="EW513" s="2512"/>
      <c r="EX513" s="1758"/>
      <c r="EY513" s="1759"/>
      <c r="EZ513" s="1759"/>
      <c r="FA513" s="1760"/>
      <c r="FB513" s="385"/>
      <c r="FC513" s="69"/>
      <c r="FD513" s="69"/>
      <c r="FE513" s="2512"/>
      <c r="FF513" s="1758"/>
      <c r="FG513" s="1759"/>
      <c r="FH513" s="1759"/>
      <c r="FI513" s="1760"/>
      <c r="FJ513" s="385"/>
      <c r="FK513" s="69"/>
      <c r="FL513" s="69"/>
      <c r="FM513" s="2512"/>
      <c r="FN513" s="1758"/>
      <c r="FO513" s="1759"/>
      <c r="FP513" s="1759"/>
      <c r="FQ513" s="1760"/>
      <c r="FR513" s="385"/>
      <c r="FS513" s="69"/>
      <c r="FT513" s="69"/>
      <c r="FU513" s="2512"/>
      <c r="FV513" s="1758"/>
      <c r="FW513" s="1759"/>
      <c r="FX513" s="1759"/>
      <c r="FY513" s="1760"/>
      <c r="FZ513" s="385"/>
      <c r="GA513" s="69"/>
      <c r="GB513" s="69"/>
      <c r="GC513" s="2512"/>
      <c r="GD513" s="1758"/>
      <c r="GE513" s="1759"/>
      <c r="GF513" s="1759"/>
      <c r="GG513" s="1760"/>
      <c r="GH513" s="385"/>
      <c r="GI513" s="69"/>
      <c r="GJ513" s="69"/>
      <c r="GK513" s="2512"/>
      <c r="GL513" s="1758"/>
      <c r="GM513" s="1759"/>
      <c r="GN513" s="1759"/>
      <c r="GO513" s="1760"/>
      <c r="GP513" s="385"/>
      <c r="GQ513" s="69"/>
      <c r="GR513" s="69"/>
      <c r="GS513" s="2512"/>
      <c r="GT513" s="1758"/>
      <c r="GU513" s="1759"/>
      <c r="GV513" s="1759"/>
      <c r="GW513" s="1760"/>
      <c r="GX513" s="385"/>
      <c r="GY513" s="69"/>
      <c r="GZ513" s="69"/>
      <c r="HA513" s="2512"/>
      <c r="HB513" s="1758"/>
      <c r="HC513" s="1759"/>
      <c r="HD513" s="1759"/>
      <c r="HE513" s="1760"/>
      <c r="HF513" s="385"/>
      <c r="HG513" s="69"/>
      <c r="HH513" s="69"/>
      <c r="HI513" s="2512"/>
      <c r="HJ513" s="1758"/>
      <c r="HK513" s="1759"/>
      <c r="HL513" s="1759"/>
      <c r="HM513" s="1760"/>
      <c r="HN513" s="385"/>
      <c r="HO513" s="69"/>
      <c r="HP513" s="69"/>
      <c r="HQ513" s="2512"/>
      <c r="HR513" s="1758"/>
      <c r="HS513" s="1759"/>
      <c r="HT513" s="1759"/>
      <c r="HU513" s="1760"/>
      <c r="HV513" s="385"/>
      <c r="HW513" s="69"/>
      <c r="HX513" s="69"/>
      <c r="HY513" s="2512"/>
      <c r="HZ513" s="1758"/>
      <c r="IA513" s="1759"/>
      <c r="IB513" s="1759"/>
      <c r="IC513" s="1760"/>
      <c r="ID513" s="385"/>
      <c r="IE513" s="69"/>
      <c r="IF513" s="69"/>
      <c r="IG513" s="2512"/>
      <c r="IH513" s="1758"/>
      <c r="II513" s="1759"/>
      <c r="IJ513" s="1759"/>
      <c r="IK513" s="1760"/>
      <c r="IL513" s="385"/>
      <c r="IM513" s="69"/>
      <c r="IN513" s="69"/>
      <c r="IO513" s="2512"/>
      <c r="IP513" s="1758"/>
      <c r="IQ513" s="1759"/>
      <c r="IR513" s="1759"/>
      <c r="IS513" s="1760"/>
      <c r="IT513" s="385"/>
      <c r="IU513" s="69"/>
      <c r="IV513" s="69"/>
      <c r="IW513" s="2512"/>
      <c r="IX513" s="1758"/>
      <c r="IY513" s="1759"/>
      <c r="IZ513" s="1759"/>
      <c r="JA513" s="1760"/>
      <c r="JB513" s="385"/>
      <c r="JC513" s="69"/>
      <c r="JD513" s="69"/>
      <c r="JE513" s="2512"/>
      <c r="JF513" s="1758"/>
      <c r="JG513" s="1759"/>
      <c r="JH513" s="1759"/>
      <c r="JI513" s="1760"/>
      <c r="JJ513" s="385"/>
      <c r="JK513" s="69"/>
      <c r="JL513" s="69"/>
      <c r="JM513" s="2512"/>
      <c r="JN513" s="1758"/>
      <c r="JO513" s="1759"/>
      <c r="JP513" s="1759"/>
      <c r="JQ513" s="1760"/>
      <c r="JR513" s="385"/>
      <c r="JS513" s="69"/>
      <c r="JT513" s="69"/>
      <c r="JU513" s="2512"/>
      <c r="JV513" s="1758"/>
      <c r="JW513" s="1759"/>
      <c r="JX513" s="1759"/>
      <c r="JY513" s="1760"/>
      <c r="JZ513" s="385"/>
      <c r="KA513" s="69"/>
      <c r="KB513" s="69"/>
      <c r="KC513" s="2512"/>
      <c r="KD513" s="1758"/>
      <c r="KE513" s="1759"/>
      <c r="KF513" s="1759"/>
      <c r="KG513" s="1760"/>
      <c r="KH513" s="385"/>
      <c r="KI513" s="69"/>
      <c r="KJ513" s="69"/>
      <c r="KK513" s="2512"/>
      <c r="KL513" s="1758"/>
      <c r="KM513" s="1759"/>
      <c r="KN513" s="1759"/>
      <c r="KO513" s="1760"/>
      <c r="KP513" s="385"/>
      <c r="KQ513" s="69"/>
      <c r="KR513" s="69"/>
      <c r="KS513" s="2512"/>
      <c r="KT513" s="1758"/>
      <c r="KU513" s="1759"/>
      <c r="KV513" s="1759"/>
      <c r="KW513" s="1760"/>
      <c r="KX513" s="385"/>
      <c r="KY513" s="69"/>
      <c r="KZ513" s="69"/>
      <c r="LA513" s="2512"/>
      <c r="LB513" s="1758"/>
      <c r="LC513" s="1759"/>
      <c r="LD513" s="1759"/>
      <c r="LE513" s="1760"/>
      <c r="LF513" s="385"/>
      <c r="LG513" s="69"/>
      <c r="LH513" s="69"/>
      <c r="LI513" s="2512"/>
      <c r="LJ513" s="1758"/>
      <c r="LK513" s="1759"/>
      <c r="LL513" s="1759"/>
      <c r="LM513" s="1760"/>
      <c r="LN513" s="385"/>
      <c r="LO513" s="69"/>
      <c r="LP513" s="69"/>
      <c r="LQ513" s="2512"/>
      <c r="LR513" s="1758"/>
      <c r="LS513" s="1759"/>
      <c r="LT513" s="1759"/>
      <c r="LU513" s="1760"/>
      <c r="LV513" s="385"/>
      <c r="LW513" s="69"/>
      <c r="LX513" s="69"/>
      <c r="LY513" s="2512"/>
      <c r="LZ513" s="1758"/>
      <c r="MA513" s="1759"/>
      <c r="MB513" s="1759"/>
      <c r="MC513" s="1760"/>
      <c r="MD513" s="385"/>
      <c r="ME513" s="69"/>
      <c r="MF513" s="69"/>
      <c r="MG513" s="2512"/>
      <c r="MH513" s="1758"/>
      <c r="MI513" s="1759"/>
      <c r="MJ513" s="1759"/>
      <c r="MK513" s="1760"/>
      <c r="ML513" s="385"/>
      <c r="MM513" s="69"/>
      <c r="MN513" s="69"/>
      <c r="MO513" s="2512"/>
      <c r="MP513" s="1758"/>
      <c r="MQ513" s="1759"/>
      <c r="MR513" s="1759"/>
      <c r="MS513" s="1760"/>
      <c r="MT513" s="385"/>
      <c r="MU513" s="69"/>
      <c r="MV513" s="69"/>
      <c r="MW513" s="2512"/>
      <c r="MX513" s="1758"/>
      <c r="MY513" s="1759"/>
      <c r="MZ513" s="1759"/>
      <c r="NA513" s="1760"/>
      <c r="NB513" s="385"/>
      <c r="NC513" s="69"/>
      <c r="ND513" s="69"/>
      <c r="NE513" s="2512"/>
      <c r="NF513" s="1758"/>
      <c r="NG513" s="1759"/>
      <c r="NH513" s="1759"/>
      <c r="NI513" s="1760"/>
      <c r="NJ513" s="385"/>
      <c r="NK513" s="69"/>
      <c r="NL513" s="69"/>
      <c r="NM513" s="2512"/>
      <c r="NN513" s="1758"/>
      <c r="NO513" s="1759"/>
      <c r="NP513" s="1759"/>
      <c r="NQ513" s="1760"/>
      <c r="NR513" s="385"/>
      <c r="NS513" s="69"/>
      <c r="NT513" s="69"/>
      <c r="NU513" s="2512"/>
      <c r="NV513" s="1758"/>
      <c r="NW513" s="1759"/>
      <c r="NX513" s="1759"/>
      <c r="NY513" s="1760"/>
      <c r="NZ513" s="385"/>
      <c r="OA513" s="69"/>
      <c r="OB513" s="69"/>
      <c r="OC513" s="2512"/>
      <c r="OD513" s="1758"/>
      <c r="OE513" s="1759"/>
      <c r="OF513" s="1759"/>
      <c r="OG513" s="1760"/>
      <c r="OH513" s="385"/>
      <c r="OI513" s="69"/>
      <c r="OJ513" s="69"/>
      <c r="OK513" s="2512"/>
      <c r="OL513" s="1758"/>
      <c r="OM513" s="1759"/>
      <c r="ON513" s="1759"/>
      <c r="OO513" s="1760"/>
      <c r="OP513" s="385"/>
      <c r="OQ513" s="69"/>
      <c r="OR513" s="69"/>
      <c r="OS513" s="2512"/>
      <c r="OT513" s="1758"/>
      <c r="OU513" s="1759"/>
      <c r="OV513" s="1759"/>
      <c r="OW513" s="1760"/>
      <c r="OX513" s="385"/>
      <c r="OY513" s="69"/>
      <c r="OZ513" s="69"/>
      <c r="PA513" s="2512"/>
      <c r="PB513" s="1758"/>
      <c r="PC513" s="1759"/>
      <c r="PD513" s="1759"/>
      <c r="PE513" s="1760"/>
      <c r="PF513" s="385"/>
      <c r="PG513" s="69"/>
      <c r="PH513" s="69"/>
      <c r="PI513" s="2512"/>
      <c r="PJ513" s="1758"/>
      <c r="PK513" s="1759"/>
      <c r="PL513" s="1759"/>
      <c r="PM513" s="1760"/>
      <c r="PN513" s="385"/>
      <c r="PO513" s="69"/>
      <c r="PP513" s="69"/>
      <c r="PQ513" s="2512"/>
      <c r="PR513" s="1758"/>
      <c r="PS513" s="1759"/>
      <c r="PT513" s="1759"/>
      <c r="PU513" s="1760"/>
      <c r="PV513" s="385"/>
      <c r="PW513" s="69"/>
      <c r="PX513" s="69"/>
      <c r="PY513" s="2512"/>
      <c r="PZ513" s="1758"/>
      <c r="QA513" s="1759"/>
      <c r="QB513" s="1759"/>
      <c r="QC513" s="1760"/>
      <c r="QD513" s="385"/>
      <c r="QE513" s="69"/>
      <c r="QF513" s="69"/>
      <c r="QG513" s="2512"/>
      <c r="QH513" s="1758"/>
      <c r="QI513" s="1759"/>
      <c r="QJ513" s="1759"/>
      <c r="QK513" s="1760"/>
      <c r="QL513" s="385"/>
      <c r="QM513" s="69"/>
      <c r="QN513" s="69"/>
      <c r="QO513" s="2512"/>
      <c r="QP513" s="1758"/>
      <c r="QQ513" s="1759"/>
      <c r="QR513" s="1759"/>
      <c r="QS513" s="1760"/>
      <c r="QT513" s="385"/>
      <c r="QU513" s="69"/>
      <c r="QV513" s="69"/>
      <c r="QW513" s="2512"/>
      <c r="QX513" s="1758"/>
      <c r="QY513" s="1759"/>
      <c r="QZ513" s="1759"/>
      <c r="RA513" s="1760"/>
      <c r="RB513" s="385"/>
      <c r="RC513" s="69"/>
      <c r="RD513" s="69"/>
      <c r="RE513" s="2512"/>
      <c r="RF513" s="1758"/>
      <c r="RG513" s="1759"/>
      <c r="RH513" s="1759"/>
      <c r="RI513" s="1760"/>
      <c r="RJ513" s="385"/>
      <c r="RK513" s="69"/>
      <c r="RL513" s="69"/>
      <c r="RM513" s="2512"/>
      <c r="RN513" s="1758"/>
      <c r="RO513" s="1759"/>
      <c r="RP513" s="1759"/>
      <c r="RQ513" s="1760"/>
      <c r="RR513" s="385"/>
      <c r="RS513" s="69"/>
      <c r="RT513" s="69"/>
      <c r="RU513" s="2512"/>
      <c r="RV513" s="1758"/>
      <c r="RW513" s="1759"/>
      <c r="RX513" s="1759"/>
      <c r="RY513" s="1760"/>
      <c r="RZ513" s="385"/>
      <c r="SA513" s="69"/>
      <c r="SB513" s="69"/>
      <c r="SC513" s="2512"/>
      <c r="SD513" s="1758"/>
      <c r="SE513" s="1759"/>
      <c r="SF513" s="1759"/>
      <c r="SG513" s="1760"/>
      <c r="SH513" s="385"/>
      <c r="SI513" s="69"/>
      <c r="SJ513" s="69"/>
      <c r="SK513" s="2512"/>
      <c r="SL513" s="1758"/>
      <c r="SM513" s="1759"/>
      <c r="SN513" s="1759"/>
      <c r="SO513" s="1760"/>
      <c r="SP513" s="385"/>
      <c r="SQ513" s="69"/>
      <c r="SR513" s="69"/>
      <c r="SS513" s="2512"/>
      <c r="ST513" s="1758"/>
      <c r="SU513" s="1759"/>
      <c r="SV513" s="1759"/>
      <c r="SW513" s="1760"/>
      <c r="SX513" s="385"/>
      <c r="SY513" s="69"/>
      <c r="SZ513" s="69"/>
      <c r="TA513" s="2512"/>
      <c r="TB513" s="1758"/>
      <c r="TC513" s="1759"/>
      <c r="TD513" s="1759"/>
      <c r="TE513" s="1760"/>
      <c r="TF513" s="385"/>
      <c r="TG513" s="69"/>
      <c r="TH513" s="69"/>
      <c r="TI513" s="2512"/>
      <c r="TJ513" s="1758"/>
      <c r="TK513" s="1759"/>
      <c r="TL513" s="1759"/>
      <c r="TM513" s="1760"/>
      <c r="TN513" s="385"/>
      <c r="TO513" s="69"/>
      <c r="TP513" s="69"/>
      <c r="TQ513" s="2512"/>
      <c r="TR513" s="1758"/>
      <c r="TS513" s="1759"/>
      <c r="TT513" s="1759"/>
      <c r="TU513" s="1760"/>
      <c r="TV513" s="385"/>
      <c r="TW513" s="69"/>
      <c r="TX513" s="69"/>
      <c r="TY513" s="2512"/>
      <c r="TZ513" s="1758"/>
      <c r="UA513" s="1759"/>
      <c r="UB513" s="1759"/>
      <c r="UC513" s="1760"/>
      <c r="UD513" s="385"/>
      <c r="UE513" s="69"/>
      <c r="UF513" s="69"/>
      <c r="UG513" s="2512"/>
      <c r="UH513" s="1758"/>
      <c r="UI513" s="1759"/>
      <c r="UJ513" s="1759"/>
      <c r="UK513" s="1760"/>
      <c r="UL513" s="385"/>
      <c r="UM513" s="69"/>
      <c r="UN513" s="69"/>
      <c r="UO513" s="2512"/>
      <c r="UP513" s="1758"/>
      <c r="UQ513" s="1759"/>
      <c r="UR513" s="1759"/>
      <c r="US513" s="1760"/>
      <c r="UT513" s="385"/>
      <c r="UU513" s="69"/>
      <c r="UV513" s="69"/>
      <c r="UW513" s="2512"/>
      <c r="UX513" s="1758"/>
      <c r="UY513" s="1759"/>
      <c r="UZ513" s="1759"/>
      <c r="VA513" s="1760"/>
      <c r="VB513" s="385"/>
      <c r="VC513" s="69"/>
      <c r="VD513" s="69"/>
      <c r="VE513" s="2512"/>
      <c r="VF513" s="1758"/>
      <c r="VG513" s="1759"/>
      <c r="VH513" s="1759"/>
      <c r="VI513" s="1760"/>
      <c r="VJ513" s="385"/>
      <c r="VK513" s="69"/>
      <c r="VL513" s="69"/>
      <c r="VM513" s="2512"/>
      <c r="VN513" s="1758"/>
      <c r="VO513" s="1759"/>
      <c r="VP513" s="1759"/>
      <c r="VQ513" s="1760"/>
      <c r="VR513" s="385"/>
      <c r="VS513" s="69"/>
      <c r="VT513" s="69"/>
      <c r="VU513" s="2512"/>
      <c r="VV513" s="1758"/>
      <c r="VW513" s="1759"/>
      <c r="VX513" s="1759"/>
      <c r="VY513" s="1760"/>
      <c r="VZ513" s="385"/>
      <c r="WA513" s="69"/>
      <c r="WB513" s="69"/>
      <c r="WC513" s="2512"/>
      <c r="WD513" s="1758"/>
      <c r="WE513" s="1759"/>
      <c r="WF513" s="1759"/>
      <c r="WG513" s="1760"/>
      <c r="WH513" s="385"/>
      <c r="WI513" s="69"/>
      <c r="WJ513" s="69"/>
      <c r="WK513" s="2512"/>
      <c r="WL513" s="1758"/>
      <c r="WM513" s="1759"/>
      <c r="WN513" s="1759"/>
      <c r="WO513" s="1760"/>
      <c r="WP513" s="385"/>
      <c r="WQ513" s="69"/>
      <c r="WR513" s="69"/>
      <c r="WS513" s="2512"/>
      <c r="WT513" s="1758"/>
      <c r="WU513" s="1759"/>
      <c r="WV513" s="1759"/>
      <c r="WW513" s="1760"/>
      <c r="WX513" s="385"/>
      <c r="WY513" s="69"/>
      <c r="WZ513" s="69"/>
      <c r="XA513" s="2512"/>
      <c r="XB513" s="1758"/>
      <c r="XC513" s="1759"/>
      <c r="XD513" s="1759"/>
      <c r="XE513" s="1760"/>
      <c r="XF513" s="385"/>
      <c r="XG513" s="69"/>
      <c r="XH513" s="69"/>
      <c r="XI513" s="2512"/>
      <c r="XJ513" s="1758"/>
      <c r="XK513" s="1759"/>
      <c r="XL513" s="1759"/>
      <c r="XM513" s="1760"/>
      <c r="XN513" s="385"/>
      <c r="XO513" s="69"/>
      <c r="XP513" s="69"/>
      <c r="XQ513" s="2512"/>
      <c r="XR513" s="1758"/>
      <c r="XS513" s="1759"/>
      <c r="XT513" s="1759"/>
      <c r="XU513" s="1760"/>
      <c r="XV513" s="385"/>
      <c r="XW513" s="69"/>
      <c r="XX513" s="69"/>
      <c r="XY513" s="2512"/>
      <c r="XZ513" s="1758"/>
      <c r="YA513" s="1759"/>
      <c r="YB513" s="1759"/>
      <c r="YC513" s="1760"/>
      <c r="YD513" s="385"/>
      <c r="YE513" s="69"/>
      <c r="YF513" s="69"/>
      <c r="YG513" s="2512"/>
      <c r="YH513" s="1758"/>
      <c r="YI513" s="1759"/>
      <c r="YJ513" s="1759"/>
      <c r="YK513" s="1760"/>
      <c r="YL513" s="385"/>
      <c r="YM513" s="69"/>
      <c r="YN513" s="69"/>
      <c r="YO513" s="2512"/>
      <c r="YP513" s="1758"/>
      <c r="YQ513" s="1759"/>
      <c r="YR513" s="1759"/>
      <c r="YS513" s="1760"/>
      <c r="YT513" s="385"/>
      <c r="YU513" s="69"/>
      <c r="YV513" s="69"/>
      <c r="YW513" s="2512"/>
      <c r="YX513" s="1758"/>
      <c r="YY513" s="1759"/>
      <c r="YZ513" s="1759"/>
      <c r="ZA513" s="1760"/>
      <c r="ZB513" s="385"/>
      <c r="ZC513" s="69"/>
      <c r="ZD513" s="69"/>
      <c r="ZE513" s="2512"/>
      <c r="ZF513" s="1758"/>
      <c r="ZG513" s="1759"/>
      <c r="ZH513" s="1759"/>
      <c r="ZI513" s="1760"/>
      <c r="ZJ513" s="385"/>
      <c r="ZK513" s="69"/>
      <c r="ZL513" s="69"/>
      <c r="ZM513" s="2512"/>
      <c r="ZN513" s="1758"/>
      <c r="ZO513" s="1759"/>
      <c r="ZP513" s="1759"/>
      <c r="ZQ513" s="1760"/>
      <c r="ZR513" s="385"/>
      <c r="ZS513" s="69"/>
      <c r="ZT513" s="69"/>
      <c r="ZU513" s="2512"/>
      <c r="ZV513" s="1758"/>
      <c r="ZW513" s="1759"/>
      <c r="ZX513" s="1759"/>
      <c r="ZY513" s="1760"/>
      <c r="ZZ513" s="385"/>
      <c r="AAA513" s="69"/>
      <c r="AAB513" s="69"/>
      <c r="AAC513" s="2512"/>
      <c r="AAD513" s="1758"/>
      <c r="AAE513" s="1759"/>
      <c r="AAF513" s="1759"/>
      <c r="AAG513" s="1760"/>
      <c r="AAH513" s="385"/>
      <c r="AAI513" s="69"/>
      <c r="AAJ513" s="69"/>
      <c r="AAK513" s="2512"/>
      <c r="AAL513" s="1758"/>
      <c r="AAM513" s="1759"/>
      <c r="AAN513" s="1759"/>
      <c r="AAO513" s="1760"/>
      <c r="AAP513" s="385"/>
      <c r="AAQ513" s="69"/>
      <c r="AAR513" s="69"/>
      <c r="AAS513" s="2512"/>
      <c r="AAT513" s="1758"/>
      <c r="AAU513" s="1759"/>
      <c r="AAV513" s="1759"/>
      <c r="AAW513" s="1760"/>
      <c r="AAX513" s="385"/>
      <c r="AAY513" s="69"/>
      <c r="AAZ513" s="69"/>
      <c r="ABA513" s="2512"/>
      <c r="ABB513" s="1758"/>
      <c r="ABC513" s="1759"/>
      <c r="ABD513" s="1759"/>
      <c r="ABE513" s="1760"/>
      <c r="ABF513" s="385"/>
      <c r="ABG513" s="69"/>
      <c r="ABH513" s="69"/>
      <c r="ABI513" s="2512"/>
      <c r="ABJ513" s="1758"/>
      <c r="ABK513" s="1759"/>
      <c r="ABL513" s="1759"/>
      <c r="ABM513" s="1760"/>
      <c r="ABN513" s="385"/>
      <c r="ABO513" s="69"/>
      <c r="ABP513" s="69"/>
      <c r="ABQ513" s="2512"/>
      <c r="ABR513" s="1758"/>
      <c r="ABS513" s="1759"/>
      <c r="ABT513" s="1759"/>
      <c r="ABU513" s="1760"/>
      <c r="ABV513" s="385"/>
      <c r="ABW513" s="69"/>
      <c r="ABX513" s="69"/>
      <c r="ABY513" s="2512"/>
      <c r="ABZ513" s="1758"/>
      <c r="ACA513" s="1759"/>
      <c r="ACB513" s="1759"/>
      <c r="ACC513" s="1760"/>
      <c r="ACD513" s="385"/>
      <c r="ACE513" s="69"/>
      <c r="ACF513" s="69"/>
      <c r="ACG513" s="2512"/>
      <c r="ACH513" s="1758"/>
      <c r="ACI513" s="1759"/>
      <c r="ACJ513" s="1759"/>
      <c r="ACK513" s="1760"/>
      <c r="ACL513" s="385"/>
      <c r="ACM513" s="69"/>
      <c r="ACN513" s="69"/>
      <c r="ACO513" s="2512"/>
      <c r="ACP513" s="1758"/>
      <c r="ACQ513" s="1759"/>
      <c r="ACR513" s="1759"/>
      <c r="ACS513" s="1760"/>
      <c r="ACT513" s="385"/>
      <c r="ACU513" s="69"/>
      <c r="ACV513" s="69"/>
      <c r="ACW513" s="2512"/>
      <c r="ACX513" s="1758"/>
      <c r="ACY513" s="1759"/>
      <c r="ACZ513" s="1759"/>
      <c r="ADA513" s="1760"/>
      <c r="ADB513" s="385"/>
      <c r="ADC513" s="69"/>
      <c r="ADD513" s="69"/>
      <c r="ADE513" s="2512"/>
      <c r="ADF513" s="1758"/>
      <c r="ADG513" s="1759"/>
      <c r="ADH513" s="1759"/>
      <c r="ADI513" s="1760"/>
      <c r="ADJ513" s="385"/>
      <c r="ADK513" s="69"/>
      <c r="ADL513" s="69"/>
      <c r="ADM513" s="2512"/>
      <c r="ADN513" s="1758"/>
      <c r="ADO513" s="1759"/>
      <c r="ADP513" s="1759"/>
      <c r="ADQ513" s="1760"/>
      <c r="ADR513" s="385"/>
      <c r="ADS513" s="69"/>
      <c r="ADT513" s="69"/>
      <c r="ADU513" s="2512"/>
      <c r="ADV513" s="1758"/>
      <c r="ADW513" s="1759"/>
      <c r="ADX513" s="1759"/>
      <c r="ADY513" s="1760"/>
      <c r="ADZ513" s="385"/>
      <c r="AEA513" s="69"/>
      <c r="AEB513" s="69"/>
      <c r="AEC513" s="2512"/>
      <c r="AED513" s="1758"/>
      <c r="AEE513" s="1759"/>
      <c r="AEF513" s="1759"/>
      <c r="AEG513" s="1760"/>
      <c r="AEH513" s="385"/>
      <c r="AEI513" s="69"/>
      <c r="AEJ513" s="69"/>
      <c r="AEK513" s="2512"/>
      <c r="AEL513" s="1758"/>
      <c r="AEM513" s="1759"/>
      <c r="AEN513" s="1759"/>
      <c r="AEO513" s="1760"/>
      <c r="AEP513" s="385"/>
      <c r="AEQ513" s="69"/>
      <c r="AER513" s="69"/>
      <c r="AES513" s="2512"/>
      <c r="AET513" s="1758"/>
      <c r="AEU513" s="1759"/>
      <c r="AEV513" s="1759"/>
      <c r="AEW513" s="1760"/>
      <c r="AEX513" s="385"/>
      <c r="AEY513" s="69"/>
      <c r="AEZ513" s="69"/>
      <c r="AFA513" s="2512"/>
      <c r="AFB513" s="1758"/>
      <c r="AFC513" s="1759"/>
      <c r="AFD513" s="1759"/>
      <c r="AFE513" s="1760"/>
      <c r="AFF513" s="385"/>
      <c r="AFG513" s="69"/>
      <c r="AFH513" s="69"/>
      <c r="AFI513" s="2512"/>
      <c r="AFJ513" s="1758"/>
      <c r="AFK513" s="1759"/>
      <c r="AFL513" s="1759"/>
      <c r="AFM513" s="1760"/>
      <c r="AFN513" s="385"/>
      <c r="AFO513" s="69"/>
      <c r="AFP513" s="69"/>
      <c r="AFQ513" s="2512"/>
      <c r="AFR513" s="1758"/>
      <c r="AFS513" s="1759"/>
      <c r="AFT513" s="1759"/>
      <c r="AFU513" s="1760"/>
      <c r="AFV513" s="385"/>
      <c r="AFW513" s="69"/>
      <c r="AFX513" s="69"/>
      <c r="AFY513" s="2512"/>
      <c r="AFZ513" s="1758"/>
      <c r="AGA513" s="1759"/>
      <c r="AGB513" s="1759"/>
      <c r="AGC513" s="1760"/>
      <c r="AGD513" s="385"/>
      <c r="AGE513" s="69"/>
      <c r="AGF513" s="69"/>
      <c r="AGG513" s="2512"/>
      <c r="AGH513" s="1758"/>
      <c r="AGI513" s="1759"/>
      <c r="AGJ513" s="1759"/>
      <c r="AGK513" s="1760"/>
      <c r="AGL513" s="385"/>
      <c r="AGM513" s="69"/>
      <c r="AGN513" s="69"/>
      <c r="AGO513" s="2512"/>
      <c r="AGP513" s="1758"/>
      <c r="AGQ513" s="1759"/>
      <c r="AGR513" s="1759"/>
      <c r="AGS513" s="1760"/>
      <c r="AGT513" s="385"/>
      <c r="AGU513" s="69"/>
      <c r="AGV513" s="69"/>
      <c r="AGW513" s="2512"/>
      <c r="AGX513" s="1758"/>
      <c r="AGY513" s="1759"/>
      <c r="AGZ513" s="1759"/>
      <c r="AHA513" s="1760"/>
      <c r="AHB513" s="385"/>
      <c r="AHC513" s="69"/>
      <c r="AHD513" s="69"/>
      <c r="AHE513" s="2512"/>
      <c r="AHF513" s="1758"/>
      <c r="AHG513" s="1759"/>
      <c r="AHH513" s="1759"/>
      <c r="AHI513" s="1760"/>
      <c r="AHJ513" s="385"/>
      <c r="AHK513" s="69"/>
      <c r="AHL513" s="69"/>
      <c r="AHM513" s="2512"/>
      <c r="AHN513" s="1758"/>
      <c r="AHO513" s="1759"/>
      <c r="AHP513" s="1759"/>
      <c r="AHQ513" s="1760"/>
      <c r="AHR513" s="385"/>
      <c r="AHS513" s="69"/>
      <c r="AHT513" s="69"/>
      <c r="AHU513" s="2512"/>
      <c r="AHV513" s="1758"/>
      <c r="AHW513" s="1759"/>
      <c r="AHX513" s="1759"/>
      <c r="AHY513" s="1760"/>
      <c r="AHZ513" s="385"/>
      <c r="AIA513" s="69"/>
      <c r="AIB513" s="69"/>
      <c r="AIC513" s="2512"/>
      <c r="AID513" s="1758"/>
      <c r="AIE513" s="1759"/>
      <c r="AIF513" s="1759"/>
      <c r="AIG513" s="1760"/>
      <c r="AIH513" s="385"/>
      <c r="AII513" s="69"/>
      <c r="AIJ513" s="69"/>
      <c r="AIK513" s="2512"/>
      <c r="AIL513" s="1758"/>
      <c r="AIM513" s="1759"/>
      <c r="AIN513" s="1759"/>
      <c r="AIO513" s="1760"/>
      <c r="AIP513" s="385"/>
      <c r="AIQ513" s="69"/>
      <c r="AIR513" s="69"/>
      <c r="AIS513" s="2512"/>
      <c r="AIT513" s="1758"/>
      <c r="AIU513" s="1759"/>
      <c r="AIV513" s="1759"/>
      <c r="AIW513" s="1760"/>
      <c r="AIX513" s="385"/>
      <c r="AIY513" s="69"/>
      <c r="AIZ513" s="69"/>
      <c r="AJA513" s="2512"/>
      <c r="AJB513" s="1758"/>
      <c r="AJC513" s="1759"/>
      <c r="AJD513" s="1759"/>
      <c r="AJE513" s="1760"/>
      <c r="AJF513" s="385"/>
      <c r="AJG513" s="69"/>
      <c r="AJH513" s="69"/>
      <c r="AJI513" s="2512"/>
      <c r="AJJ513" s="1758"/>
      <c r="AJK513" s="1759"/>
      <c r="AJL513" s="1759"/>
      <c r="AJM513" s="1760"/>
      <c r="AJN513" s="385"/>
      <c r="AJO513" s="69"/>
      <c r="AJP513" s="69"/>
      <c r="AJQ513" s="2512"/>
      <c r="AJR513" s="1758"/>
      <c r="AJS513" s="1759"/>
      <c r="AJT513" s="1759"/>
      <c r="AJU513" s="1760"/>
      <c r="AJV513" s="385"/>
      <c r="AJW513" s="69"/>
      <c r="AJX513" s="69"/>
      <c r="AJY513" s="2512"/>
      <c r="AJZ513" s="1758"/>
      <c r="AKA513" s="1759"/>
      <c r="AKB513" s="1759"/>
      <c r="AKC513" s="1760"/>
      <c r="AKD513" s="385"/>
      <c r="AKE513" s="69"/>
      <c r="AKF513" s="69"/>
      <c r="AKG513" s="2512"/>
      <c r="AKH513" s="1758"/>
      <c r="AKI513" s="1759"/>
      <c r="AKJ513" s="1759"/>
      <c r="AKK513" s="1760"/>
      <c r="AKL513" s="385"/>
      <c r="AKM513" s="69"/>
      <c r="AKN513" s="69"/>
      <c r="AKO513" s="2512"/>
      <c r="AKP513" s="1758"/>
      <c r="AKQ513" s="1759"/>
      <c r="AKR513" s="1759"/>
      <c r="AKS513" s="1760"/>
      <c r="AKT513" s="385"/>
      <c r="AKU513" s="69"/>
      <c r="AKV513" s="69"/>
      <c r="AKW513" s="2512"/>
      <c r="AKX513" s="1758"/>
      <c r="AKY513" s="1759"/>
      <c r="AKZ513" s="1759"/>
      <c r="ALA513" s="1760"/>
      <c r="ALB513" s="385"/>
      <c r="ALC513" s="69"/>
      <c r="ALD513" s="69"/>
      <c r="ALE513" s="2512"/>
      <c r="ALF513" s="1758"/>
      <c r="ALG513" s="1759"/>
      <c r="ALH513" s="1759"/>
      <c r="ALI513" s="1760"/>
      <c r="ALJ513" s="385"/>
      <c r="ALK513" s="69"/>
      <c r="ALL513" s="69"/>
      <c r="ALM513" s="2512"/>
      <c r="ALN513" s="1758"/>
      <c r="ALO513" s="1759"/>
      <c r="ALP513" s="1759"/>
      <c r="ALQ513" s="1760"/>
      <c r="ALR513" s="385"/>
      <c r="ALS513" s="69"/>
      <c r="ALT513" s="69"/>
      <c r="ALU513" s="2512"/>
      <c r="ALV513" s="1758"/>
      <c r="ALW513" s="1759"/>
      <c r="ALX513" s="1759"/>
      <c r="ALY513" s="1760"/>
      <c r="ALZ513" s="385"/>
      <c r="AMA513" s="69"/>
      <c r="AMB513" s="69"/>
      <c r="AMC513" s="2512"/>
      <c r="AMD513" s="1758"/>
      <c r="AME513" s="1759"/>
      <c r="AMF513" s="1759"/>
      <c r="AMG513" s="1760"/>
      <c r="AMH513" s="385"/>
      <c r="AMI513" s="69"/>
      <c r="AMJ513" s="69"/>
      <c r="AMK513" s="2512"/>
      <c r="AML513" s="1758"/>
      <c r="AMM513" s="1759"/>
      <c r="AMN513" s="1759"/>
      <c r="AMO513" s="1760"/>
      <c r="AMP513" s="385"/>
      <c r="AMQ513" s="69"/>
      <c r="AMR513" s="69"/>
      <c r="AMS513" s="2512"/>
      <c r="AMT513" s="1758"/>
      <c r="AMU513" s="1759"/>
      <c r="AMV513" s="1759"/>
      <c r="AMW513" s="1760"/>
      <c r="AMX513" s="385"/>
      <c r="AMY513" s="69"/>
      <c r="AMZ513" s="69"/>
      <c r="ANA513" s="2512"/>
      <c r="ANB513" s="1758"/>
      <c r="ANC513" s="1759"/>
      <c r="AND513" s="1759"/>
      <c r="ANE513" s="1760"/>
      <c r="ANF513" s="385"/>
      <c r="ANG513" s="69"/>
      <c r="ANH513" s="69"/>
      <c r="ANI513" s="2512"/>
      <c r="ANJ513" s="1758"/>
      <c r="ANK513" s="1759"/>
      <c r="ANL513" s="1759"/>
      <c r="ANM513" s="1760"/>
      <c r="ANN513" s="385"/>
      <c r="ANO513" s="69"/>
      <c r="ANP513" s="69"/>
      <c r="ANQ513" s="2512"/>
      <c r="ANR513" s="1758"/>
      <c r="ANS513" s="1759"/>
      <c r="ANT513" s="1759"/>
      <c r="ANU513" s="1760"/>
      <c r="ANV513" s="385"/>
      <c r="ANW513" s="69"/>
      <c r="ANX513" s="69"/>
      <c r="ANY513" s="2512"/>
      <c r="ANZ513" s="1758"/>
      <c r="AOA513" s="1759"/>
      <c r="AOB513" s="1759"/>
      <c r="AOC513" s="1760"/>
      <c r="AOD513" s="385"/>
      <c r="AOE513" s="69"/>
      <c r="AOF513" s="69"/>
      <c r="AOG513" s="2512"/>
      <c r="AOH513" s="1758"/>
      <c r="AOI513" s="1759"/>
      <c r="AOJ513" s="1759"/>
      <c r="AOK513" s="1760"/>
      <c r="AOL513" s="385"/>
      <c r="AOM513" s="69"/>
      <c r="AON513" s="69"/>
      <c r="AOO513" s="2512"/>
      <c r="AOP513" s="1758"/>
      <c r="AOQ513" s="1759"/>
      <c r="AOR513" s="1759"/>
      <c r="AOS513" s="1760"/>
      <c r="AOT513" s="385"/>
      <c r="AOU513" s="69"/>
      <c r="AOV513" s="69"/>
      <c r="AOW513" s="2512"/>
      <c r="AOX513" s="1758"/>
      <c r="AOY513" s="1759"/>
      <c r="AOZ513" s="1759"/>
      <c r="APA513" s="1760"/>
      <c r="APB513" s="385"/>
      <c r="APC513" s="69"/>
      <c r="APD513" s="69"/>
      <c r="APE513" s="2512"/>
      <c r="APF513" s="1758"/>
      <c r="APG513" s="1759"/>
      <c r="APH513" s="1759"/>
      <c r="API513" s="1760"/>
      <c r="APJ513" s="385"/>
      <c r="APK513" s="69"/>
      <c r="APL513" s="69"/>
      <c r="APM513" s="2512"/>
      <c r="APN513" s="1758"/>
      <c r="APO513" s="1759"/>
      <c r="APP513" s="1759"/>
      <c r="APQ513" s="1760"/>
      <c r="APR513" s="385"/>
      <c r="APS513" s="69"/>
      <c r="APT513" s="69"/>
      <c r="APU513" s="2512"/>
      <c r="APV513" s="1758"/>
      <c r="APW513" s="1759"/>
      <c r="APX513" s="1759"/>
      <c r="APY513" s="1760"/>
      <c r="APZ513" s="385"/>
      <c r="AQA513" s="69"/>
      <c r="AQB513" s="69"/>
      <c r="AQC513" s="2512"/>
      <c r="AQD513" s="1758"/>
      <c r="AQE513" s="1759"/>
      <c r="AQF513" s="1759"/>
      <c r="AQG513" s="1760"/>
      <c r="AQH513" s="385"/>
      <c r="AQI513" s="69"/>
      <c r="AQJ513" s="69"/>
      <c r="AQK513" s="2512"/>
      <c r="AQL513" s="1758"/>
      <c r="AQM513" s="1759"/>
      <c r="AQN513" s="1759"/>
      <c r="AQO513" s="1760"/>
      <c r="AQP513" s="385"/>
      <c r="AQQ513" s="69"/>
      <c r="AQR513" s="69"/>
      <c r="AQS513" s="2512"/>
      <c r="AQT513" s="1758"/>
      <c r="AQU513" s="1759"/>
      <c r="AQV513" s="1759"/>
      <c r="AQW513" s="1760"/>
      <c r="AQX513" s="385"/>
      <c r="AQY513" s="69"/>
      <c r="AQZ513" s="69"/>
      <c r="ARA513" s="2512"/>
      <c r="ARB513" s="1758"/>
      <c r="ARC513" s="1759"/>
      <c r="ARD513" s="1759"/>
      <c r="ARE513" s="1760"/>
      <c r="ARF513" s="385"/>
      <c r="ARG513" s="69"/>
      <c r="ARH513" s="69"/>
      <c r="ARI513" s="2512"/>
      <c r="ARJ513" s="1758"/>
      <c r="ARK513" s="1759"/>
      <c r="ARL513" s="1759"/>
      <c r="ARM513" s="1760"/>
      <c r="ARN513" s="385"/>
      <c r="ARO513" s="69"/>
      <c r="ARP513" s="69"/>
      <c r="ARQ513" s="2512"/>
      <c r="ARR513" s="1758"/>
      <c r="ARS513" s="1759"/>
      <c r="ART513" s="1759"/>
      <c r="ARU513" s="1760"/>
      <c r="ARV513" s="385"/>
      <c r="ARW513" s="69"/>
      <c r="ARX513" s="69"/>
      <c r="ARY513" s="2512"/>
      <c r="ARZ513" s="1758"/>
      <c r="ASA513" s="1759"/>
      <c r="ASB513" s="1759"/>
      <c r="ASC513" s="1760"/>
      <c r="ASD513" s="385"/>
      <c r="ASE513" s="69"/>
      <c r="ASF513" s="69"/>
      <c r="ASG513" s="2512"/>
      <c r="ASH513" s="1758"/>
      <c r="ASI513" s="1759"/>
      <c r="ASJ513" s="1759"/>
      <c r="ASK513" s="1760"/>
      <c r="ASL513" s="385"/>
      <c r="ASM513" s="69"/>
      <c r="ASN513" s="69"/>
      <c r="ASO513" s="2512"/>
      <c r="ASP513" s="1758"/>
      <c r="ASQ513" s="1759"/>
      <c r="ASR513" s="1759"/>
      <c r="ASS513" s="1760"/>
      <c r="AST513" s="385"/>
      <c r="ASU513" s="69"/>
      <c r="ASV513" s="69"/>
      <c r="ASW513" s="2512"/>
      <c r="ASX513" s="1758"/>
      <c r="ASY513" s="1759"/>
      <c r="ASZ513" s="1759"/>
      <c r="ATA513" s="1760"/>
      <c r="ATB513" s="385"/>
      <c r="ATC513" s="69"/>
      <c r="ATD513" s="69"/>
      <c r="ATE513" s="2512"/>
      <c r="ATF513" s="1758"/>
      <c r="ATG513" s="1759"/>
      <c r="ATH513" s="1759"/>
      <c r="ATI513" s="1760"/>
      <c r="ATJ513" s="385"/>
      <c r="ATK513" s="69"/>
      <c r="ATL513" s="69"/>
      <c r="ATM513" s="2512"/>
      <c r="ATN513" s="1758"/>
      <c r="ATO513" s="1759"/>
      <c r="ATP513" s="1759"/>
      <c r="ATQ513" s="1760"/>
      <c r="ATR513" s="385"/>
      <c r="ATS513" s="69"/>
      <c r="ATT513" s="69"/>
      <c r="ATU513" s="2512"/>
      <c r="ATV513" s="1758"/>
      <c r="ATW513" s="1759"/>
      <c r="ATX513" s="1759"/>
      <c r="ATY513" s="1760"/>
      <c r="ATZ513" s="385"/>
      <c r="AUA513" s="69"/>
      <c r="AUB513" s="69"/>
      <c r="AUC513" s="2512"/>
      <c r="AUD513" s="1758"/>
      <c r="AUE513" s="1759"/>
      <c r="AUF513" s="1759"/>
      <c r="AUG513" s="1760"/>
      <c r="AUH513" s="385"/>
      <c r="AUI513" s="69"/>
      <c r="AUJ513" s="69"/>
      <c r="AUK513" s="2512"/>
      <c r="AUL513" s="1758"/>
      <c r="AUM513" s="1759"/>
      <c r="AUN513" s="1759"/>
      <c r="AUO513" s="1760"/>
      <c r="AUP513" s="385"/>
      <c r="AUQ513" s="69"/>
      <c r="AUR513" s="69"/>
      <c r="AUS513" s="2512"/>
      <c r="AUT513" s="1758"/>
      <c r="AUU513" s="1759"/>
      <c r="AUV513" s="1759"/>
      <c r="AUW513" s="1760"/>
      <c r="AUX513" s="385"/>
      <c r="AUY513" s="69"/>
      <c r="AUZ513" s="69"/>
      <c r="AVA513" s="2512"/>
      <c r="AVB513" s="1758"/>
      <c r="AVC513" s="1759"/>
      <c r="AVD513" s="1759"/>
      <c r="AVE513" s="1760"/>
      <c r="AVF513" s="385"/>
      <c r="AVG513" s="69"/>
      <c r="AVH513" s="69"/>
      <c r="AVI513" s="2512"/>
      <c r="AVJ513" s="1758"/>
      <c r="AVK513" s="1759"/>
      <c r="AVL513" s="1759"/>
      <c r="AVM513" s="1760"/>
      <c r="AVN513" s="385"/>
      <c r="AVO513" s="69"/>
      <c r="AVP513" s="69"/>
      <c r="AVQ513" s="2512"/>
      <c r="AVR513" s="1758"/>
      <c r="AVS513" s="1759"/>
      <c r="AVT513" s="1759"/>
      <c r="AVU513" s="1760"/>
      <c r="AVV513" s="385"/>
      <c r="AVW513" s="69"/>
      <c r="AVX513" s="69"/>
      <c r="AVY513" s="2512"/>
      <c r="AVZ513" s="1758"/>
      <c r="AWA513" s="1759"/>
      <c r="AWB513" s="1759"/>
      <c r="AWC513" s="1760"/>
      <c r="AWD513" s="385"/>
      <c r="AWE513" s="69"/>
      <c r="AWF513" s="69"/>
      <c r="AWG513" s="2512"/>
      <c r="AWH513" s="1758"/>
      <c r="AWI513" s="1759"/>
      <c r="AWJ513" s="1759"/>
      <c r="AWK513" s="1760"/>
      <c r="AWL513" s="385"/>
      <c r="AWM513" s="69"/>
      <c r="AWN513" s="69"/>
      <c r="AWO513" s="2512"/>
      <c r="AWP513" s="1758"/>
      <c r="AWQ513" s="1759"/>
      <c r="AWR513" s="1759"/>
      <c r="AWS513" s="1760"/>
      <c r="AWT513" s="385"/>
      <c r="AWU513" s="69"/>
      <c r="AWV513" s="69"/>
      <c r="AWW513" s="2512"/>
      <c r="AWX513" s="1758"/>
      <c r="AWY513" s="1759"/>
      <c r="AWZ513" s="1759"/>
      <c r="AXA513" s="1760"/>
      <c r="AXB513" s="385"/>
      <c r="AXC513" s="69"/>
      <c r="AXD513" s="69"/>
      <c r="AXE513" s="2512"/>
      <c r="AXF513" s="1758"/>
      <c r="AXG513" s="1759"/>
      <c r="AXH513" s="1759"/>
      <c r="AXI513" s="1760"/>
      <c r="AXJ513" s="385"/>
      <c r="AXK513" s="69"/>
      <c r="AXL513" s="69"/>
      <c r="AXM513" s="2512"/>
      <c r="AXN513" s="1758"/>
      <c r="AXO513" s="1759"/>
      <c r="AXP513" s="1759"/>
      <c r="AXQ513" s="1760"/>
      <c r="AXR513" s="385"/>
      <c r="AXS513" s="69"/>
      <c r="AXT513" s="69"/>
      <c r="AXU513" s="2512"/>
      <c r="AXV513" s="1758"/>
      <c r="AXW513" s="1759"/>
      <c r="AXX513" s="1759"/>
      <c r="AXY513" s="1760"/>
      <c r="AXZ513" s="385"/>
      <c r="AYA513" s="69"/>
      <c r="AYB513" s="69"/>
      <c r="AYC513" s="2512"/>
      <c r="AYD513" s="1758"/>
      <c r="AYE513" s="1759"/>
      <c r="AYF513" s="1759"/>
      <c r="AYG513" s="1760"/>
      <c r="AYH513" s="385"/>
      <c r="AYI513" s="69"/>
      <c r="AYJ513" s="69"/>
      <c r="AYK513" s="2512"/>
      <c r="AYL513" s="1758"/>
      <c r="AYM513" s="1759"/>
      <c r="AYN513" s="1759"/>
      <c r="AYO513" s="1760"/>
      <c r="AYP513" s="385"/>
      <c r="AYQ513" s="69"/>
      <c r="AYR513" s="69"/>
      <c r="AYS513" s="2512"/>
      <c r="AYT513" s="1758"/>
      <c r="AYU513" s="1759"/>
      <c r="AYV513" s="1759"/>
      <c r="AYW513" s="1760"/>
      <c r="AYX513" s="385"/>
      <c r="AYY513" s="69"/>
      <c r="AYZ513" s="69"/>
      <c r="AZA513" s="2512"/>
      <c r="AZB513" s="1758"/>
      <c r="AZC513" s="1759"/>
      <c r="AZD513" s="1759"/>
      <c r="AZE513" s="1760"/>
      <c r="AZF513" s="385"/>
      <c r="AZG513" s="69"/>
      <c r="AZH513" s="69"/>
      <c r="AZI513" s="2512"/>
      <c r="AZJ513" s="1758"/>
      <c r="AZK513" s="1759"/>
      <c r="AZL513" s="1759"/>
      <c r="AZM513" s="1760"/>
      <c r="AZN513" s="385"/>
      <c r="AZO513" s="69"/>
      <c r="AZP513" s="69"/>
      <c r="AZQ513" s="2512"/>
      <c r="AZR513" s="1758"/>
      <c r="AZS513" s="1759"/>
      <c r="AZT513" s="1759"/>
      <c r="AZU513" s="1760"/>
      <c r="AZV513" s="385"/>
      <c r="AZW513" s="69"/>
      <c r="AZX513" s="69"/>
      <c r="AZY513" s="2512"/>
      <c r="AZZ513" s="1758"/>
      <c r="BAA513" s="1759"/>
      <c r="BAB513" s="1759"/>
      <c r="BAC513" s="1760"/>
      <c r="BAD513" s="385"/>
      <c r="BAE513" s="69"/>
      <c r="BAF513" s="69"/>
      <c r="BAG513" s="2512"/>
      <c r="BAH513" s="1758"/>
      <c r="BAI513" s="1759"/>
      <c r="BAJ513" s="1759"/>
      <c r="BAK513" s="1760"/>
      <c r="BAL513" s="385"/>
      <c r="BAM513" s="69"/>
      <c r="BAN513" s="69"/>
      <c r="BAO513" s="2512"/>
      <c r="BAP513" s="1758"/>
      <c r="BAQ513" s="1759"/>
      <c r="BAR513" s="1759"/>
      <c r="BAS513" s="1760"/>
      <c r="BAT513" s="385"/>
      <c r="BAU513" s="69"/>
      <c r="BAV513" s="69"/>
      <c r="BAW513" s="2512"/>
      <c r="BAX513" s="1758"/>
      <c r="BAY513" s="1759"/>
      <c r="BAZ513" s="1759"/>
      <c r="BBA513" s="1760"/>
      <c r="BBB513" s="385"/>
      <c r="BBC513" s="69"/>
      <c r="BBD513" s="69"/>
      <c r="BBE513" s="2512"/>
      <c r="BBF513" s="1758"/>
      <c r="BBG513" s="1759"/>
      <c r="BBH513" s="1759"/>
      <c r="BBI513" s="1760"/>
      <c r="BBJ513" s="385"/>
      <c r="BBK513" s="69"/>
      <c r="BBL513" s="69"/>
      <c r="BBM513" s="2512"/>
      <c r="BBN513" s="1758"/>
      <c r="BBO513" s="1759"/>
      <c r="BBP513" s="1759"/>
      <c r="BBQ513" s="1760"/>
      <c r="BBR513" s="385"/>
      <c r="BBS513" s="69"/>
      <c r="BBT513" s="69"/>
      <c r="BBU513" s="2512"/>
      <c r="BBV513" s="1758"/>
      <c r="BBW513" s="1759"/>
      <c r="BBX513" s="1759"/>
      <c r="BBY513" s="1760"/>
      <c r="BBZ513" s="385"/>
      <c r="BCA513" s="69"/>
      <c r="BCB513" s="69"/>
      <c r="BCC513" s="2512"/>
      <c r="BCD513" s="1758"/>
      <c r="BCE513" s="1759"/>
      <c r="BCF513" s="1759"/>
      <c r="BCG513" s="1760"/>
      <c r="BCH513" s="385"/>
      <c r="BCI513" s="69"/>
      <c r="BCJ513" s="69"/>
      <c r="BCK513" s="2512"/>
      <c r="BCL513" s="1758"/>
      <c r="BCM513" s="1759"/>
      <c r="BCN513" s="1759"/>
      <c r="BCO513" s="1760"/>
      <c r="BCP513" s="385"/>
      <c r="BCQ513" s="69"/>
      <c r="BCR513" s="69"/>
      <c r="BCS513" s="2512"/>
      <c r="BCT513" s="1758"/>
      <c r="BCU513" s="1759"/>
      <c r="BCV513" s="1759"/>
      <c r="BCW513" s="1760"/>
      <c r="BCX513" s="385"/>
      <c r="BCY513" s="69"/>
      <c r="BCZ513" s="69"/>
      <c r="BDA513" s="2512"/>
      <c r="BDB513" s="1758"/>
      <c r="BDC513" s="1759"/>
      <c r="BDD513" s="1759"/>
      <c r="BDE513" s="1760"/>
      <c r="BDF513" s="385"/>
      <c r="BDG513" s="69"/>
      <c r="BDH513" s="69"/>
      <c r="BDI513" s="2512"/>
      <c r="BDJ513" s="1758"/>
      <c r="BDK513" s="1759"/>
      <c r="BDL513" s="1759"/>
      <c r="BDM513" s="1760"/>
      <c r="BDN513" s="385"/>
      <c r="BDO513" s="69"/>
      <c r="BDP513" s="69"/>
      <c r="BDQ513" s="2512"/>
      <c r="BDR513" s="1758"/>
      <c r="BDS513" s="1759"/>
      <c r="BDT513" s="1759"/>
      <c r="BDU513" s="1760"/>
      <c r="BDV513" s="385"/>
      <c r="BDW513" s="69"/>
      <c r="BDX513" s="69"/>
      <c r="BDY513" s="2512"/>
      <c r="BDZ513" s="1758"/>
      <c r="BEA513" s="1759"/>
      <c r="BEB513" s="1759"/>
      <c r="BEC513" s="1760"/>
      <c r="BED513" s="385"/>
      <c r="BEE513" s="69"/>
      <c r="BEF513" s="69"/>
      <c r="BEG513" s="2512"/>
      <c r="BEH513" s="1758"/>
      <c r="BEI513" s="1759"/>
      <c r="BEJ513" s="1759"/>
      <c r="BEK513" s="1760"/>
      <c r="BEL513" s="385"/>
      <c r="BEM513" s="69"/>
      <c r="BEN513" s="69"/>
      <c r="BEO513" s="2512"/>
      <c r="BEP513" s="1758"/>
      <c r="BEQ513" s="1759"/>
      <c r="BER513" s="1759"/>
      <c r="BES513" s="1760"/>
      <c r="BET513" s="385"/>
      <c r="BEU513" s="69"/>
      <c r="BEV513" s="69"/>
      <c r="BEW513" s="2512"/>
      <c r="BEX513" s="1758"/>
      <c r="BEY513" s="1759"/>
      <c r="BEZ513" s="1759"/>
      <c r="BFA513" s="1760"/>
      <c r="BFB513" s="385"/>
      <c r="BFC513" s="69"/>
      <c r="BFD513" s="69"/>
      <c r="BFE513" s="2512"/>
      <c r="BFF513" s="1758"/>
      <c r="BFG513" s="1759"/>
      <c r="BFH513" s="1759"/>
      <c r="BFI513" s="1760"/>
      <c r="BFJ513" s="385"/>
      <c r="BFK513" s="69"/>
      <c r="BFL513" s="69"/>
      <c r="BFM513" s="2512"/>
      <c r="BFN513" s="1758"/>
      <c r="BFO513" s="1759"/>
      <c r="BFP513" s="1759"/>
      <c r="BFQ513" s="1760"/>
      <c r="BFR513" s="385"/>
      <c r="BFS513" s="69"/>
      <c r="BFT513" s="69"/>
      <c r="BFU513" s="2512"/>
      <c r="BFV513" s="1758"/>
      <c r="BFW513" s="1759"/>
      <c r="BFX513" s="1759"/>
      <c r="BFY513" s="1760"/>
      <c r="BFZ513" s="385"/>
      <c r="BGA513" s="69"/>
      <c r="BGB513" s="69"/>
      <c r="BGC513" s="2512"/>
      <c r="BGD513" s="1758"/>
      <c r="BGE513" s="1759"/>
      <c r="BGF513" s="1759"/>
      <c r="BGG513" s="1760"/>
      <c r="BGH513" s="385"/>
      <c r="BGI513" s="69"/>
      <c r="BGJ513" s="69"/>
      <c r="BGK513" s="2512"/>
      <c r="BGL513" s="1758"/>
      <c r="BGM513" s="1759"/>
      <c r="BGN513" s="1759"/>
      <c r="BGO513" s="1760"/>
      <c r="BGP513" s="385"/>
      <c r="BGQ513" s="69"/>
      <c r="BGR513" s="69"/>
      <c r="BGS513" s="2512"/>
      <c r="BGT513" s="1758"/>
      <c r="BGU513" s="1759"/>
      <c r="BGV513" s="1759"/>
      <c r="BGW513" s="1760"/>
      <c r="BGX513" s="385"/>
      <c r="BGY513" s="69"/>
      <c r="BGZ513" s="69"/>
      <c r="BHA513" s="2512"/>
      <c r="BHB513" s="1758"/>
      <c r="BHC513" s="1759"/>
      <c r="BHD513" s="1759"/>
      <c r="BHE513" s="1760"/>
      <c r="BHF513" s="385"/>
      <c r="BHG513" s="69"/>
      <c r="BHH513" s="69"/>
      <c r="BHI513" s="2512"/>
      <c r="BHJ513" s="1758"/>
      <c r="BHK513" s="1759"/>
      <c r="BHL513" s="1759"/>
      <c r="BHM513" s="1760"/>
      <c r="BHN513" s="385"/>
      <c r="BHO513" s="69"/>
      <c r="BHP513" s="69"/>
      <c r="BHQ513" s="2512"/>
      <c r="BHR513" s="1758"/>
      <c r="BHS513" s="1759"/>
      <c r="BHT513" s="1759"/>
      <c r="BHU513" s="1760"/>
      <c r="BHV513" s="385"/>
      <c r="BHW513" s="69"/>
      <c r="BHX513" s="69"/>
      <c r="BHY513" s="2512"/>
      <c r="BHZ513" s="1758"/>
      <c r="BIA513" s="1759"/>
      <c r="BIB513" s="1759"/>
      <c r="BIC513" s="1760"/>
      <c r="BID513" s="385"/>
      <c r="BIE513" s="69"/>
      <c r="BIF513" s="69"/>
      <c r="BIG513" s="2512"/>
      <c r="BIH513" s="1758"/>
      <c r="BII513" s="1759"/>
      <c r="BIJ513" s="1759"/>
      <c r="BIK513" s="1760"/>
      <c r="BIL513" s="385"/>
      <c r="BIM513" s="69"/>
      <c r="BIN513" s="69"/>
      <c r="BIO513" s="2512"/>
      <c r="BIP513" s="1758"/>
      <c r="BIQ513" s="1759"/>
      <c r="BIR513" s="1759"/>
      <c r="BIS513" s="1760"/>
      <c r="BIT513" s="385"/>
      <c r="BIU513" s="69"/>
      <c r="BIV513" s="69"/>
      <c r="BIW513" s="2512"/>
      <c r="BIX513" s="1758"/>
      <c r="BIY513" s="1759"/>
      <c r="BIZ513" s="1759"/>
      <c r="BJA513" s="1760"/>
      <c r="BJB513" s="385"/>
      <c r="BJC513" s="69"/>
      <c r="BJD513" s="69"/>
      <c r="BJE513" s="2512"/>
      <c r="BJF513" s="1758"/>
      <c r="BJG513" s="1759"/>
      <c r="BJH513" s="1759"/>
      <c r="BJI513" s="1760"/>
      <c r="BJJ513" s="385"/>
      <c r="BJK513" s="69"/>
      <c r="BJL513" s="69"/>
      <c r="BJM513" s="2512"/>
      <c r="BJN513" s="1758"/>
      <c r="BJO513" s="1759"/>
      <c r="BJP513" s="1759"/>
      <c r="BJQ513" s="1760"/>
      <c r="BJR513" s="385"/>
      <c r="BJS513" s="69"/>
      <c r="BJT513" s="69"/>
      <c r="BJU513" s="2512"/>
      <c r="BJV513" s="1758"/>
      <c r="BJW513" s="1759"/>
      <c r="BJX513" s="1759"/>
      <c r="BJY513" s="1760"/>
      <c r="BJZ513" s="385"/>
      <c r="BKA513" s="69"/>
      <c r="BKB513" s="69"/>
      <c r="BKC513" s="2512"/>
      <c r="BKD513" s="1758"/>
      <c r="BKE513" s="1759"/>
      <c r="BKF513" s="1759"/>
      <c r="BKG513" s="1760"/>
      <c r="BKH513" s="385"/>
      <c r="BKI513" s="69"/>
      <c r="BKJ513" s="69"/>
      <c r="BKK513" s="2512"/>
      <c r="BKL513" s="1758"/>
      <c r="BKM513" s="1759"/>
      <c r="BKN513" s="1759"/>
      <c r="BKO513" s="1760"/>
      <c r="BKP513" s="385"/>
      <c r="BKQ513" s="69"/>
      <c r="BKR513" s="69"/>
      <c r="BKS513" s="2512"/>
      <c r="BKT513" s="1758"/>
      <c r="BKU513" s="1759"/>
      <c r="BKV513" s="1759"/>
      <c r="BKW513" s="1760"/>
      <c r="BKX513" s="385"/>
      <c r="BKY513" s="69"/>
      <c r="BKZ513" s="69"/>
      <c r="BLA513" s="2512"/>
      <c r="BLB513" s="1758"/>
      <c r="BLC513" s="1759"/>
      <c r="BLD513" s="1759"/>
      <c r="BLE513" s="1760"/>
      <c r="BLF513" s="385"/>
      <c r="BLG513" s="69"/>
      <c r="BLH513" s="69"/>
      <c r="BLI513" s="2512"/>
      <c r="BLJ513" s="1758"/>
      <c r="BLK513" s="1759"/>
      <c r="BLL513" s="1759"/>
      <c r="BLM513" s="1760"/>
      <c r="BLN513" s="385"/>
      <c r="BLO513" s="69"/>
      <c r="BLP513" s="69"/>
      <c r="BLQ513" s="2512"/>
      <c r="BLR513" s="1758"/>
      <c r="BLS513" s="1759"/>
      <c r="BLT513" s="1759"/>
      <c r="BLU513" s="1760"/>
      <c r="BLV513" s="385"/>
      <c r="BLW513" s="69"/>
      <c r="BLX513" s="69"/>
      <c r="BLY513" s="2512"/>
      <c r="BLZ513" s="1758"/>
      <c r="BMA513" s="1759"/>
      <c r="BMB513" s="1759"/>
      <c r="BMC513" s="1760"/>
      <c r="BMD513" s="385"/>
      <c r="BME513" s="69"/>
      <c r="BMF513" s="69"/>
      <c r="BMG513" s="2512"/>
      <c r="BMH513" s="1758"/>
      <c r="BMI513" s="1759"/>
      <c r="BMJ513" s="1759"/>
      <c r="BMK513" s="1760"/>
      <c r="BML513" s="385"/>
      <c r="BMM513" s="69"/>
      <c r="BMN513" s="69"/>
      <c r="BMO513" s="2512"/>
      <c r="BMP513" s="1758"/>
      <c r="BMQ513" s="1759"/>
      <c r="BMR513" s="1759"/>
      <c r="BMS513" s="1760"/>
      <c r="BMT513" s="385"/>
      <c r="BMU513" s="69"/>
      <c r="BMV513" s="69"/>
      <c r="BMW513" s="2512"/>
      <c r="BMX513" s="1758"/>
      <c r="BMY513" s="1759"/>
      <c r="BMZ513" s="1759"/>
      <c r="BNA513" s="1760"/>
      <c r="BNB513" s="385"/>
      <c r="BNC513" s="69"/>
      <c r="BND513" s="69"/>
      <c r="BNE513" s="2512"/>
      <c r="BNF513" s="1758"/>
      <c r="BNG513" s="1759"/>
      <c r="BNH513" s="1759"/>
      <c r="BNI513" s="1760"/>
      <c r="BNJ513" s="385"/>
      <c r="BNK513" s="69"/>
      <c r="BNL513" s="69"/>
      <c r="BNM513" s="2512"/>
      <c r="BNN513" s="1758"/>
      <c r="BNO513" s="1759"/>
      <c r="BNP513" s="1759"/>
      <c r="BNQ513" s="1760"/>
      <c r="BNR513" s="385"/>
      <c r="BNS513" s="69"/>
      <c r="BNT513" s="69"/>
      <c r="BNU513" s="2512"/>
      <c r="BNV513" s="1758"/>
      <c r="BNW513" s="1759"/>
      <c r="BNX513" s="1759"/>
      <c r="BNY513" s="1760"/>
      <c r="BNZ513" s="385"/>
      <c r="BOA513" s="69"/>
      <c r="BOB513" s="69"/>
      <c r="BOC513" s="2512"/>
      <c r="BOD513" s="1758"/>
      <c r="BOE513" s="1759"/>
      <c r="BOF513" s="1759"/>
      <c r="BOG513" s="1760"/>
      <c r="BOH513" s="385"/>
      <c r="BOI513" s="69"/>
      <c r="BOJ513" s="69"/>
      <c r="BOK513" s="2512"/>
      <c r="BOL513" s="1758"/>
      <c r="BOM513" s="1759"/>
      <c r="BON513" s="1759"/>
      <c r="BOO513" s="1760"/>
      <c r="BOP513" s="385"/>
      <c r="BOQ513" s="69"/>
      <c r="BOR513" s="69"/>
      <c r="BOS513" s="2512"/>
      <c r="BOT513" s="1758"/>
      <c r="BOU513" s="1759"/>
      <c r="BOV513" s="1759"/>
      <c r="BOW513" s="1760"/>
      <c r="BOX513" s="385"/>
      <c r="BOY513" s="69"/>
      <c r="BOZ513" s="69"/>
      <c r="BPA513" s="2512"/>
      <c r="BPB513" s="1758"/>
      <c r="BPC513" s="1759"/>
      <c r="BPD513" s="1759"/>
      <c r="BPE513" s="1760"/>
      <c r="BPF513" s="385"/>
      <c r="BPG513" s="69"/>
      <c r="BPH513" s="69"/>
      <c r="BPI513" s="2512"/>
      <c r="BPJ513" s="1758"/>
      <c r="BPK513" s="1759"/>
      <c r="BPL513" s="1759"/>
      <c r="BPM513" s="1760"/>
      <c r="BPN513" s="385"/>
      <c r="BPO513" s="69"/>
      <c r="BPP513" s="69"/>
      <c r="BPQ513" s="2512"/>
      <c r="BPR513" s="1758"/>
      <c r="BPS513" s="1759"/>
      <c r="BPT513" s="1759"/>
      <c r="BPU513" s="1760"/>
      <c r="BPV513" s="385"/>
      <c r="BPW513" s="69"/>
      <c r="BPX513" s="69"/>
      <c r="BPY513" s="2512"/>
      <c r="BPZ513" s="1758"/>
      <c r="BQA513" s="1759"/>
      <c r="BQB513" s="1759"/>
      <c r="BQC513" s="1760"/>
      <c r="BQD513" s="385"/>
      <c r="BQE513" s="69"/>
      <c r="BQF513" s="69"/>
      <c r="BQG513" s="2512"/>
      <c r="BQH513" s="1758"/>
      <c r="BQI513" s="1759"/>
      <c r="BQJ513" s="1759"/>
      <c r="BQK513" s="1760"/>
      <c r="BQL513" s="385"/>
      <c r="BQM513" s="69"/>
      <c r="BQN513" s="69"/>
      <c r="BQO513" s="2512"/>
      <c r="BQP513" s="1758"/>
      <c r="BQQ513" s="1759"/>
      <c r="BQR513" s="1759"/>
      <c r="BQS513" s="1760"/>
      <c r="BQT513" s="385"/>
      <c r="BQU513" s="69"/>
      <c r="BQV513" s="69"/>
      <c r="BQW513" s="2512"/>
      <c r="BQX513" s="1758"/>
      <c r="BQY513" s="1759"/>
      <c r="BQZ513" s="1759"/>
      <c r="BRA513" s="1760"/>
      <c r="BRB513" s="385"/>
      <c r="BRC513" s="69"/>
      <c r="BRD513" s="69"/>
      <c r="BRE513" s="2512"/>
      <c r="BRF513" s="1758"/>
      <c r="BRG513" s="1759"/>
      <c r="BRH513" s="1759"/>
      <c r="BRI513" s="1760"/>
      <c r="BRJ513" s="385"/>
      <c r="BRK513" s="69"/>
      <c r="BRL513" s="69"/>
      <c r="BRM513" s="2512"/>
      <c r="BRN513" s="1758"/>
      <c r="BRO513" s="1759"/>
      <c r="BRP513" s="1759"/>
      <c r="BRQ513" s="1760"/>
      <c r="BRR513" s="385"/>
      <c r="BRS513" s="69"/>
      <c r="BRT513" s="69"/>
      <c r="BRU513" s="2512"/>
      <c r="BRV513" s="1758"/>
      <c r="BRW513" s="1759"/>
      <c r="BRX513" s="1759"/>
      <c r="BRY513" s="1760"/>
      <c r="BRZ513" s="385"/>
      <c r="BSA513" s="69"/>
      <c r="BSB513" s="69"/>
      <c r="BSC513" s="2512"/>
      <c r="BSD513" s="1758"/>
      <c r="BSE513" s="1759"/>
      <c r="BSF513" s="1759"/>
      <c r="BSG513" s="1760"/>
      <c r="BSH513" s="385"/>
      <c r="BSI513" s="69"/>
      <c r="BSJ513" s="69"/>
      <c r="BSK513" s="2512"/>
      <c r="BSL513" s="1758"/>
      <c r="BSM513" s="1759"/>
      <c r="BSN513" s="1759"/>
      <c r="BSO513" s="1760"/>
      <c r="BSP513" s="385"/>
      <c r="BSQ513" s="69"/>
      <c r="BSR513" s="69"/>
      <c r="BSS513" s="2512"/>
      <c r="BST513" s="1758"/>
      <c r="BSU513" s="1759"/>
      <c r="BSV513" s="1759"/>
      <c r="BSW513" s="1760"/>
      <c r="BSX513" s="385"/>
      <c r="BSY513" s="69"/>
      <c r="BSZ513" s="69"/>
      <c r="BTA513" s="2512"/>
      <c r="BTB513" s="1758"/>
      <c r="BTC513" s="1759"/>
      <c r="BTD513" s="1759"/>
      <c r="BTE513" s="1760"/>
      <c r="BTF513" s="385"/>
      <c r="BTG513" s="69"/>
      <c r="BTH513" s="69"/>
      <c r="BTI513" s="2512"/>
      <c r="BTJ513" s="1758"/>
      <c r="BTK513" s="1759"/>
      <c r="BTL513" s="1759"/>
      <c r="BTM513" s="1760"/>
      <c r="BTN513" s="385"/>
      <c r="BTO513" s="69"/>
      <c r="BTP513" s="69"/>
      <c r="BTQ513" s="2512"/>
      <c r="BTR513" s="1758"/>
      <c r="BTS513" s="1759"/>
      <c r="BTT513" s="1759"/>
      <c r="BTU513" s="1760"/>
      <c r="BTV513" s="385"/>
      <c r="BTW513" s="69"/>
      <c r="BTX513" s="69"/>
      <c r="BTY513" s="2512"/>
      <c r="BTZ513" s="1758"/>
      <c r="BUA513" s="1759"/>
      <c r="BUB513" s="1759"/>
      <c r="BUC513" s="1760"/>
      <c r="BUD513" s="385"/>
      <c r="BUE513" s="69"/>
      <c r="BUF513" s="69"/>
      <c r="BUG513" s="2512"/>
      <c r="BUH513" s="1758"/>
      <c r="BUI513" s="1759"/>
      <c r="BUJ513" s="1759"/>
      <c r="BUK513" s="1760"/>
      <c r="BUL513" s="385"/>
      <c r="BUM513" s="69"/>
      <c r="BUN513" s="69"/>
      <c r="BUO513" s="2512"/>
      <c r="BUP513" s="1758"/>
      <c r="BUQ513" s="1759"/>
      <c r="BUR513" s="1759"/>
      <c r="BUS513" s="1760"/>
      <c r="BUT513" s="385"/>
      <c r="BUU513" s="69"/>
      <c r="BUV513" s="69"/>
      <c r="BUW513" s="2512"/>
      <c r="BUX513" s="1758"/>
      <c r="BUY513" s="1759"/>
      <c r="BUZ513" s="1759"/>
      <c r="BVA513" s="1760"/>
      <c r="BVB513" s="385"/>
      <c r="BVC513" s="69"/>
      <c r="BVD513" s="69"/>
      <c r="BVE513" s="2512"/>
      <c r="BVF513" s="1758"/>
      <c r="BVG513" s="1759"/>
      <c r="BVH513" s="1759"/>
      <c r="BVI513" s="1760"/>
      <c r="BVJ513" s="385"/>
      <c r="BVK513" s="69"/>
      <c r="BVL513" s="69"/>
      <c r="BVM513" s="2512"/>
      <c r="BVN513" s="1758"/>
      <c r="BVO513" s="1759"/>
      <c r="BVP513" s="1759"/>
      <c r="BVQ513" s="1760"/>
      <c r="BVR513" s="385"/>
      <c r="BVS513" s="69"/>
      <c r="BVT513" s="69"/>
      <c r="BVU513" s="2512"/>
      <c r="BVV513" s="1758"/>
      <c r="BVW513" s="1759"/>
      <c r="BVX513" s="1759"/>
      <c r="BVY513" s="1760"/>
      <c r="BVZ513" s="385"/>
      <c r="BWA513" s="69"/>
      <c r="BWB513" s="69"/>
      <c r="BWC513" s="2512"/>
      <c r="BWD513" s="1758"/>
      <c r="BWE513" s="1759"/>
      <c r="BWF513" s="1759"/>
      <c r="BWG513" s="1760"/>
      <c r="BWH513" s="385"/>
      <c r="BWI513" s="69"/>
      <c r="BWJ513" s="69"/>
      <c r="BWK513" s="2512"/>
      <c r="BWL513" s="1758"/>
      <c r="BWM513" s="1759"/>
      <c r="BWN513" s="1759"/>
      <c r="BWO513" s="1760"/>
      <c r="BWP513" s="385"/>
      <c r="BWQ513" s="69"/>
      <c r="BWR513" s="69"/>
      <c r="BWS513" s="2512"/>
      <c r="BWT513" s="1758"/>
      <c r="BWU513" s="1759"/>
      <c r="BWV513" s="1759"/>
      <c r="BWW513" s="1760"/>
      <c r="BWX513" s="385"/>
      <c r="BWY513" s="69"/>
      <c r="BWZ513" s="69"/>
      <c r="BXA513" s="2512"/>
      <c r="BXB513" s="1758"/>
      <c r="BXC513" s="1759"/>
      <c r="BXD513" s="1759"/>
      <c r="BXE513" s="1760"/>
      <c r="BXF513" s="385"/>
      <c r="BXG513" s="69"/>
      <c r="BXH513" s="69"/>
      <c r="BXI513" s="2512"/>
      <c r="BXJ513" s="1758"/>
      <c r="BXK513" s="1759"/>
      <c r="BXL513" s="1759"/>
      <c r="BXM513" s="1760"/>
      <c r="BXN513" s="385"/>
      <c r="BXO513" s="69"/>
      <c r="BXP513" s="69"/>
      <c r="BXQ513" s="2512"/>
      <c r="BXR513" s="1758"/>
      <c r="BXS513" s="1759"/>
      <c r="BXT513" s="1759"/>
      <c r="BXU513" s="1760"/>
      <c r="BXV513" s="385"/>
      <c r="BXW513" s="69"/>
      <c r="BXX513" s="69"/>
      <c r="BXY513" s="2512"/>
      <c r="BXZ513" s="1758"/>
      <c r="BYA513" s="1759"/>
      <c r="BYB513" s="1759"/>
      <c r="BYC513" s="1760"/>
      <c r="BYD513" s="385"/>
      <c r="BYE513" s="69"/>
      <c r="BYF513" s="69"/>
      <c r="BYG513" s="2512"/>
      <c r="BYH513" s="1758"/>
      <c r="BYI513" s="1759"/>
      <c r="BYJ513" s="1759"/>
      <c r="BYK513" s="1760"/>
      <c r="BYL513" s="385"/>
      <c r="BYM513" s="69"/>
      <c r="BYN513" s="69"/>
      <c r="BYO513" s="2512"/>
      <c r="BYP513" s="1758"/>
      <c r="BYQ513" s="1759"/>
      <c r="BYR513" s="1759"/>
      <c r="BYS513" s="1760"/>
      <c r="BYT513" s="385"/>
      <c r="BYU513" s="69"/>
      <c r="BYV513" s="69"/>
      <c r="BYW513" s="2512"/>
      <c r="BYX513" s="1758"/>
      <c r="BYY513" s="1759"/>
      <c r="BYZ513" s="1759"/>
      <c r="BZA513" s="1760"/>
      <c r="BZB513" s="385"/>
      <c r="BZC513" s="69"/>
      <c r="BZD513" s="69"/>
      <c r="BZE513" s="2512"/>
      <c r="BZF513" s="1758"/>
      <c r="BZG513" s="1759"/>
      <c r="BZH513" s="1759"/>
      <c r="BZI513" s="1760"/>
      <c r="BZJ513" s="385"/>
      <c r="BZK513" s="69"/>
      <c r="BZL513" s="69"/>
      <c r="BZM513" s="2512"/>
      <c r="BZN513" s="1758"/>
      <c r="BZO513" s="1759"/>
      <c r="BZP513" s="1759"/>
      <c r="BZQ513" s="1760"/>
      <c r="BZR513" s="385"/>
      <c r="BZS513" s="69"/>
      <c r="BZT513" s="69"/>
      <c r="BZU513" s="2512"/>
      <c r="BZV513" s="1758"/>
      <c r="BZW513" s="1759"/>
      <c r="BZX513" s="1759"/>
      <c r="BZY513" s="1760"/>
      <c r="BZZ513" s="385"/>
      <c r="CAA513" s="69"/>
      <c r="CAB513" s="69"/>
      <c r="CAC513" s="2512"/>
      <c r="CAD513" s="1758"/>
      <c r="CAE513" s="1759"/>
      <c r="CAF513" s="1759"/>
      <c r="CAG513" s="1760"/>
      <c r="CAH513" s="385"/>
      <c r="CAI513" s="69"/>
      <c r="CAJ513" s="69"/>
      <c r="CAK513" s="2512"/>
      <c r="CAL513" s="1758"/>
      <c r="CAM513" s="1759"/>
      <c r="CAN513" s="1759"/>
      <c r="CAO513" s="1760"/>
      <c r="CAP513" s="385"/>
      <c r="CAQ513" s="69"/>
      <c r="CAR513" s="69"/>
      <c r="CAS513" s="2512"/>
      <c r="CAT513" s="1758"/>
      <c r="CAU513" s="1759"/>
      <c r="CAV513" s="1759"/>
      <c r="CAW513" s="1760"/>
      <c r="CAX513" s="385"/>
      <c r="CAY513" s="69"/>
      <c r="CAZ513" s="69"/>
      <c r="CBA513" s="2512"/>
      <c r="CBB513" s="1758"/>
      <c r="CBC513" s="1759"/>
      <c r="CBD513" s="1759"/>
      <c r="CBE513" s="1760"/>
      <c r="CBF513" s="385"/>
      <c r="CBG513" s="69"/>
      <c r="CBH513" s="69"/>
      <c r="CBI513" s="2512"/>
      <c r="CBJ513" s="1758"/>
      <c r="CBK513" s="1759"/>
      <c r="CBL513" s="1759"/>
      <c r="CBM513" s="1760"/>
      <c r="CBN513" s="385"/>
      <c r="CBO513" s="69"/>
      <c r="CBP513" s="69"/>
      <c r="CBQ513" s="2512"/>
      <c r="CBR513" s="1758"/>
      <c r="CBS513" s="1759"/>
      <c r="CBT513" s="1759"/>
      <c r="CBU513" s="1760"/>
      <c r="CBV513" s="385"/>
      <c r="CBW513" s="69"/>
      <c r="CBX513" s="69"/>
      <c r="CBY513" s="2512"/>
      <c r="CBZ513" s="1758"/>
      <c r="CCA513" s="1759"/>
      <c r="CCB513" s="1759"/>
      <c r="CCC513" s="1760"/>
      <c r="CCD513" s="385"/>
      <c r="CCE513" s="69"/>
      <c r="CCF513" s="69"/>
      <c r="CCG513" s="2512"/>
      <c r="CCH513" s="1758"/>
      <c r="CCI513" s="1759"/>
      <c r="CCJ513" s="1759"/>
      <c r="CCK513" s="1760"/>
      <c r="CCL513" s="385"/>
      <c r="CCM513" s="69"/>
      <c r="CCN513" s="69"/>
      <c r="CCO513" s="2512"/>
      <c r="CCP513" s="1758"/>
      <c r="CCQ513" s="1759"/>
      <c r="CCR513" s="1759"/>
      <c r="CCS513" s="1760"/>
      <c r="CCT513" s="385"/>
      <c r="CCU513" s="69"/>
      <c r="CCV513" s="69"/>
      <c r="CCW513" s="2512"/>
      <c r="CCX513" s="1758"/>
      <c r="CCY513" s="1759"/>
      <c r="CCZ513" s="1759"/>
      <c r="CDA513" s="1760"/>
      <c r="CDB513" s="385"/>
      <c r="CDC513" s="69"/>
      <c r="CDD513" s="69"/>
      <c r="CDE513" s="2512"/>
      <c r="CDF513" s="1758"/>
      <c r="CDG513" s="1759"/>
      <c r="CDH513" s="1759"/>
      <c r="CDI513" s="1760"/>
      <c r="CDJ513" s="385"/>
      <c r="CDK513" s="69"/>
      <c r="CDL513" s="69"/>
      <c r="CDM513" s="2512"/>
      <c r="CDN513" s="1758"/>
      <c r="CDO513" s="1759"/>
      <c r="CDP513" s="1759"/>
      <c r="CDQ513" s="1760"/>
      <c r="CDR513" s="385"/>
      <c r="CDS513" s="69"/>
      <c r="CDT513" s="69"/>
      <c r="CDU513" s="2512"/>
      <c r="CDV513" s="1758"/>
      <c r="CDW513" s="1759"/>
      <c r="CDX513" s="1759"/>
      <c r="CDY513" s="1760"/>
      <c r="CDZ513" s="385"/>
      <c r="CEA513" s="69"/>
      <c r="CEB513" s="69"/>
      <c r="CEC513" s="2512"/>
      <c r="CED513" s="1758"/>
      <c r="CEE513" s="1759"/>
      <c r="CEF513" s="1759"/>
      <c r="CEG513" s="1760"/>
      <c r="CEH513" s="385"/>
      <c r="CEI513" s="69"/>
      <c r="CEJ513" s="69"/>
      <c r="CEK513" s="2512"/>
      <c r="CEL513" s="1758"/>
      <c r="CEM513" s="1759"/>
      <c r="CEN513" s="1759"/>
      <c r="CEO513" s="1760"/>
      <c r="CEP513" s="385"/>
      <c r="CEQ513" s="69"/>
      <c r="CER513" s="69"/>
      <c r="CES513" s="2512"/>
      <c r="CET513" s="1758"/>
      <c r="CEU513" s="1759"/>
      <c r="CEV513" s="1759"/>
      <c r="CEW513" s="1760"/>
      <c r="CEX513" s="385"/>
      <c r="CEY513" s="69"/>
      <c r="CEZ513" s="69"/>
      <c r="CFA513" s="2512"/>
      <c r="CFB513" s="1758"/>
      <c r="CFC513" s="1759"/>
      <c r="CFD513" s="1759"/>
      <c r="CFE513" s="1760"/>
      <c r="CFF513" s="385"/>
      <c r="CFG513" s="69"/>
      <c r="CFH513" s="69"/>
      <c r="CFI513" s="2512"/>
      <c r="CFJ513" s="1758"/>
      <c r="CFK513" s="1759"/>
      <c r="CFL513" s="1759"/>
      <c r="CFM513" s="1760"/>
      <c r="CFN513" s="385"/>
      <c r="CFO513" s="69"/>
      <c r="CFP513" s="69"/>
      <c r="CFQ513" s="2512"/>
      <c r="CFR513" s="1758"/>
      <c r="CFS513" s="1759"/>
      <c r="CFT513" s="1759"/>
      <c r="CFU513" s="1760"/>
      <c r="CFV513" s="385"/>
      <c r="CFW513" s="69"/>
      <c r="CFX513" s="69"/>
      <c r="CFY513" s="2512"/>
      <c r="CFZ513" s="1758"/>
      <c r="CGA513" s="1759"/>
      <c r="CGB513" s="1759"/>
      <c r="CGC513" s="1760"/>
      <c r="CGD513" s="385"/>
      <c r="CGE513" s="69"/>
      <c r="CGF513" s="69"/>
      <c r="CGG513" s="2512"/>
      <c r="CGH513" s="1758"/>
      <c r="CGI513" s="1759"/>
      <c r="CGJ513" s="1759"/>
      <c r="CGK513" s="1760"/>
      <c r="CGL513" s="385"/>
      <c r="CGM513" s="69"/>
      <c r="CGN513" s="69"/>
      <c r="CGO513" s="2512"/>
      <c r="CGP513" s="1758"/>
      <c r="CGQ513" s="1759"/>
      <c r="CGR513" s="1759"/>
      <c r="CGS513" s="1760"/>
      <c r="CGT513" s="385"/>
      <c r="CGU513" s="69"/>
      <c r="CGV513" s="69"/>
      <c r="CGW513" s="2512"/>
      <c r="CGX513" s="1758"/>
      <c r="CGY513" s="1759"/>
      <c r="CGZ513" s="1759"/>
      <c r="CHA513" s="1760"/>
      <c r="CHB513" s="385"/>
      <c r="CHC513" s="69"/>
      <c r="CHD513" s="69"/>
      <c r="CHE513" s="2512"/>
      <c r="CHF513" s="1758"/>
      <c r="CHG513" s="1759"/>
      <c r="CHH513" s="1759"/>
      <c r="CHI513" s="1760"/>
      <c r="CHJ513" s="385"/>
      <c r="CHK513" s="69"/>
      <c r="CHL513" s="69"/>
      <c r="CHM513" s="2512"/>
      <c r="CHN513" s="1758"/>
      <c r="CHO513" s="1759"/>
      <c r="CHP513" s="1759"/>
      <c r="CHQ513" s="1760"/>
      <c r="CHR513" s="385"/>
      <c r="CHS513" s="69"/>
      <c r="CHT513" s="69"/>
      <c r="CHU513" s="2512"/>
      <c r="CHV513" s="1758"/>
      <c r="CHW513" s="1759"/>
      <c r="CHX513" s="1759"/>
      <c r="CHY513" s="1760"/>
      <c r="CHZ513" s="385"/>
      <c r="CIA513" s="69"/>
      <c r="CIB513" s="69"/>
      <c r="CIC513" s="2512"/>
      <c r="CID513" s="1758"/>
      <c r="CIE513" s="1759"/>
      <c r="CIF513" s="1759"/>
      <c r="CIG513" s="1760"/>
      <c r="CIH513" s="385"/>
      <c r="CII513" s="69"/>
      <c r="CIJ513" s="69"/>
      <c r="CIK513" s="2512"/>
      <c r="CIL513" s="1758"/>
      <c r="CIM513" s="1759"/>
      <c r="CIN513" s="1759"/>
      <c r="CIO513" s="1760"/>
      <c r="CIP513" s="385"/>
      <c r="CIQ513" s="69"/>
      <c r="CIR513" s="69"/>
      <c r="CIS513" s="2512"/>
      <c r="CIT513" s="1758"/>
      <c r="CIU513" s="1759"/>
      <c r="CIV513" s="1759"/>
      <c r="CIW513" s="1760"/>
      <c r="CIX513" s="385"/>
      <c r="CIY513" s="69"/>
      <c r="CIZ513" s="69"/>
      <c r="CJA513" s="2512"/>
      <c r="CJB513" s="1758"/>
      <c r="CJC513" s="1759"/>
      <c r="CJD513" s="1759"/>
      <c r="CJE513" s="1760"/>
      <c r="CJF513" s="385"/>
      <c r="CJG513" s="69"/>
      <c r="CJH513" s="69"/>
      <c r="CJI513" s="2512"/>
      <c r="CJJ513" s="1758"/>
      <c r="CJK513" s="1759"/>
      <c r="CJL513" s="1759"/>
      <c r="CJM513" s="1760"/>
      <c r="CJN513" s="385"/>
      <c r="CJO513" s="69"/>
      <c r="CJP513" s="69"/>
      <c r="CJQ513" s="2512"/>
      <c r="CJR513" s="1758"/>
      <c r="CJS513" s="1759"/>
      <c r="CJT513" s="1759"/>
      <c r="CJU513" s="1760"/>
      <c r="CJV513" s="385"/>
      <c r="CJW513" s="69"/>
      <c r="CJX513" s="69"/>
      <c r="CJY513" s="2512"/>
      <c r="CJZ513" s="1758"/>
      <c r="CKA513" s="1759"/>
      <c r="CKB513" s="1759"/>
      <c r="CKC513" s="1760"/>
      <c r="CKD513" s="385"/>
      <c r="CKE513" s="69"/>
      <c r="CKF513" s="69"/>
      <c r="CKG513" s="2512"/>
      <c r="CKH513" s="1758"/>
      <c r="CKI513" s="1759"/>
      <c r="CKJ513" s="1759"/>
      <c r="CKK513" s="1760"/>
      <c r="CKL513" s="385"/>
      <c r="CKM513" s="69"/>
      <c r="CKN513" s="69"/>
      <c r="CKO513" s="2512"/>
      <c r="CKP513" s="1758"/>
      <c r="CKQ513" s="1759"/>
      <c r="CKR513" s="1759"/>
      <c r="CKS513" s="1760"/>
      <c r="CKT513" s="385"/>
      <c r="CKU513" s="69"/>
      <c r="CKV513" s="69"/>
      <c r="CKW513" s="2512"/>
      <c r="CKX513" s="1758"/>
      <c r="CKY513" s="1759"/>
      <c r="CKZ513" s="1759"/>
      <c r="CLA513" s="1760"/>
      <c r="CLB513" s="385"/>
      <c r="CLC513" s="69"/>
      <c r="CLD513" s="69"/>
      <c r="CLE513" s="2512"/>
      <c r="CLF513" s="1758"/>
      <c r="CLG513" s="1759"/>
      <c r="CLH513" s="1759"/>
      <c r="CLI513" s="1760"/>
      <c r="CLJ513" s="385"/>
      <c r="CLK513" s="69"/>
      <c r="CLL513" s="69"/>
      <c r="CLM513" s="2512"/>
      <c r="CLN513" s="1758"/>
      <c r="CLO513" s="1759"/>
      <c r="CLP513" s="1759"/>
      <c r="CLQ513" s="1760"/>
      <c r="CLR513" s="385"/>
      <c r="CLS513" s="69"/>
      <c r="CLT513" s="69"/>
      <c r="CLU513" s="2512"/>
      <c r="CLV513" s="1758"/>
      <c r="CLW513" s="1759"/>
      <c r="CLX513" s="1759"/>
      <c r="CLY513" s="1760"/>
      <c r="CLZ513" s="385"/>
      <c r="CMA513" s="69"/>
      <c r="CMB513" s="69"/>
      <c r="CMC513" s="2512"/>
      <c r="CMD513" s="1758"/>
      <c r="CME513" s="1759"/>
      <c r="CMF513" s="1759"/>
      <c r="CMG513" s="1760"/>
      <c r="CMH513" s="385"/>
      <c r="CMI513" s="69"/>
      <c r="CMJ513" s="69"/>
      <c r="CMK513" s="2512"/>
      <c r="CML513" s="1758"/>
      <c r="CMM513" s="1759"/>
      <c r="CMN513" s="1759"/>
      <c r="CMO513" s="1760"/>
      <c r="CMP513" s="385"/>
      <c r="CMQ513" s="69"/>
      <c r="CMR513" s="69"/>
      <c r="CMS513" s="2512"/>
      <c r="CMT513" s="1758"/>
      <c r="CMU513" s="1759"/>
      <c r="CMV513" s="1759"/>
      <c r="CMW513" s="1760"/>
      <c r="CMX513" s="385"/>
      <c r="CMY513" s="69"/>
      <c r="CMZ513" s="69"/>
      <c r="CNA513" s="2512"/>
      <c r="CNB513" s="1758"/>
      <c r="CNC513" s="1759"/>
      <c r="CND513" s="1759"/>
      <c r="CNE513" s="1760"/>
      <c r="CNF513" s="385"/>
      <c r="CNG513" s="69"/>
      <c r="CNH513" s="69"/>
      <c r="CNI513" s="2512"/>
      <c r="CNJ513" s="1758"/>
      <c r="CNK513" s="1759"/>
      <c r="CNL513" s="1759"/>
      <c r="CNM513" s="1760"/>
      <c r="CNN513" s="385"/>
      <c r="CNO513" s="69"/>
      <c r="CNP513" s="69"/>
      <c r="CNQ513" s="2512"/>
      <c r="CNR513" s="1758"/>
      <c r="CNS513" s="1759"/>
      <c r="CNT513" s="1759"/>
      <c r="CNU513" s="1760"/>
      <c r="CNV513" s="385"/>
      <c r="CNW513" s="69"/>
      <c r="CNX513" s="69"/>
      <c r="CNY513" s="2512"/>
      <c r="CNZ513" s="1758"/>
      <c r="COA513" s="1759"/>
      <c r="COB513" s="1759"/>
      <c r="COC513" s="1760"/>
      <c r="COD513" s="385"/>
      <c r="COE513" s="69"/>
      <c r="COF513" s="69"/>
      <c r="COG513" s="2512"/>
      <c r="COH513" s="1758"/>
      <c r="COI513" s="1759"/>
      <c r="COJ513" s="1759"/>
      <c r="COK513" s="1760"/>
      <c r="COL513" s="385"/>
      <c r="COM513" s="69"/>
      <c r="CON513" s="69"/>
      <c r="COO513" s="2512"/>
      <c r="COP513" s="1758"/>
      <c r="COQ513" s="1759"/>
      <c r="COR513" s="1759"/>
      <c r="COS513" s="1760"/>
      <c r="COT513" s="385"/>
      <c r="COU513" s="69"/>
      <c r="COV513" s="69"/>
      <c r="COW513" s="2512"/>
      <c r="COX513" s="1758"/>
      <c r="COY513" s="1759"/>
      <c r="COZ513" s="1759"/>
      <c r="CPA513" s="1760"/>
      <c r="CPB513" s="385"/>
      <c r="CPC513" s="69"/>
      <c r="CPD513" s="69"/>
      <c r="CPE513" s="2512"/>
      <c r="CPF513" s="1758"/>
      <c r="CPG513" s="1759"/>
      <c r="CPH513" s="1759"/>
      <c r="CPI513" s="1760"/>
      <c r="CPJ513" s="385"/>
      <c r="CPK513" s="69"/>
      <c r="CPL513" s="69"/>
      <c r="CPM513" s="2512"/>
      <c r="CPN513" s="1758"/>
      <c r="CPO513" s="1759"/>
      <c r="CPP513" s="1759"/>
      <c r="CPQ513" s="1760"/>
      <c r="CPR513" s="385"/>
      <c r="CPS513" s="69"/>
      <c r="CPT513" s="69"/>
      <c r="CPU513" s="2512"/>
      <c r="CPV513" s="1758"/>
      <c r="CPW513" s="1759"/>
      <c r="CPX513" s="1759"/>
      <c r="CPY513" s="1760"/>
      <c r="CPZ513" s="385"/>
      <c r="CQA513" s="69"/>
      <c r="CQB513" s="69"/>
      <c r="CQC513" s="2512"/>
      <c r="CQD513" s="1758"/>
      <c r="CQE513" s="1759"/>
      <c r="CQF513" s="1759"/>
      <c r="CQG513" s="1760"/>
      <c r="CQH513" s="385"/>
      <c r="CQI513" s="69"/>
      <c r="CQJ513" s="69"/>
      <c r="CQK513" s="2512"/>
      <c r="CQL513" s="1758"/>
      <c r="CQM513" s="1759"/>
      <c r="CQN513" s="1759"/>
      <c r="CQO513" s="1760"/>
      <c r="CQP513" s="385"/>
      <c r="CQQ513" s="69"/>
      <c r="CQR513" s="69"/>
      <c r="CQS513" s="2512"/>
      <c r="CQT513" s="1758"/>
      <c r="CQU513" s="1759"/>
      <c r="CQV513" s="1759"/>
      <c r="CQW513" s="1760"/>
      <c r="CQX513" s="385"/>
      <c r="CQY513" s="69"/>
      <c r="CQZ513" s="69"/>
      <c r="CRA513" s="2512"/>
      <c r="CRB513" s="1758"/>
      <c r="CRC513" s="1759"/>
      <c r="CRD513" s="1759"/>
      <c r="CRE513" s="1760"/>
      <c r="CRF513" s="385"/>
      <c r="CRG513" s="69"/>
      <c r="CRH513" s="69"/>
      <c r="CRI513" s="2512"/>
      <c r="CRJ513" s="1758"/>
      <c r="CRK513" s="1759"/>
      <c r="CRL513" s="1759"/>
      <c r="CRM513" s="1760"/>
      <c r="CRN513" s="385"/>
      <c r="CRO513" s="69"/>
      <c r="CRP513" s="69"/>
      <c r="CRQ513" s="2512"/>
      <c r="CRR513" s="1758"/>
      <c r="CRS513" s="1759"/>
      <c r="CRT513" s="1759"/>
      <c r="CRU513" s="1760"/>
      <c r="CRV513" s="385"/>
      <c r="CRW513" s="69"/>
      <c r="CRX513" s="69"/>
      <c r="CRY513" s="2512"/>
      <c r="CRZ513" s="1758"/>
      <c r="CSA513" s="1759"/>
      <c r="CSB513" s="1759"/>
      <c r="CSC513" s="1760"/>
      <c r="CSD513" s="385"/>
      <c r="CSE513" s="69"/>
      <c r="CSF513" s="69"/>
      <c r="CSG513" s="2512"/>
      <c r="CSH513" s="1758"/>
      <c r="CSI513" s="1759"/>
      <c r="CSJ513" s="1759"/>
      <c r="CSK513" s="1760"/>
      <c r="CSL513" s="385"/>
      <c r="CSM513" s="69"/>
      <c r="CSN513" s="69"/>
      <c r="CSO513" s="2512"/>
      <c r="CSP513" s="1758"/>
      <c r="CSQ513" s="1759"/>
      <c r="CSR513" s="1759"/>
      <c r="CSS513" s="1760"/>
      <c r="CST513" s="385"/>
      <c r="CSU513" s="69"/>
      <c r="CSV513" s="69"/>
      <c r="CSW513" s="2512"/>
      <c r="CSX513" s="1758"/>
      <c r="CSY513" s="1759"/>
      <c r="CSZ513" s="1759"/>
      <c r="CTA513" s="1760"/>
      <c r="CTB513" s="385"/>
      <c r="CTC513" s="69"/>
      <c r="CTD513" s="69"/>
      <c r="CTE513" s="2512"/>
      <c r="CTF513" s="1758"/>
      <c r="CTG513" s="1759"/>
      <c r="CTH513" s="1759"/>
      <c r="CTI513" s="1760"/>
      <c r="CTJ513" s="385"/>
      <c r="CTK513" s="69"/>
      <c r="CTL513" s="69"/>
      <c r="CTM513" s="2512"/>
      <c r="CTN513" s="1758"/>
      <c r="CTO513" s="1759"/>
      <c r="CTP513" s="1759"/>
      <c r="CTQ513" s="1760"/>
      <c r="CTR513" s="385"/>
      <c r="CTS513" s="69"/>
      <c r="CTT513" s="69"/>
      <c r="CTU513" s="2512"/>
      <c r="CTV513" s="1758"/>
      <c r="CTW513" s="1759"/>
      <c r="CTX513" s="1759"/>
      <c r="CTY513" s="1760"/>
      <c r="CTZ513" s="385"/>
      <c r="CUA513" s="69"/>
      <c r="CUB513" s="69"/>
      <c r="CUC513" s="2512"/>
      <c r="CUD513" s="1758"/>
      <c r="CUE513" s="1759"/>
      <c r="CUF513" s="1759"/>
      <c r="CUG513" s="1760"/>
      <c r="CUH513" s="385"/>
      <c r="CUI513" s="69"/>
      <c r="CUJ513" s="69"/>
      <c r="CUK513" s="2512"/>
      <c r="CUL513" s="1758"/>
      <c r="CUM513" s="1759"/>
      <c r="CUN513" s="1759"/>
      <c r="CUO513" s="1760"/>
      <c r="CUP513" s="385"/>
      <c r="CUQ513" s="69"/>
      <c r="CUR513" s="69"/>
      <c r="CUS513" s="2512"/>
      <c r="CUT513" s="1758"/>
      <c r="CUU513" s="1759"/>
      <c r="CUV513" s="1759"/>
      <c r="CUW513" s="1760"/>
      <c r="CUX513" s="385"/>
      <c r="CUY513" s="69"/>
      <c r="CUZ513" s="69"/>
      <c r="CVA513" s="2512"/>
      <c r="CVB513" s="1758"/>
      <c r="CVC513" s="1759"/>
      <c r="CVD513" s="1759"/>
      <c r="CVE513" s="1760"/>
      <c r="CVF513" s="385"/>
      <c r="CVG513" s="69"/>
      <c r="CVH513" s="69"/>
      <c r="CVI513" s="2512"/>
      <c r="CVJ513" s="1758"/>
      <c r="CVK513" s="1759"/>
      <c r="CVL513" s="1759"/>
      <c r="CVM513" s="1760"/>
      <c r="CVN513" s="385"/>
      <c r="CVO513" s="69"/>
      <c r="CVP513" s="69"/>
      <c r="CVQ513" s="2512"/>
      <c r="CVR513" s="1758"/>
      <c r="CVS513" s="1759"/>
      <c r="CVT513" s="1759"/>
      <c r="CVU513" s="1760"/>
      <c r="CVV513" s="385"/>
      <c r="CVW513" s="69"/>
      <c r="CVX513" s="69"/>
      <c r="CVY513" s="2512"/>
      <c r="CVZ513" s="1758"/>
      <c r="CWA513" s="1759"/>
      <c r="CWB513" s="1759"/>
      <c r="CWC513" s="1760"/>
      <c r="CWD513" s="385"/>
      <c r="CWE513" s="69"/>
      <c r="CWF513" s="69"/>
      <c r="CWG513" s="2512"/>
      <c r="CWH513" s="1758"/>
      <c r="CWI513" s="1759"/>
      <c r="CWJ513" s="1759"/>
      <c r="CWK513" s="1760"/>
      <c r="CWL513" s="385"/>
      <c r="CWM513" s="69"/>
      <c r="CWN513" s="69"/>
      <c r="CWO513" s="2512"/>
      <c r="CWP513" s="1758"/>
      <c r="CWQ513" s="1759"/>
      <c r="CWR513" s="1759"/>
      <c r="CWS513" s="1760"/>
      <c r="CWT513" s="385"/>
      <c r="CWU513" s="69"/>
      <c r="CWV513" s="69"/>
      <c r="CWW513" s="2512"/>
      <c r="CWX513" s="1758"/>
      <c r="CWY513" s="1759"/>
      <c r="CWZ513" s="1759"/>
      <c r="CXA513" s="1760"/>
      <c r="CXB513" s="385"/>
      <c r="CXC513" s="69"/>
      <c r="CXD513" s="69"/>
      <c r="CXE513" s="2512"/>
      <c r="CXF513" s="1758"/>
      <c r="CXG513" s="1759"/>
      <c r="CXH513" s="1759"/>
      <c r="CXI513" s="1760"/>
      <c r="CXJ513" s="385"/>
      <c r="CXK513" s="69"/>
      <c r="CXL513" s="69"/>
      <c r="CXM513" s="2512"/>
      <c r="CXN513" s="1758"/>
      <c r="CXO513" s="1759"/>
      <c r="CXP513" s="1759"/>
      <c r="CXQ513" s="1760"/>
      <c r="CXR513" s="385"/>
      <c r="CXS513" s="69"/>
      <c r="CXT513" s="69"/>
      <c r="CXU513" s="2512"/>
      <c r="CXV513" s="1758"/>
      <c r="CXW513" s="1759"/>
      <c r="CXX513" s="1759"/>
      <c r="CXY513" s="1760"/>
      <c r="CXZ513" s="385"/>
      <c r="CYA513" s="69"/>
      <c r="CYB513" s="69"/>
      <c r="CYC513" s="2512"/>
      <c r="CYD513" s="1758"/>
      <c r="CYE513" s="1759"/>
      <c r="CYF513" s="1759"/>
      <c r="CYG513" s="1760"/>
      <c r="CYH513" s="385"/>
      <c r="CYI513" s="69"/>
      <c r="CYJ513" s="69"/>
      <c r="CYK513" s="2512"/>
      <c r="CYL513" s="1758"/>
      <c r="CYM513" s="1759"/>
      <c r="CYN513" s="1759"/>
      <c r="CYO513" s="1760"/>
      <c r="CYP513" s="385"/>
      <c r="CYQ513" s="69"/>
      <c r="CYR513" s="69"/>
      <c r="CYS513" s="2512"/>
      <c r="CYT513" s="1758"/>
      <c r="CYU513" s="1759"/>
      <c r="CYV513" s="1759"/>
      <c r="CYW513" s="1760"/>
      <c r="CYX513" s="385"/>
      <c r="CYY513" s="69"/>
      <c r="CYZ513" s="69"/>
      <c r="CZA513" s="2512"/>
      <c r="CZB513" s="1758"/>
      <c r="CZC513" s="1759"/>
      <c r="CZD513" s="1759"/>
      <c r="CZE513" s="1760"/>
      <c r="CZF513" s="385"/>
      <c r="CZG513" s="69"/>
      <c r="CZH513" s="69"/>
      <c r="CZI513" s="2512"/>
      <c r="CZJ513" s="1758"/>
      <c r="CZK513" s="1759"/>
      <c r="CZL513" s="1759"/>
      <c r="CZM513" s="1760"/>
      <c r="CZN513" s="385"/>
      <c r="CZO513" s="69"/>
      <c r="CZP513" s="69"/>
      <c r="CZQ513" s="2512"/>
      <c r="CZR513" s="1758"/>
      <c r="CZS513" s="1759"/>
      <c r="CZT513" s="1759"/>
      <c r="CZU513" s="1760"/>
      <c r="CZV513" s="385"/>
      <c r="CZW513" s="69"/>
      <c r="CZX513" s="69"/>
      <c r="CZY513" s="2512"/>
      <c r="CZZ513" s="1758"/>
      <c r="DAA513" s="1759"/>
      <c r="DAB513" s="1759"/>
      <c r="DAC513" s="1760"/>
      <c r="DAD513" s="385"/>
      <c r="DAE513" s="69"/>
      <c r="DAF513" s="69"/>
      <c r="DAG513" s="2512"/>
      <c r="DAH513" s="1758"/>
      <c r="DAI513" s="1759"/>
      <c r="DAJ513" s="1759"/>
      <c r="DAK513" s="1760"/>
      <c r="DAL513" s="385"/>
      <c r="DAM513" s="69"/>
      <c r="DAN513" s="69"/>
      <c r="DAO513" s="2512"/>
      <c r="DAP513" s="1758"/>
      <c r="DAQ513" s="1759"/>
      <c r="DAR513" s="1759"/>
      <c r="DAS513" s="1760"/>
      <c r="DAT513" s="385"/>
      <c r="DAU513" s="69"/>
      <c r="DAV513" s="69"/>
      <c r="DAW513" s="2512"/>
      <c r="DAX513" s="1758"/>
      <c r="DAY513" s="1759"/>
      <c r="DAZ513" s="1759"/>
      <c r="DBA513" s="1760"/>
      <c r="DBB513" s="385"/>
      <c r="DBC513" s="69"/>
      <c r="DBD513" s="69"/>
      <c r="DBE513" s="2512"/>
      <c r="DBF513" s="1758"/>
      <c r="DBG513" s="1759"/>
      <c r="DBH513" s="1759"/>
      <c r="DBI513" s="1760"/>
      <c r="DBJ513" s="385"/>
      <c r="DBK513" s="69"/>
      <c r="DBL513" s="69"/>
      <c r="DBM513" s="2512"/>
      <c r="DBN513" s="1758"/>
      <c r="DBO513" s="1759"/>
      <c r="DBP513" s="1759"/>
      <c r="DBQ513" s="1760"/>
      <c r="DBR513" s="385"/>
      <c r="DBS513" s="69"/>
      <c r="DBT513" s="69"/>
      <c r="DBU513" s="2512"/>
      <c r="DBV513" s="1758"/>
      <c r="DBW513" s="1759"/>
      <c r="DBX513" s="1759"/>
      <c r="DBY513" s="1760"/>
      <c r="DBZ513" s="385"/>
      <c r="DCA513" s="69"/>
      <c r="DCB513" s="69"/>
      <c r="DCC513" s="2512"/>
      <c r="DCD513" s="1758"/>
      <c r="DCE513" s="1759"/>
      <c r="DCF513" s="1759"/>
      <c r="DCG513" s="1760"/>
      <c r="DCH513" s="385"/>
      <c r="DCI513" s="69"/>
      <c r="DCJ513" s="69"/>
      <c r="DCK513" s="2512"/>
      <c r="DCL513" s="1758"/>
      <c r="DCM513" s="1759"/>
      <c r="DCN513" s="1759"/>
      <c r="DCO513" s="1760"/>
      <c r="DCP513" s="385"/>
      <c r="DCQ513" s="69"/>
      <c r="DCR513" s="69"/>
      <c r="DCS513" s="2512"/>
      <c r="DCT513" s="1758"/>
      <c r="DCU513" s="1759"/>
      <c r="DCV513" s="1759"/>
      <c r="DCW513" s="1760"/>
      <c r="DCX513" s="385"/>
      <c r="DCY513" s="69"/>
      <c r="DCZ513" s="69"/>
      <c r="DDA513" s="2512"/>
      <c r="DDB513" s="1758"/>
      <c r="DDC513" s="1759"/>
      <c r="DDD513" s="1759"/>
      <c r="DDE513" s="1760"/>
      <c r="DDF513" s="385"/>
      <c r="DDG513" s="69"/>
      <c r="DDH513" s="69"/>
      <c r="DDI513" s="2512"/>
      <c r="DDJ513" s="1758"/>
      <c r="DDK513" s="1759"/>
      <c r="DDL513" s="1759"/>
      <c r="DDM513" s="1760"/>
      <c r="DDN513" s="385"/>
      <c r="DDO513" s="69"/>
      <c r="DDP513" s="69"/>
      <c r="DDQ513" s="2512"/>
      <c r="DDR513" s="1758"/>
      <c r="DDS513" s="1759"/>
      <c r="DDT513" s="1759"/>
      <c r="DDU513" s="1760"/>
      <c r="DDV513" s="385"/>
      <c r="DDW513" s="69"/>
      <c r="DDX513" s="69"/>
      <c r="DDY513" s="2512"/>
      <c r="DDZ513" s="1758"/>
      <c r="DEA513" s="1759"/>
      <c r="DEB513" s="1759"/>
      <c r="DEC513" s="1760"/>
      <c r="DED513" s="385"/>
      <c r="DEE513" s="69"/>
      <c r="DEF513" s="69"/>
      <c r="DEG513" s="2512"/>
      <c r="DEH513" s="1758"/>
      <c r="DEI513" s="1759"/>
      <c r="DEJ513" s="1759"/>
      <c r="DEK513" s="1760"/>
      <c r="DEL513" s="385"/>
      <c r="DEM513" s="69"/>
      <c r="DEN513" s="69"/>
      <c r="DEO513" s="2512"/>
      <c r="DEP513" s="1758"/>
      <c r="DEQ513" s="1759"/>
      <c r="DER513" s="1759"/>
      <c r="DES513" s="1760"/>
      <c r="DET513" s="385"/>
      <c r="DEU513" s="69"/>
      <c r="DEV513" s="69"/>
      <c r="DEW513" s="2512"/>
      <c r="DEX513" s="1758"/>
      <c r="DEY513" s="1759"/>
      <c r="DEZ513" s="1759"/>
      <c r="DFA513" s="1760"/>
      <c r="DFB513" s="385"/>
      <c r="DFC513" s="69"/>
      <c r="DFD513" s="69"/>
      <c r="DFE513" s="2512"/>
      <c r="DFF513" s="1758"/>
      <c r="DFG513" s="1759"/>
      <c r="DFH513" s="1759"/>
      <c r="DFI513" s="1760"/>
      <c r="DFJ513" s="385"/>
      <c r="DFK513" s="69"/>
      <c r="DFL513" s="69"/>
      <c r="DFM513" s="2512"/>
      <c r="DFN513" s="1758"/>
      <c r="DFO513" s="1759"/>
      <c r="DFP513" s="1759"/>
      <c r="DFQ513" s="1760"/>
      <c r="DFR513" s="385"/>
      <c r="DFS513" s="69"/>
      <c r="DFT513" s="69"/>
      <c r="DFU513" s="2512"/>
      <c r="DFV513" s="1758"/>
      <c r="DFW513" s="1759"/>
      <c r="DFX513" s="1759"/>
      <c r="DFY513" s="1760"/>
      <c r="DFZ513" s="385"/>
      <c r="DGA513" s="69"/>
      <c r="DGB513" s="69"/>
      <c r="DGC513" s="2512"/>
      <c r="DGD513" s="1758"/>
      <c r="DGE513" s="1759"/>
      <c r="DGF513" s="1759"/>
      <c r="DGG513" s="1760"/>
      <c r="DGH513" s="385"/>
      <c r="DGI513" s="69"/>
      <c r="DGJ513" s="69"/>
      <c r="DGK513" s="2512"/>
      <c r="DGL513" s="1758"/>
      <c r="DGM513" s="1759"/>
      <c r="DGN513" s="1759"/>
      <c r="DGO513" s="1760"/>
      <c r="DGP513" s="385"/>
      <c r="DGQ513" s="69"/>
      <c r="DGR513" s="69"/>
      <c r="DGS513" s="2512"/>
      <c r="DGT513" s="1758"/>
      <c r="DGU513" s="1759"/>
      <c r="DGV513" s="1759"/>
      <c r="DGW513" s="1760"/>
      <c r="DGX513" s="385"/>
      <c r="DGY513" s="69"/>
      <c r="DGZ513" s="69"/>
      <c r="DHA513" s="2512"/>
      <c r="DHB513" s="1758"/>
      <c r="DHC513" s="1759"/>
      <c r="DHD513" s="1759"/>
      <c r="DHE513" s="1760"/>
      <c r="DHF513" s="385"/>
      <c r="DHG513" s="69"/>
      <c r="DHH513" s="69"/>
      <c r="DHI513" s="2512"/>
      <c r="DHJ513" s="1758"/>
      <c r="DHK513" s="1759"/>
      <c r="DHL513" s="1759"/>
      <c r="DHM513" s="1760"/>
      <c r="DHN513" s="385"/>
      <c r="DHO513" s="69"/>
      <c r="DHP513" s="69"/>
      <c r="DHQ513" s="2512"/>
      <c r="DHR513" s="1758"/>
      <c r="DHS513" s="1759"/>
      <c r="DHT513" s="1759"/>
      <c r="DHU513" s="1760"/>
      <c r="DHV513" s="385"/>
      <c r="DHW513" s="69"/>
      <c r="DHX513" s="69"/>
      <c r="DHY513" s="2512"/>
      <c r="DHZ513" s="1758"/>
      <c r="DIA513" s="1759"/>
      <c r="DIB513" s="1759"/>
      <c r="DIC513" s="1760"/>
      <c r="DID513" s="385"/>
      <c r="DIE513" s="69"/>
      <c r="DIF513" s="69"/>
      <c r="DIG513" s="2512"/>
      <c r="DIH513" s="1758"/>
      <c r="DII513" s="1759"/>
      <c r="DIJ513" s="1759"/>
      <c r="DIK513" s="1760"/>
      <c r="DIL513" s="385"/>
      <c r="DIM513" s="69"/>
      <c r="DIN513" s="69"/>
      <c r="DIO513" s="2512"/>
      <c r="DIP513" s="1758"/>
      <c r="DIQ513" s="1759"/>
      <c r="DIR513" s="1759"/>
      <c r="DIS513" s="1760"/>
      <c r="DIT513" s="385"/>
      <c r="DIU513" s="69"/>
      <c r="DIV513" s="69"/>
      <c r="DIW513" s="2512"/>
      <c r="DIX513" s="1758"/>
      <c r="DIY513" s="1759"/>
      <c r="DIZ513" s="1759"/>
      <c r="DJA513" s="1760"/>
      <c r="DJB513" s="385"/>
      <c r="DJC513" s="69"/>
      <c r="DJD513" s="69"/>
      <c r="DJE513" s="2512"/>
      <c r="DJF513" s="1758"/>
      <c r="DJG513" s="1759"/>
      <c r="DJH513" s="1759"/>
      <c r="DJI513" s="1760"/>
      <c r="DJJ513" s="385"/>
      <c r="DJK513" s="69"/>
      <c r="DJL513" s="69"/>
      <c r="DJM513" s="2512"/>
      <c r="DJN513" s="1758"/>
      <c r="DJO513" s="1759"/>
      <c r="DJP513" s="1759"/>
      <c r="DJQ513" s="1760"/>
      <c r="DJR513" s="385"/>
      <c r="DJS513" s="69"/>
      <c r="DJT513" s="69"/>
      <c r="DJU513" s="2512"/>
      <c r="DJV513" s="1758"/>
      <c r="DJW513" s="1759"/>
      <c r="DJX513" s="1759"/>
      <c r="DJY513" s="1760"/>
      <c r="DJZ513" s="385"/>
      <c r="DKA513" s="69"/>
      <c r="DKB513" s="69"/>
      <c r="DKC513" s="2512"/>
      <c r="DKD513" s="1758"/>
      <c r="DKE513" s="1759"/>
      <c r="DKF513" s="1759"/>
      <c r="DKG513" s="1760"/>
      <c r="DKH513" s="385"/>
      <c r="DKI513" s="69"/>
      <c r="DKJ513" s="69"/>
      <c r="DKK513" s="2512"/>
      <c r="DKL513" s="1758"/>
      <c r="DKM513" s="1759"/>
      <c r="DKN513" s="1759"/>
      <c r="DKO513" s="1760"/>
      <c r="DKP513" s="385"/>
      <c r="DKQ513" s="69"/>
      <c r="DKR513" s="69"/>
      <c r="DKS513" s="2512"/>
      <c r="DKT513" s="1758"/>
      <c r="DKU513" s="1759"/>
      <c r="DKV513" s="1759"/>
      <c r="DKW513" s="1760"/>
      <c r="DKX513" s="385"/>
      <c r="DKY513" s="69"/>
      <c r="DKZ513" s="69"/>
      <c r="DLA513" s="2512"/>
      <c r="DLB513" s="1758"/>
      <c r="DLC513" s="1759"/>
      <c r="DLD513" s="1759"/>
      <c r="DLE513" s="1760"/>
      <c r="DLF513" s="385"/>
      <c r="DLG513" s="69"/>
      <c r="DLH513" s="69"/>
      <c r="DLI513" s="2512"/>
      <c r="DLJ513" s="1758"/>
      <c r="DLK513" s="1759"/>
      <c r="DLL513" s="1759"/>
      <c r="DLM513" s="1760"/>
      <c r="DLN513" s="385"/>
      <c r="DLO513" s="69"/>
      <c r="DLP513" s="69"/>
      <c r="DLQ513" s="2512"/>
      <c r="DLR513" s="1758"/>
      <c r="DLS513" s="1759"/>
      <c r="DLT513" s="1759"/>
      <c r="DLU513" s="1760"/>
      <c r="DLV513" s="385"/>
      <c r="DLW513" s="69"/>
      <c r="DLX513" s="69"/>
      <c r="DLY513" s="2512"/>
      <c r="DLZ513" s="1758"/>
      <c r="DMA513" s="1759"/>
      <c r="DMB513" s="1759"/>
      <c r="DMC513" s="1760"/>
      <c r="DMD513" s="385"/>
      <c r="DME513" s="69"/>
      <c r="DMF513" s="69"/>
      <c r="DMG513" s="2512"/>
      <c r="DMH513" s="1758"/>
      <c r="DMI513" s="1759"/>
      <c r="DMJ513" s="1759"/>
      <c r="DMK513" s="1760"/>
      <c r="DML513" s="385"/>
      <c r="DMM513" s="69"/>
      <c r="DMN513" s="69"/>
      <c r="DMO513" s="2512"/>
      <c r="DMP513" s="1758"/>
      <c r="DMQ513" s="1759"/>
      <c r="DMR513" s="1759"/>
      <c r="DMS513" s="1760"/>
      <c r="DMT513" s="385"/>
      <c r="DMU513" s="69"/>
      <c r="DMV513" s="69"/>
      <c r="DMW513" s="2512"/>
      <c r="DMX513" s="1758"/>
      <c r="DMY513" s="1759"/>
      <c r="DMZ513" s="1759"/>
      <c r="DNA513" s="1760"/>
      <c r="DNB513" s="385"/>
      <c r="DNC513" s="69"/>
      <c r="DND513" s="69"/>
      <c r="DNE513" s="2512"/>
      <c r="DNF513" s="1758"/>
      <c r="DNG513" s="1759"/>
      <c r="DNH513" s="1759"/>
      <c r="DNI513" s="1760"/>
      <c r="DNJ513" s="385"/>
      <c r="DNK513" s="69"/>
      <c r="DNL513" s="69"/>
      <c r="DNM513" s="2512"/>
      <c r="DNN513" s="1758"/>
      <c r="DNO513" s="1759"/>
      <c r="DNP513" s="1759"/>
      <c r="DNQ513" s="1760"/>
      <c r="DNR513" s="385"/>
      <c r="DNS513" s="69"/>
      <c r="DNT513" s="69"/>
      <c r="DNU513" s="2512"/>
      <c r="DNV513" s="1758"/>
      <c r="DNW513" s="1759"/>
      <c r="DNX513" s="1759"/>
      <c r="DNY513" s="1760"/>
      <c r="DNZ513" s="385"/>
      <c r="DOA513" s="69"/>
      <c r="DOB513" s="69"/>
      <c r="DOC513" s="2512"/>
      <c r="DOD513" s="1758"/>
      <c r="DOE513" s="1759"/>
      <c r="DOF513" s="1759"/>
      <c r="DOG513" s="1760"/>
      <c r="DOH513" s="385"/>
      <c r="DOI513" s="69"/>
      <c r="DOJ513" s="69"/>
      <c r="DOK513" s="2512"/>
      <c r="DOL513" s="1758"/>
      <c r="DOM513" s="1759"/>
      <c r="DON513" s="1759"/>
      <c r="DOO513" s="1760"/>
      <c r="DOP513" s="385"/>
      <c r="DOQ513" s="69"/>
      <c r="DOR513" s="69"/>
      <c r="DOS513" s="2512"/>
      <c r="DOT513" s="1758"/>
      <c r="DOU513" s="1759"/>
      <c r="DOV513" s="1759"/>
      <c r="DOW513" s="1760"/>
      <c r="DOX513" s="385"/>
      <c r="DOY513" s="69"/>
      <c r="DOZ513" s="69"/>
      <c r="DPA513" s="2512"/>
      <c r="DPB513" s="1758"/>
      <c r="DPC513" s="1759"/>
      <c r="DPD513" s="1759"/>
      <c r="DPE513" s="1760"/>
      <c r="DPF513" s="385"/>
      <c r="DPG513" s="69"/>
      <c r="DPH513" s="69"/>
      <c r="DPI513" s="2512"/>
      <c r="DPJ513" s="1758"/>
      <c r="DPK513" s="1759"/>
      <c r="DPL513" s="1759"/>
      <c r="DPM513" s="1760"/>
      <c r="DPN513" s="385"/>
      <c r="DPO513" s="69"/>
      <c r="DPP513" s="69"/>
      <c r="DPQ513" s="2512"/>
      <c r="DPR513" s="1758"/>
      <c r="DPS513" s="1759"/>
      <c r="DPT513" s="1759"/>
      <c r="DPU513" s="1760"/>
      <c r="DPV513" s="385"/>
      <c r="DPW513" s="69"/>
      <c r="DPX513" s="69"/>
      <c r="DPY513" s="2512"/>
      <c r="DPZ513" s="1758"/>
      <c r="DQA513" s="1759"/>
      <c r="DQB513" s="1759"/>
      <c r="DQC513" s="1760"/>
      <c r="DQD513" s="385"/>
      <c r="DQE513" s="69"/>
      <c r="DQF513" s="69"/>
      <c r="DQG513" s="2512"/>
      <c r="DQH513" s="1758"/>
      <c r="DQI513" s="1759"/>
      <c r="DQJ513" s="1759"/>
      <c r="DQK513" s="1760"/>
      <c r="DQL513" s="385"/>
      <c r="DQM513" s="69"/>
      <c r="DQN513" s="69"/>
      <c r="DQO513" s="2512"/>
      <c r="DQP513" s="1758"/>
      <c r="DQQ513" s="1759"/>
      <c r="DQR513" s="1759"/>
      <c r="DQS513" s="1760"/>
      <c r="DQT513" s="385"/>
      <c r="DQU513" s="69"/>
      <c r="DQV513" s="69"/>
      <c r="DQW513" s="2512"/>
      <c r="DQX513" s="1758"/>
      <c r="DQY513" s="1759"/>
      <c r="DQZ513" s="1759"/>
      <c r="DRA513" s="1760"/>
      <c r="DRB513" s="385"/>
      <c r="DRC513" s="69"/>
      <c r="DRD513" s="69"/>
      <c r="DRE513" s="2512"/>
      <c r="DRF513" s="1758"/>
      <c r="DRG513" s="1759"/>
      <c r="DRH513" s="1759"/>
      <c r="DRI513" s="1760"/>
      <c r="DRJ513" s="385"/>
      <c r="DRK513" s="69"/>
      <c r="DRL513" s="69"/>
      <c r="DRM513" s="2512"/>
      <c r="DRN513" s="1758"/>
      <c r="DRO513" s="1759"/>
      <c r="DRP513" s="1759"/>
      <c r="DRQ513" s="1760"/>
      <c r="DRR513" s="385"/>
      <c r="DRS513" s="69"/>
      <c r="DRT513" s="69"/>
      <c r="DRU513" s="2512"/>
      <c r="DRV513" s="1758"/>
      <c r="DRW513" s="1759"/>
      <c r="DRX513" s="1759"/>
      <c r="DRY513" s="1760"/>
      <c r="DRZ513" s="385"/>
      <c r="DSA513" s="69"/>
      <c r="DSB513" s="69"/>
      <c r="DSC513" s="2512"/>
      <c r="DSD513" s="1758"/>
      <c r="DSE513" s="1759"/>
      <c r="DSF513" s="1759"/>
      <c r="DSG513" s="1760"/>
      <c r="DSH513" s="385"/>
      <c r="DSI513" s="69"/>
      <c r="DSJ513" s="69"/>
      <c r="DSK513" s="2512"/>
      <c r="DSL513" s="1758"/>
      <c r="DSM513" s="1759"/>
      <c r="DSN513" s="1759"/>
      <c r="DSO513" s="1760"/>
      <c r="DSP513" s="385"/>
      <c r="DSQ513" s="69"/>
      <c r="DSR513" s="69"/>
      <c r="DSS513" s="2512"/>
      <c r="DST513" s="1758"/>
      <c r="DSU513" s="1759"/>
      <c r="DSV513" s="1759"/>
      <c r="DSW513" s="1760"/>
      <c r="DSX513" s="385"/>
      <c r="DSY513" s="69"/>
      <c r="DSZ513" s="69"/>
      <c r="DTA513" s="2512"/>
      <c r="DTB513" s="1758"/>
      <c r="DTC513" s="1759"/>
      <c r="DTD513" s="1759"/>
      <c r="DTE513" s="1760"/>
      <c r="DTF513" s="385"/>
      <c r="DTG513" s="69"/>
      <c r="DTH513" s="69"/>
      <c r="DTI513" s="2512"/>
      <c r="DTJ513" s="1758"/>
      <c r="DTK513" s="1759"/>
      <c r="DTL513" s="1759"/>
      <c r="DTM513" s="1760"/>
      <c r="DTN513" s="385"/>
      <c r="DTO513" s="69"/>
      <c r="DTP513" s="69"/>
      <c r="DTQ513" s="2512"/>
      <c r="DTR513" s="1758"/>
      <c r="DTS513" s="1759"/>
      <c r="DTT513" s="1759"/>
      <c r="DTU513" s="1760"/>
      <c r="DTV513" s="385"/>
      <c r="DTW513" s="69"/>
      <c r="DTX513" s="69"/>
      <c r="DTY513" s="2512"/>
      <c r="DTZ513" s="1758"/>
      <c r="DUA513" s="1759"/>
      <c r="DUB513" s="1759"/>
      <c r="DUC513" s="1760"/>
      <c r="DUD513" s="385"/>
      <c r="DUE513" s="69"/>
      <c r="DUF513" s="69"/>
      <c r="DUG513" s="2512"/>
      <c r="DUH513" s="1758"/>
      <c r="DUI513" s="1759"/>
      <c r="DUJ513" s="1759"/>
      <c r="DUK513" s="1760"/>
      <c r="DUL513" s="385"/>
      <c r="DUM513" s="69"/>
      <c r="DUN513" s="69"/>
      <c r="DUO513" s="2512"/>
      <c r="DUP513" s="1758"/>
      <c r="DUQ513" s="1759"/>
      <c r="DUR513" s="1759"/>
      <c r="DUS513" s="1760"/>
      <c r="DUT513" s="385"/>
      <c r="DUU513" s="69"/>
      <c r="DUV513" s="69"/>
      <c r="DUW513" s="2512"/>
      <c r="DUX513" s="1758"/>
      <c r="DUY513" s="1759"/>
      <c r="DUZ513" s="1759"/>
      <c r="DVA513" s="1760"/>
      <c r="DVB513" s="385"/>
      <c r="DVC513" s="69"/>
      <c r="DVD513" s="69"/>
      <c r="DVE513" s="2512"/>
      <c r="DVF513" s="1758"/>
      <c r="DVG513" s="1759"/>
      <c r="DVH513" s="1759"/>
      <c r="DVI513" s="1760"/>
      <c r="DVJ513" s="385"/>
      <c r="DVK513" s="69"/>
      <c r="DVL513" s="69"/>
      <c r="DVM513" s="2512"/>
      <c r="DVN513" s="1758"/>
      <c r="DVO513" s="1759"/>
      <c r="DVP513" s="1759"/>
      <c r="DVQ513" s="1760"/>
      <c r="DVR513" s="385"/>
      <c r="DVS513" s="69"/>
      <c r="DVT513" s="69"/>
      <c r="DVU513" s="2512"/>
      <c r="DVV513" s="1758"/>
      <c r="DVW513" s="1759"/>
      <c r="DVX513" s="1759"/>
      <c r="DVY513" s="1760"/>
      <c r="DVZ513" s="385"/>
      <c r="DWA513" s="69"/>
      <c r="DWB513" s="69"/>
      <c r="DWC513" s="2512"/>
      <c r="DWD513" s="1758"/>
      <c r="DWE513" s="1759"/>
      <c r="DWF513" s="1759"/>
      <c r="DWG513" s="1760"/>
      <c r="DWH513" s="385"/>
      <c r="DWI513" s="69"/>
      <c r="DWJ513" s="69"/>
      <c r="DWK513" s="2512"/>
      <c r="DWL513" s="1758"/>
      <c r="DWM513" s="1759"/>
      <c r="DWN513" s="1759"/>
      <c r="DWO513" s="1760"/>
      <c r="DWP513" s="385"/>
      <c r="DWQ513" s="69"/>
      <c r="DWR513" s="69"/>
      <c r="DWS513" s="2512"/>
      <c r="DWT513" s="1758"/>
      <c r="DWU513" s="1759"/>
      <c r="DWV513" s="1759"/>
      <c r="DWW513" s="1760"/>
      <c r="DWX513" s="385"/>
      <c r="DWY513" s="69"/>
      <c r="DWZ513" s="69"/>
      <c r="DXA513" s="2512"/>
      <c r="DXB513" s="1758"/>
      <c r="DXC513" s="1759"/>
      <c r="DXD513" s="1759"/>
      <c r="DXE513" s="1760"/>
      <c r="DXF513" s="385"/>
      <c r="DXG513" s="69"/>
      <c r="DXH513" s="69"/>
      <c r="DXI513" s="2512"/>
      <c r="DXJ513" s="1758"/>
      <c r="DXK513" s="1759"/>
      <c r="DXL513" s="1759"/>
      <c r="DXM513" s="1760"/>
      <c r="DXN513" s="385"/>
      <c r="DXO513" s="69"/>
      <c r="DXP513" s="69"/>
      <c r="DXQ513" s="2512"/>
      <c r="DXR513" s="1758"/>
      <c r="DXS513" s="1759"/>
      <c r="DXT513" s="1759"/>
      <c r="DXU513" s="1760"/>
      <c r="DXV513" s="385"/>
      <c r="DXW513" s="69"/>
      <c r="DXX513" s="69"/>
      <c r="DXY513" s="2512"/>
      <c r="DXZ513" s="1758"/>
      <c r="DYA513" s="1759"/>
      <c r="DYB513" s="1759"/>
      <c r="DYC513" s="1760"/>
      <c r="DYD513" s="385"/>
      <c r="DYE513" s="69"/>
      <c r="DYF513" s="69"/>
      <c r="DYG513" s="2512"/>
      <c r="DYH513" s="1758"/>
      <c r="DYI513" s="1759"/>
      <c r="DYJ513" s="1759"/>
      <c r="DYK513" s="1760"/>
      <c r="DYL513" s="385"/>
      <c r="DYM513" s="69"/>
      <c r="DYN513" s="69"/>
      <c r="DYO513" s="2512"/>
      <c r="DYP513" s="1758"/>
      <c r="DYQ513" s="1759"/>
      <c r="DYR513" s="1759"/>
      <c r="DYS513" s="1760"/>
      <c r="DYT513" s="385"/>
      <c r="DYU513" s="69"/>
      <c r="DYV513" s="69"/>
      <c r="DYW513" s="2512"/>
      <c r="DYX513" s="1758"/>
      <c r="DYY513" s="1759"/>
      <c r="DYZ513" s="1759"/>
      <c r="DZA513" s="1760"/>
      <c r="DZB513" s="385"/>
      <c r="DZC513" s="69"/>
      <c r="DZD513" s="69"/>
      <c r="DZE513" s="2512"/>
      <c r="DZF513" s="1758"/>
      <c r="DZG513" s="1759"/>
      <c r="DZH513" s="1759"/>
      <c r="DZI513" s="1760"/>
      <c r="DZJ513" s="385"/>
      <c r="DZK513" s="69"/>
      <c r="DZL513" s="69"/>
      <c r="DZM513" s="2512"/>
      <c r="DZN513" s="1758"/>
      <c r="DZO513" s="1759"/>
      <c r="DZP513" s="1759"/>
      <c r="DZQ513" s="1760"/>
      <c r="DZR513" s="385"/>
      <c r="DZS513" s="69"/>
      <c r="DZT513" s="69"/>
      <c r="DZU513" s="2512"/>
      <c r="DZV513" s="1758"/>
      <c r="DZW513" s="1759"/>
      <c r="DZX513" s="1759"/>
      <c r="DZY513" s="1760"/>
      <c r="DZZ513" s="385"/>
      <c r="EAA513" s="69"/>
      <c r="EAB513" s="69"/>
      <c r="EAC513" s="2512"/>
      <c r="EAD513" s="1758"/>
      <c r="EAE513" s="1759"/>
      <c r="EAF513" s="1759"/>
      <c r="EAG513" s="1760"/>
      <c r="EAH513" s="385"/>
      <c r="EAI513" s="69"/>
      <c r="EAJ513" s="69"/>
      <c r="EAK513" s="2512"/>
      <c r="EAL513" s="1758"/>
      <c r="EAM513" s="1759"/>
      <c r="EAN513" s="1759"/>
      <c r="EAO513" s="1760"/>
      <c r="EAP513" s="385"/>
      <c r="EAQ513" s="69"/>
      <c r="EAR513" s="69"/>
      <c r="EAS513" s="2512"/>
      <c r="EAT513" s="1758"/>
      <c r="EAU513" s="1759"/>
      <c r="EAV513" s="1759"/>
      <c r="EAW513" s="1760"/>
      <c r="EAX513" s="385"/>
      <c r="EAY513" s="69"/>
      <c r="EAZ513" s="69"/>
      <c r="EBA513" s="2512"/>
      <c r="EBB513" s="1758"/>
      <c r="EBC513" s="1759"/>
      <c r="EBD513" s="1759"/>
      <c r="EBE513" s="1760"/>
      <c r="EBF513" s="385"/>
      <c r="EBG513" s="69"/>
      <c r="EBH513" s="69"/>
      <c r="EBI513" s="2512"/>
      <c r="EBJ513" s="1758"/>
      <c r="EBK513" s="1759"/>
      <c r="EBL513" s="1759"/>
      <c r="EBM513" s="1760"/>
      <c r="EBN513" s="385"/>
      <c r="EBO513" s="69"/>
      <c r="EBP513" s="69"/>
      <c r="EBQ513" s="2512"/>
      <c r="EBR513" s="1758"/>
      <c r="EBS513" s="1759"/>
      <c r="EBT513" s="1759"/>
      <c r="EBU513" s="1760"/>
      <c r="EBV513" s="385"/>
      <c r="EBW513" s="69"/>
      <c r="EBX513" s="69"/>
      <c r="EBY513" s="2512"/>
      <c r="EBZ513" s="1758"/>
      <c r="ECA513" s="1759"/>
      <c r="ECB513" s="1759"/>
      <c r="ECC513" s="1760"/>
      <c r="ECD513" s="385"/>
      <c r="ECE513" s="69"/>
      <c r="ECF513" s="69"/>
      <c r="ECG513" s="2512"/>
      <c r="ECH513" s="1758"/>
      <c r="ECI513" s="1759"/>
      <c r="ECJ513" s="1759"/>
      <c r="ECK513" s="1760"/>
      <c r="ECL513" s="385"/>
      <c r="ECM513" s="69"/>
      <c r="ECN513" s="69"/>
      <c r="ECO513" s="2512"/>
      <c r="ECP513" s="1758"/>
      <c r="ECQ513" s="1759"/>
      <c r="ECR513" s="1759"/>
      <c r="ECS513" s="1760"/>
      <c r="ECT513" s="385"/>
      <c r="ECU513" s="69"/>
      <c r="ECV513" s="69"/>
      <c r="ECW513" s="2512"/>
      <c r="ECX513" s="1758"/>
      <c r="ECY513" s="1759"/>
      <c r="ECZ513" s="1759"/>
      <c r="EDA513" s="1760"/>
      <c r="EDB513" s="385"/>
      <c r="EDC513" s="69"/>
      <c r="EDD513" s="69"/>
      <c r="EDE513" s="2512"/>
      <c r="EDF513" s="1758"/>
      <c r="EDG513" s="1759"/>
      <c r="EDH513" s="1759"/>
      <c r="EDI513" s="1760"/>
      <c r="EDJ513" s="385"/>
      <c r="EDK513" s="69"/>
      <c r="EDL513" s="69"/>
      <c r="EDM513" s="2512"/>
      <c r="EDN513" s="1758"/>
      <c r="EDO513" s="1759"/>
      <c r="EDP513" s="1759"/>
      <c r="EDQ513" s="1760"/>
      <c r="EDR513" s="385"/>
      <c r="EDS513" s="69"/>
      <c r="EDT513" s="69"/>
      <c r="EDU513" s="2512"/>
      <c r="EDV513" s="1758"/>
      <c r="EDW513" s="1759"/>
      <c r="EDX513" s="1759"/>
      <c r="EDY513" s="1760"/>
      <c r="EDZ513" s="385"/>
      <c r="EEA513" s="69"/>
      <c r="EEB513" s="69"/>
      <c r="EEC513" s="2512"/>
      <c r="EED513" s="1758"/>
      <c r="EEE513" s="1759"/>
      <c r="EEF513" s="1759"/>
      <c r="EEG513" s="1760"/>
      <c r="EEH513" s="385"/>
      <c r="EEI513" s="69"/>
      <c r="EEJ513" s="69"/>
      <c r="EEK513" s="2512"/>
      <c r="EEL513" s="1758"/>
      <c r="EEM513" s="1759"/>
      <c r="EEN513" s="1759"/>
      <c r="EEO513" s="1760"/>
      <c r="EEP513" s="385"/>
      <c r="EEQ513" s="69"/>
      <c r="EER513" s="69"/>
      <c r="EES513" s="2512"/>
      <c r="EET513" s="1758"/>
      <c r="EEU513" s="1759"/>
      <c r="EEV513" s="1759"/>
      <c r="EEW513" s="1760"/>
      <c r="EEX513" s="385"/>
      <c r="EEY513" s="69"/>
      <c r="EEZ513" s="69"/>
      <c r="EFA513" s="2512"/>
      <c r="EFB513" s="1758"/>
      <c r="EFC513" s="1759"/>
      <c r="EFD513" s="1759"/>
      <c r="EFE513" s="1760"/>
      <c r="EFF513" s="385"/>
      <c r="EFG513" s="69"/>
      <c r="EFH513" s="69"/>
      <c r="EFI513" s="2512"/>
      <c r="EFJ513" s="1758"/>
      <c r="EFK513" s="1759"/>
      <c r="EFL513" s="1759"/>
      <c r="EFM513" s="1760"/>
      <c r="EFN513" s="385"/>
      <c r="EFO513" s="69"/>
      <c r="EFP513" s="69"/>
      <c r="EFQ513" s="2512"/>
      <c r="EFR513" s="1758"/>
      <c r="EFS513" s="1759"/>
      <c r="EFT513" s="1759"/>
      <c r="EFU513" s="1760"/>
      <c r="EFV513" s="385"/>
      <c r="EFW513" s="69"/>
      <c r="EFX513" s="69"/>
      <c r="EFY513" s="2512"/>
      <c r="EFZ513" s="1758"/>
      <c r="EGA513" s="1759"/>
      <c r="EGB513" s="1759"/>
      <c r="EGC513" s="1760"/>
      <c r="EGD513" s="385"/>
      <c r="EGE513" s="69"/>
      <c r="EGF513" s="69"/>
      <c r="EGG513" s="2512"/>
      <c r="EGH513" s="1758"/>
      <c r="EGI513" s="1759"/>
      <c r="EGJ513" s="1759"/>
      <c r="EGK513" s="1760"/>
      <c r="EGL513" s="385"/>
      <c r="EGM513" s="69"/>
      <c r="EGN513" s="69"/>
      <c r="EGO513" s="2512"/>
      <c r="EGP513" s="1758"/>
      <c r="EGQ513" s="1759"/>
      <c r="EGR513" s="1759"/>
      <c r="EGS513" s="1760"/>
      <c r="EGT513" s="385"/>
      <c r="EGU513" s="69"/>
      <c r="EGV513" s="69"/>
      <c r="EGW513" s="2512"/>
      <c r="EGX513" s="1758"/>
      <c r="EGY513" s="1759"/>
      <c r="EGZ513" s="1759"/>
      <c r="EHA513" s="1760"/>
      <c r="EHB513" s="385"/>
      <c r="EHC513" s="69"/>
      <c r="EHD513" s="69"/>
      <c r="EHE513" s="2512"/>
      <c r="EHF513" s="1758"/>
      <c r="EHG513" s="1759"/>
      <c r="EHH513" s="1759"/>
      <c r="EHI513" s="1760"/>
      <c r="EHJ513" s="385"/>
      <c r="EHK513" s="69"/>
      <c r="EHL513" s="69"/>
      <c r="EHM513" s="2512"/>
      <c r="EHN513" s="1758"/>
      <c r="EHO513" s="1759"/>
      <c r="EHP513" s="1759"/>
      <c r="EHQ513" s="1760"/>
      <c r="EHR513" s="385"/>
      <c r="EHS513" s="69"/>
      <c r="EHT513" s="69"/>
      <c r="EHU513" s="2512"/>
      <c r="EHV513" s="1758"/>
      <c r="EHW513" s="1759"/>
      <c r="EHX513" s="1759"/>
      <c r="EHY513" s="1760"/>
      <c r="EHZ513" s="385"/>
      <c r="EIA513" s="69"/>
      <c r="EIB513" s="69"/>
      <c r="EIC513" s="2512"/>
      <c r="EID513" s="1758"/>
      <c r="EIE513" s="1759"/>
      <c r="EIF513" s="1759"/>
      <c r="EIG513" s="1760"/>
      <c r="EIH513" s="385"/>
      <c r="EII513" s="69"/>
      <c r="EIJ513" s="69"/>
      <c r="EIK513" s="2512"/>
      <c r="EIL513" s="1758"/>
      <c r="EIM513" s="1759"/>
      <c r="EIN513" s="1759"/>
      <c r="EIO513" s="1760"/>
      <c r="EIP513" s="385"/>
      <c r="EIQ513" s="69"/>
      <c r="EIR513" s="69"/>
      <c r="EIS513" s="2512"/>
      <c r="EIT513" s="1758"/>
      <c r="EIU513" s="1759"/>
      <c r="EIV513" s="1759"/>
      <c r="EIW513" s="1760"/>
      <c r="EIX513" s="385"/>
      <c r="EIY513" s="69"/>
      <c r="EIZ513" s="69"/>
      <c r="EJA513" s="2512"/>
      <c r="EJB513" s="1758"/>
      <c r="EJC513" s="1759"/>
      <c r="EJD513" s="1759"/>
      <c r="EJE513" s="1760"/>
      <c r="EJF513" s="385"/>
      <c r="EJG513" s="69"/>
      <c r="EJH513" s="69"/>
      <c r="EJI513" s="2512"/>
      <c r="EJJ513" s="1758"/>
      <c r="EJK513" s="1759"/>
      <c r="EJL513" s="1759"/>
      <c r="EJM513" s="1760"/>
      <c r="EJN513" s="385"/>
      <c r="EJO513" s="69"/>
      <c r="EJP513" s="69"/>
      <c r="EJQ513" s="2512"/>
      <c r="EJR513" s="1758"/>
      <c r="EJS513" s="1759"/>
      <c r="EJT513" s="1759"/>
      <c r="EJU513" s="1760"/>
      <c r="EJV513" s="385"/>
      <c r="EJW513" s="69"/>
      <c r="EJX513" s="69"/>
      <c r="EJY513" s="2512"/>
      <c r="EJZ513" s="1758"/>
      <c r="EKA513" s="1759"/>
      <c r="EKB513" s="1759"/>
      <c r="EKC513" s="1760"/>
      <c r="EKD513" s="385"/>
      <c r="EKE513" s="69"/>
      <c r="EKF513" s="69"/>
      <c r="EKG513" s="2512"/>
      <c r="EKH513" s="1758"/>
      <c r="EKI513" s="1759"/>
      <c r="EKJ513" s="1759"/>
      <c r="EKK513" s="1760"/>
      <c r="EKL513" s="385"/>
      <c r="EKM513" s="69"/>
      <c r="EKN513" s="69"/>
      <c r="EKO513" s="2512"/>
      <c r="EKP513" s="1758"/>
      <c r="EKQ513" s="1759"/>
      <c r="EKR513" s="1759"/>
      <c r="EKS513" s="1760"/>
      <c r="EKT513" s="385"/>
      <c r="EKU513" s="69"/>
      <c r="EKV513" s="69"/>
      <c r="EKW513" s="2512"/>
      <c r="EKX513" s="1758"/>
      <c r="EKY513" s="1759"/>
      <c r="EKZ513" s="1759"/>
      <c r="ELA513" s="1760"/>
      <c r="ELB513" s="385"/>
      <c r="ELC513" s="69"/>
      <c r="ELD513" s="69"/>
      <c r="ELE513" s="2512"/>
      <c r="ELF513" s="1758"/>
      <c r="ELG513" s="1759"/>
      <c r="ELH513" s="1759"/>
      <c r="ELI513" s="1760"/>
      <c r="ELJ513" s="385"/>
      <c r="ELK513" s="69"/>
      <c r="ELL513" s="69"/>
      <c r="ELM513" s="2512"/>
      <c r="ELN513" s="1758"/>
      <c r="ELO513" s="1759"/>
      <c r="ELP513" s="1759"/>
      <c r="ELQ513" s="1760"/>
      <c r="ELR513" s="385"/>
      <c r="ELS513" s="69"/>
      <c r="ELT513" s="69"/>
      <c r="ELU513" s="2512"/>
      <c r="ELV513" s="1758"/>
      <c r="ELW513" s="1759"/>
      <c r="ELX513" s="1759"/>
      <c r="ELY513" s="1760"/>
      <c r="ELZ513" s="385"/>
      <c r="EMA513" s="69"/>
      <c r="EMB513" s="69"/>
      <c r="EMC513" s="2512"/>
      <c r="EMD513" s="1758"/>
      <c r="EME513" s="1759"/>
      <c r="EMF513" s="1759"/>
      <c r="EMG513" s="1760"/>
      <c r="EMH513" s="385"/>
      <c r="EMI513" s="69"/>
      <c r="EMJ513" s="69"/>
      <c r="EMK513" s="2512"/>
      <c r="EML513" s="1758"/>
      <c r="EMM513" s="1759"/>
      <c r="EMN513" s="1759"/>
      <c r="EMO513" s="1760"/>
      <c r="EMP513" s="385"/>
      <c r="EMQ513" s="69"/>
      <c r="EMR513" s="69"/>
      <c r="EMS513" s="2512"/>
      <c r="EMT513" s="1758"/>
      <c r="EMU513" s="1759"/>
      <c r="EMV513" s="1759"/>
      <c r="EMW513" s="1760"/>
      <c r="EMX513" s="385"/>
      <c r="EMY513" s="69"/>
      <c r="EMZ513" s="69"/>
      <c r="ENA513" s="2512"/>
      <c r="ENB513" s="1758"/>
      <c r="ENC513" s="1759"/>
      <c r="END513" s="1759"/>
      <c r="ENE513" s="1760"/>
      <c r="ENF513" s="385"/>
      <c r="ENG513" s="69"/>
      <c r="ENH513" s="69"/>
      <c r="ENI513" s="2512"/>
      <c r="ENJ513" s="1758"/>
      <c r="ENK513" s="1759"/>
      <c r="ENL513" s="1759"/>
      <c r="ENM513" s="1760"/>
      <c r="ENN513" s="385"/>
      <c r="ENO513" s="69"/>
      <c r="ENP513" s="69"/>
      <c r="ENQ513" s="2512"/>
      <c r="ENR513" s="1758"/>
      <c r="ENS513" s="1759"/>
      <c r="ENT513" s="1759"/>
      <c r="ENU513" s="1760"/>
      <c r="ENV513" s="385"/>
      <c r="ENW513" s="69"/>
      <c r="ENX513" s="69"/>
      <c r="ENY513" s="2512"/>
      <c r="ENZ513" s="1758"/>
      <c r="EOA513" s="1759"/>
      <c r="EOB513" s="1759"/>
      <c r="EOC513" s="1760"/>
      <c r="EOD513" s="385"/>
      <c r="EOE513" s="69"/>
      <c r="EOF513" s="69"/>
      <c r="EOG513" s="2512"/>
      <c r="EOH513" s="1758"/>
      <c r="EOI513" s="1759"/>
      <c r="EOJ513" s="1759"/>
      <c r="EOK513" s="1760"/>
      <c r="EOL513" s="385"/>
      <c r="EOM513" s="69"/>
      <c r="EON513" s="69"/>
      <c r="EOO513" s="2512"/>
      <c r="EOP513" s="1758"/>
      <c r="EOQ513" s="1759"/>
      <c r="EOR513" s="1759"/>
      <c r="EOS513" s="1760"/>
      <c r="EOT513" s="385"/>
      <c r="EOU513" s="69"/>
      <c r="EOV513" s="69"/>
      <c r="EOW513" s="2512"/>
      <c r="EOX513" s="1758"/>
      <c r="EOY513" s="1759"/>
      <c r="EOZ513" s="1759"/>
      <c r="EPA513" s="1760"/>
      <c r="EPB513" s="385"/>
      <c r="EPC513" s="69"/>
      <c r="EPD513" s="69"/>
      <c r="EPE513" s="2512"/>
      <c r="EPF513" s="1758"/>
      <c r="EPG513" s="1759"/>
      <c r="EPH513" s="1759"/>
      <c r="EPI513" s="1760"/>
      <c r="EPJ513" s="385"/>
      <c r="EPK513" s="69"/>
      <c r="EPL513" s="69"/>
      <c r="EPM513" s="2512"/>
      <c r="EPN513" s="1758"/>
      <c r="EPO513" s="1759"/>
      <c r="EPP513" s="1759"/>
      <c r="EPQ513" s="1760"/>
      <c r="EPR513" s="385"/>
      <c r="EPS513" s="69"/>
      <c r="EPT513" s="69"/>
      <c r="EPU513" s="2512"/>
      <c r="EPV513" s="1758"/>
      <c r="EPW513" s="1759"/>
      <c r="EPX513" s="1759"/>
      <c r="EPY513" s="1760"/>
      <c r="EPZ513" s="385"/>
      <c r="EQA513" s="69"/>
      <c r="EQB513" s="69"/>
      <c r="EQC513" s="2512"/>
      <c r="EQD513" s="1758"/>
      <c r="EQE513" s="1759"/>
      <c r="EQF513" s="1759"/>
      <c r="EQG513" s="1760"/>
      <c r="EQH513" s="385"/>
      <c r="EQI513" s="69"/>
      <c r="EQJ513" s="69"/>
      <c r="EQK513" s="2512"/>
      <c r="EQL513" s="1758"/>
      <c r="EQM513" s="1759"/>
      <c r="EQN513" s="1759"/>
      <c r="EQO513" s="1760"/>
      <c r="EQP513" s="385"/>
      <c r="EQQ513" s="69"/>
      <c r="EQR513" s="69"/>
      <c r="EQS513" s="2512"/>
      <c r="EQT513" s="1758"/>
      <c r="EQU513" s="1759"/>
      <c r="EQV513" s="1759"/>
      <c r="EQW513" s="1760"/>
      <c r="EQX513" s="385"/>
      <c r="EQY513" s="69"/>
      <c r="EQZ513" s="69"/>
      <c r="ERA513" s="2512"/>
      <c r="ERB513" s="1758"/>
      <c r="ERC513" s="1759"/>
      <c r="ERD513" s="1759"/>
      <c r="ERE513" s="1760"/>
      <c r="ERF513" s="385"/>
      <c r="ERG513" s="69"/>
      <c r="ERH513" s="69"/>
      <c r="ERI513" s="2512"/>
      <c r="ERJ513" s="1758"/>
      <c r="ERK513" s="1759"/>
      <c r="ERL513" s="1759"/>
      <c r="ERM513" s="1760"/>
      <c r="ERN513" s="385"/>
      <c r="ERO513" s="69"/>
      <c r="ERP513" s="69"/>
      <c r="ERQ513" s="2512"/>
      <c r="ERR513" s="1758"/>
      <c r="ERS513" s="1759"/>
      <c r="ERT513" s="1759"/>
      <c r="ERU513" s="1760"/>
      <c r="ERV513" s="385"/>
      <c r="ERW513" s="69"/>
      <c r="ERX513" s="69"/>
      <c r="ERY513" s="2512"/>
      <c r="ERZ513" s="1758"/>
      <c r="ESA513" s="1759"/>
      <c r="ESB513" s="1759"/>
      <c r="ESC513" s="1760"/>
      <c r="ESD513" s="385"/>
      <c r="ESE513" s="69"/>
      <c r="ESF513" s="69"/>
      <c r="ESG513" s="2512"/>
      <c r="ESH513" s="1758"/>
      <c r="ESI513" s="1759"/>
      <c r="ESJ513" s="1759"/>
      <c r="ESK513" s="1760"/>
      <c r="ESL513" s="385"/>
      <c r="ESM513" s="69"/>
      <c r="ESN513" s="69"/>
      <c r="ESO513" s="2512"/>
      <c r="ESP513" s="1758"/>
      <c r="ESQ513" s="1759"/>
      <c r="ESR513" s="1759"/>
      <c r="ESS513" s="1760"/>
      <c r="EST513" s="385"/>
      <c r="ESU513" s="69"/>
      <c r="ESV513" s="69"/>
      <c r="ESW513" s="2512"/>
      <c r="ESX513" s="1758"/>
      <c r="ESY513" s="1759"/>
      <c r="ESZ513" s="1759"/>
      <c r="ETA513" s="1760"/>
      <c r="ETB513" s="385"/>
      <c r="ETC513" s="69"/>
      <c r="ETD513" s="69"/>
      <c r="ETE513" s="2512"/>
      <c r="ETF513" s="1758"/>
      <c r="ETG513" s="1759"/>
      <c r="ETH513" s="1759"/>
      <c r="ETI513" s="1760"/>
      <c r="ETJ513" s="385"/>
      <c r="ETK513" s="69"/>
      <c r="ETL513" s="69"/>
      <c r="ETM513" s="2512"/>
      <c r="ETN513" s="1758"/>
      <c r="ETO513" s="1759"/>
      <c r="ETP513" s="1759"/>
      <c r="ETQ513" s="1760"/>
      <c r="ETR513" s="385"/>
      <c r="ETS513" s="69"/>
      <c r="ETT513" s="69"/>
      <c r="ETU513" s="2512"/>
      <c r="ETV513" s="1758"/>
      <c r="ETW513" s="1759"/>
      <c r="ETX513" s="1759"/>
      <c r="ETY513" s="1760"/>
      <c r="ETZ513" s="385"/>
      <c r="EUA513" s="69"/>
      <c r="EUB513" s="69"/>
      <c r="EUC513" s="2512"/>
      <c r="EUD513" s="1758"/>
      <c r="EUE513" s="1759"/>
      <c r="EUF513" s="1759"/>
      <c r="EUG513" s="1760"/>
      <c r="EUH513" s="385"/>
      <c r="EUI513" s="69"/>
      <c r="EUJ513" s="69"/>
      <c r="EUK513" s="2512"/>
      <c r="EUL513" s="1758"/>
      <c r="EUM513" s="1759"/>
      <c r="EUN513" s="1759"/>
      <c r="EUO513" s="1760"/>
      <c r="EUP513" s="385"/>
      <c r="EUQ513" s="69"/>
      <c r="EUR513" s="69"/>
      <c r="EUS513" s="2512"/>
      <c r="EUT513" s="1758"/>
      <c r="EUU513" s="1759"/>
      <c r="EUV513" s="1759"/>
      <c r="EUW513" s="1760"/>
      <c r="EUX513" s="385"/>
      <c r="EUY513" s="69"/>
      <c r="EUZ513" s="69"/>
      <c r="EVA513" s="2512"/>
      <c r="EVB513" s="1758"/>
      <c r="EVC513" s="1759"/>
      <c r="EVD513" s="1759"/>
      <c r="EVE513" s="1760"/>
      <c r="EVF513" s="385"/>
      <c r="EVG513" s="69"/>
      <c r="EVH513" s="69"/>
      <c r="EVI513" s="2512"/>
      <c r="EVJ513" s="1758"/>
      <c r="EVK513" s="1759"/>
      <c r="EVL513" s="1759"/>
      <c r="EVM513" s="1760"/>
      <c r="EVN513" s="385"/>
      <c r="EVO513" s="69"/>
      <c r="EVP513" s="69"/>
      <c r="EVQ513" s="2512"/>
      <c r="EVR513" s="1758"/>
      <c r="EVS513" s="1759"/>
      <c r="EVT513" s="1759"/>
      <c r="EVU513" s="1760"/>
      <c r="EVV513" s="385"/>
      <c r="EVW513" s="69"/>
      <c r="EVX513" s="69"/>
      <c r="EVY513" s="2512"/>
      <c r="EVZ513" s="1758"/>
      <c r="EWA513" s="1759"/>
      <c r="EWB513" s="1759"/>
      <c r="EWC513" s="1760"/>
      <c r="EWD513" s="385"/>
      <c r="EWE513" s="69"/>
      <c r="EWF513" s="69"/>
      <c r="EWG513" s="2512"/>
      <c r="EWH513" s="1758"/>
      <c r="EWI513" s="1759"/>
      <c r="EWJ513" s="1759"/>
      <c r="EWK513" s="1760"/>
      <c r="EWL513" s="385"/>
      <c r="EWM513" s="69"/>
      <c r="EWN513" s="69"/>
      <c r="EWO513" s="2512"/>
      <c r="EWP513" s="1758"/>
      <c r="EWQ513" s="1759"/>
      <c r="EWR513" s="1759"/>
      <c r="EWS513" s="1760"/>
      <c r="EWT513" s="385"/>
      <c r="EWU513" s="69"/>
      <c r="EWV513" s="69"/>
      <c r="EWW513" s="2512"/>
      <c r="EWX513" s="1758"/>
      <c r="EWY513" s="1759"/>
      <c r="EWZ513" s="1759"/>
      <c r="EXA513" s="1760"/>
      <c r="EXB513" s="385"/>
      <c r="EXC513" s="69"/>
      <c r="EXD513" s="69"/>
      <c r="EXE513" s="2512"/>
      <c r="EXF513" s="1758"/>
      <c r="EXG513" s="1759"/>
      <c r="EXH513" s="1759"/>
      <c r="EXI513" s="1760"/>
      <c r="EXJ513" s="385"/>
      <c r="EXK513" s="69"/>
      <c r="EXL513" s="69"/>
      <c r="EXM513" s="2512"/>
      <c r="EXN513" s="1758"/>
      <c r="EXO513" s="1759"/>
      <c r="EXP513" s="1759"/>
      <c r="EXQ513" s="1760"/>
      <c r="EXR513" s="385"/>
      <c r="EXS513" s="69"/>
      <c r="EXT513" s="69"/>
      <c r="EXU513" s="2512"/>
      <c r="EXV513" s="1758"/>
      <c r="EXW513" s="1759"/>
      <c r="EXX513" s="1759"/>
      <c r="EXY513" s="1760"/>
      <c r="EXZ513" s="385"/>
      <c r="EYA513" s="69"/>
      <c r="EYB513" s="69"/>
      <c r="EYC513" s="2512"/>
      <c r="EYD513" s="1758"/>
      <c r="EYE513" s="1759"/>
      <c r="EYF513" s="1759"/>
      <c r="EYG513" s="1760"/>
      <c r="EYH513" s="385"/>
      <c r="EYI513" s="69"/>
      <c r="EYJ513" s="69"/>
      <c r="EYK513" s="2512"/>
      <c r="EYL513" s="1758"/>
      <c r="EYM513" s="1759"/>
      <c r="EYN513" s="1759"/>
      <c r="EYO513" s="1760"/>
      <c r="EYP513" s="385"/>
      <c r="EYQ513" s="69"/>
      <c r="EYR513" s="69"/>
      <c r="EYS513" s="2512"/>
      <c r="EYT513" s="1758"/>
      <c r="EYU513" s="1759"/>
      <c r="EYV513" s="1759"/>
      <c r="EYW513" s="1760"/>
      <c r="EYX513" s="385"/>
      <c r="EYY513" s="69"/>
      <c r="EYZ513" s="69"/>
      <c r="EZA513" s="2512"/>
      <c r="EZB513" s="1758"/>
      <c r="EZC513" s="1759"/>
      <c r="EZD513" s="1759"/>
      <c r="EZE513" s="1760"/>
      <c r="EZF513" s="385"/>
      <c r="EZG513" s="69"/>
      <c r="EZH513" s="69"/>
      <c r="EZI513" s="2512"/>
      <c r="EZJ513" s="1758"/>
      <c r="EZK513" s="1759"/>
      <c r="EZL513" s="1759"/>
      <c r="EZM513" s="1760"/>
      <c r="EZN513" s="385"/>
      <c r="EZO513" s="69"/>
      <c r="EZP513" s="69"/>
      <c r="EZQ513" s="2512"/>
      <c r="EZR513" s="1758"/>
      <c r="EZS513" s="1759"/>
      <c r="EZT513" s="1759"/>
      <c r="EZU513" s="1760"/>
      <c r="EZV513" s="385"/>
      <c r="EZW513" s="69"/>
      <c r="EZX513" s="69"/>
      <c r="EZY513" s="2512"/>
      <c r="EZZ513" s="1758"/>
      <c r="FAA513" s="1759"/>
      <c r="FAB513" s="1759"/>
      <c r="FAC513" s="1760"/>
      <c r="FAD513" s="385"/>
      <c r="FAE513" s="69"/>
      <c r="FAF513" s="69"/>
      <c r="FAG513" s="2512"/>
      <c r="FAH513" s="1758"/>
      <c r="FAI513" s="1759"/>
      <c r="FAJ513" s="1759"/>
      <c r="FAK513" s="1760"/>
      <c r="FAL513" s="385"/>
      <c r="FAM513" s="69"/>
      <c r="FAN513" s="69"/>
      <c r="FAO513" s="2512"/>
      <c r="FAP513" s="1758"/>
      <c r="FAQ513" s="1759"/>
      <c r="FAR513" s="1759"/>
      <c r="FAS513" s="1760"/>
      <c r="FAT513" s="385"/>
      <c r="FAU513" s="69"/>
      <c r="FAV513" s="69"/>
      <c r="FAW513" s="2512"/>
      <c r="FAX513" s="1758"/>
      <c r="FAY513" s="1759"/>
      <c r="FAZ513" s="1759"/>
      <c r="FBA513" s="1760"/>
      <c r="FBB513" s="385"/>
      <c r="FBC513" s="69"/>
      <c r="FBD513" s="69"/>
      <c r="FBE513" s="2512"/>
      <c r="FBF513" s="1758"/>
      <c r="FBG513" s="1759"/>
      <c r="FBH513" s="1759"/>
      <c r="FBI513" s="1760"/>
      <c r="FBJ513" s="385"/>
      <c r="FBK513" s="69"/>
      <c r="FBL513" s="69"/>
      <c r="FBM513" s="2512"/>
      <c r="FBN513" s="1758"/>
      <c r="FBO513" s="1759"/>
      <c r="FBP513" s="1759"/>
      <c r="FBQ513" s="1760"/>
      <c r="FBR513" s="385"/>
      <c r="FBS513" s="69"/>
      <c r="FBT513" s="69"/>
      <c r="FBU513" s="2512"/>
      <c r="FBV513" s="1758"/>
      <c r="FBW513" s="1759"/>
      <c r="FBX513" s="1759"/>
      <c r="FBY513" s="1760"/>
      <c r="FBZ513" s="385"/>
      <c r="FCA513" s="69"/>
      <c r="FCB513" s="69"/>
      <c r="FCC513" s="2512"/>
      <c r="FCD513" s="1758"/>
      <c r="FCE513" s="1759"/>
      <c r="FCF513" s="1759"/>
      <c r="FCG513" s="1760"/>
      <c r="FCH513" s="385"/>
      <c r="FCI513" s="69"/>
      <c r="FCJ513" s="69"/>
      <c r="FCK513" s="2512"/>
      <c r="FCL513" s="1758"/>
      <c r="FCM513" s="1759"/>
      <c r="FCN513" s="1759"/>
      <c r="FCO513" s="1760"/>
      <c r="FCP513" s="385"/>
      <c r="FCQ513" s="69"/>
      <c r="FCR513" s="69"/>
      <c r="FCS513" s="2512"/>
      <c r="FCT513" s="1758"/>
      <c r="FCU513" s="1759"/>
      <c r="FCV513" s="1759"/>
      <c r="FCW513" s="1760"/>
      <c r="FCX513" s="385"/>
      <c r="FCY513" s="69"/>
      <c r="FCZ513" s="69"/>
      <c r="FDA513" s="2512"/>
      <c r="FDB513" s="1758"/>
      <c r="FDC513" s="1759"/>
      <c r="FDD513" s="1759"/>
      <c r="FDE513" s="1760"/>
      <c r="FDF513" s="385"/>
      <c r="FDG513" s="69"/>
      <c r="FDH513" s="69"/>
      <c r="FDI513" s="2512"/>
      <c r="FDJ513" s="1758"/>
      <c r="FDK513" s="1759"/>
      <c r="FDL513" s="1759"/>
      <c r="FDM513" s="1760"/>
      <c r="FDN513" s="385"/>
      <c r="FDO513" s="69"/>
      <c r="FDP513" s="69"/>
      <c r="FDQ513" s="2512"/>
      <c r="FDR513" s="1758"/>
      <c r="FDS513" s="1759"/>
      <c r="FDT513" s="1759"/>
      <c r="FDU513" s="1760"/>
      <c r="FDV513" s="385"/>
      <c r="FDW513" s="69"/>
      <c r="FDX513" s="69"/>
      <c r="FDY513" s="2512"/>
      <c r="FDZ513" s="1758"/>
      <c r="FEA513" s="1759"/>
      <c r="FEB513" s="1759"/>
      <c r="FEC513" s="1760"/>
      <c r="FED513" s="385"/>
      <c r="FEE513" s="69"/>
      <c r="FEF513" s="69"/>
      <c r="FEG513" s="2512"/>
      <c r="FEH513" s="1758"/>
      <c r="FEI513" s="1759"/>
      <c r="FEJ513" s="1759"/>
      <c r="FEK513" s="1760"/>
      <c r="FEL513" s="385"/>
      <c r="FEM513" s="69"/>
      <c r="FEN513" s="69"/>
      <c r="FEO513" s="2512"/>
      <c r="FEP513" s="1758"/>
      <c r="FEQ513" s="1759"/>
      <c r="FER513" s="1759"/>
      <c r="FES513" s="1760"/>
      <c r="FET513" s="385"/>
      <c r="FEU513" s="69"/>
      <c r="FEV513" s="69"/>
      <c r="FEW513" s="2512"/>
      <c r="FEX513" s="1758"/>
      <c r="FEY513" s="1759"/>
      <c r="FEZ513" s="1759"/>
      <c r="FFA513" s="1760"/>
      <c r="FFB513" s="385"/>
      <c r="FFC513" s="69"/>
      <c r="FFD513" s="69"/>
      <c r="FFE513" s="2512"/>
      <c r="FFF513" s="1758"/>
      <c r="FFG513" s="1759"/>
      <c r="FFH513" s="1759"/>
      <c r="FFI513" s="1760"/>
      <c r="FFJ513" s="385"/>
      <c r="FFK513" s="69"/>
      <c r="FFL513" s="69"/>
      <c r="FFM513" s="2512"/>
      <c r="FFN513" s="1758"/>
      <c r="FFO513" s="1759"/>
      <c r="FFP513" s="1759"/>
      <c r="FFQ513" s="1760"/>
      <c r="FFR513" s="385"/>
      <c r="FFS513" s="69"/>
      <c r="FFT513" s="69"/>
      <c r="FFU513" s="2512"/>
      <c r="FFV513" s="1758"/>
      <c r="FFW513" s="1759"/>
      <c r="FFX513" s="1759"/>
      <c r="FFY513" s="1760"/>
      <c r="FFZ513" s="385"/>
      <c r="FGA513" s="69"/>
      <c r="FGB513" s="69"/>
      <c r="FGC513" s="2512"/>
      <c r="FGD513" s="1758"/>
      <c r="FGE513" s="1759"/>
      <c r="FGF513" s="1759"/>
      <c r="FGG513" s="1760"/>
      <c r="FGH513" s="385"/>
      <c r="FGI513" s="69"/>
      <c r="FGJ513" s="69"/>
      <c r="FGK513" s="2512"/>
      <c r="FGL513" s="1758"/>
      <c r="FGM513" s="1759"/>
      <c r="FGN513" s="1759"/>
      <c r="FGO513" s="1760"/>
      <c r="FGP513" s="385"/>
      <c r="FGQ513" s="69"/>
      <c r="FGR513" s="69"/>
      <c r="FGS513" s="2512"/>
      <c r="FGT513" s="1758"/>
      <c r="FGU513" s="1759"/>
      <c r="FGV513" s="1759"/>
      <c r="FGW513" s="1760"/>
      <c r="FGX513" s="385"/>
      <c r="FGY513" s="69"/>
      <c r="FGZ513" s="69"/>
      <c r="FHA513" s="2512"/>
      <c r="FHB513" s="1758"/>
      <c r="FHC513" s="1759"/>
      <c r="FHD513" s="1759"/>
      <c r="FHE513" s="1760"/>
      <c r="FHF513" s="385"/>
      <c r="FHG513" s="69"/>
      <c r="FHH513" s="69"/>
      <c r="FHI513" s="2512"/>
      <c r="FHJ513" s="1758"/>
      <c r="FHK513" s="1759"/>
      <c r="FHL513" s="1759"/>
      <c r="FHM513" s="1760"/>
      <c r="FHN513" s="385"/>
      <c r="FHO513" s="69"/>
      <c r="FHP513" s="69"/>
      <c r="FHQ513" s="2512"/>
      <c r="FHR513" s="1758"/>
      <c r="FHS513" s="1759"/>
      <c r="FHT513" s="1759"/>
      <c r="FHU513" s="1760"/>
      <c r="FHV513" s="385"/>
      <c r="FHW513" s="69"/>
      <c r="FHX513" s="69"/>
      <c r="FHY513" s="2512"/>
      <c r="FHZ513" s="1758"/>
      <c r="FIA513" s="1759"/>
      <c r="FIB513" s="1759"/>
      <c r="FIC513" s="1760"/>
      <c r="FID513" s="385"/>
      <c r="FIE513" s="69"/>
      <c r="FIF513" s="69"/>
      <c r="FIG513" s="2512"/>
      <c r="FIH513" s="1758"/>
      <c r="FII513" s="1759"/>
      <c r="FIJ513" s="1759"/>
      <c r="FIK513" s="1760"/>
      <c r="FIL513" s="385"/>
      <c r="FIM513" s="69"/>
      <c r="FIN513" s="69"/>
      <c r="FIO513" s="2512"/>
      <c r="FIP513" s="1758"/>
      <c r="FIQ513" s="1759"/>
      <c r="FIR513" s="1759"/>
      <c r="FIS513" s="1760"/>
      <c r="FIT513" s="385"/>
      <c r="FIU513" s="69"/>
      <c r="FIV513" s="69"/>
      <c r="FIW513" s="2512"/>
      <c r="FIX513" s="1758"/>
      <c r="FIY513" s="1759"/>
      <c r="FIZ513" s="1759"/>
      <c r="FJA513" s="1760"/>
      <c r="FJB513" s="385"/>
      <c r="FJC513" s="69"/>
      <c r="FJD513" s="69"/>
      <c r="FJE513" s="2512"/>
      <c r="FJF513" s="1758"/>
      <c r="FJG513" s="1759"/>
      <c r="FJH513" s="1759"/>
      <c r="FJI513" s="1760"/>
      <c r="FJJ513" s="385"/>
      <c r="FJK513" s="69"/>
      <c r="FJL513" s="69"/>
      <c r="FJM513" s="2512"/>
      <c r="FJN513" s="1758"/>
      <c r="FJO513" s="1759"/>
      <c r="FJP513" s="1759"/>
      <c r="FJQ513" s="1760"/>
      <c r="FJR513" s="385"/>
      <c r="FJS513" s="69"/>
      <c r="FJT513" s="69"/>
      <c r="FJU513" s="2512"/>
      <c r="FJV513" s="1758"/>
      <c r="FJW513" s="1759"/>
      <c r="FJX513" s="1759"/>
      <c r="FJY513" s="1760"/>
      <c r="FJZ513" s="385"/>
      <c r="FKA513" s="69"/>
      <c r="FKB513" s="69"/>
      <c r="FKC513" s="2512"/>
      <c r="FKD513" s="1758"/>
      <c r="FKE513" s="1759"/>
      <c r="FKF513" s="1759"/>
      <c r="FKG513" s="1760"/>
      <c r="FKH513" s="385"/>
      <c r="FKI513" s="69"/>
      <c r="FKJ513" s="69"/>
      <c r="FKK513" s="2512"/>
      <c r="FKL513" s="1758"/>
      <c r="FKM513" s="1759"/>
      <c r="FKN513" s="1759"/>
      <c r="FKO513" s="1760"/>
      <c r="FKP513" s="385"/>
      <c r="FKQ513" s="69"/>
      <c r="FKR513" s="69"/>
      <c r="FKS513" s="2512"/>
      <c r="FKT513" s="1758"/>
      <c r="FKU513" s="1759"/>
      <c r="FKV513" s="1759"/>
      <c r="FKW513" s="1760"/>
      <c r="FKX513" s="385"/>
      <c r="FKY513" s="69"/>
      <c r="FKZ513" s="69"/>
      <c r="FLA513" s="2512"/>
      <c r="FLB513" s="1758"/>
      <c r="FLC513" s="1759"/>
      <c r="FLD513" s="1759"/>
      <c r="FLE513" s="1760"/>
      <c r="FLF513" s="385"/>
      <c r="FLG513" s="69"/>
      <c r="FLH513" s="69"/>
      <c r="FLI513" s="2512"/>
      <c r="FLJ513" s="1758"/>
      <c r="FLK513" s="1759"/>
      <c r="FLL513" s="1759"/>
      <c r="FLM513" s="1760"/>
      <c r="FLN513" s="385"/>
      <c r="FLO513" s="69"/>
      <c r="FLP513" s="69"/>
      <c r="FLQ513" s="2512"/>
      <c r="FLR513" s="1758"/>
      <c r="FLS513" s="1759"/>
      <c r="FLT513" s="1759"/>
      <c r="FLU513" s="1760"/>
      <c r="FLV513" s="385"/>
      <c r="FLW513" s="69"/>
      <c r="FLX513" s="69"/>
      <c r="FLY513" s="2512"/>
      <c r="FLZ513" s="1758"/>
      <c r="FMA513" s="1759"/>
      <c r="FMB513" s="1759"/>
      <c r="FMC513" s="1760"/>
      <c r="FMD513" s="385"/>
      <c r="FME513" s="69"/>
      <c r="FMF513" s="69"/>
      <c r="FMG513" s="2512"/>
      <c r="FMH513" s="1758"/>
      <c r="FMI513" s="1759"/>
      <c r="FMJ513" s="1759"/>
      <c r="FMK513" s="1760"/>
      <c r="FML513" s="385"/>
      <c r="FMM513" s="69"/>
      <c r="FMN513" s="69"/>
      <c r="FMO513" s="2512"/>
      <c r="FMP513" s="1758"/>
      <c r="FMQ513" s="1759"/>
      <c r="FMR513" s="1759"/>
      <c r="FMS513" s="1760"/>
      <c r="FMT513" s="385"/>
      <c r="FMU513" s="69"/>
      <c r="FMV513" s="69"/>
      <c r="FMW513" s="2512"/>
      <c r="FMX513" s="1758"/>
      <c r="FMY513" s="1759"/>
      <c r="FMZ513" s="1759"/>
      <c r="FNA513" s="1760"/>
      <c r="FNB513" s="385"/>
      <c r="FNC513" s="69"/>
      <c r="FND513" s="69"/>
      <c r="FNE513" s="2512"/>
      <c r="FNF513" s="1758"/>
      <c r="FNG513" s="1759"/>
      <c r="FNH513" s="1759"/>
      <c r="FNI513" s="1760"/>
      <c r="FNJ513" s="385"/>
      <c r="FNK513" s="69"/>
      <c r="FNL513" s="69"/>
      <c r="FNM513" s="2512"/>
      <c r="FNN513" s="1758"/>
      <c r="FNO513" s="1759"/>
      <c r="FNP513" s="1759"/>
      <c r="FNQ513" s="1760"/>
      <c r="FNR513" s="385"/>
      <c r="FNS513" s="69"/>
      <c r="FNT513" s="69"/>
      <c r="FNU513" s="2512"/>
      <c r="FNV513" s="1758"/>
      <c r="FNW513" s="1759"/>
      <c r="FNX513" s="1759"/>
      <c r="FNY513" s="1760"/>
      <c r="FNZ513" s="385"/>
      <c r="FOA513" s="69"/>
      <c r="FOB513" s="69"/>
      <c r="FOC513" s="2512"/>
      <c r="FOD513" s="1758"/>
      <c r="FOE513" s="1759"/>
      <c r="FOF513" s="1759"/>
      <c r="FOG513" s="1760"/>
      <c r="FOH513" s="385"/>
      <c r="FOI513" s="69"/>
      <c r="FOJ513" s="69"/>
      <c r="FOK513" s="2512"/>
      <c r="FOL513" s="1758"/>
      <c r="FOM513" s="1759"/>
      <c r="FON513" s="1759"/>
      <c r="FOO513" s="1760"/>
      <c r="FOP513" s="385"/>
      <c r="FOQ513" s="69"/>
      <c r="FOR513" s="69"/>
      <c r="FOS513" s="2512"/>
      <c r="FOT513" s="1758"/>
      <c r="FOU513" s="1759"/>
      <c r="FOV513" s="1759"/>
      <c r="FOW513" s="1760"/>
      <c r="FOX513" s="385"/>
      <c r="FOY513" s="69"/>
      <c r="FOZ513" s="69"/>
      <c r="FPA513" s="2512"/>
      <c r="FPB513" s="1758"/>
      <c r="FPC513" s="1759"/>
      <c r="FPD513" s="1759"/>
      <c r="FPE513" s="1760"/>
      <c r="FPF513" s="385"/>
      <c r="FPG513" s="69"/>
      <c r="FPH513" s="69"/>
      <c r="FPI513" s="2512"/>
      <c r="FPJ513" s="1758"/>
      <c r="FPK513" s="1759"/>
      <c r="FPL513" s="1759"/>
      <c r="FPM513" s="1760"/>
      <c r="FPN513" s="385"/>
      <c r="FPO513" s="69"/>
      <c r="FPP513" s="69"/>
      <c r="FPQ513" s="2512"/>
      <c r="FPR513" s="1758"/>
      <c r="FPS513" s="1759"/>
      <c r="FPT513" s="1759"/>
      <c r="FPU513" s="1760"/>
      <c r="FPV513" s="385"/>
      <c r="FPW513" s="69"/>
      <c r="FPX513" s="69"/>
      <c r="FPY513" s="2512"/>
      <c r="FPZ513" s="1758"/>
      <c r="FQA513" s="1759"/>
      <c r="FQB513" s="1759"/>
      <c r="FQC513" s="1760"/>
      <c r="FQD513" s="385"/>
      <c r="FQE513" s="69"/>
      <c r="FQF513" s="69"/>
      <c r="FQG513" s="2512"/>
      <c r="FQH513" s="1758"/>
      <c r="FQI513" s="1759"/>
      <c r="FQJ513" s="1759"/>
      <c r="FQK513" s="1760"/>
      <c r="FQL513" s="385"/>
      <c r="FQM513" s="69"/>
      <c r="FQN513" s="69"/>
      <c r="FQO513" s="2512"/>
      <c r="FQP513" s="1758"/>
      <c r="FQQ513" s="1759"/>
      <c r="FQR513" s="1759"/>
      <c r="FQS513" s="1760"/>
      <c r="FQT513" s="385"/>
      <c r="FQU513" s="69"/>
      <c r="FQV513" s="69"/>
      <c r="FQW513" s="2512"/>
      <c r="FQX513" s="1758"/>
      <c r="FQY513" s="1759"/>
      <c r="FQZ513" s="1759"/>
      <c r="FRA513" s="1760"/>
      <c r="FRB513" s="385"/>
      <c r="FRC513" s="69"/>
      <c r="FRD513" s="69"/>
      <c r="FRE513" s="2512"/>
      <c r="FRF513" s="1758"/>
      <c r="FRG513" s="1759"/>
      <c r="FRH513" s="1759"/>
      <c r="FRI513" s="1760"/>
      <c r="FRJ513" s="385"/>
      <c r="FRK513" s="69"/>
      <c r="FRL513" s="69"/>
      <c r="FRM513" s="2512"/>
      <c r="FRN513" s="1758"/>
      <c r="FRO513" s="1759"/>
      <c r="FRP513" s="1759"/>
      <c r="FRQ513" s="1760"/>
      <c r="FRR513" s="385"/>
      <c r="FRS513" s="69"/>
      <c r="FRT513" s="69"/>
      <c r="FRU513" s="2512"/>
      <c r="FRV513" s="1758"/>
      <c r="FRW513" s="1759"/>
      <c r="FRX513" s="1759"/>
      <c r="FRY513" s="1760"/>
      <c r="FRZ513" s="385"/>
      <c r="FSA513" s="69"/>
      <c r="FSB513" s="69"/>
      <c r="FSC513" s="2512"/>
      <c r="FSD513" s="1758"/>
      <c r="FSE513" s="1759"/>
      <c r="FSF513" s="1759"/>
      <c r="FSG513" s="1760"/>
      <c r="FSH513" s="385"/>
      <c r="FSI513" s="69"/>
      <c r="FSJ513" s="69"/>
      <c r="FSK513" s="2512"/>
      <c r="FSL513" s="1758"/>
      <c r="FSM513" s="1759"/>
      <c r="FSN513" s="1759"/>
      <c r="FSO513" s="1760"/>
      <c r="FSP513" s="385"/>
      <c r="FSQ513" s="69"/>
      <c r="FSR513" s="69"/>
      <c r="FSS513" s="2512"/>
      <c r="FST513" s="1758"/>
      <c r="FSU513" s="1759"/>
      <c r="FSV513" s="1759"/>
      <c r="FSW513" s="1760"/>
      <c r="FSX513" s="385"/>
      <c r="FSY513" s="69"/>
      <c r="FSZ513" s="69"/>
      <c r="FTA513" s="2512"/>
      <c r="FTB513" s="1758"/>
      <c r="FTC513" s="1759"/>
      <c r="FTD513" s="1759"/>
      <c r="FTE513" s="1760"/>
      <c r="FTF513" s="385"/>
      <c r="FTG513" s="69"/>
      <c r="FTH513" s="69"/>
      <c r="FTI513" s="2512"/>
      <c r="FTJ513" s="1758"/>
      <c r="FTK513" s="1759"/>
      <c r="FTL513" s="1759"/>
      <c r="FTM513" s="1760"/>
      <c r="FTN513" s="385"/>
      <c r="FTO513" s="69"/>
      <c r="FTP513" s="69"/>
      <c r="FTQ513" s="2512"/>
      <c r="FTR513" s="1758"/>
      <c r="FTS513" s="1759"/>
      <c r="FTT513" s="1759"/>
      <c r="FTU513" s="1760"/>
      <c r="FTV513" s="385"/>
      <c r="FTW513" s="69"/>
      <c r="FTX513" s="69"/>
      <c r="FTY513" s="2512"/>
      <c r="FTZ513" s="1758"/>
      <c r="FUA513" s="1759"/>
      <c r="FUB513" s="1759"/>
      <c r="FUC513" s="1760"/>
      <c r="FUD513" s="385"/>
      <c r="FUE513" s="69"/>
      <c r="FUF513" s="69"/>
      <c r="FUG513" s="2512"/>
      <c r="FUH513" s="1758"/>
      <c r="FUI513" s="1759"/>
      <c r="FUJ513" s="1759"/>
      <c r="FUK513" s="1760"/>
      <c r="FUL513" s="385"/>
      <c r="FUM513" s="69"/>
      <c r="FUN513" s="69"/>
      <c r="FUO513" s="2512"/>
      <c r="FUP513" s="1758"/>
      <c r="FUQ513" s="1759"/>
      <c r="FUR513" s="1759"/>
      <c r="FUS513" s="1760"/>
      <c r="FUT513" s="385"/>
      <c r="FUU513" s="69"/>
      <c r="FUV513" s="69"/>
      <c r="FUW513" s="2512"/>
      <c r="FUX513" s="1758"/>
      <c r="FUY513" s="1759"/>
      <c r="FUZ513" s="1759"/>
      <c r="FVA513" s="1760"/>
      <c r="FVB513" s="385"/>
      <c r="FVC513" s="69"/>
      <c r="FVD513" s="69"/>
      <c r="FVE513" s="2512"/>
      <c r="FVF513" s="1758"/>
      <c r="FVG513" s="1759"/>
      <c r="FVH513" s="1759"/>
      <c r="FVI513" s="1760"/>
      <c r="FVJ513" s="385"/>
      <c r="FVK513" s="69"/>
      <c r="FVL513" s="69"/>
      <c r="FVM513" s="2512"/>
      <c r="FVN513" s="1758"/>
      <c r="FVO513" s="1759"/>
      <c r="FVP513" s="1759"/>
      <c r="FVQ513" s="1760"/>
      <c r="FVR513" s="385"/>
      <c r="FVS513" s="69"/>
      <c r="FVT513" s="69"/>
      <c r="FVU513" s="2512"/>
      <c r="FVV513" s="1758"/>
      <c r="FVW513" s="1759"/>
      <c r="FVX513" s="1759"/>
      <c r="FVY513" s="1760"/>
      <c r="FVZ513" s="385"/>
      <c r="FWA513" s="69"/>
      <c r="FWB513" s="69"/>
      <c r="FWC513" s="2512"/>
      <c r="FWD513" s="1758"/>
      <c r="FWE513" s="1759"/>
      <c r="FWF513" s="1759"/>
      <c r="FWG513" s="1760"/>
      <c r="FWH513" s="385"/>
      <c r="FWI513" s="69"/>
      <c r="FWJ513" s="69"/>
      <c r="FWK513" s="2512"/>
      <c r="FWL513" s="1758"/>
      <c r="FWM513" s="1759"/>
      <c r="FWN513" s="1759"/>
      <c r="FWO513" s="1760"/>
      <c r="FWP513" s="385"/>
      <c r="FWQ513" s="69"/>
      <c r="FWR513" s="69"/>
      <c r="FWS513" s="2512"/>
      <c r="FWT513" s="1758"/>
      <c r="FWU513" s="1759"/>
      <c r="FWV513" s="1759"/>
      <c r="FWW513" s="1760"/>
      <c r="FWX513" s="385"/>
      <c r="FWY513" s="69"/>
      <c r="FWZ513" s="69"/>
      <c r="FXA513" s="2512"/>
      <c r="FXB513" s="1758"/>
      <c r="FXC513" s="1759"/>
      <c r="FXD513" s="1759"/>
      <c r="FXE513" s="1760"/>
      <c r="FXF513" s="385"/>
      <c r="FXG513" s="69"/>
      <c r="FXH513" s="69"/>
      <c r="FXI513" s="2512"/>
      <c r="FXJ513" s="1758"/>
      <c r="FXK513" s="1759"/>
      <c r="FXL513" s="1759"/>
      <c r="FXM513" s="1760"/>
      <c r="FXN513" s="385"/>
      <c r="FXO513" s="69"/>
      <c r="FXP513" s="69"/>
      <c r="FXQ513" s="2512"/>
      <c r="FXR513" s="1758"/>
      <c r="FXS513" s="1759"/>
      <c r="FXT513" s="1759"/>
      <c r="FXU513" s="1760"/>
      <c r="FXV513" s="385"/>
      <c r="FXW513" s="69"/>
      <c r="FXX513" s="69"/>
      <c r="FXY513" s="2512"/>
      <c r="FXZ513" s="1758"/>
      <c r="FYA513" s="1759"/>
      <c r="FYB513" s="1759"/>
      <c r="FYC513" s="1760"/>
      <c r="FYD513" s="385"/>
      <c r="FYE513" s="69"/>
      <c r="FYF513" s="69"/>
      <c r="FYG513" s="2512"/>
      <c r="FYH513" s="1758"/>
      <c r="FYI513" s="1759"/>
      <c r="FYJ513" s="1759"/>
      <c r="FYK513" s="1760"/>
      <c r="FYL513" s="385"/>
      <c r="FYM513" s="69"/>
      <c r="FYN513" s="69"/>
      <c r="FYO513" s="2512"/>
      <c r="FYP513" s="1758"/>
      <c r="FYQ513" s="1759"/>
      <c r="FYR513" s="1759"/>
      <c r="FYS513" s="1760"/>
      <c r="FYT513" s="385"/>
      <c r="FYU513" s="69"/>
      <c r="FYV513" s="69"/>
      <c r="FYW513" s="2512"/>
      <c r="FYX513" s="1758"/>
      <c r="FYY513" s="1759"/>
      <c r="FYZ513" s="1759"/>
      <c r="FZA513" s="1760"/>
      <c r="FZB513" s="385"/>
      <c r="FZC513" s="69"/>
      <c r="FZD513" s="69"/>
      <c r="FZE513" s="2512"/>
      <c r="FZF513" s="1758"/>
      <c r="FZG513" s="1759"/>
      <c r="FZH513" s="1759"/>
      <c r="FZI513" s="1760"/>
      <c r="FZJ513" s="385"/>
      <c r="FZK513" s="69"/>
      <c r="FZL513" s="69"/>
      <c r="FZM513" s="2512"/>
      <c r="FZN513" s="1758"/>
      <c r="FZO513" s="1759"/>
      <c r="FZP513" s="1759"/>
      <c r="FZQ513" s="1760"/>
      <c r="FZR513" s="385"/>
      <c r="FZS513" s="69"/>
      <c r="FZT513" s="69"/>
      <c r="FZU513" s="2512"/>
      <c r="FZV513" s="1758"/>
      <c r="FZW513" s="1759"/>
      <c r="FZX513" s="1759"/>
      <c r="FZY513" s="1760"/>
      <c r="FZZ513" s="385"/>
      <c r="GAA513" s="69"/>
      <c r="GAB513" s="69"/>
      <c r="GAC513" s="2512"/>
      <c r="GAD513" s="1758"/>
      <c r="GAE513" s="1759"/>
      <c r="GAF513" s="1759"/>
      <c r="GAG513" s="1760"/>
      <c r="GAH513" s="385"/>
      <c r="GAI513" s="69"/>
      <c r="GAJ513" s="69"/>
      <c r="GAK513" s="2512"/>
      <c r="GAL513" s="1758"/>
      <c r="GAM513" s="1759"/>
      <c r="GAN513" s="1759"/>
      <c r="GAO513" s="1760"/>
      <c r="GAP513" s="385"/>
      <c r="GAQ513" s="69"/>
      <c r="GAR513" s="69"/>
      <c r="GAS513" s="2512"/>
      <c r="GAT513" s="1758"/>
      <c r="GAU513" s="1759"/>
      <c r="GAV513" s="1759"/>
      <c r="GAW513" s="1760"/>
      <c r="GAX513" s="385"/>
      <c r="GAY513" s="69"/>
      <c r="GAZ513" s="69"/>
      <c r="GBA513" s="2512"/>
      <c r="GBB513" s="1758"/>
      <c r="GBC513" s="1759"/>
      <c r="GBD513" s="1759"/>
      <c r="GBE513" s="1760"/>
      <c r="GBF513" s="385"/>
      <c r="GBG513" s="69"/>
      <c r="GBH513" s="69"/>
      <c r="GBI513" s="2512"/>
      <c r="GBJ513" s="1758"/>
      <c r="GBK513" s="1759"/>
      <c r="GBL513" s="1759"/>
      <c r="GBM513" s="1760"/>
      <c r="GBN513" s="385"/>
      <c r="GBO513" s="69"/>
      <c r="GBP513" s="69"/>
      <c r="GBQ513" s="2512"/>
      <c r="GBR513" s="1758"/>
      <c r="GBS513" s="1759"/>
      <c r="GBT513" s="1759"/>
      <c r="GBU513" s="1760"/>
      <c r="GBV513" s="385"/>
      <c r="GBW513" s="69"/>
      <c r="GBX513" s="69"/>
      <c r="GBY513" s="2512"/>
      <c r="GBZ513" s="1758"/>
      <c r="GCA513" s="1759"/>
      <c r="GCB513" s="1759"/>
      <c r="GCC513" s="1760"/>
      <c r="GCD513" s="385"/>
      <c r="GCE513" s="69"/>
      <c r="GCF513" s="69"/>
      <c r="GCG513" s="2512"/>
      <c r="GCH513" s="1758"/>
      <c r="GCI513" s="1759"/>
      <c r="GCJ513" s="1759"/>
      <c r="GCK513" s="1760"/>
      <c r="GCL513" s="385"/>
      <c r="GCM513" s="69"/>
      <c r="GCN513" s="69"/>
      <c r="GCO513" s="2512"/>
      <c r="GCP513" s="1758"/>
      <c r="GCQ513" s="1759"/>
      <c r="GCR513" s="1759"/>
      <c r="GCS513" s="1760"/>
      <c r="GCT513" s="385"/>
      <c r="GCU513" s="69"/>
      <c r="GCV513" s="69"/>
      <c r="GCW513" s="2512"/>
      <c r="GCX513" s="1758"/>
      <c r="GCY513" s="1759"/>
      <c r="GCZ513" s="1759"/>
      <c r="GDA513" s="1760"/>
      <c r="GDB513" s="385"/>
      <c r="GDC513" s="69"/>
      <c r="GDD513" s="69"/>
      <c r="GDE513" s="2512"/>
      <c r="GDF513" s="1758"/>
      <c r="GDG513" s="1759"/>
      <c r="GDH513" s="1759"/>
      <c r="GDI513" s="1760"/>
      <c r="GDJ513" s="385"/>
      <c r="GDK513" s="69"/>
      <c r="GDL513" s="69"/>
      <c r="GDM513" s="2512"/>
      <c r="GDN513" s="1758"/>
      <c r="GDO513" s="1759"/>
      <c r="GDP513" s="1759"/>
      <c r="GDQ513" s="1760"/>
      <c r="GDR513" s="385"/>
      <c r="GDS513" s="69"/>
      <c r="GDT513" s="69"/>
      <c r="GDU513" s="2512"/>
      <c r="GDV513" s="1758"/>
      <c r="GDW513" s="1759"/>
      <c r="GDX513" s="1759"/>
      <c r="GDY513" s="1760"/>
      <c r="GDZ513" s="385"/>
      <c r="GEA513" s="69"/>
      <c r="GEB513" s="69"/>
      <c r="GEC513" s="2512"/>
      <c r="GED513" s="1758"/>
      <c r="GEE513" s="1759"/>
      <c r="GEF513" s="1759"/>
      <c r="GEG513" s="1760"/>
      <c r="GEH513" s="385"/>
      <c r="GEI513" s="69"/>
      <c r="GEJ513" s="69"/>
      <c r="GEK513" s="2512"/>
      <c r="GEL513" s="1758"/>
      <c r="GEM513" s="1759"/>
      <c r="GEN513" s="1759"/>
      <c r="GEO513" s="1760"/>
      <c r="GEP513" s="385"/>
      <c r="GEQ513" s="69"/>
      <c r="GER513" s="69"/>
      <c r="GES513" s="2512"/>
      <c r="GET513" s="1758"/>
      <c r="GEU513" s="1759"/>
      <c r="GEV513" s="1759"/>
      <c r="GEW513" s="1760"/>
      <c r="GEX513" s="385"/>
      <c r="GEY513" s="69"/>
      <c r="GEZ513" s="69"/>
      <c r="GFA513" s="2512"/>
      <c r="GFB513" s="1758"/>
      <c r="GFC513" s="1759"/>
      <c r="GFD513" s="1759"/>
      <c r="GFE513" s="1760"/>
      <c r="GFF513" s="385"/>
      <c r="GFG513" s="69"/>
      <c r="GFH513" s="69"/>
      <c r="GFI513" s="2512"/>
      <c r="GFJ513" s="1758"/>
      <c r="GFK513" s="1759"/>
      <c r="GFL513" s="1759"/>
      <c r="GFM513" s="1760"/>
      <c r="GFN513" s="385"/>
      <c r="GFO513" s="69"/>
      <c r="GFP513" s="69"/>
      <c r="GFQ513" s="2512"/>
      <c r="GFR513" s="1758"/>
      <c r="GFS513" s="1759"/>
      <c r="GFT513" s="1759"/>
      <c r="GFU513" s="1760"/>
      <c r="GFV513" s="385"/>
      <c r="GFW513" s="69"/>
      <c r="GFX513" s="69"/>
      <c r="GFY513" s="2512"/>
      <c r="GFZ513" s="1758"/>
      <c r="GGA513" s="1759"/>
      <c r="GGB513" s="1759"/>
      <c r="GGC513" s="1760"/>
      <c r="GGD513" s="385"/>
      <c r="GGE513" s="69"/>
      <c r="GGF513" s="69"/>
      <c r="GGG513" s="2512"/>
      <c r="GGH513" s="1758"/>
      <c r="GGI513" s="1759"/>
      <c r="GGJ513" s="1759"/>
      <c r="GGK513" s="1760"/>
      <c r="GGL513" s="385"/>
      <c r="GGM513" s="69"/>
      <c r="GGN513" s="69"/>
      <c r="GGO513" s="2512"/>
      <c r="GGP513" s="1758"/>
      <c r="GGQ513" s="1759"/>
      <c r="GGR513" s="1759"/>
      <c r="GGS513" s="1760"/>
      <c r="GGT513" s="385"/>
      <c r="GGU513" s="69"/>
      <c r="GGV513" s="69"/>
      <c r="GGW513" s="2512"/>
      <c r="GGX513" s="1758"/>
      <c r="GGY513" s="1759"/>
      <c r="GGZ513" s="1759"/>
      <c r="GHA513" s="1760"/>
      <c r="GHB513" s="385"/>
      <c r="GHC513" s="69"/>
      <c r="GHD513" s="69"/>
      <c r="GHE513" s="2512"/>
      <c r="GHF513" s="1758"/>
      <c r="GHG513" s="1759"/>
      <c r="GHH513" s="1759"/>
      <c r="GHI513" s="1760"/>
      <c r="GHJ513" s="385"/>
      <c r="GHK513" s="69"/>
      <c r="GHL513" s="69"/>
      <c r="GHM513" s="2512"/>
      <c r="GHN513" s="1758"/>
      <c r="GHO513" s="1759"/>
      <c r="GHP513" s="1759"/>
      <c r="GHQ513" s="1760"/>
      <c r="GHR513" s="385"/>
      <c r="GHS513" s="69"/>
      <c r="GHT513" s="69"/>
      <c r="GHU513" s="2512"/>
      <c r="GHV513" s="1758"/>
      <c r="GHW513" s="1759"/>
      <c r="GHX513" s="1759"/>
      <c r="GHY513" s="1760"/>
      <c r="GHZ513" s="385"/>
      <c r="GIA513" s="69"/>
      <c r="GIB513" s="69"/>
      <c r="GIC513" s="2512"/>
      <c r="GID513" s="1758"/>
      <c r="GIE513" s="1759"/>
      <c r="GIF513" s="1759"/>
      <c r="GIG513" s="1760"/>
      <c r="GIH513" s="385"/>
      <c r="GII513" s="69"/>
      <c r="GIJ513" s="69"/>
      <c r="GIK513" s="2512"/>
      <c r="GIL513" s="1758"/>
      <c r="GIM513" s="1759"/>
      <c r="GIN513" s="1759"/>
      <c r="GIO513" s="1760"/>
      <c r="GIP513" s="385"/>
      <c r="GIQ513" s="69"/>
      <c r="GIR513" s="69"/>
      <c r="GIS513" s="2512"/>
      <c r="GIT513" s="1758"/>
      <c r="GIU513" s="1759"/>
      <c r="GIV513" s="1759"/>
      <c r="GIW513" s="1760"/>
      <c r="GIX513" s="385"/>
      <c r="GIY513" s="69"/>
      <c r="GIZ513" s="69"/>
      <c r="GJA513" s="2512"/>
      <c r="GJB513" s="1758"/>
      <c r="GJC513" s="1759"/>
      <c r="GJD513" s="1759"/>
      <c r="GJE513" s="1760"/>
      <c r="GJF513" s="385"/>
      <c r="GJG513" s="69"/>
      <c r="GJH513" s="69"/>
      <c r="GJI513" s="2512"/>
      <c r="GJJ513" s="1758"/>
      <c r="GJK513" s="1759"/>
      <c r="GJL513" s="1759"/>
      <c r="GJM513" s="1760"/>
      <c r="GJN513" s="385"/>
      <c r="GJO513" s="69"/>
      <c r="GJP513" s="69"/>
      <c r="GJQ513" s="2512"/>
      <c r="GJR513" s="1758"/>
      <c r="GJS513" s="1759"/>
      <c r="GJT513" s="1759"/>
      <c r="GJU513" s="1760"/>
      <c r="GJV513" s="385"/>
      <c r="GJW513" s="69"/>
      <c r="GJX513" s="69"/>
      <c r="GJY513" s="2512"/>
      <c r="GJZ513" s="1758"/>
      <c r="GKA513" s="1759"/>
      <c r="GKB513" s="1759"/>
      <c r="GKC513" s="1760"/>
      <c r="GKD513" s="385"/>
      <c r="GKE513" s="69"/>
      <c r="GKF513" s="69"/>
      <c r="GKG513" s="2512"/>
      <c r="GKH513" s="1758"/>
      <c r="GKI513" s="1759"/>
      <c r="GKJ513" s="1759"/>
      <c r="GKK513" s="1760"/>
      <c r="GKL513" s="385"/>
      <c r="GKM513" s="69"/>
      <c r="GKN513" s="69"/>
      <c r="GKO513" s="2512"/>
      <c r="GKP513" s="1758"/>
      <c r="GKQ513" s="1759"/>
      <c r="GKR513" s="1759"/>
      <c r="GKS513" s="1760"/>
      <c r="GKT513" s="385"/>
      <c r="GKU513" s="69"/>
      <c r="GKV513" s="69"/>
      <c r="GKW513" s="2512"/>
      <c r="GKX513" s="1758"/>
      <c r="GKY513" s="1759"/>
      <c r="GKZ513" s="1759"/>
      <c r="GLA513" s="1760"/>
      <c r="GLB513" s="385"/>
      <c r="GLC513" s="69"/>
      <c r="GLD513" s="69"/>
      <c r="GLE513" s="2512"/>
      <c r="GLF513" s="1758"/>
      <c r="GLG513" s="1759"/>
      <c r="GLH513" s="1759"/>
      <c r="GLI513" s="1760"/>
      <c r="GLJ513" s="385"/>
      <c r="GLK513" s="69"/>
      <c r="GLL513" s="69"/>
      <c r="GLM513" s="2512"/>
      <c r="GLN513" s="1758"/>
      <c r="GLO513" s="1759"/>
      <c r="GLP513" s="1759"/>
      <c r="GLQ513" s="1760"/>
      <c r="GLR513" s="385"/>
      <c r="GLS513" s="69"/>
      <c r="GLT513" s="69"/>
      <c r="GLU513" s="2512"/>
      <c r="GLV513" s="1758"/>
      <c r="GLW513" s="1759"/>
      <c r="GLX513" s="1759"/>
      <c r="GLY513" s="1760"/>
      <c r="GLZ513" s="385"/>
      <c r="GMA513" s="69"/>
      <c r="GMB513" s="69"/>
      <c r="GMC513" s="2512"/>
      <c r="GMD513" s="1758"/>
      <c r="GME513" s="1759"/>
      <c r="GMF513" s="1759"/>
      <c r="GMG513" s="1760"/>
      <c r="GMH513" s="385"/>
      <c r="GMI513" s="69"/>
      <c r="GMJ513" s="69"/>
      <c r="GMK513" s="2512"/>
      <c r="GML513" s="1758"/>
      <c r="GMM513" s="1759"/>
      <c r="GMN513" s="1759"/>
      <c r="GMO513" s="1760"/>
      <c r="GMP513" s="385"/>
      <c r="GMQ513" s="69"/>
      <c r="GMR513" s="69"/>
      <c r="GMS513" s="2512"/>
      <c r="GMT513" s="1758"/>
      <c r="GMU513" s="1759"/>
      <c r="GMV513" s="1759"/>
      <c r="GMW513" s="1760"/>
      <c r="GMX513" s="385"/>
      <c r="GMY513" s="69"/>
      <c r="GMZ513" s="69"/>
      <c r="GNA513" s="2512"/>
      <c r="GNB513" s="1758"/>
      <c r="GNC513" s="1759"/>
      <c r="GND513" s="1759"/>
      <c r="GNE513" s="1760"/>
      <c r="GNF513" s="385"/>
      <c r="GNG513" s="69"/>
      <c r="GNH513" s="69"/>
      <c r="GNI513" s="2512"/>
      <c r="GNJ513" s="1758"/>
      <c r="GNK513" s="1759"/>
      <c r="GNL513" s="1759"/>
      <c r="GNM513" s="1760"/>
      <c r="GNN513" s="385"/>
      <c r="GNO513" s="69"/>
      <c r="GNP513" s="69"/>
      <c r="GNQ513" s="2512"/>
      <c r="GNR513" s="1758"/>
      <c r="GNS513" s="1759"/>
      <c r="GNT513" s="1759"/>
      <c r="GNU513" s="1760"/>
      <c r="GNV513" s="385"/>
      <c r="GNW513" s="69"/>
      <c r="GNX513" s="69"/>
      <c r="GNY513" s="2512"/>
      <c r="GNZ513" s="1758"/>
      <c r="GOA513" s="1759"/>
      <c r="GOB513" s="1759"/>
      <c r="GOC513" s="1760"/>
      <c r="GOD513" s="385"/>
      <c r="GOE513" s="69"/>
      <c r="GOF513" s="69"/>
      <c r="GOG513" s="2512"/>
      <c r="GOH513" s="1758"/>
      <c r="GOI513" s="1759"/>
      <c r="GOJ513" s="1759"/>
      <c r="GOK513" s="1760"/>
      <c r="GOL513" s="385"/>
      <c r="GOM513" s="69"/>
      <c r="GON513" s="69"/>
      <c r="GOO513" s="2512"/>
      <c r="GOP513" s="1758"/>
      <c r="GOQ513" s="1759"/>
      <c r="GOR513" s="1759"/>
      <c r="GOS513" s="1760"/>
      <c r="GOT513" s="385"/>
      <c r="GOU513" s="69"/>
      <c r="GOV513" s="69"/>
      <c r="GOW513" s="2512"/>
      <c r="GOX513" s="1758"/>
      <c r="GOY513" s="1759"/>
      <c r="GOZ513" s="1759"/>
      <c r="GPA513" s="1760"/>
      <c r="GPB513" s="385"/>
      <c r="GPC513" s="69"/>
      <c r="GPD513" s="69"/>
      <c r="GPE513" s="2512"/>
      <c r="GPF513" s="1758"/>
      <c r="GPG513" s="1759"/>
      <c r="GPH513" s="1759"/>
      <c r="GPI513" s="1760"/>
      <c r="GPJ513" s="385"/>
      <c r="GPK513" s="69"/>
      <c r="GPL513" s="69"/>
      <c r="GPM513" s="2512"/>
      <c r="GPN513" s="1758"/>
      <c r="GPO513" s="1759"/>
      <c r="GPP513" s="1759"/>
      <c r="GPQ513" s="1760"/>
      <c r="GPR513" s="385"/>
      <c r="GPS513" s="69"/>
      <c r="GPT513" s="69"/>
      <c r="GPU513" s="2512"/>
      <c r="GPV513" s="1758"/>
      <c r="GPW513" s="1759"/>
      <c r="GPX513" s="1759"/>
      <c r="GPY513" s="1760"/>
      <c r="GPZ513" s="385"/>
      <c r="GQA513" s="69"/>
      <c r="GQB513" s="69"/>
      <c r="GQC513" s="2512"/>
      <c r="GQD513" s="1758"/>
      <c r="GQE513" s="1759"/>
      <c r="GQF513" s="1759"/>
      <c r="GQG513" s="1760"/>
      <c r="GQH513" s="385"/>
      <c r="GQI513" s="69"/>
      <c r="GQJ513" s="69"/>
      <c r="GQK513" s="2512"/>
      <c r="GQL513" s="1758"/>
      <c r="GQM513" s="1759"/>
      <c r="GQN513" s="1759"/>
      <c r="GQO513" s="1760"/>
      <c r="GQP513" s="385"/>
      <c r="GQQ513" s="69"/>
      <c r="GQR513" s="69"/>
      <c r="GQS513" s="2512"/>
      <c r="GQT513" s="1758"/>
      <c r="GQU513" s="1759"/>
      <c r="GQV513" s="1759"/>
      <c r="GQW513" s="1760"/>
      <c r="GQX513" s="385"/>
      <c r="GQY513" s="69"/>
      <c r="GQZ513" s="69"/>
      <c r="GRA513" s="2512"/>
      <c r="GRB513" s="1758"/>
      <c r="GRC513" s="1759"/>
      <c r="GRD513" s="1759"/>
      <c r="GRE513" s="1760"/>
      <c r="GRF513" s="385"/>
      <c r="GRG513" s="69"/>
      <c r="GRH513" s="69"/>
      <c r="GRI513" s="2512"/>
      <c r="GRJ513" s="1758"/>
      <c r="GRK513" s="1759"/>
      <c r="GRL513" s="1759"/>
      <c r="GRM513" s="1760"/>
      <c r="GRN513" s="385"/>
      <c r="GRO513" s="69"/>
      <c r="GRP513" s="69"/>
      <c r="GRQ513" s="2512"/>
      <c r="GRR513" s="1758"/>
      <c r="GRS513" s="1759"/>
      <c r="GRT513" s="1759"/>
      <c r="GRU513" s="1760"/>
      <c r="GRV513" s="385"/>
      <c r="GRW513" s="69"/>
      <c r="GRX513" s="69"/>
      <c r="GRY513" s="2512"/>
      <c r="GRZ513" s="1758"/>
      <c r="GSA513" s="1759"/>
      <c r="GSB513" s="1759"/>
      <c r="GSC513" s="1760"/>
      <c r="GSD513" s="385"/>
      <c r="GSE513" s="69"/>
      <c r="GSF513" s="69"/>
      <c r="GSG513" s="2512"/>
      <c r="GSH513" s="1758"/>
      <c r="GSI513" s="1759"/>
      <c r="GSJ513" s="1759"/>
      <c r="GSK513" s="1760"/>
      <c r="GSL513" s="385"/>
      <c r="GSM513" s="69"/>
      <c r="GSN513" s="69"/>
      <c r="GSO513" s="2512"/>
      <c r="GSP513" s="1758"/>
      <c r="GSQ513" s="1759"/>
      <c r="GSR513" s="1759"/>
      <c r="GSS513" s="1760"/>
      <c r="GST513" s="385"/>
      <c r="GSU513" s="69"/>
      <c r="GSV513" s="69"/>
      <c r="GSW513" s="2512"/>
      <c r="GSX513" s="1758"/>
      <c r="GSY513" s="1759"/>
      <c r="GSZ513" s="1759"/>
      <c r="GTA513" s="1760"/>
      <c r="GTB513" s="385"/>
      <c r="GTC513" s="69"/>
      <c r="GTD513" s="69"/>
      <c r="GTE513" s="2512"/>
      <c r="GTF513" s="1758"/>
      <c r="GTG513" s="1759"/>
      <c r="GTH513" s="1759"/>
      <c r="GTI513" s="1760"/>
      <c r="GTJ513" s="385"/>
      <c r="GTK513" s="69"/>
      <c r="GTL513" s="69"/>
      <c r="GTM513" s="2512"/>
      <c r="GTN513" s="1758"/>
      <c r="GTO513" s="1759"/>
      <c r="GTP513" s="1759"/>
      <c r="GTQ513" s="1760"/>
      <c r="GTR513" s="385"/>
      <c r="GTS513" s="69"/>
      <c r="GTT513" s="69"/>
      <c r="GTU513" s="2512"/>
      <c r="GTV513" s="1758"/>
      <c r="GTW513" s="1759"/>
      <c r="GTX513" s="1759"/>
      <c r="GTY513" s="1760"/>
      <c r="GTZ513" s="385"/>
      <c r="GUA513" s="69"/>
      <c r="GUB513" s="69"/>
      <c r="GUC513" s="2512"/>
      <c r="GUD513" s="1758"/>
      <c r="GUE513" s="1759"/>
      <c r="GUF513" s="1759"/>
      <c r="GUG513" s="1760"/>
      <c r="GUH513" s="385"/>
      <c r="GUI513" s="69"/>
      <c r="GUJ513" s="69"/>
      <c r="GUK513" s="2512"/>
      <c r="GUL513" s="1758"/>
      <c r="GUM513" s="1759"/>
      <c r="GUN513" s="1759"/>
      <c r="GUO513" s="1760"/>
      <c r="GUP513" s="385"/>
      <c r="GUQ513" s="69"/>
      <c r="GUR513" s="69"/>
      <c r="GUS513" s="2512"/>
      <c r="GUT513" s="1758"/>
      <c r="GUU513" s="1759"/>
      <c r="GUV513" s="1759"/>
      <c r="GUW513" s="1760"/>
      <c r="GUX513" s="385"/>
      <c r="GUY513" s="69"/>
      <c r="GUZ513" s="69"/>
      <c r="GVA513" s="2512"/>
      <c r="GVB513" s="1758"/>
      <c r="GVC513" s="1759"/>
      <c r="GVD513" s="1759"/>
      <c r="GVE513" s="1760"/>
      <c r="GVF513" s="385"/>
      <c r="GVG513" s="69"/>
      <c r="GVH513" s="69"/>
      <c r="GVI513" s="2512"/>
      <c r="GVJ513" s="1758"/>
      <c r="GVK513" s="1759"/>
      <c r="GVL513" s="1759"/>
      <c r="GVM513" s="1760"/>
      <c r="GVN513" s="385"/>
      <c r="GVO513" s="69"/>
      <c r="GVP513" s="69"/>
      <c r="GVQ513" s="2512"/>
      <c r="GVR513" s="1758"/>
      <c r="GVS513" s="1759"/>
      <c r="GVT513" s="1759"/>
      <c r="GVU513" s="1760"/>
      <c r="GVV513" s="385"/>
      <c r="GVW513" s="69"/>
      <c r="GVX513" s="69"/>
      <c r="GVY513" s="2512"/>
      <c r="GVZ513" s="1758"/>
      <c r="GWA513" s="1759"/>
      <c r="GWB513" s="1759"/>
      <c r="GWC513" s="1760"/>
      <c r="GWD513" s="385"/>
      <c r="GWE513" s="69"/>
      <c r="GWF513" s="69"/>
      <c r="GWG513" s="2512"/>
      <c r="GWH513" s="1758"/>
      <c r="GWI513" s="1759"/>
      <c r="GWJ513" s="1759"/>
      <c r="GWK513" s="1760"/>
      <c r="GWL513" s="385"/>
      <c r="GWM513" s="69"/>
      <c r="GWN513" s="69"/>
      <c r="GWO513" s="2512"/>
      <c r="GWP513" s="1758"/>
      <c r="GWQ513" s="1759"/>
      <c r="GWR513" s="1759"/>
      <c r="GWS513" s="1760"/>
      <c r="GWT513" s="385"/>
      <c r="GWU513" s="69"/>
      <c r="GWV513" s="69"/>
      <c r="GWW513" s="2512"/>
      <c r="GWX513" s="1758"/>
      <c r="GWY513" s="1759"/>
      <c r="GWZ513" s="1759"/>
      <c r="GXA513" s="1760"/>
      <c r="GXB513" s="385"/>
      <c r="GXC513" s="69"/>
      <c r="GXD513" s="69"/>
      <c r="GXE513" s="2512"/>
      <c r="GXF513" s="1758"/>
      <c r="GXG513" s="1759"/>
      <c r="GXH513" s="1759"/>
      <c r="GXI513" s="1760"/>
      <c r="GXJ513" s="385"/>
      <c r="GXK513" s="69"/>
      <c r="GXL513" s="69"/>
      <c r="GXM513" s="2512"/>
      <c r="GXN513" s="1758"/>
      <c r="GXO513" s="1759"/>
      <c r="GXP513" s="1759"/>
      <c r="GXQ513" s="1760"/>
      <c r="GXR513" s="385"/>
      <c r="GXS513" s="69"/>
      <c r="GXT513" s="69"/>
      <c r="GXU513" s="2512"/>
      <c r="GXV513" s="1758"/>
      <c r="GXW513" s="1759"/>
      <c r="GXX513" s="1759"/>
      <c r="GXY513" s="1760"/>
      <c r="GXZ513" s="385"/>
      <c r="GYA513" s="69"/>
      <c r="GYB513" s="69"/>
      <c r="GYC513" s="2512"/>
      <c r="GYD513" s="1758"/>
      <c r="GYE513" s="1759"/>
      <c r="GYF513" s="1759"/>
      <c r="GYG513" s="1760"/>
      <c r="GYH513" s="385"/>
      <c r="GYI513" s="69"/>
      <c r="GYJ513" s="69"/>
      <c r="GYK513" s="2512"/>
      <c r="GYL513" s="1758"/>
      <c r="GYM513" s="1759"/>
      <c r="GYN513" s="1759"/>
      <c r="GYO513" s="1760"/>
      <c r="GYP513" s="385"/>
      <c r="GYQ513" s="69"/>
      <c r="GYR513" s="69"/>
      <c r="GYS513" s="2512"/>
      <c r="GYT513" s="1758"/>
      <c r="GYU513" s="1759"/>
      <c r="GYV513" s="1759"/>
      <c r="GYW513" s="1760"/>
      <c r="GYX513" s="385"/>
      <c r="GYY513" s="69"/>
      <c r="GYZ513" s="69"/>
      <c r="GZA513" s="2512"/>
      <c r="GZB513" s="1758"/>
      <c r="GZC513" s="1759"/>
      <c r="GZD513" s="1759"/>
      <c r="GZE513" s="1760"/>
      <c r="GZF513" s="385"/>
      <c r="GZG513" s="69"/>
      <c r="GZH513" s="69"/>
      <c r="GZI513" s="2512"/>
      <c r="GZJ513" s="1758"/>
      <c r="GZK513" s="1759"/>
      <c r="GZL513" s="1759"/>
      <c r="GZM513" s="1760"/>
      <c r="GZN513" s="385"/>
      <c r="GZO513" s="69"/>
      <c r="GZP513" s="69"/>
      <c r="GZQ513" s="2512"/>
      <c r="GZR513" s="1758"/>
      <c r="GZS513" s="1759"/>
      <c r="GZT513" s="1759"/>
      <c r="GZU513" s="1760"/>
      <c r="GZV513" s="385"/>
      <c r="GZW513" s="69"/>
      <c r="GZX513" s="69"/>
      <c r="GZY513" s="2512"/>
      <c r="GZZ513" s="1758"/>
      <c r="HAA513" s="1759"/>
      <c r="HAB513" s="1759"/>
      <c r="HAC513" s="1760"/>
      <c r="HAD513" s="385"/>
      <c r="HAE513" s="69"/>
      <c r="HAF513" s="69"/>
      <c r="HAG513" s="2512"/>
      <c r="HAH513" s="1758"/>
      <c r="HAI513" s="1759"/>
      <c r="HAJ513" s="1759"/>
      <c r="HAK513" s="1760"/>
      <c r="HAL513" s="385"/>
      <c r="HAM513" s="69"/>
      <c r="HAN513" s="69"/>
      <c r="HAO513" s="2512"/>
      <c r="HAP513" s="1758"/>
      <c r="HAQ513" s="1759"/>
      <c r="HAR513" s="1759"/>
      <c r="HAS513" s="1760"/>
      <c r="HAT513" s="385"/>
      <c r="HAU513" s="69"/>
      <c r="HAV513" s="69"/>
      <c r="HAW513" s="2512"/>
      <c r="HAX513" s="1758"/>
      <c r="HAY513" s="1759"/>
      <c r="HAZ513" s="1759"/>
      <c r="HBA513" s="1760"/>
      <c r="HBB513" s="385"/>
      <c r="HBC513" s="69"/>
      <c r="HBD513" s="69"/>
      <c r="HBE513" s="2512"/>
      <c r="HBF513" s="1758"/>
      <c r="HBG513" s="1759"/>
      <c r="HBH513" s="1759"/>
      <c r="HBI513" s="1760"/>
      <c r="HBJ513" s="385"/>
      <c r="HBK513" s="69"/>
      <c r="HBL513" s="69"/>
      <c r="HBM513" s="2512"/>
      <c r="HBN513" s="1758"/>
      <c r="HBO513" s="1759"/>
      <c r="HBP513" s="1759"/>
      <c r="HBQ513" s="1760"/>
      <c r="HBR513" s="385"/>
      <c r="HBS513" s="69"/>
      <c r="HBT513" s="69"/>
      <c r="HBU513" s="2512"/>
      <c r="HBV513" s="1758"/>
      <c r="HBW513" s="1759"/>
      <c r="HBX513" s="1759"/>
      <c r="HBY513" s="1760"/>
      <c r="HBZ513" s="385"/>
      <c r="HCA513" s="69"/>
      <c r="HCB513" s="69"/>
      <c r="HCC513" s="2512"/>
      <c r="HCD513" s="1758"/>
      <c r="HCE513" s="1759"/>
      <c r="HCF513" s="1759"/>
      <c r="HCG513" s="1760"/>
      <c r="HCH513" s="385"/>
      <c r="HCI513" s="69"/>
      <c r="HCJ513" s="69"/>
      <c r="HCK513" s="2512"/>
      <c r="HCL513" s="1758"/>
      <c r="HCM513" s="1759"/>
      <c r="HCN513" s="1759"/>
      <c r="HCO513" s="1760"/>
      <c r="HCP513" s="385"/>
      <c r="HCQ513" s="69"/>
      <c r="HCR513" s="69"/>
      <c r="HCS513" s="2512"/>
      <c r="HCT513" s="1758"/>
      <c r="HCU513" s="1759"/>
      <c r="HCV513" s="1759"/>
      <c r="HCW513" s="1760"/>
      <c r="HCX513" s="385"/>
      <c r="HCY513" s="69"/>
      <c r="HCZ513" s="69"/>
      <c r="HDA513" s="2512"/>
      <c r="HDB513" s="1758"/>
      <c r="HDC513" s="1759"/>
      <c r="HDD513" s="1759"/>
      <c r="HDE513" s="1760"/>
      <c r="HDF513" s="385"/>
      <c r="HDG513" s="69"/>
      <c r="HDH513" s="69"/>
      <c r="HDI513" s="2512"/>
      <c r="HDJ513" s="1758"/>
      <c r="HDK513" s="1759"/>
      <c r="HDL513" s="1759"/>
      <c r="HDM513" s="1760"/>
      <c r="HDN513" s="385"/>
      <c r="HDO513" s="69"/>
      <c r="HDP513" s="69"/>
      <c r="HDQ513" s="2512"/>
      <c r="HDR513" s="1758"/>
      <c r="HDS513" s="1759"/>
      <c r="HDT513" s="1759"/>
      <c r="HDU513" s="1760"/>
      <c r="HDV513" s="385"/>
      <c r="HDW513" s="69"/>
      <c r="HDX513" s="69"/>
      <c r="HDY513" s="2512"/>
      <c r="HDZ513" s="1758"/>
      <c r="HEA513" s="1759"/>
      <c r="HEB513" s="1759"/>
      <c r="HEC513" s="1760"/>
      <c r="HED513" s="385"/>
      <c r="HEE513" s="69"/>
      <c r="HEF513" s="69"/>
      <c r="HEG513" s="2512"/>
      <c r="HEH513" s="1758"/>
      <c r="HEI513" s="1759"/>
      <c r="HEJ513" s="1759"/>
      <c r="HEK513" s="1760"/>
      <c r="HEL513" s="385"/>
      <c r="HEM513" s="69"/>
      <c r="HEN513" s="69"/>
      <c r="HEO513" s="2512"/>
      <c r="HEP513" s="1758"/>
      <c r="HEQ513" s="1759"/>
      <c r="HER513" s="1759"/>
      <c r="HES513" s="1760"/>
      <c r="HET513" s="385"/>
      <c r="HEU513" s="69"/>
      <c r="HEV513" s="69"/>
      <c r="HEW513" s="2512"/>
      <c r="HEX513" s="1758"/>
      <c r="HEY513" s="1759"/>
      <c r="HEZ513" s="1759"/>
      <c r="HFA513" s="1760"/>
      <c r="HFB513" s="385"/>
      <c r="HFC513" s="69"/>
      <c r="HFD513" s="69"/>
      <c r="HFE513" s="2512"/>
      <c r="HFF513" s="1758"/>
      <c r="HFG513" s="1759"/>
      <c r="HFH513" s="1759"/>
      <c r="HFI513" s="1760"/>
      <c r="HFJ513" s="385"/>
      <c r="HFK513" s="69"/>
      <c r="HFL513" s="69"/>
      <c r="HFM513" s="2512"/>
      <c r="HFN513" s="1758"/>
      <c r="HFO513" s="1759"/>
      <c r="HFP513" s="1759"/>
      <c r="HFQ513" s="1760"/>
      <c r="HFR513" s="385"/>
      <c r="HFS513" s="69"/>
      <c r="HFT513" s="69"/>
      <c r="HFU513" s="2512"/>
      <c r="HFV513" s="1758"/>
      <c r="HFW513" s="1759"/>
      <c r="HFX513" s="1759"/>
      <c r="HFY513" s="1760"/>
      <c r="HFZ513" s="385"/>
      <c r="HGA513" s="69"/>
      <c r="HGB513" s="69"/>
      <c r="HGC513" s="2512"/>
      <c r="HGD513" s="1758"/>
      <c r="HGE513" s="1759"/>
      <c r="HGF513" s="1759"/>
      <c r="HGG513" s="1760"/>
      <c r="HGH513" s="385"/>
      <c r="HGI513" s="69"/>
      <c r="HGJ513" s="69"/>
      <c r="HGK513" s="2512"/>
      <c r="HGL513" s="1758"/>
      <c r="HGM513" s="1759"/>
      <c r="HGN513" s="1759"/>
      <c r="HGO513" s="1760"/>
      <c r="HGP513" s="385"/>
      <c r="HGQ513" s="69"/>
      <c r="HGR513" s="69"/>
      <c r="HGS513" s="2512"/>
      <c r="HGT513" s="1758"/>
      <c r="HGU513" s="1759"/>
      <c r="HGV513" s="1759"/>
      <c r="HGW513" s="1760"/>
      <c r="HGX513" s="385"/>
      <c r="HGY513" s="69"/>
      <c r="HGZ513" s="69"/>
      <c r="HHA513" s="2512"/>
      <c r="HHB513" s="1758"/>
      <c r="HHC513" s="1759"/>
      <c r="HHD513" s="1759"/>
      <c r="HHE513" s="1760"/>
      <c r="HHF513" s="385"/>
      <c r="HHG513" s="69"/>
      <c r="HHH513" s="69"/>
      <c r="HHI513" s="2512"/>
      <c r="HHJ513" s="1758"/>
      <c r="HHK513" s="1759"/>
      <c r="HHL513" s="1759"/>
      <c r="HHM513" s="1760"/>
      <c r="HHN513" s="385"/>
      <c r="HHO513" s="69"/>
      <c r="HHP513" s="69"/>
      <c r="HHQ513" s="2512"/>
      <c r="HHR513" s="1758"/>
      <c r="HHS513" s="1759"/>
      <c r="HHT513" s="1759"/>
      <c r="HHU513" s="1760"/>
      <c r="HHV513" s="385"/>
      <c r="HHW513" s="69"/>
      <c r="HHX513" s="69"/>
      <c r="HHY513" s="2512"/>
      <c r="HHZ513" s="1758"/>
      <c r="HIA513" s="1759"/>
      <c r="HIB513" s="1759"/>
      <c r="HIC513" s="1760"/>
      <c r="HID513" s="385"/>
      <c r="HIE513" s="69"/>
      <c r="HIF513" s="69"/>
      <c r="HIG513" s="2512"/>
      <c r="HIH513" s="1758"/>
      <c r="HII513" s="1759"/>
      <c r="HIJ513" s="1759"/>
      <c r="HIK513" s="1760"/>
      <c r="HIL513" s="385"/>
      <c r="HIM513" s="69"/>
      <c r="HIN513" s="69"/>
      <c r="HIO513" s="2512"/>
      <c r="HIP513" s="1758"/>
      <c r="HIQ513" s="1759"/>
      <c r="HIR513" s="1759"/>
      <c r="HIS513" s="1760"/>
      <c r="HIT513" s="385"/>
      <c r="HIU513" s="69"/>
      <c r="HIV513" s="69"/>
      <c r="HIW513" s="2512"/>
      <c r="HIX513" s="1758"/>
      <c r="HIY513" s="1759"/>
      <c r="HIZ513" s="1759"/>
      <c r="HJA513" s="1760"/>
      <c r="HJB513" s="385"/>
      <c r="HJC513" s="69"/>
      <c r="HJD513" s="69"/>
      <c r="HJE513" s="2512"/>
      <c r="HJF513" s="1758"/>
      <c r="HJG513" s="1759"/>
      <c r="HJH513" s="1759"/>
      <c r="HJI513" s="1760"/>
      <c r="HJJ513" s="385"/>
      <c r="HJK513" s="69"/>
      <c r="HJL513" s="69"/>
      <c r="HJM513" s="2512"/>
      <c r="HJN513" s="1758"/>
      <c r="HJO513" s="1759"/>
      <c r="HJP513" s="1759"/>
      <c r="HJQ513" s="1760"/>
      <c r="HJR513" s="385"/>
      <c r="HJS513" s="69"/>
      <c r="HJT513" s="69"/>
      <c r="HJU513" s="2512"/>
      <c r="HJV513" s="1758"/>
      <c r="HJW513" s="1759"/>
      <c r="HJX513" s="1759"/>
      <c r="HJY513" s="1760"/>
      <c r="HJZ513" s="385"/>
      <c r="HKA513" s="69"/>
      <c r="HKB513" s="69"/>
      <c r="HKC513" s="2512"/>
      <c r="HKD513" s="1758"/>
      <c r="HKE513" s="1759"/>
      <c r="HKF513" s="1759"/>
      <c r="HKG513" s="1760"/>
      <c r="HKH513" s="385"/>
      <c r="HKI513" s="69"/>
      <c r="HKJ513" s="69"/>
      <c r="HKK513" s="2512"/>
      <c r="HKL513" s="1758"/>
      <c r="HKM513" s="1759"/>
      <c r="HKN513" s="1759"/>
      <c r="HKO513" s="1760"/>
      <c r="HKP513" s="385"/>
      <c r="HKQ513" s="69"/>
      <c r="HKR513" s="69"/>
      <c r="HKS513" s="2512"/>
      <c r="HKT513" s="1758"/>
      <c r="HKU513" s="1759"/>
      <c r="HKV513" s="1759"/>
      <c r="HKW513" s="1760"/>
      <c r="HKX513" s="385"/>
      <c r="HKY513" s="69"/>
      <c r="HKZ513" s="69"/>
      <c r="HLA513" s="2512"/>
      <c r="HLB513" s="1758"/>
      <c r="HLC513" s="1759"/>
      <c r="HLD513" s="1759"/>
      <c r="HLE513" s="1760"/>
      <c r="HLF513" s="385"/>
      <c r="HLG513" s="69"/>
      <c r="HLH513" s="69"/>
      <c r="HLI513" s="2512"/>
      <c r="HLJ513" s="1758"/>
      <c r="HLK513" s="1759"/>
      <c r="HLL513" s="1759"/>
      <c r="HLM513" s="1760"/>
      <c r="HLN513" s="385"/>
      <c r="HLO513" s="69"/>
      <c r="HLP513" s="69"/>
      <c r="HLQ513" s="2512"/>
      <c r="HLR513" s="1758"/>
      <c r="HLS513" s="1759"/>
      <c r="HLT513" s="1759"/>
      <c r="HLU513" s="1760"/>
      <c r="HLV513" s="385"/>
      <c r="HLW513" s="69"/>
      <c r="HLX513" s="69"/>
      <c r="HLY513" s="2512"/>
      <c r="HLZ513" s="1758"/>
      <c r="HMA513" s="1759"/>
      <c r="HMB513" s="1759"/>
      <c r="HMC513" s="1760"/>
      <c r="HMD513" s="385"/>
      <c r="HME513" s="69"/>
      <c r="HMF513" s="69"/>
      <c r="HMG513" s="2512"/>
      <c r="HMH513" s="1758"/>
      <c r="HMI513" s="1759"/>
      <c r="HMJ513" s="1759"/>
      <c r="HMK513" s="1760"/>
      <c r="HML513" s="385"/>
      <c r="HMM513" s="69"/>
      <c r="HMN513" s="69"/>
      <c r="HMO513" s="2512"/>
      <c r="HMP513" s="1758"/>
      <c r="HMQ513" s="1759"/>
      <c r="HMR513" s="1759"/>
      <c r="HMS513" s="1760"/>
      <c r="HMT513" s="385"/>
      <c r="HMU513" s="69"/>
      <c r="HMV513" s="69"/>
      <c r="HMW513" s="2512"/>
      <c r="HMX513" s="1758"/>
      <c r="HMY513" s="1759"/>
      <c r="HMZ513" s="1759"/>
      <c r="HNA513" s="1760"/>
      <c r="HNB513" s="385"/>
      <c r="HNC513" s="69"/>
      <c r="HND513" s="69"/>
      <c r="HNE513" s="2512"/>
      <c r="HNF513" s="1758"/>
      <c r="HNG513" s="1759"/>
      <c r="HNH513" s="1759"/>
      <c r="HNI513" s="1760"/>
      <c r="HNJ513" s="385"/>
      <c r="HNK513" s="69"/>
      <c r="HNL513" s="69"/>
      <c r="HNM513" s="2512"/>
      <c r="HNN513" s="1758"/>
      <c r="HNO513" s="1759"/>
      <c r="HNP513" s="1759"/>
      <c r="HNQ513" s="1760"/>
      <c r="HNR513" s="385"/>
      <c r="HNS513" s="69"/>
      <c r="HNT513" s="69"/>
      <c r="HNU513" s="2512"/>
      <c r="HNV513" s="1758"/>
      <c r="HNW513" s="1759"/>
      <c r="HNX513" s="1759"/>
      <c r="HNY513" s="1760"/>
      <c r="HNZ513" s="385"/>
      <c r="HOA513" s="69"/>
      <c r="HOB513" s="69"/>
      <c r="HOC513" s="2512"/>
      <c r="HOD513" s="1758"/>
      <c r="HOE513" s="1759"/>
      <c r="HOF513" s="1759"/>
      <c r="HOG513" s="1760"/>
      <c r="HOH513" s="385"/>
      <c r="HOI513" s="69"/>
      <c r="HOJ513" s="69"/>
      <c r="HOK513" s="2512"/>
      <c r="HOL513" s="1758"/>
      <c r="HOM513" s="1759"/>
      <c r="HON513" s="1759"/>
      <c r="HOO513" s="1760"/>
      <c r="HOP513" s="385"/>
      <c r="HOQ513" s="69"/>
      <c r="HOR513" s="69"/>
      <c r="HOS513" s="2512"/>
      <c r="HOT513" s="1758"/>
      <c r="HOU513" s="1759"/>
      <c r="HOV513" s="1759"/>
      <c r="HOW513" s="1760"/>
      <c r="HOX513" s="385"/>
      <c r="HOY513" s="69"/>
      <c r="HOZ513" s="69"/>
      <c r="HPA513" s="2512"/>
      <c r="HPB513" s="1758"/>
      <c r="HPC513" s="1759"/>
      <c r="HPD513" s="1759"/>
      <c r="HPE513" s="1760"/>
      <c r="HPF513" s="385"/>
      <c r="HPG513" s="69"/>
      <c r="HPH513" s="69"/>
      <c r="HPI513" s="2512"/>
      <c r="HPJ513" s="1758"/>
      <c r="HPK513" s="1759"/>
      <c r="HPL513" s="1759"/>
      <c r="HPM513" s="1760"/>
      <c r="HPN513" s="385"/>
      <c r="HPO513" s="69"/>
      <c r="HPP513" s="69"/>
      <c r="HPQ513" s="2512"/>
      <c r="HPR513" s="1758"/>
      <c r="HPS513" s="1759"/>
      <c r="HPT513" s="1759"/>
      <c r="HPU513" s="1760"/>
      <c r="HPV513" s="385"/>
      <c r="HPW513" s="69"/>
      <c r="HPX513" s="69"/>
      <c r="HPY513" s="2512"/>
      <c r="HPZ513" s="1758"/>
      <c r="HQA513" s="1759"/>
      <c r="HQB513" s="1759"/>
      <c r="HQC513" s="1760"/>
      <c r="HQD513" s="385"/>
      <c r="HQE513" s="69"/>
      <c r="HQF513" s="69"/>
      <c r="HQG513" s="2512"/>
      <c r="HQH513" s="1758"/>
      <c r="HQI513" s="1759"/>
      <c r="HQJ513" s="1759"/>
      <c r="HQK513" s="1760"/>
      <c r="HQL513" s="385"/>
      <c r="HQM513" s="69"/>
      <c r="HQN513" s="69"/>
      <c r="HQO513" s="2512"/>
      <c r="HQP513" s="1758"/>
      <c r="HQQ513" s="1759"/>
      <c r="HQR513" s="1759"/>
      <c r="HQS513" s="1760"/>
      <c r="HQT513" s="385"/>
      <c r="HQU513" s="69"/>
      <c r="HQV513" s="69"/>
      <c r="HQW513" s="2512"/>
      <c r="HQX513" s="1758"/>
      <c r="HQY513" s="1759"/>
      <c r="HQZ513" s="1759"/>
      <c r="HRA513" s="1760"/>
      <c r="HRB513" s="385"/>
      <c r="HRC513" s="69"/>
      <c r="HRD513" s="69"/>
      <c r="HRE513" s="2512"/>
      <c r="HRF513" s="1758"/>
      <c r="HRG513" s="1759"/>
      <c r="HRH513" s="1759"/>
      <c r="HRI513" s="1760"/>
      <c r="HRJ513" s="385"/>
      <c r="HRK513" s="69"/>
      <c r="HRL513" s="69"/>
      <c r="HRM513" s="2512"/>
      <c r="HRN513" s="1758"/>
      <c r="HRO513" s="1759"/>
      <c r="HRP513" s="1759"/>
      <c r="HRQ513" s="1760"/>
      <c r="HRR513" s="385"/>
      <c r="HRS513" s="69"/>
      <c r="HRT513" s="69"/>
      <c r="HRU513" s="2512"/>
      <c r="HRV513" s="1758"/>
      <c r="HRW513" s="1759"/>
      <c r="HRX513" s="1759"/>
      <c r="HRY513" s="1760"/>
      <c r="HRZ513" s="385"/>
      <c r="HSA513" s="69"/>
      <c r="HSB513" s="69"/>
      <c r="HSC513" s="2512"/>
      <c r="HSD513" s="1758"/>
      <c r="HSE513" s="1759"/>
      <c r="HSF513" s="1759"/>
      <c r="HSG513" s="1760"/>
      <c r="HSH513" s="385"/>
      <c r="HSI513" s="69"/>
      <c r="HSJ513" s="69"/>
      <c r="HSK513" s="2512"/>
      <c r="HSL513" s="1758"/>
      <c r="HSM513" s="1759"/>
      <c r="HSN513" s="1759"/>
      <c r="HSO513" s="1760"/>
      <c r="HSP513" s="385"/>
      <c r="HSQ513" s="69"/>
      <c r="HSR513" s="69"/>
      <c r="HSS513" s="2512"/>
      <c r="HST513" s="1758"/>
      <c r="HSU513" s="1759"/>
      <c r="HSV513" s="1759"/>
      <c r="HSW513" s="1760"/>
      <c r="HSX513" s="385"/>
      <c r="HSY513" s="69"/>
      <c r="HSZ513" s="69"/>
      <c r="HTA513" s="2512"/>
      <c r="HTB513" s="1758"/>
      <c r="HTC513" s="1759"/>
      <c r="HTD513" s="1759"/>
      <c r="HTE513" s="1760"/>
      <c r="HTF513" s="385"/>
      <c r="HTG513" s="69"/>
      <c r="HTH513" s="69"/>
      <c r="HTI513" s="2512"/>
      <c r="HTJ513" s="1758"/>
      <c r="HTK513" s="1759"/>
      <c r="HTL513" s="1759"/>
      <c r="HTM513" s="1760"/>
      <c r="HTN513" s="385"/>
      <c r="HTO513" s="69"/>
      <c r="HTP513" s="69"/>
      <c r="HTQ513" s="2512"/>
      <c r="HTR513" s="1758"/>
      <c r="HTS513" s="1759"/>
      <c r="HTT513" s="1759"/>
      <c r="HTU513" s="1760"/>
      <c r="HTV513" s="385"/>
      <c r="HTW513" s="69"/>
      <c r="HTX513" s="69"/>
      <c r="HTY513" s="2512"/>
      <c r="HTZ513" s="1758"/>
      <c r="HUA513" s="1759"/>
      <c r="HUB513" s="1759"/>
      <c r="HUC513" s="1760"/>
      <c r="HUD513" s="385"/>
      <c r="HUE513" s="69"/>
      <c r="HUF513" s="69"/>
      <c r="HUG513" s="2512"/>
      <c r="HUH513" s="1758"/>
      <c r="HUI513" s="1759"/>
      <c r="HUJ513" s="1759"/>
      <c r="HUK513" s="1760"/>
      <c r="HUL513" s="385"/>
      <c r="HUM513" s="69"/>
      <c r="HUN513" s="69"/>
      <c r="HUO513" s="2512"/>
      <c r="HUP513" s="1758"/>
      <c r="HUQ513" s="1759"/>
      <c r="HUR513" s="1759"/>
      <c r="HUS513" s="1760"/>
      <c r="HUT513" s="385"/>
      <c r="HUU513" s="69"/>
      <c r="HUV513" s="69"/>
      <c r="HUW513" s="2512"/>
      <c r="HUX513" s="1758"/>
      <c r="HUY513" s="1759"/>
      <c r="HUZ513" s="1759"/>
      <c r="HVA513" s="1760"/>
      <c r="HVB513" s="385"/>
      <c r="HVC513" s="69"/>
      <c r="HVD513" s="69"/>
      <c r="HVE513" s="2512"/>
      <c r="HVF513" s="1758"/>
      <c r="HVG513" s="1759"/>
      <c r="HVH513" s="1759"/>
      <c r="HVI513" s="1760"/>
      <c r="HVJ513" s="385"/>
      <c r="HVK513" s="69"/>
      <c r="HVL513" s="69"/>
      <c r="HVM513" s="2512"/>
      <c r="HVN513" s="1758"/>
      <c r="HVO513" s="1759"/>
      <c r="HVP513" s="1759"/>
      <c r="HVQ513" s="1760"/>
      <c r="HVR513" s="385"/>
      <c r="HVS513" s="69"/>
      <c r="HVT513" s="69"/>
      <c r="HVU513" s="2512"/>
      <c r="HVV513" s="1758"/>
      <c r="HVW513" s="1759"/>
      <c r="HVX513" s="1759"/>
      <c r="HVY513" s="1760"/>
      <c r="HVZ513" s="385"/>
      <c r="HWA513" s="69"/>
      <c r="HWB513" s="69"/>
      <c r="HWC513" s="2512"/>
      <c r="HWD513" s="1758"/>
      <c r="HWE513" s="1759"/>
      <c r="HWF513" s="1759"/>
      <c r="HWG513" s="1760"/>
      <c r="HWH513" s="385"/>
      <c r="HWI513" s="69"/>
      <c r="HWJ513" s="69"/>
      <c r="HWK513" s="2512"/>
      <c r="HWL513" s="1758"/>
      <c r="HWM513" s="1759"/>
      <c r="HWN513" s="1759"/>
      <c r="HWO513" s="1760"/>
      <c r="HWP513" s="385"/>
      <c r="HWQ513" s="69"/>
      <c r="HWR513" s="69"/>
      <c r="HWS513" s="2512"/>
      <c r="HWT513" s="1758"/>
      <c r="HWU513" s="1759"/>
      <c r="HWV513" s="1759"/>
      <c r="HWW513" s="1760"/>
      <c r="HWX513" s="385"/>
      <c r="HWY513" s="69"/>
      <c r="HWZ513" s="69"/>
      <c r="HXA513" s="2512"/>
      <c r="HXB513" s="1758"/>
      <c r="HXC513" s="1759"/>
      <c r="HXD513" s="1759"/>
      <c r="HXE513" s="1760"/>
      <c r="HXF513" s="385"/>
      <c r="HXG513" s="69"/>
      <c r="HXH513" s="69"/>
      <c r="HXI513" s="2512"/>
      <c r="HXJ513" s="1758"/>
      <c r="HXK513" s="1759"/>
      <c r="HXL513" s="1759"/>
      <c r="HXM513" s="1760"/>
      <c r="HXN513" s="385"/>
      <c r="HXO513" s="69"/>
      <c r="HXP513" s="69"/>
      <c r="HXQ513" s="2512"/>
      <c r="HXR513" s="1758"/>
      <c r="HXS513" s="1759"/>
      <c r="HXT513" s="1759"/>
      <c r="HXU513" s="1760"/>
      <c r="HXV513" s="385"/>
      <c r="HXW513" s="69"/>
      <c r="HXX513" s="69"/>
      <c r="HXY513" s="2512"/>
      <c r="HXZ513" s="1758"/>
      <c r="HYA513" s="1759"/>
      <c r="HYB513" s="1759"/>
      <c r="HYC513" s="1760"/>
      <c r="HYD513" s="385"/>
      <c r="HYE513" s="69"/>
      <c r="HYF513" s="69"/>
      <c r="HYG513" s="2512"/>
      <c r="HYH513" s="1758"/>
      <c r="HYI513" s="1759"/>
      <c r="HYJ513" s="1759"/>
      <c r="HYK513" s="1760"/>
      <c r="HYL513" s="385"/>
      <c r="HYM513" s="69"/>
      <c r="HYN513" s="69"/>
      <c r="HYO513" s="2512"/>
      <c r="HYP513" s="1758"/>
      <c r="HYQ513" s="1759"/>
      <c r="HYR513" s="1759"/>
      <c r="HYS513" s="1760"/>
      <c r="HYT513" s="385"/>
      <c r="HYU513" s="69"/>
      <c r="HYV513" s="69"/>
      <c r="HYW513" s="2512"/>
      <c r="HYX513" s="1758"/>
      <c r="HYY513" s="1759"/>
      <c r="HYZ513" s="1759"/>
      <c r="HZA513" s="1760"/>
      <c r="HZB513" s="385"/>
      <c r="HZC513" s="69"/>
      <c r="HZD513" s="69"/>
      <c r="HZE513" s="2512"/>
      <c r="HZF513" s="1758"/>
      <c r="HZG513" s="1759"/>
      <c r="HZH513" s="1759"/>
      <c r="HZI513" s="1760"/>
      <c r="HZJ513" s="385"/>
      <c r="HZK513" s="69"/>
      <c r="HZL513" s="69"/>
      <c r="HZM513" s="2512"/>
      <c r="HZN513" s="1758"/>
      <c r="HZO513" s="1759"/>
      <c r="HZP513" s="1759"/>
      <c r="HZQ513" s="1760"/>
      <c r="HZR513" s="385"/>
      <c r="HZS513" s="69"/>
      <c r="HZT513" s="69"/>
      <c r="HZU513" s="2512"/>
      <c r="HZV513" s="1758"/>
      <c r="HZW513" s="1759"/>
      <c r="HZX513" s="1759"/>
      <c r="HZY513" s="1760"/>
      <c r="HZZ513" s="385"/>
      <c r="IAA513" s="69"/>
      <c r="IAB513" s="69"/>
      <c r="IAC513" s="2512"/>
      <c r="IAD513" s="1758"/>
      <c r="IAE513" s="1759"/>
      <c r="IAF513" s="1759"/>
      <c r="IAG513" s="1760"/>
      <c r="IAH513" s="385"/>
      <c r="IAI513" s="69"/>
      <c r="IAJ513" s="69"/>
      <c r="IAK513" s="2512"/>
      <c r="IAL513" s="1758"/>
      <c r="IAM513" s="1759"/>
      <c r="IAN513" s="1759"/>
      <c r="IAO513" s="1760"/>
      <c r="IAP513" s="385"/>
      <c r="IAQ513" s="69"/>
      <c r="IAR513" s="69"/>
      <c r="IAS513" s="2512"/>
      <c r="IAT513" s="1758"/>
      <c r="IAU513" s="1759"/>
      <c r="IAV513" s="1759"/>
      <c r="IAW513" s="1760"/>
      <c r="IAX513" s="385"/>
      <c r="IAY513" s="69"/>
      <c r="IAZ513" s="69"/>
      <c r="IBA513" s="2512"/>
      <c r="IBB513" s="1758"/>
      <c r="IBC513" s="1759"/>
      <c r="IBD513" s="1759"/>
      <c r="IBE513" s="1760"/>
      <c r="IBF513" s="385"/>
      <c r="IBG513" s="69"/>
      <c r="IBH513" s="69"/>
      <c r="IBI513" s="2512"/>
      <c r="IBJ513" s="1758"/>
      <c r="IBK513" s="1759"/>
      <c r="IBL513" s="1759"/>
      <c r="IBM513" s="1760"/>
      <c r="IBN513" s="385"/>
      <c r="IBO513" s="69"/>
      <c r="IBP513" s="69"/>
      <c r="IBQ513" s="2512"/>
      <c r="IBR513" s="1758"/>
      <c r="IBS513" s="1759"/>
      <c r="IBT513" s="1759"/>
      <c r="IBU513" s="1760"/>
      <c r="IBV513" s="385"/>
      <c r="IBW513" s="69"/>
      <c r="IBX513" s="69"/>
      <c r="IBY513" s="2512"/>
      <c r="IBZ513" s="1758"/>
      <c r="ICA513" s="1759"/>
      <c r="ICB513" s="1759"/>
      <c r="ICC513" s="1760"/>
      <c r="ICD513" s="385"/>
      <c r="ICE513" s="69"/>
      <c r="ICF513" s="69"/>
      <c r="ICG513" s="2512"/>
      <c r="ICH513" s="1758"/>
      <c r="ICI513" s="1759"/>
      <c r="ICJ513" s="1759"/>
      <c r="ICK513" s="1760"/>
      <c r="ICL513" s="385"/>
      <c r="ICM513" s="69"/>
      <c r="ICN513" s="69"/>
      <c r="ICO513" s="2512"/>
      <c r="ICP513" s="1758"/>
      <c r="ICQ513" s="1759"/>
      <c r="ICR513" s="1759"/>
      <c r="ICS513" s="1760"/>
      <c r="ICT513" s="385"/>
      <c r="ICU513" s="69"/>
      <c r="ICV513" s="69"/>
      <c r="ICW513" s="2512"/>
      <c r="ICX513" s="1758"/>
      <c r="ICY513" s="1759"/>
      <c r="ICZ513" s="1759"/>
      <c r="IDA513" s="1760"/>
      <c r="IDB513" s="385"/>
      <c r="IDC513" s="69"/>
      <c r="IDD513" s="69"/>
      <c r="IDE513" s="2512"/>
      <c r="IDF513" s="1758"/>
      <c r="IDG513" s="1759"/>
      <c r="IDH513" s="1759"/>
      <c r="IDI513" s="1760"/>
      <c r="IDJ513" s="385"/>
      <c r="IDK513" s="69"/>
      <c r="IDL513" s="69"/>
      <c r="IDM513" s="2512"/>
      <c r="IDN513" s="1758"/>
      <c r="IDO513" s="1759"/>
      <c r="IDP513" s="1759"/>
      <c r="IDQ513" s="1760"/>
      <c r="IDR513" s="385"/>
      <c r="IDS513" s="69"/>
      <c r="IDT513" s="69"/>
      <c r="IDU513" s="2512"/>
      <c r="IDV513" s="1758"/>
      <c r="IDW513" s="1759"/>
      <c r="IDX513" s="1759"/>
      <c r="IDY513" s="1760"/>
      <c r="IDZ513" s="385"/>
      <c r="IEA513" s="69"/>
      <c r="IEB513" s="69"/>
      <c r="IEC513" s="2512"/>
      <c r="IED513" s="1758"/>
      <c r="IEE513" s="1759"/>
      <c r="IEF513" s="1759"/>
      <c r="IEG513" s="1760"/>
      <c r="IEH513" s="385"/>
      <c r="IEI513" s="69"/>
      <c r="IEJ513" s="69"/>
      <c r="IEK513" s="2512"/>
      <c r="IEL513" s="1758"/>
      <c r="IEM513" s="1759"/>
      <c r="IEN513" s="1759"/>
      <c r="IEO513" s="1760"/>
      <c r="IEP513" s="385"/>
      <c r="IEQ513" s="69"/>
      <c r="IER513" s="69"/>
      <c r="IES513" s="2512"/>
      <c r="IET513" s="1758"/>
      <c r="IEU513" s="1759"/>
      <c r="IEV513" s="1759"/>
      <c r="IEW513" s="1760"/>
      <c r="IEX513" s="385"/>
      <c r="IEY513" s="69"/>
      <c r="IEZ513" s="69"/>
      <c r="IFA513" s="2512"/>
      <c r="IFB513" s="1758"/>
      <c r="IFC513" s="1759"/>
      <c r="IFD513" s="1759"/>
      <c r="IFE513" s="1760"/>
      <c r="IFF513" s="385"/>
      <c r="IFG513" s="69"/>
      <c r="IFH513" s="69"/>
      <c r="IFI513" s="2512"/>
      <c r="IFJ513" s="1758"/>
      <c r="IFK513" s="1759"/>
      <c r="IFL513" s="1759"/>
      <c r="IFM513" s="1760"/>
      <c r="IFN513" s="385"/>
      <c r="IFO513" s="69"/>
      <c r="IFP513" s="69"/>
      <c r="IFQ513" s="2512"/>
      <c r="IFR513" s="1758"/>
      <c r="IFS513" s="1759"/>
      <c r="IFT513" s="1759"/>
      <c r="IFU513" s="1760"/>
      <c r="IFV513" s="385"/>
      <c r="IFW513" s="69"/>
      <c r="IFX513" s="69"/>
      <c r="IFY513" s="2512"/>
      <c r="IFZ513" s="1758"/>
      <c r="IGA513" s="1759"/>
      <c r="IGB513" s="1759"/>
      <c r="IGC513" s="1760"/>
      <c r="IGD513" s="385"/>
      <c r="IGE513" s="69"/>
      <c r="IGF513" s="69"/>
      <c r="IGG513" s="2512"/>
      <c r="IGH513" s="1758"/>
      <c r="IGI513" s="1759"/>
      <c r="IGJ513" s="1759"/>
      <c r="IGK513" s="1760"/>
      <c r="IGL513" s="385"/>
      <c r="IGM513" s="69"/>
      <c r="IGN513" s="69"/>
      <c r="IGO513" s="2512"/>
      <c r="IGP513" s="1758"/>
      <c r="IGQ513" s="1759"/>
      <c r="IGR513" s="1759"/>
      <c r="IGS513" s="1760"/>
      <c r="IGT513" s="385"/>
      <c r="IGU513" s="69"/>
      <c r="IGV513" s="69"/>
      <c r="IGW513" s="2512"/>
      <c r="IGX513" s="1758"/>
      <c r="IGY513" s="1759"/>
      <c r="IGZ513" s="1759"/>
      <c r="IHA513" s="1760"/>
      <c r="IHB513" s="385"/>
      <c r="IHC513" s="69"/>
      <c r="IHD513" s="69"/>
      <c r="IHE513" s="2512"/>
      <c r="IHF513" s="1758"/>
      <c r="IHG513" s="1759"/>
      <c r="IHH513" s="1759"/>
      <c r="IHI513" s="1760"/>
      <c r="IHJ513" s="385"/>
      <c r="IHK513" s="69"/>
      <c r="IHL513" s="69"/>
      <c r="IHM513" s="2512"/>
      <c r="IHN513" s="1758"/>
      <c r="IHO513" s="1759"/>
      <c r="IHP513" s="1759"/>
      <c r="IHQ513" s="1760"/>
      <c r="IHR513" s="385"/>
      <c r="IHS513" s="69"/>
      <c r="IHT513" s="69"/>
      <c r="IHU513" s="2512"/>
      <c r="IHV513" s="1758"/>
      <c r="IHW513" s="1759"/>
      <c r="IHX513" s="1759"/>
      <c r="IHY513" s="1760"/>
      <c r="IHZ513" s="385"/>
      <c r="IIA513" s="69"/>
      <c r="IIB513" s="69"/>
      <c r="IIC513" s="2512"/>
      <c r="IID513" s="1758"/>
      <c r="IIE513" s="1759"/>
      <c r="IIF513" s="1759"/>
      <c r="IIG513" s="1760"/>
      <c r="IIH513" s="385"/>
      <c r="III513" s="69"/>
      <c r="IIJ513" s="69"/>
      <c r="IIK513" s="2512"/>
      <c r="IIL513" s="1758"/>
      <c r="IIM513" s="1759"/>
      <c r="IIN513" s="1759"/>
      <c r="IIO513" s="1760"/>
      <c r="IIP513" s="385"/>
      <c r="IIQ513" s="69"/>
      <c r="IIR513" s="69"/>
      <c r="IIS513" s="2512"/>
      <c r="IIT513" s="1758"/>
      <c r="IIU513" s="1759"/>
      <c r="IIV513" s="1759"/>
      <c r="IIW513" s="1760"/>
      <c r="IIX513" s="385"/>
      <c r="IIY513" s="69"/>
      <c r="IIZ513" s="69"/>
      <c r="IJA513" s="2512"/>
      <c r="IJB513" s="1758"/>
      <c r="IJC513" s="1759"/>
      <c r="IJD513" s="1759"/>
      <c r="IJE513" s="1760"/>
      <c r="IJF513" s="385"/>
      <c r="IJG513" s="69"/>
      <c r="IJH513" s="69"/>
      <c r="IJI513" s="2512"/>
      <c r="IJJ513" s="1758"/>
      <c r="IJK513" s="1759"/>
      <c r="IJL513" s="1759"/>
      <c r="IJM513" s="1760"/>
      <c r="IJN513" s="385"/>
      <c r="IJO513" s="69"/>
      <c r="IJP513" s="69"/>
      <c r="IJQ513" s="2512"/>
      <c r="IJR513" s="1758"/>
      <c r="IJS513" s="1759"/>
      <c r="IJT513" s="1759"/>
      <c r="IJU513" s="1760"/>
      <c r="IJV513" s="385"/>
      <c r="IJW513" s="69"/>
      <c r="IJX513" s="69"/>
      <c r="IJY513" s="2512"/>
      <c r="IJZ513" s="1758"/>
      <c r="IKA513" s="1759"/>
      <c r="IKB513" s="1759"/>
      <c r="IKC513" s="1760"/>
      <c r="IKD513" s="385"/>
      <c r="IKE513" s="69"/>
      <c r="IKF513" s="69"/>
      <c r="IKG513" s="2512"/>
      <c r="IKH513" s="1758"/>
      <c r="IKI513" s="1759"/>
      <c r="IKJ513" s="1759"/>
      <c r="IKK513" s="1760"/>
      <c r="IKL513" s="385"/>
      <c r="IKM513" s="69"/>
      <c r="IKN513" s="69"/>
      <c r="IKO513" s="2512"/>
      <c r="IKP513" s="1758"/>
      <c r="IKQ513" s="1759"/>
      <c r="IKR513" s="1759"/>
      <c r="IKS513" s="1760"/>
      <c r="IKT513" s="385"/>
      <c r="IKU513" s="69"/>
      <c r="IKV513" s="69"/>
      <c r="IKW513" s="2512"/>
      <c r="IKX513" s="1758"/>
      <c r="IKY513" s="1759"/>
      <c r="IKZ513" s="1759"/>
      <c r="ILA513" s="1760"/>
      <c r="ILB513" s="385"/>
      <c r="ILC513" s="69"/>
      <c r="ILD513" s="69"/>
      <c r="ILE513" s="2512"/>
      <c r="ILF513" s="1758"/>
      <c r="ILG513" s="1759"/>
      <c r="ILH513" s="1759"/>
      <c r="ILI513" s="1760"/>
      <c r="ILJ513" s="385"/>
      <c r="ILK513" s="69"/>
      <c r="ILL513" s="69"/>
      <c r="ILM513" s="2512"/>
      <c r="ILN513" s="1758"/>
      <c r="ILO513" s="1759"/>
      <c r="ILP513" s="1759"/>
      <c r="ILQ513" s="1760"/>
      <c r="ILR513" s="385"/>
      <c r="ILS513" s="69"/>
      <c r="ILT513" s="69"/>
      <c r="ILU513" s="2512"/>
      <c r="ILV513" s="1758"/>
      <c r="ILW513" s="1759"/>
      <c r="ILX513" s="1759"/>
      <c r="ILY513" s="1760"/>
      <c r="ILZ513" s="385"/>
      <c r="IMA513" s="69"/>
      <c r="IMB513" s="69"/>
      <c r="IMC513" s="2512"/>
      <c r="IMD513" s="1758"/>
      <c r="IME513" s="1759"/>
      <c r="IMF513" s="1759"/>
      <c r="IMG513" s="1760"/>
      <c r="IMH513" s="385"/>
      <c r="IMI513" s="69"/>
      <c r="IMJ513" s="69"/>
      <c r="IMK513" s="2512"/>
      <c r="IML513" s="1758"/>
      <c r="IMM513" s="1759"/>
      <c r="IMN513" s="1759"/>
      <c r="IMO513" s="1760"/>
      <c r="IMP513" s="385"/>
      <c r="IMQ513" s="69"/>
      <c r="IMR513" s="69"/>
      <c r="IMS513" s="2512"/>
      <c r="IMT513" s="1758"/>
      <c r="IMU513" s="1759"/>
      <c r="IMV513" s="1759"/>
      <c r="IMW513" s="1760"/>
      <c r="IMX513" s="385"/>
      <c r="IMY513" s="69"/>
      <c r="IMZ513" s="69"/>
      <c r="INA513" s="2512"/>
      <c r="INB513" s="1758"/>
      <c r="INC513" s="1759"/>
      <c r="IND513" s="1759"/>
      <c r="INE513" s="1760"/>
      <c r="INF513" s="385"/>
      <c r="ING513" s="69"/>
      <c r="INH513" s="69"/>
      <c r="INI513" s="2512"/>
      <c r="INJ513" s="1758"/>
      <c r="INK513" s="1759"/>
      <c r="INL513" s="1759"/>
      <c r="INM513" s="1760"/>
      <c r="INN513" s="385"/>
      <c r="INO513" s="69"/>
      <c r="INP513" s="69"/>
      <c r="INQ513" s="2512"/>
      <c r="INR513" s="1758"/>
      <c r="INS513" s="1759"/>
      <c r="INT513" s="1759"/>
      <c r="INU513" s="1760"/>
      <c r="INV513" s="385"/>
      <c r="INW513" s="69"/>
      <c r="INX513" s="69"/>
      <c r="INY513" s="2512"/>
      <c r="INZ513" s="1758"/>
      <c r="IOA513" s="1759"/>
      <c r="IOB513" s="1759"/>
      <c r="IOC513" s="1760"/>
      <c r="IOD513" s="385"/>
      <c r="IOE513" s="69"/>
      <c r="IOF513" s="69"/>
      <c r="IOG513" s="2512"/>
      <c r="IOH513" s="1758"/>
      <c r="IOI513" s="1759"/>
      <c r="IOJ513" s="1759"/>
      <c r="IOK513" s="1760"/>
      <c r="IOL513" s="385"/>
      <c r="IOM513" s="69"/>
      <c r="ION513" s="69"/>
      <c r="IOO513" s="2512"/>
      <c r="IOP513" s="1758"/>
      <c r="IOQ513" s="1759"/>
      <c r="IOR513" s="1759"/>
      <c r="IOS513" s="1760"/>
      <c r="IOT513" s="385"/>
      <c r="IOU513" s="69"/>
      <c r="IOV513" s="69"/>
      <c r="IOW513" s="2512"/>
      <c r="IOX513" s="1758"/>
      <c r="IOY513" s="1759"/>
      <c r="IOZ513" s="1759"/>
      <c r="IPA513" s="1760"/>
      <c r="IPB513" s="385"/>
      <c r="IPC513" s="69"/>
      <c r="IPD513" s="69"/>
      <c r="IPE513" s="2512"/>
      <c r="IPF513" s="1758"/>
      <c r="IPG513" s="1759"/>
      <c r="IPH513" s="1759"/>
      <c r="IPI513" s="1760"/>
      <c r="IPJ513" s="385"/>
      <c r="IPK513" s="69"/>
      <c r="IPL513" s="69"/>
      <c r="IPM513" s="2512"/>
      <c r="IPN513" s="1758"/>
      <c r="IPO513" s="1759"/>
      <c r="IPP513" s="1759"/>
      <c r="IPQ513" s="1760"/>
      <c r="IPR513" s="385"/>
      <c r="IPS513" s="69"/>
      <c r="IPT513" s="69"/>
      <c r="IPU513" s="2512"/>
      <c r="IPV513" s="1758"/>
      <c r="IPW513" s="1759"/>
      <c r="IPX513" s="1759"/>
      <c r="IPY513" s="1760"/>
      <c r="IPZ513" s="385"/>
      <c r="IQA513" s="69"/>
      <c r="IQB513" s="69"/>
      <c r="IQC513" s="2512"/>
      <c r="IQD513" s="1758"/>
      <c r="IQE513" s="1759"/>
      <c r="IQF513" s="1759"/>
      <c r="IQG513" s="1760"/>
      <c r="IQH513" s="385"/>
      <c r="IQI513" s="69"/>
      <c r="IQJ513" s="69"/>
      <c r="IQK513" s="2512"/>
      <c r="IQL513" s="1758"/>
      <c r="IQM513" s="1759"/>
      <c r="IQN513" s="1759"/>
      <c r="IQO513" s="1760"/>
      <c r="IQP513" s="385"/>
      <c r="IQQ513" s="69"/>
      <c r="IQR513" s="69"/>
      <c r="IQS513" s="2512"/>
      <c r="IQT513" s="1758"/>
      <c r="IQU513" s="1759"/>
      <c r="IQV513" s="1759"/>
      <c r="IQW513" s="1760"/>
      <c r="IQX513" s="385"/>
      <c r="IQY513" s="69"/>
      <c r="IQZ513" s="69"/>
      <c r="IRA513" s="2512"/>
      <c r="IRB513" s="1758"/>
      <c r="IRC513" s="1759"/>
      <c r="IRD513" s="1759"/>
      <c r="IRE513" s="1760"/>
      <c r="IRF513" s="385"/>
      <c r="IRG513" s="69"/>
      <c r="IRH513" s="69"/>
      <c r="IRI513" s="2512"/>
      <c r="IRJ513" s="1758"/>
      <c r="IRK513" s="1759"/>
      <c r="IRL513" s="1759"/>
      <c r="IRM513" s="1760"/>
      <c r="IRN513" s="385"/>
      <c r="IRO513" s="69"/>
      <c r="IRP513" s="69"/>
      <c r="IRQ513" s="2512"/>
      <c r="IRR513" s="1758"/>
      <c r="IRS513" s="1759"/>
      <c r="IRT513" s="1759"/>
      <c r="IRU513" s="1760"/>
      <c r="IRV513" s="385"/>
      <c r="IRW513" s="69"/>
      <c r="IRX513" s="69"/>
      <c r="IRY513" s="2512"/>
      <c r="IRZ513" s="1758"/>
      <c r="ISA513" s="1759"/>
      <c r="ISB513" s="1759"/>
      <c r="ISC513" s="1760"/>
      <c r="ISD513" s="385"/>
      <c r="ISE513" s="69"/>
      <c r="ISF513" s="69"/>
      <c r="ISG513" s="2512"/>
      <c r="ISH513" s="1758"/>
      <c r="ISI513" s="1759"/>
      <c r="ISJ513" s="1759"/>
      <c r="ISK513" s="1760"/>
      <c r="ISL513" s="385"/>
      <c r="ISM513" s="69"/>
      <c r="ISN513" s="69"/>
      <c r="ISO513" s="2512"/>
      <c r="ISP513" s="1758"/>
      <c r="ISQ513" s="1759"/>
      <c r="ISR513" s="1759"/>
      <c r="ISS513" s="1760"/>
      <c r="IST513" s="385"/>
      <c r="ISU513" s="69"/>
      <c r="ISV513" s="69"/>
      <c r="ISW513" s="2512"/>
      <c r="ISX513" s="1758"/>
      <c r="ISY513" s="1759"/>
      <c r="ISZ513" s="1759"/>
      <c r="ITA513" s="1760"/>
      <c r="ITB513" s="385"/>
      <c r="ITC513" s="69"/>
      <c r="ITD513" s="69"/>
      <c r="ITE513" s="2512"/>
      <c r="ITF513" s="1758"/>
      <c r="ITG513" s="1759"/>
      <c r="ITH513" s="1759"/>
      <c r="ITI513" s="1760"/>
      <c r="ITJ513" s="385"/>
      <c r="ITK513" s="69"/>
      <c r="ITL513" s="69"/>
      <c r="ITM513" s="2512"/>
      <c r="ITN513" s="1758"/>
      <c r="ITO513" s="1759"/>
      <c r="ITP513" s="1759"/>
      <c r="ITQ513" s="1760"/>
      <c r="ITR513" s="385"/>
      <c r="ITS513" s="69"/>
      <c r="ITT513" s="69"/>
      <c r="ITU513" s="2512"/>
      <c r="ITV513" s="1758"/>
      <c r="ITW513" s="1759"/>
      <c r="ITX513" s="1759"/>
      <c r="ITY513" s="1760"/>
      <c r="ITZ513" s="385"/>
      <c r="IUA513" s="69"/>
      <c r="IUB513" s="69"/>
      <c r="IUC513" s="2512"/>
      <c r="IUD513" s="1758"/>
      <c r="IUE513" s="1759"/>
      <c r="IUF513" s="1759"/>
      <c r="IUG513" s="1760"/>
      <c r="IUH513" s="385"/>
      <c r="IUI513" s="69"/>
      <c r="IUJ513" s="69"/>
      <c r="IUK513" s="2512"/>
      <c r="IUL513" s="1758"/>
      <c r="IUM513" s="1759"/>
      <c r="IUN513" s="1759"/>
      <c r="IUO513" s="1760"/>
      <c r="IUP513" s="385"/>
      <c r="IUQ513" s="69"/>
      <c r="IUR513" s="69"/>
      <c r="IUS513" s="2512"/>
      <c r="IUT513" s="1758"/>
      <c r="IUU513" s="1759"/>
      <c r="IUV513" s="1759"/>
      <c r="IUW513" s="1760"/>
      <c r="IUX513" s="385"/>
      <c r="IUY513" s="69"/>
      <c r="IUZ513" s="69"/>
      <c r="IVA513" s="2512"/>
      <c r="IVB513" s="1758"/>
      <c r="IVC513" s="1759"/>
      <c r="IVD513" s="1759"/>
      <c r="IVE513" s="1760"/>
      <c r="IVF513" s="385"/>
      <c r="IVG513" s="69"/>
      <c r="IVH513" s="69"/>
      <c r="IVI513" s="2512"/>
      <c r="IVJ513" s="1758"/>
      <c r="IVK513" s="1759"/>
      <c r="IVL513" s="1759"/>
      <c r="IVM513" s="1760"/>
      <c r="IVN513" s="385"/>
      <c r="IVO513" s="69"/>
      <c r="IVP513" s="69"/>
      <c r="IVQ513" s="2512"/>
      <c r="IVR513" s="1758"/>
      <c r="IVS513" s="1759"/>
      <c r="IVT513" s="1759"/>
      <c r="IVU513" s="1760"/>
      <c r="IVV513" s="385"/>
      <c r="IVW513" s="69"/>
      <c r="IVX513" s="69"/>
      <c r="IVY513" s="2512"/>
      <c r="IVZ513" s="1758"/>
      <c r="IWA513" s="1759"/>
      <c r="IWB513" s="1759"/>
      <c r="IWC513" s="1760"/>
      <c r="IWD513" s="385"/>
      <c r="IWE513" s="69"/>
      <c r="IWF513" s="69"/>
      <c r="IWG513" s="2512"/>
      <c r="IWH513" s="1758"/>
      <c r="IWI513" s="1759"/>
      <c r="IWJ513" s="1759"/>
      <c r="IWK513" s="1760"/>
      <c r="IWL513" s="385"/>
      <c r="IWM513" s="69"/>
      <c r="IWN513" s="69"/>
      <c r="IWO513" s="2512"/>
      <c r="IWP513" s="1758"/>
      <c r="IWQ513" s="1759"/>
      <c r="IWR513" s="1759"/>
      <c r="IWS513" s="1760"/>
      <c r="IWT513" s="385"/>
      <c r="IWU513" s="69"/>
      <c r="IWV513" s="69"/>
      <c r="IWW513" s="2512"/>
      <c r="IWX513" s="1758"/>
      <c r="IWY513" s="1759"/>
      <c r="IWZ513" s="1759"/>
      <c r="IXA513" s="1760"/>
      <c r="IXB513" s="385"/>
      <c r="IXC513" s="69"/>
      <c r="IXD513" s="69"/>
      <c r="IXE513" s="2512"/>
      <c r="IXF513" s="1758"/>
      <c r="IXG513" s="1759"/>
      <c r="IXH513" s="1759"/>
      <c r="IXI513" s="1760"/>
      <c r="IXJ513" s="385"/>
      <c r="IXK513" s="69"/>
      <c r="IXL513" s="69"/>
      <c r="IXM513" s="2512"/>
      <c r="IXN513" s="1758"/>
      <c r="IXO513" s="1759"/>
      <c r="IXP513" s="1759"/>
      <c r="IXQ513" s="1760"/>
      <c r="IXR513" s="385"/>
      <c r="IXS513" s="69"/>
      <c r="IXT513" s="69"/>
      <c r="IXU513" s="2512"/>
      <c r="IXV513" s="1758"/>
      <c r="IXW513" s="1759"/>
      <c r="IXX513" s="1759"/>
      <c r="IXY513" s="1760"/>
      <c r="IXZ513" s="385"/>
      <c r="IYA513" s="69"/>
      <c r="IYB513" s="69"/>
      <c r="IYC513" s="2512"/>
      <c r="IYD513" s="1758"/>
      <c r="IYE513" s="1759"/>
      <c r="IYF513" s="1759"/>
      <c r="IYG513" s="1760"/>
      <c r="IYH513" s="385"/>
      <c r="IYI513" s="69"/>
      <c r="IYJ513" s="69"/>
      <c r="IYK513" s="2512"/>
      <c r="IYL513" s="1758"/>
      <c r="IYM513" s="1759"/>
      <c r="IYN513" s="1759"/>
      <c r="IYO513" s="1760"/>
      <c r="IYP513" s="385"/>
      <c r="IYQ513" s="69"/>
      <c r="IYR513" s="69"/>
      <c r="IYS513" s="2512"/>
      <c r="IYT513" s="1758"/>
      <c r="IYU513" s="1759"/>
      <c r="IYV513" s="1759"/>
      <c r="IYW513" s="1760"/>
      <c r="IYX513" s="385"/>
      <c r="IYY513" s="69"/>
      <c r="IYZ513" s="69"/>
      <c r="IZA513" s="2512"/>
      <c r="IZB513" s="1758"/>
      <c r="IZC513" s="1759"/>
      <c r="IZD513" s="1759"/>
      <c r="IZE513" s="1760"/>
      <c r="IZF513" s="385"/>
      <c r="IZG513" s="69"/>
      <c r="IZH513" s="69"/>
      <c r="IZI513" s="2512"/>
      <c r="IZJ513" s="1758"/>
      <c r="IZK513" s="1759"/>
      <c r="IZL513" s="1759"/>
      <c r="IZM513" s="1760"/>
      <c r="IZN513" s="385"/>
      <c r="IZO513" s="69"/>
      <c r="IZP513" s="69"/>
      <c r="IZQ513" s="2512"/>
      <c r="IZR513" s="1758"/>
      <c r="IZS513" s="1759"/>
      <c r="IZT513" s="1759"/>
      <c r="IZU513" s="1760"/>
      <c r="IZV513" s="385"/>
      <c r="IZW513" s="69"/>
      <c r="IZX513" s="69"/>
      <c r="IZY513" s="2512"/>
      <c r="IZZ513" s="1758"/>
      <c r="JAA513" s="1759"/>
      <c r="JAB513" s="1759"/>
      <c r="JAC513" s="1760"/>
      <c r="JAD513" s="385"/>
      <c r="JAE513" s="69"/>
      <c r="JAF513" s="69"/>
      <c r="JAG513" s="2512"/>
      <c r="JAH513" s="1758"/>
      <c r="JAI513" s="1759"/>
      <c r="JAJ513" s="1759"/>
      <c r="JAK513" s="1760"/>
      <c r="JAL513" s="385"/>
      <c r="JAM513" s="69"/>
      <c r="JAN513" s="69"/>
      <c r="JAO513" s="2512"/>
      <c r="JAP513" s="1758"/>
      <c r="JAQ513" s="1759"/>
      <c r="JAR513" s="1759"/>
      <c r="JAS513" s="1760"/>
      <c r="JAT513" s="385"/>
      <c r="JAU513" s="69"/>
      <c r="JAV513" s="69"/>
      <c r="JAW513" s="2512"/>
      <c r="JAX513" s="1758"/>
      <c r="JAY513" s="1759"/>
      <c r="JAZ513" s="1759"/>
      <c r="JBA513" s="1760"/>
      <c r="JBB513" s="385"/>
      <c r="JBC513" s="69"/>
      <c r="JBD513" s="69"/>
      <c r="JBE513" s="2512"/>
      <c r="JBF513" s="1758"/>
      <c r="JBG513" s="1759"/>
      <c r="JBH513" s="1759"/>
      <c r="JBI513" s="1760"/>
      <c r="JBJ513" s="385"/>
      <c r="JBK513" s="69"/>
      <c r="JBL513" s="69"/>
      <c r="JBM513" s="2512"/>
      <c r="JBN513" s="1758"/>
      <c r="JBO513" s="1759"/>
      <c r="JBP513" s="1759"/>
      <c r="JBQ513" s="1760"/>
      <c r="JBR513" s="385"/>
      <c r="JBS513" s="69"/>
      <c r="JBT513" s="69"/>
      <c r="JBU513" s="2512"/>
      <c r="JBV513" s="1758"/>
      <c r="JBW513" s="1759"/>
      <c r="JBX513" s="1759"/>
      <c r="JBY513" s="1760"/>
      <c r="JBZ513" s="385"/>
      <c r="JCA513" s="69"/>
      <c r="JCB513" s="69"/>
      <c r="JCC513" s="2512"/>
      <c r="JCD513" s="1758"/>
      <c r="JCE513" s="1759"/>
      <c r="JCF513" s="1759"/>
      <c r="JCG513" s="1760"/>
      <c r="JCH513" s="385"/>
      <c r="JCI513" s="69"/>
      <c r="JCJ513" s="69"/>
      <c r="JCK513" s="2512"/>
      <c r="JCL513" s="1758"/>
      <c r="JCM513" s="1759"/>
      <c r="JCN513" s="1759"/>
      <c r="JCO513" s="1760"/>
      <c r="JCP513" s="385"/>
      <c r="JCQ513" s="69"/>
      <c r="JCR513" s="69"/>
      <c r="JCS513" s="2512"/>
      <c r="JCT513" s="1758"/>
      <c r="JCU513" s="1759"/>
      <c r="JCV513" s="1759"/>
      <c r="JCW513" s="1760"/>
      <c r="JCX513" s="385"/>
      <c r="JCY513" s="69"/>
      <c r="JCZ513" s="69"/>
      <c r="JDA513" s="2512"/>
      <c r="JDB513" s="1758"/>
      <c r="JDC513" s="1759"/>
      <c r="JDD513" s="1759"/>
      <c r="JDE513" s="1760"/>
      <c r="JDF513" s="385"/>
      <c r="JDG513" s="69"/>
      <c r="JDH513" s="69"/>
      <c r="JDI513" s="2512"/>
      <c r="JDJ513" s="1758"/>
      <c r="JDK513" s="1759"/>
      <c r="JDL513" s="1759"/>
      <c r="JDM513" s="1760"/>
      <c r="JDN513" s="385"/>
      <c r="JDO513" s="69"/>
      <c r="JDP513" s="69"/>
      <c r="JDQ513" s="2512"/>
      <c r="JDR513" s="1758"/>
      <c r="JDS513" s="1759"/>
      <c r="JDT513" s="1759"/>
      <c r="JDU513" s="1760"/>
      <c r="JDV513" s="385"/>
      <c r="JDW513" s="69"/>
      <c r="JDX513" s="69"/>
      <c r="JDY513" s="2512"/>
      <c r="JDZ513" s="1758"/>
      <c r="JEA513" s="1759"/>
      <c r="JEB513" s="1759"/>
      <c r="JEC513" s="1760"/>
      <c r="JED513" s="385"/>
      <c r="JEE513" s="69"/>
      <c r="JEF513" s="69"/>
      <c r="JEG513" s="2512"/>
      <c r="JEH513" s="1758"/>
      <c r="JEI513" s="1759"/>
      <c r="JEJ513" s="1759"/>
      <c r="JEK513" s="1760"/>
      <c r="JEL513" s="385"/>
      <c r="JEM513" s="69"/>
      <c r="JEN513" s="69"/>
      <c r="JEO513" s="2512"/>
      <c r="JEP513" s="1758"/>
      <c r="JEQ513" s="1759"/>
      <c r="JER513" s="1759"/>
      <c r="JES513" s="1760"/>
      <c r="JET513" s="385"/>
      <c r="JEU513" s="69"/>
      <c r="JEV513" s="69"/>
      <c r="JEW513" s="2512"/>
      <c r="JEX513" s="1758"/>
      <c r="JEY513" s="1759"/>
      <c r="JEZ513" s="1759"/>
      <c r="JFA513" s="1760"/>
      <c r="JFB513" s="385"/>
      <c r="JFC513" s="69"/>
      <c r="JFD513" s="69"/>
      <c r="JFE513" s="2512"/>
      <c r="JFF513" s="1758"/>
      <c r="JFG513" s="1759"/>
      <c r="JFH513" s="1759"/>
      <c r="JFI513" s="1760"/>
      <c r="JFJ513" s="385"/>
      <c r="JFK513" s="69"/>
      <c r="JFL513" s="69"/>
      <c r="JFM513" s="2512"/>
      <c r="JFN513" s="1758"/>
      <c r="JFO513" s="1759"/>
      <c r="JFP513" s="1759"/>
      <c r="JFQ513" s="1760"/>
      <c r="JFR513" s="385"/>
      <c r="JFS513" s="69"/>
      <c r="JFT513" s="69"/>
      <c r="JFU513" s="2512"/>
      <c r="JFV513" s="1758"/>
      <c r="JFW513" s="1759"/>
      <c r="JFX513" s="1759"/>
      <c r="JFY513" s="1760"/>
      <c r="JFZ513" s="385"/>
      <c r="JGA513" s="69"/>
      <c r="JGB513" s="69"/>
      <c r="JGC513" s="2512"/>
      <c r="JGD513" s="1758"/>
      <c r="JGE513" s="1759"/>
      <c r="JGF513" s="1759"/>
      <c r="JGG513" s="1760"/>
      <c r="JGH513" s="385"/>
      <c r="JGI513" s="69"/>
      <c r="JGJ513" s="69"/>
      <c r="JGK513" s="2512"/>
      <c r="JGL513" s="1758"/>
      <c r="JGM513" s="1759"/>
      <c r="JGN513" s="1759"/>
      <c r="JGO513" s="1760"/>
      <c r="JGP513" s="385"/>
      <c r="JGQ513" s="69"/>
      <c r="JGR513" s="69"/>
      <c r="JGS513" s="2512"/>
      <c r="JGT513" s="1758"/>
      <c r="JGU513" s="1759"/>
      <c r="JGV513" s="1759"/>
      <c r="JGW513" s="1760"/>
      <c r="JGX513" s="385"/>
      <c r="JGY513" s="69"/>
      <c r="JGZ513" s="69"/>
      <c r="JHA513" s="2512"/>
      <c r="JHB513" s="1758"/>
      <c r="JHC513" s="1759"/>
      <c r="JHD513" s="1759"/>
      <c r="JHE513" s="1760"/>
      <c r="JHF513" s="385"/>
      <c r="JHG513" s="69"/>
      <c r="JHH513" s="69"/>
      <c r="JHI513" s="2512"/>
      <c r="JHJ513" s="1758"/>
      <c r="JHK513" s="1759"/>
      <c r="JHL513" s="1759"/>
      <c r="JHM513" s="1760"/>
      <c r="JHN513" s="385"/>
      <c r="JHO513" s="69"/>
      <c r="JHP513" s="69"/>
      <c r="JHQ513" s="2512"/>
      <c r="JHR513" s="1758"/>
      <c r="JHS513" s="1759"/>
      <c r="JHT513" s="1759"/>
      <c r="JHU513" s="1760"/>
      <c r="JHV513" s="385"/>
      <c r="JHW513" s="69"/>
      <c r="JHX513" s="69"/>
      <c r="JHY513" s="2512"/>
      <c r="JHZ513" s="1758"/>
      <c r="JIA513" s="1759"/>
      <c r="JIB513" s="1759"/>
      <c r="JIC513" s="1760"/>
      <c r="JID513" s="385"/>
      <c r="JIE513" s="69"/>
      <c r="JIF513" s="69"/>
      <c r="JIG513" s="2512"/>
      <c r="JIH513" s="1758"/>
      <c r="JII513" s="1759"/>
      <c r="JIJ513" s="1759"/>
      <c r="JIK513" s="1760"/>
      <c r="JIL513" s="385"/>
      <c r="JIM513" s="69"/>
      <c r="JIN513" s="69"/>
      <c r="JIO513" s="2512"/>
      <c r="JIP513" s="1758"/>
      <c r="JIQ513" s="1759"/>
      <c r="JIR513" s="1759"/>
      <c r="JIS513" s="1760"/>
      <c r="JIT513" s="385"/>
      <c r="JIU513" s="69"/>
      <c r="JIV513" s="69"/>
      <c r="JIW513" s="2512"/>
      <c r="JIX513" s="1758"/>
      <c r="JIY513" s="1759"/>
      <c r="JIZ513" s="1759"/>
      <c r="JJA513" s="1760"/>
      <c r="JJB513" s="385"/>
      <c r="JJC513" s="69"/>
      <c r="JJD513" s="69"/>
      <c r="JJE513" s="2512"/>
      <c r="JJF513" s="1758"/>
      <c r="JJG513" s="1759"/>
      <c r="JJH513" s="1759"/>
      <c r="JJI513" s="1760"/>
      <c r="JJJ513" s="385"/>
      <c r="JJK513" s="69"/>
      <c r="JJL513" s="69"/>
      <c r="JJM513" s="2512"/>
      <c r="JJN513" s="1758"/>
      <c r="JJO513" s="1759"/>
      <c r="JJP513" s="1759"/>
      <c r="JJQ513" s="1760"/>
      <c r="JJR513" s="385"/>
      <c r="JJS513" s="69"/>
      <c r="JJT513" s="69"/>
      <c r="JJU513" s="2512"/>
      <c r="JJV513" s="1758"/>
      <c r="JJW513" s="1759"/>
      <c r="JJX513" s="1759"/>
      <c r="JJY513" s="1760"/>
      <c r="JJZ513" s="385"/>
      <c r="JKA513" s="69"/>
      <c r="JKB513" s="69"/>
      <c r="JKC513" s="2512"/>
      <c r="JKD513" s="1758"/>
      <c r="JKE513" s="1759"/>
      <c r="JKF513" s="1759"/>
      <c r="JKG513" s="1760"/>
      <c r="JKH513" s="385"/>
      <c r="JKI513" s="69"/>
      <c r="JKJ513" s="69"/>
      <c r="JKK513" s="2512"/>
      <c r="JKL513" s="1758"/>
      <c r="JKM513" s="1759"/>
      <c r="JKN513" s="1759"/>
      <c r="JKO513" s="1760"/>
      <c r="JKP513" s="385"/>
      <c r="JKQ513" s="69"/>
      <c r="JKR513" s="69"/>
      <c r="JKS513" s="2512"/>
      <c r="JKT513" s="1758"/>
      <c r="JKU513" s="1759"/>
      <c r="JKV513" s="1759"/>
      <c r="JKW513" s="1760"/>
      <c r="JKX513" s="385"/>
      <c r="JKY513" s="69"/>
      <c r="JKZ513" s="69"/>
      <c r="JLA513" s="2512"/>
      <c r="JLB513" s="1758"/>
      <c r="JLC513" s="1759"/>
      <c r="JLD513" s="1759"/>
      <c r="JLE513" s="1760"/>
      <c r="JLF513" s="385"/>
      <c r="JLG513" s="69"/>
      <c r="JLH513" s="69"/>
      <c r="JLI513" s="2512"/>
      <c r="JLJ513" s="1758"/>
      <c r="JLK513" s="1759"/>
      <c r="JLL513" s="1759"/>
      <c r="JLM513" s="1760"/>
      <c r="JLN513" s="385"/>
      <c r="JLO513" s="69"/>
      <c r="JLP513" s="69"/>
      <c r="JLQ513" s="2512"/>
      <c r="JLR513" s="1758"/>
      <c r="JLS513" s="1759"/>
      <c r="JLT513" s="1759"/>
      <c r="JLU513" s="1760"/>
      <c r="JLV513" s="385"/>
      <c r="JLW513" s="69"/>
      <c r="JLX513" s="69"/>
      <c r="JLY513" s="2512"/>
      <c r="JLZ513" s="1758"/>
      <c r="JMA513" s="1759"/>
      <c r="JMB513" s="1759"/>
      <c r="JMC513" s="1760"/>
      <c r="JMD513" s="385"/>
      <c r="JME513" s="69"/>
      <c r="JMF513" s="69"/>
      <c r="JMG513" s="2512"/>
      <c r="JMH513" s="1758"/>
      <c r="JMI513" s="1759"/>
      <c r="JMJ513" s="1759"/>
      <c r="JMK513" s="1760"/>
      <c r="JML513" s="385"/>
      <c r="JMM513" s="69"/>
      <c r="JMN513" s="69"/>
      <c r="JMO513" s="2512"/>
      <c r="JMP513" s="1758"/>
      <c r="JMQ513" s="1759"/>
      <c r="JMR513" s="1759"/>
      <c r="JMS513" s="1760"/>
      <c r="JMT513" s="385"/>
      <c r="JMU513" s="69"/>
      <c r="JMV513" s="69"/>
      <c r="JMW513" s="2512"/>
      <c r="JMX513" s="1758"/>
      <c r="JMY513" s="1759"/>
      <c r="JMZ513" s="1759"/>
      <c r="JNA513" s="1760"/>
      <c r="JNB513" s="385"/>
      <c r="JNC513" s="69"/>
      <c r="JND513" s="69"/>
      <c r="JNE513" s="2512"/>
      <c r="JNF513" s="1758"/>
      <c r="JNG513" s="1759"/>
      <c r="JNH513" s="1759"/>
      <c r="JNI513" s="1760"/>
      <c r="JNJ513" s="385"/>
      <c r="JNK513" s="69"/>
      <c r="JNL513" s="69"/>
      <c r="JNM513" s="2512"/>
      <c r="JNN513" s="1758"/>
      <c r="JNO513" s="1759"/>
      <c r="JNP513" s="1759"/>
      <c r="JNQ513" s="1760"/>
      <c r="JNR513" s="385"/>
      <c r="JNS513" s="69"/>
      <c r="JNT513" s="69"/>
      <c r="JNU513" s="2512"/>
      <c r="JNV513" s="1758"/>
      <c r="JNW513" s="1759"/>
      <c r="JNX513" s="1759"/>
      <c r="JNY513" s="1760"/>
      <c r="JNZ513" s="385"/>
      <c r="JOA513" s="69"/>
      <c r="JOB513" s="69"/>
      <c r="JOC513" s="2512"/>
      <c r="JOD513" s="1758"/>
      <c r="JOE513" s="1759"/>
      <c r="JOF513" s="1759"/>
      <c r="JOG513" s="1760"/>
      <c r="JOH513" s="385"/>
      <c r="JOI513" s="69"/>
      <c r="JOJ513" s="69"/>
      <c r="JOK513" s="2512"/>
      <c r="JOL513" s="1758"/>
      <c r="JOM513" s="1759"/>
      <c r="JON513" s="1759"/>
      <c r="JOO513" s="1760"/>
      <c r="JOP513" s="385"/>
      <c r="JOQ513" s="69"/>
      <c r="JOR513" s="69"/>
      <c r="JOS513" s="2512"/>
      <c r="JOT513" s="1758"/>
      <c r="JOU513" s="1759"/>
      <c r="JOV513" s="1759"/>
      <c r="JOW513" s="1760"/>
      <c r="JOX513" s="385"/>
      <c r="JOY513" s="69"/>
      <c r="JOZ513" s="69"/>
      <c r="JPA513" s="2512"/>
      <c r="JPB513" s="1758"/>
      <c r="JPC513" s="1759"/>
      <c r="JPD513" s="1759"/>
      <c r="JPE513" s="1760"/>
      <c r="JPF513" s="385"/>
      <c r="JPG513" s="69"/>
      <c r="JPH513" s="69"/>
      <c r="JPI513" s="2512"/>
      <c r="JPJ513" s="1758"/>
      <c r="JPK513" s="1759"/>
      <c r="JPL513" s="1759"/>
      <c r="JPM513" s="1760"/>
      <c r="JPN513" s="385"/>
      <c r="JPO513" s="69"/>
      <c r="JPP513" s="69"/>
      <c r="JPQ513" s="2512"/>
      <c r="JPR513" s="1758"/>
      <c r="JPS513" s="1759"/>
      <c r="JPT513" s="1759"/>
      <c r="JPU513" s="1760"/>
      <c r="JPV513" s="385"/>
      <c r="JPW513" s="69"/>
      <c r="JPX513" s="69"/>
      <c r="JPY513" s="2512"/>
      <c r="JPZ513" s="1758"/>
      <c r="JQA513" s="1759"/>
      <c r="JQB513" s="1759"/>
      <c r="JQC513" s="1760"/>
      <c r="JQD513" s="385"/>
      <c r="JQE513" s="69"/>
      <c r="JQF513" s="69"/>
      <c r="JQG513" s="2512"/>
      <c r="JQH513" s="1758"/>
      <c r="JQI513" s="1759"/>
      <c r="JQJ513" s="1759"/>
      <c r="JQK513" s="1760"/>
      <c r="JQL513" s="385"/>
      <c r="JQM513" s="69"/>
      <c r="JQN513" s="69"/>
      <c r="JQO513" s="2512"/>
      <c r="JQP513" s="1758"/>
      <c r="JQQ513" s="1759"/>
      <c r="JQR513" s="1759"/>
      <c r="JQS513" s="1760"/>
      <c r="JQT513" s="385"/>
      <c r="JQU513" s="69"/>
      <c r="JQV513" s="69"/>
      <c r="JQW513" s="2512"/>
      <c r="JQX513" s="1758"/>
      <c r="JQY513" s="1759"/>
      <c r="JQZ513" s="1759"/>
      <c r="JRA513" s="1760"/>
      <c r="JRB513" s="385"/>
      <c r="JRC513" s="69"/>
      <c r="JRD513" s="69"/>
      <c r="JRE513" s="2512"/>
      <c r="JRF513" s="1758"/>
      <c r="JRG513" s="1759"/>
      <c r="JRH513" s="1759"/>
      <c r="JRI513" s="1760"/>
      <c r="JRJ513" s="385"/>
      <c r="JRK513" s="69"/>
      <c r="JRL513" s="69"/>
      <c r="JRM513" s="2512"/>
      <c r="JRN513" s="1758"/>
      <c r="JRO513" s="1759"/>
      <c r="JRP513" s="1759"/>
      <c r="JRQ513" s="1760"/>
      <c r="JRR513" s="385"/>
      <c r="JRS513" s="69"/>
      <c r="JRT513" s="69"/>
      <c r="JRU513" s="2512"/>
      <c r="JRV513" s="1758"/>
      <c r="JRW513" s="1759"/>
      <c r="JRX513" s="1759"/>
      <c r="JRY513" s="1760"/>
      <c r="JRZ513" s="385"/>
      <c r="JSA513" s="69"/>
      <c r="JSB513" s="69"/>
      <c r="JSC513" s="2512"/>
      <c r="JSD513" s="1758"/>
      <c r="JSE513" s="1759"/>
      <c r="JSF513" s="1759"/>
      <c r="JSG513" s="1760"/>
      <c r="JSH513" s="385"/>
      <c r="JSI513" s="69"/>
      <c r="JSJ513" s="69"/>
      <c r="JSK513" s="2512"/>
      <c r="JSL513" s="1758"/>
      <c r="JSM513" s="1759"/>
      <c r="JSN513" s="1759"/>
      <c r="JSO513" s="1760"/>
      <c r="JSP513" s="385"/>
      <c r="JSQ513" s="69"/>
      <c r="JSR513" s="69"/>
      <c r="JSS513" s="2512"/>
      <c r="JST513" s="1758"/>
      <c r="JSU513" s="1759"/>
      <c r="JSV513" s="1759"/>
      <c r="JSW513" s="1760"/>
      <c r="JSX513" s="385"/>
      <c r="JSY513" s="69"/>
      <c r="JSZ513" s="69"/>
      <c r="JTA513" s="2512"/>
      <c r="JTB513" s="1758"/>
      <c r="JTC513" s="1759"/>
      <c r="JTD513" s="1759"/>
      <c r="JTE513" s="1760"/>
      <c r="JTF513" s="385"/>
      <c r="JTG513" s="69"/>
      <c r="JTH513" s="69"/>
      <c r="JTI513" s="2512"/>
      <c r="JTJ513" s="1758"/>
      <c r="JTK513" s="1759"/>
      <c r="JTL513" s="1759"/>
      <c r="JTM513" s="1760"/>
      <c r="JTN513" s="385"/>
      <c r="JTO513" s="69"/>
      <c r="JTP513" s="69"/>
      <c r="JTQ513" s="2512"/>
      <c r="JTR513" s="1758"/>
      <c r="JTS513" s="1759"/>
      <c r="JTT513" s="1759"/>
      <c r="JTU513" s="1760"/>
      <c r="JTV513" s="385"/>
      <c r="JTW513" s="69"/>
      <c r="JTX513" s="69"/>
      <c r="JTY513" s="2512"/>
      <c r="JTZ513" s="1758"/>
      <c r="JUA513" s="1759"/>
      <c r="JUB513" s="1759"/>
      <c r="JUC513" s="1760"/>
      <c r="JUD513" s="385"/>
      <c r="JUE513" s="69"/>
      <c r="JUF513" s="69"/>
      <c r="JUG513" s="2512"/>
      <c r="JUH513" s="1758"/>
      <c r="JUI513" s="1759"/>
      <c r="JUJ513" s="1759"/>
      <c r="JUK513" s="1760"/>
      <c r="JUL513" s="385"/>
      <c r="JUM513" s="69"/>
      <c r="JUN513" s="69"/>
      <c r="JUO513" s="2512"/>
      <c r="JUP513" s="1758"/>
      <c r="JUQ513" s="1759"/>
      <c r="JUR513" s="1759"/>
      <c r="JUS513" s="1760"/>
      <c r="JUT513" s="385"/>
      <c r="JUU513" s="69"/>
      <c r="JUV513" s="69"/>
      <c r="JUW513" s="2512"/>
      <c r="JUX513" s="1758"/>
      <c r="JUY513" s="1759"/>
      <c r="JUZ513" s="1759"/>
      <c r="JVA513" s="1760"/>
      <c r="JVB513" s="385"/>
      <c r="JVC513" s="69"/>
      <c r="JVD513" s="69"/>
      <c r="JVE513" s="2512"/>
      <c r="JVF513" s="1758"/>
      <c r="JVG513" s="1759"/>
      <c r="JVH513" s="1759"/>
      <c r="JVI513" s="1760"/>
      <c r="JVJ513" s="385"/>
      <c r="JVK513" s="69"/>
      <c r="JVL513" s="69"/>
      <c r="JVM513" s="2512"/>
      <c r="JVN513" s="1758"/>
      <c r="JVO513" s="1759"/>
      <c r="JVP513" s="1759"/>
      <c r="JVQ513" s="1760"/>
      <c r="JVR513" s="385"/>
      <c r="JVS513" s="69"/>
      <c r="JVT513" s="69"/>
      <c r="JVU513" s="2512"/>
      <c r="JVV513" s="1758"/>
      <c r="JVW513" s="1759"/>
      <c r="JVX513" s="1759"/>
      <c r="JVY513" s="1760"/>
      <c r="JVZ513" s="385"/>
      <c r="JWA513" s="69"/>
      <c r="JWB513" s="69"/>
      <c r="JWC513" s="2512"/>
      <c r="JWD513" s="1758"/>
      <c r="JWE513" s="1759"/>
      <c r="JWF513" s="1759"/>
      <c r="JWG513" s="1760"/>
      <c r="JWH513" s="385"/>
      <c r="JWI513" s="69"/>
      <c r="JWJ513" s="69"/>
      <c r="JWK513" s="2512"/>
      <c r="JWL513" s="1758"/>
      <c r="JWM513" s="1759"/>
      <c r="JWN513" s="1759"/>
      <c r="JWO513" s="1760"/>
      <c r="JWP513" s="385"/>
      <c r="JWQ513" s="69"/>
      <c r="JWR513" s="69"/>
      <c r="JWS513" s="2512"/>
      <c r="JWT513" s="1758"/>
      <c r="JWU513" s="1759"/>
      <c r="JWV513" s="1759"/>
      <c r="JWW513" s="1760"/>
      <c r="JWX513" s="385"/>
      <c r="JWY513" s="69"/>
      <c r="JWZ513" s="69"/>
      <c r="JXA513" s="2512"/>
      <c r="JXB513" s="1758"/>
      <c r="JXC513" s="1759"/>
      <c r="JXD513" s="1759"/>
      <c r="JXE513" s="1760"/>
      <c r="JXF513" s="385"/>
      <c r="JXG513" s="69"/>
      <c r="JXH513" s="69"/>
      <c r="JXI513" s="2512"/>
      <c r="JXJ513" s="1758"/>
      <c r="JXK513" s="1759"/>
      <c r="JXL513" s="1759"/>
      <c r="JXM513" s="1760"/>
      <c r="JXN513" s="385"/>
      <c r="JXO513" s="69"/>
      <c r="JXP513" s="69"/>
      <c r="JXQ513" s="2512"/>
      <c r="JXR513" s="1758"/>
      <c r="JXS513" s="1759"/>
      <c r="JXT513" s="1759"/>
      <c r="JXU513" s="1760"/>
      <c r="JXV513" s="385"/>
      <c r="JXW513" s="69"/>
      <c r="JXX513" s="69"/>
      <c r="JXY513" s="2512"/>
      <c r="JXZ513" s="1758"/>
      <c r="JYA513" s="1759"/>
      <c r="JYB513" s="1759"/>
      <c r="JYC513" s="1760"/>
      <c r="JYD513" s="385"/>
      <c r="JYE513" s="69"/>
      <c r="JYF513" s="69"/>
      <c r="JYG513" s="2512"/>
      <c r="JYH513" s="1758"/>
      <c r="JYI513" s="1759"/>
      <c r="JYJ513" s="1759"/>
      <c r="JYK513" s="1760"/>
      <c r="JYL513" s="385"/>
      <c r="JYM513" s="69"/>
      <c r="JYN513" s="69"/>
      <c r="JYO513" s="2512"/>
      <c r="JYP513" s="1758"/>
      <c r="JYQ513" s="1759"/>
      <c r="JYR513" s="1759"/>
      <c r="JYS513" s="1760"/>
      <c r="JYT513" s="385"/>
      <c r="JYU513" s="69"/>
      <c r="JYV513" s="69"/>
      <c r="JYW513" s="2512"/>
      <c r="JYX513" s="1758"/>
      <c r="JYY513" s="1759"/>
      <c r="JYZ513" s="1759"/>
      <c r="JZA513" s="1760"/>
      <c r="JZB513" s="385"/>
      <c r="JZC513" s="69"/>
      <c r="JZD513" s="69"/>
      <c r="JZE513" s="2512"/>
      <c r="JZF513" s="1758"/>
      <c r="JZG513" s="1759"/>
      <c r="JZH513" s="1759"/>
      <c r="JZI513" s="1760"/>
      <c r="JZJ513" s="385"/>
      <c r="JZK513" s="69"/>
      <c r="JZL513" s="69"/>
      <c r="JZM513" s="2512"/>
      <c r="JZN513" s="1758"/>
      <c r="JZO513" s="1759"/>
      <c r="JZP513" s="1759"/>
      <c r="JZQ513" s="1760"/>
      <c r="JZR513" s="385"/>
      <c r="JZS513" s="69"/>
      <c r="JZT513" s="69"/>
      <c r="JZU513" s="2512"/>
      <c r="JZV513" s="1758"/>
      <c r="JZW513" s="1759"/>
      <c r="JZX513" s="1759"/>
      <c r="JZY513" s="1760"/>
      <c r="JZZ513" s="385"/>
      <c r="KAA513" s="69"/>
      <c r="KAB513" s="69"/>
      <c r="KAC513" s="2512"/>
      <c r="KAD513" s="1758"/>
      <c r="KAE513" s="1759"/>
      <c r="KAF513" s="1759"/>
      <c r="KAG513" s="1760"/>
      <c r="KAH513" s="385"/>
      <c r="KAI513" s="69"/>
      <c r="KAJ513" s="69"/>
      <c r="KAK513" s="2512"/>
      <c r="KAL513" s="1758"/>
      <c r="KAM513" s="1759"/>
      <c r="KAN513" s="1759"/>
      <c r="KAO513" s="1760"/>
      <c r="KAP513" s="385"/>
      <c r="KAQ513" s="69"/>
      <c r="KAR513" s="69"/>
      <c r="KAS513" s="2512"/>
      <c r="KAT513" s="1758"/>
      <c r="KAU513" s="1759"/>
      <c r="KAV513" s="1759"/>
      <c r="KAW513" s="1760"/>
      <c r="KAX513" s="385"/>
      <c r="KAY513" s="69"/>
      <c r="KAZ513" s="69"/>
      <c r="KBA513" s="2512"/>
      <c r="KBB513" s="1758"/>
      <c r="KBC513" s="1759"/>
      <c r="KBD513" s="1759"/>
      <c r="KBE513" s="1760"/>
      <c r="KBF513" s="385"/>
      <c r="KBG513" s="69"/>
      <c r="KBH513" s="69"/>
      <c r="KBI513" s="2512"/>
      <c r="KBJ513" s="1758"/>
      <c r="KBK513" s="1759"/>
      <c r="KBL513" s="1759"/>
      <c r="KBM513" s="1760"/>
      <c r="KBN513" s="385"/>
      <c r="KBO513" s="69"/>
      <c r="KBP513" s="69"/>
      <c r="KBQ513" s="2512"/>
      <c r="KBR513" s="1758"/>
      <c r="KBS513" s="1759"/>
      <c r="KBT513" s="1759"/>
      <c r="KBU513" s="1760"/>
      <c r="KBV513" s="385"/>
      <c r="KBW513" s="69"/>
      <c r="KBX513" s="69"/>
      <c r="KBY513" s="2512"/>
      <c r="KBZ513" s="1758"/>
      <c r="KCA513" s="1759"/>
      <c r="KCB513" s="1759"/>
      <c r="KCC513" s="1760"/>
      <c r="KCD513" s="385"/>
      <c r="KCE513" s="69"/>
      <c r="KCF513" s="69"/>
      <c r="KCG513" s="2512"/>
      <c r="KCH513" s="1758"/>
      <c r="KCI513" s="1759"/>
      <c r="KCJ513" s="1759"/>
      <c r="KCK513" s="1760"/>
      <c r="KCL513" s="385"/>
      <c r="KCM513" s="69"/>
      <c r="KCN513" s="69"/>
      <c r="KCO513" s="2512"/>
      <c r="KCP513" s="1758"/>
      <c r="KCQ513" s="1759"/>
      <c r="KCR513" s="1759"/>
      <c r="KCS513" s="1760"/>
      <c r="KCT513" s="385"/>
      <c r="KCU513" s="69"/>
      <c r="KCV513" s="69"/>
      <c r="KCW513" s="2512"/>
      <c r="KCX513" s="1758"/>
      <c r="KCY513" s="1759"/>
      <c r="KCZ513" s="1759"/>
      <c r="KDA513" s="1760"/>
      <c r="KDB513" s="385"/>
      <c r="KDC513" s="69"/>
      <c r="KDD513" s="69"/>
      <c r="KDE513" s="2512"/>
      <c r="KDF513" s="1758"/>
      <c r="KDG513" s="1759"/>
      <c r="KDH513" s="1759"/>
      <c r="KDI513" s="1760"/>
      <c r="KDJ513" s="385"/>
      <c r="KDK513" s="69"/>
      <c r="KDL513" s="69"/>
      <c r="KDM513" s="2512"/>
      <c r="KDN513" s="1758"/>
      <c r="KDO513" s="1759"/>
      <c r="KDP513" s="1759"/>
      <c r="KDQ513" s="1760"/>
      <c r="KDR513" s="385"/>
      <c r="KDS513" s="69"/>
      <c r="KDT513" s="69"/>
      <c r="KDU513" s="2512"/>
      <c r="KDV513" s="1758"/>
      <c r="KDW513" s="1759"/>
      <c r="KDX513" s="1759"/>
      <c r="KDY513" s="1760"/>
      <c r="KDZ513" s="385"/>
      <c r="KEA513" s="69"/>
      <c r="KEB513" s="69"/>
      <c r="KEC513" s="2512"/>
      <c r="KED513" s="1758"/>
      <c r="KEE513" s="1759"/>
      <c r="KEF513" s="1759"/>
      <c r="KEG513" s="1760"/>
      <c r="KEH513" s="385"/>
      <c r="KEI513" s="69"/>
      <c r="KEJ513" s="69"/>
      <c r="KEK513" s="2512"/>
      <c r="KEL513" s="1758"/>
      <c r="KEM513" s="1759"/>
      <c r="KEN513" s="1759"/>
      <c r="KEO513" s="1760"/>
      <c r="KEP513" s="385"/>
      <c r="KEQ513" s="69"/>
      <c r="KER513" s="69"/>
      <c r="KES513" s="2512"/>
      <c r="KET513" s="1758"/>
      <c r="KEU513" s="1759"/>
      <c r="KEV513" s="1759"/>
      <c r="KEW513" s="1760"/>
      <c r="KEX513" s="385"/>
      <c r="KEY513" s="69"/>
      <c r="KEZ513" s="69"/>
      <c r="KFA513" s="2512"/>
      <c r="KFB513" s="1758"/>
      <c r="KFC513" s="1759"/>
      <c r="KFD513" s="1759"/>
      <c r="KFE513" s="1760"/>
      <c r="KFF513" s="385"/>
      <c r="KFG513" s="69"/>
      <c r="KFH513" s="69"/>
      <c r="KFI513" s="2512"/>
      <c r="KFJ513" s="1758"/>
      <c r="KFK513" s="1759"/>
      <c r="KFL513" s="1759"/>
      <c r="KFM513" s="1760"/>
      <c r="KFN513" s="385"/>
      <c r="KFO513" s="69"/>
      <c r="KFP513" s="69"/>
      <c r="KFQ513" s="2512"/>
      <c r="KFR513" s="1758"/>
      <c r="KFS513" s="1759"/>
      <c r="KFT513" s="1759"/>
      <c r="KFU513" s="1760"/>
      <c r="KFV513" s="385"/>
      <c r="KFW513" s="69"/>
      <c r="KFX513" s="69"/>
      <c r="KFY513" s="2512"/>
      <c r="KFZ513" s="1758"/>
      <c r="KGA513" s="1759"/>
      <c r="KGB513" s="1759"/>
      <c r="KGC513" s="1760"/>
      <c r="KGD513" s="385"/>
      <c r="KGE513" s="69"/>
      <c r="KGF513" s="69"/>
      <c r="KGG513" s="2512"/>
      <c r="KGH513" s="1758"/>
      <c r="KGI513" s="1759"/>
      <c r="KGJ513" s="1759"/>
      <c r="KGK513" s="1760"/>
      <c r="KGL513" s="385"/>
      <c r="KGM513" s="69"/>
      <c r="KGN513" s="69"/>
      <c r="KGO513" s="2512"/>
      <c r="KGP513" s="1758"/>
      <c r="KGQ513" s="1759"/>
      <c r="KGR513" s="1759"/>
      <c r="KGS513" s="1760"/>
      <c r="KGT513" s="385"/>
      <c r="KGU513" s="69"/>
      <c r="KGV513" s="69"/>
      <c r="KGW513" s="2512"/>
      <c r="KGX513" s="1758"/>
      <c r="KGY513" s="1759"/>
      <c r="KGZ513" s="1759"/>
      <c r="KHA513" s="1760"/>
      <c r="KHB513" s="385"/>
      <c r="KHC513" s="69"/>
      <c r="KHD513" s="69"/>
      <c r="KHE513" s="2512"/>
      <c r="KHF513" s="1758"/>
      <c r="KHG513" s="1759"/>
      <c r="KHH513" s="1759"/>
      <c r="KHI513" s="1760"/>
      <c r="KHJ513" s="385"/>
      <c r="KHK513" s="69"/>
      <c r="KHL513" s="69"/>
      <c r="KHM513" s="2512"/>
      <c r="KHN513" s="1758"/>
      <c r="KHO513" s="1759"/>
      <c r="KHP513" s="1759"/>
      <c r="KHQ513" s="1760"/>
      <c r="KHR513" s="385"/>
      <c r="KHS513" s="69"/>
      <c r="KHT513" s="69"/>
      <c r="KHU513" s="2512"/>
      <c r="KHV513" s="1758"/>
      <c r="KHW513" s="1759"/>
      <c r="KHX513" s="1759"/>
      <c r="KHY513" s="1760"/>
      <c r="KHZ513" s="385"/>
      <c r="KIA513" s="69"/>
      <c r="KIB513" s="69"/>
      <c r="KIC513" s="2512"/>
      <c r="KID513" s="1758"/>
      <c r="KIE513" s="1759"/>
      <c r="KIF513" s="1759"/>
      <c r="KIG513" s="1760"/>
      <c r="KIH513" s="385"/>
      <c r="KII513" s="69"/>
      <c r="KIJ513" s="69"/>
      <c r="KIK513" s="2512"/>
      <c r="KIL513" s="1758"/>
      <c r="KIM513" s="1759"/>
      <c r="KIN513" s="1759"/>
      <c r="KIO513" s="1760"/>
      <c r="KIP513" s="385"/>
      <c r="KIQ513" s="69"/>
      <c r="KIR513" s="69"/>
      <c r="KIS513" s="2512"/>
      <c r="KIT513" s="1758"/>
      <c r="KIU513" s="1759"/>
      <c r="KIV513" s="1759"/>
      <c r="KIW513" s="1760"/>
      <c r="KIX513" s="385"/>
      <c r="KIY513" s="69"/>
      <c r="KIZ513" s="69"/>
      <c r="KJA513" s="2512"/>
      <c r="KJB513" s="1758"/>
      <c r="KJC513" s="1759"/>
      <c r="KJD513" s="1759"/>
      <c r="KJE513" s="1760"/>
      <c r="KJF513" s="385"/>
      <c r="KJG513" s="69"/>
      <c r="KJH513" s="69"/>
      <c r="KJI513" s="2512"/>
      <c r="KJJ513" s="1758"/>
      <c r="KJK513" s="1759"/>
      <c r="KJL513" s="1759"/>
      <c r="KJM513" s="1760"/>
      <c r="KJN513" s="385"/>
      <c r="KJO513" s="69"/>
      <c r="KJP513" s="69"/>
      <c r="KJQ513" s="2512"/>
      <c r="KJR513" s="1758"/>
      <c r="KJS513" s="1759"/>
      <c r="KJT513" s="1759"/>
      <c r="KJU513" s="1760"/>
      <c r="KJV513" s="385"/>
      <c r="KJW513" s="69"/>
      <c r="KJX513" s="69"/>
      <c r="KJY513" s="2512"/>
      <c r="KJZ513" s="1758"/>
      <c r="KKA513" s="1759"/>
      <c r="KKB513" s="1759"/>
      <c r="KKC513" s="1760"/>
      <c r="KKD513" s="385"/>
      <c r="KKE513" s="69"/>
      <c r="KKF513" s="69"/>
      <c r="KKG513" s="2512"/>
      <c r="KKH513" s="1758"/>
      <c r="KKI513" s="1759"/>
      <c r="KKJ513" s="1759"/>
      <c r="KKK513" s="1760"/>
      <c r="KKL513" s="385"/>
      <c r="KKM513" s="69"/>
      <c r="KKN513" s="69"/>
      <c r="KKO513" s="2512"/>
      <c r="KKP513" s="1758"/>
      <c r="KKQ513" s="1759"/>
      <c r="KKR513" s="1759"/>
      <c r="KKS513" s="1760"/>
      <c r="KKT513" s="385"/>
      <c r="KKU513" s="69"/>
      <c r="KKV513" s="69"/>
      <c r="KKW513" s="2512"/>
      <c r="KKX513" s="1758"/>
      <c r="KKY513" s="1759"/>
      <c r="KKZ513" s="1759"/>
      <c r="KLA513" s="1760"/>
      <c r="KLB513" s="385"/>
      <c r="KLC513" s="69"/>
      <c r="KLD513" s="69"/>
      <c r="KLE513" s="2512"/>
      <c r="KLF513" s="1758"/>
      <c r="KLG513" s="1759"/>
      <c r="KLH513" s="1759"/>
      <c r="KLI513" s="1760"/>
      <c r="KLJ513" s="385"/>
      <c r="KLK513" s="69"/>
      <c r="KLL513" s="69"/>
      <c r="KLM513" s="2512"/>
      <c r="KLN513" s="1758"/>
      <c r="KLO513" s="1759"/>
      <c r="KLP513" s="1759"/>
      <c r="KLQ513" s="1760"/>
      <c r="KLR513" s="385"/>
      <c r="KLS513" s="69"/>
      <c r="KLT513" s="69"/>
      <c r="KLU513" s="2512"/>
      <c r="KLV513" s="1758"/>
      <c r="KLW513" s="1759"/>
      <c r="KLX513" s="1759"/>
      <c r="KLY513" s="1760"/>
      <c r="KLZ513" s="385"/>
      <c r="KMA513" s="69"/>
      <c r="KMB513" s="69"/>
      <c r="KMC513" s="2512"/>
      <c r="KMD513" s="1758"/>
      <c r="KME513" s="1759"/>
      <c r="KMF513" s="1759"/>
      <c r="KMG513" s="1760"/>
      <c r="KMH513" s="385"/>
      <c r="KMI513" s="69"/>
      <c r="KMJ513" s="69"/>
      <c r="KMK513" s="2512"/>
      <c r="KML513" s="1758"/>
      <c r="KMM513" s="1759"/>
      <c r="KMN513" s="1759"/>
      <c r="KMO513" s="1760"/>
      <c r="KMP513" s="385"/>
      <c r="KMQ513" s="69"/>
      <c r="KMR513" s="69"/>
      <c r="KMS513" s="2512"/>
      <c r="KMT513" s="1758"/>
      <c r="KMU513" s="1759"/>
      <c r="KMV513" s="1759"/>
      <c r="KMW513" s="1760"/>
      <c r="KMX513" s="385"/>
      <c r="KMY513" s="69"/>
      <c r="KMZ513" s="69"/>
      <c r="KNA513" s="2512"/>
      <c r="KNB513" s="1758"/>
      <c r="KNC513" s="1759"/>
      <c r="KND513" s="1759"/>
      <c r="KNE513" s="1760"/>
      <c r="KNF513" s="385"/>
      <c r="KNG513" s="69"/>
      <c r="KNH513" s="69"/>
      <c r="KNI513" s="2512"/>
      <c r="KNJ513" s="1758"/>
      <c r="KNK513" s="1759"/>
      <c r="KNL513" s="1759"/>
      <c r="KNM513" s="1760"/>
      <c r="KNN513" s="385"/>
      <c r="KNO513" s="69"/>
      <c r="KNP513" s="69"/>
      <c r="KNQ513" s="2512"/>
      <c r="KNR513" s="1758"/>
      <c r="KNS513" s="1759"/>
      <c r="KNT513" s="1759"/>
      <c r="KNU513" s="1760"/>
      <c r="KNV513" s="385"/>
      <c r="KNW513" s="69"/>
      <c r="KNX513" s="69"/>
      <c r="KNY513" s="2512"/>
      <c r="KNZ513" s="1758"/>
      <c r="KOA513" s="1759"/>
      <c r="KOB513" s="1759"/>
      <c r="KOC513" s="1760"/>
      <c r="KOD513" s="385"/>
      <c r="KOE513" s="69"/>
      <c r="KOF513" s="69"/>
      <c r="KOG513" s="2512"/>
      <c r="KOH513" s="1758"/>
      <c r="KOI513" s="1759"/>
      <c r="KOJ513" s="1759"/>
      <c r="KOK513" s="1760"/>
      <c r="KOL513" s="385"/>
      <c r="KOM513" s="69"/>
      <c r="KON513" s="69"/>
      <c r="KOO513" s="2512"/>
      <c r="KOP513" s="1758"/>
      <c r="KOQ513" s="1759"/>
      <c r="KOR513" s="1759"/>
      <c r="KOS513" s="1760"/>
      <c r="KOT513" s="385"/>
      <c r="KOU513" s="69"/>
      <c r="KOV513" s="69"/>
      <c r="KOW513" s="2512"/>
      <c r="KOX513" s="1758"/>
      <c r="KOY513" s="1759"/>
      <c r="KOZ513" s="1759"/>
      <c r="KPA513" s="1760"/>
      <c r="KPB513" s="385"/>
      <c r="KPC513" s="69"/>
      <c r="KPD513" s="69"/>
      <c r="KPE513" s="2512"/>
      <c r="KPF513" s="1758"/>
      <c r="KPG513" s="1759"/>
      <c r="KPH513" s="1759"/>
      <c r="KPI513" s="1760"/>
      <c r="KPJ513" s="385"/>
      <c r="KPK513" s="69"/>
      <c r="KPL513" s="69"/>
      <c r="KPM513" s="2512"/>
      <c r="KPN513" s="1758"/>
      <c r="KPO513" s="1759"/>
      <c r="KPP513" s="1759"/>
      <c r="KPQ513" s="1760"/>
      <c r="KPR513" s="385"/>
      <c r="KPS513" s="69"/>
      <c r="KPT513" s="69"/>
      <c r="KPU513" s="2512"/>
      <c r="KPV513" s="1758"/>
      <c r="KPW513" s="1759"/>
      <c r="KPX513" s="1759"/>
      <c r="KPY513" s="1760"/>
      <c r="KPZ513" s="385"/>
      <c r="KQA513" s="69"/>
      <c r="KQB513" s="69"/>
      <c r="KQC513" s="2512"/>
      <c r="KQD513" s="1758"/>
      <c r="KQE513" s="1759"/>
      <c r="KQF513" s="1759"/>
      <c r="KQG513" s="1760"/>
      <c r="KQH513" s="385"/>
      <c r="KQI513" s="69"/>
      <c r="KQJ513" s="69"/>
      <c r="KQK513" s="2512"/>
      <c r="KQL513" s="1758"/>
      <c r="KQM513" s="1759"/>
      <c r="KQN513" s="1759"/>
      <c r="KQO513" s="1760"/>
      <c r="KQP513" s="385"/>
      <c r="KQQ513" s="69"/>
      <c r="KQR513" s="69"/>
      <c r="KQS513" s="2512"/>
      <c r="KQT513" s="1758"/>
      <c r="KQU513" s="1759"/>
      <c r="KQV513" s="1759"/>
      <c r="KQW513" s="1760"/>
      <c r="KQX513" s="385"/>
      <c r="KQY513" s="69"/>
      <c r="KQZ513" s="69"/>
      <c r="KRA513" s="2512"/>
      <c r="KRB513" s="1758"/>
      <c r="KRC513" s="1759"/>
      <c r="KRD513" s="1759"/>
      <c r="KRE513" s="1760"/>
      <c r="KRF513" s="385"/>
      <c r="KRG513" s="69"/>
      <c r="KRH513" s="69"/>
      <c r="KRI513" s="2512"/>
      <c r="KRJ513" s="1758"/>
      <c r="KRK513" s="1759"/>
      <c r="KRL513" s="1759"/>
      <c r="KRM513" s="1760"/>
      <c r="KRN513" s="385"/>
      <c r="KRO513" s="69"/>
      <c r="KRP513" s="69"/>
      <c r="KRQ513" s="2512"/>
      <c r="KRR513" s="1758"/>
      <c r="KRS513" s="1759"/>
      <c r="KRT513" s="1759"/>
      <c r="KRU513" s="1760"/>
      <c r="KRV513" s="385"/>
      <c r="KRW513" s="69"/>
      <c r="KRX513" s="69"/>
      <c r="KRY513" s="2512"/>
      <c r="KRZ513" s="1758"/>
      <c r="KSA513" s="1759"/>
      <c r="KSB513" s="1759"/>
      <c r="KSC513" s="1760"/>
      <c r="KSD513" s="385"/>
      <c r="KSE513" s="69"/>
      <c r="KSF513" s="69"/>
      <c r="KSG513" s="2512"/>
      <c r="KSH513" s="1758"/>
      <c r="KSI513" s="1759"/>
      <c r="KSJ513" s="1759"/>
      <c r="KSK513" s="1760"/>
      <c r="KSL513" s="385"/>
      <c r="KSM513" s="69"/>
      <c r="KSN513" s="69"/>
      <c r="KSO513" s="2512"/>
      <c r="KSP513" s="1758"/>
      <c r="KSQ513" s="1759"/>
      <c r="KSR513" s="1759"/>
      <c r="KSS513" s="1760"/>
      <c r="KST513" s="385"/>
      <c r="KSU513" s="69"/>
      <c r="KSV513" s="69"/>
      <c r="KSW513" s="2512"/>
      <c r="KSX513" s="1758"/>
      <c r="KSY513" s="1759"/>
      <c r="KSZ513" s="1759"/>
      <c r="KTA513" s="1760"/>
      <c r="KTB513" s="385"/>
      <c r="KTC513" s="69"/>
      <c r="KTD513" s="69"/>
      <c r="KTE513" s="2512"/>
      <c r="KTF513" s="1758"/>
      <c r="KTG513" s="1759"/>
      <c r="KTH513" s="1759"/>
      <c r="KTI513" s="1760"/>
      <c r="KTJ513" s="385"/>
      <c r="KTK513" s="69"/>
      <c r="KTL513" s="69"/>
      <c r="KTM513" s="2512"/>
      <c r="KTN513" s="1758"/>
      <c r="KTO513" s="1759"/>
      <c r="KTP513" s="1759"/>
      <c r="KTQ513" s="1760"/>
      <c r="KTR513" s="385"/>
      <c r="KTS513" s="69"/>
      <c r="KTT513" s="69"/>
      <c r="KTU513" s="2512"/>
      <c r="KTV513" s="1758"/>
      <c r="KTW513" s="1759"/>
      <c r="KTX513" s="1759"/>
      <c r="KTY513" s="1760"/>
      <c r="KTZ513" s="385"/>
      <c r="KUA513" s="69"/>
      <c r="KUB513" s="69"/>
      <c r="KUC513" s="2512"/>
      <c r="KUD513" s="1758"/>
      <c r="KUE513" s="1759"/>
      <c r="KUF513" s="1759"/>
      <c r="KUG513" s="1760"/>
      <c r="KUH513" s="385"/>
      <c r="KUI513" s="69"/>
      <c r="KUJ513" s="69"/>
      <c r="KUK513" s="2512"/>
      <c r="KUL513" s="1758"/>
      <c r="KUM513" s="1759"/>
      <c r="KUN513" s="1759"/>
      <c r="KUO513" s="1760"/>
      <c r="KUP513" s="385"/>
      <c r="KUQ513" s="69"/>
      <c r="KUR513" s="69"/>
      <c r="KUS513" s="2512"/>
      <c r="KUT513" s="1758"/>
      <c r="KUU513" s="1759"/>
      <c r="KUV513" s="1759"/>
      <c r="KUW513" s="1760"/>
      <c r="KUX513" s="385"/>
      <c r="KUY513" s="69"/>
      <c r="KUZ513" s="69"/>
      <c r="KVA513" s="2512"/>
      <c r="KVB513" s="1758"/>
      <c r="KVC513" s="1759"/>
      <c r="KVD513" s="1759"/>
      <c r="KVE513" s="1760"/>
      <c r="KVF513" s="385"/>
      <c r="KVG513" s="69"/>
      <c r="KVH513" s="69"/>
      <c r="KVI513" s="2512"/>
      <c r="KVJ513" s="1758"/>
      <c r="KVK513" s="1759"/>
      <c r="KVL513" s="1759"/>
      <c r="KVM513" s="1760"/>
      <c r="KVN513" s="385"/>
      <c r="KVO513" s="69"/>
      <c r="KVP513" s="69"/>
      <c r="KVQ513" s="2512"/>
      <c r="KVR513" s="1758"/>
      <c r="KVS513" s="1759"/>
      <c r="KVT513" s="1759"/>
      <c r="KVU513" s="1760"/>
      <c r="KVV513" s="385"/>
      <c r="KVW513" s="69"/>
      <c r="KVX513" s="69"/>
      <c r="KVY513" s="2512"/>
      <c r="KVZ513" s="1758"/>
      <c r="KWA513" s="1759"/>
      <c r="KWB513" s="1759"/>
      <c r="KWC513" s="1760"/>
      <c r="KWD513" s="385"/>
      <c r="KWE513" s="69"/>
      <c r="KWF513" s="69"/>
      <c r="KWG513" s="2512"/>
      <c r="KWH513" s="1758"/>
      <c r="KWI513" s="1759"/>
      <c r="KWJ513" s="1759"/>
      <c r="KWK513" s="1760"/>
      <c r="KWL513" s="385"/>
      <c r="KWM513" s="69"/>
      <c r="KWN513" s="69"/>
      <c r="KWO513" s="2512"/>
      <c r="KWP513" s="1758"/>
      <c r="KWQ513" s="1759"/>
      <c r="KWR513" s="1759"/>
      <c r="KWS513" s="1760"/>
      <c r="KWT513" s="385"/>
      <c r="KWU513" s="69"/>
      <c r="KWV513" s="69"/>
      <c r="KWW513" s="2512"/>
      <c r="KWX513" s="1758"/>
      <c r="KWY513" s="1759"/>
      <c r="KWZ513" s="1759"/>
      <c r="KXA513" s="1760"/>
      <c r="KXB513" s="385"/>
      <c r="KXC513" s="69"/>
      <c r="KXD513" s="69"/>
      <c r="KXE513" s="2512"/>
      <c r="KXF513" s="1758"/>
      <c r="KXG513" s="1759"/>
      <c r="KXH513" s="1759"/>
      <c r="KXI513" s="1760"/>
      <c r="KXJ513" s="385"/>
      <c r="KXK513" s="69"/>
      <c r="KXL513" s="69"/>
      <c r="KXM513" s="2512"/>
      <c r="KXN513" s="1758"/>
      <c r="KXO513" s="1759"/>
      <c r="KXP513" s="1759"/>
      <c r="KXQ513" s="1760"/>
      <c r="KXR513" s="385"/>
      <c r="KXS513" s="69"/>
      <c r="KXT513" s="69"/>
      <c r="KXU513" s="2512"/>
      <c r="KXV513" s="1758"/>
      <c r="KXW513" s="1759"/>
      <c r="KXX513" s="1759"/>
      <c r="KXY513" s="1760"/>
      <c r="KXZ513" s="385"/>
      <c r="KYA513" s="69"/>
      <c r="KYB513" s="69"/>
      <c r="KYC513" s="2512"/>
      <c r="KYD513" s="1758"/>
      <c r="KYE513" s="1759"/>
      <c r="KYF513" s="1759"/>
      <c r="KYG513" s="1760"/>
      <c r="KYH513" s="385"/>
      <c r="KYI513" s="69"/>
      <c r="KYJ513" s="69"/>
      <c r="KYK513" s="2512"/>
      <c r="KYL513" s="1758"/>
      <c r="KYM513" s="1759"/>
      <c r="KYN513" s="1759"/>
      <c r="KYO513" s="1760"/>
      <c r="KYP513" s="385"/>
      <c r="KYQ513" s="69"/>
      <c r="KYR513" s="69"/>
      <c r="KYS513" s="2512"/>
      <c r="KYT513" s="1758"/>
      <c r="KYU513" s="1759"/>
      <c r="KYV513" s="1759"/>
      <c r="KYW513" s="1760"/>
      <c r="KYX513" s="385"/>
      <c r="KYY513" s="69"/>
      <c r="KYZ513" s="69"/>
      <c r="KZA513" s="2512"/>
      <c r="KZB513" s="1758"/>
      <c r="KZC513" s="1759"/>
      <c r="KZD513" s="1759"/>
      <c r="KZE513" s="1760"/>
      <c r="KZF513" s="385"/>
      <c r="KZG513" s="69"/>
      <c r="KZH513" s="69"/>
      <c r="KZI513" s="2512"/>
      <c r="KZJ513" s="1758"/>
      <c r="KZK513" s="1759"/>
      <c r="KZL513" s="1759"/>
      <c r="KZM513" s="1760"/>
      <c r="KZN513" s="385"/>
      <c r="KZO513" s="69"/>
      <c r="KZP513" s="69"/>
      <c r="KZQ513" s="2512"/>
      <c r="KZR513" s="1758"/>
      <c r="KZS513" s="1759"/>
      <c r="KZT513" s="1759"/>
      <c r="KZU513" s="1760"/>
      <c r="KZV513" s="385"/>
      <c r="KZW513" s="69"/>
      <c r="KZX513" s="69"/>
      <c r="KZY513" s="2512"/>
      <c r="KZZ513" s="1758"/>
      <c r="LAA513" s="1759"/>
      <c r="LAB513" s="1759"/>
      <c r="LAC513" s="1760"/>
      <c r="LAD513" s="385"/>
      <c r="LAE513" s="69"/>
      <c r="LAF513" s="69"/>
      <c r="LAG513" s="2512"/>
      <c r="LAH513" s="1758"/>
      <c r="LAI513" s="1759"/>
      <c r="LAJ513" s="1759"/>
      <c r="LAK513" s="1760"/>
      <c r="LAL513" s="385"/>
      <c r="LAM513" s="69"/>
      <c r="LAN513" s="69"/>
      <c r="LAO513" s="2512"/>
      <c r="LAP513" s="1758"/>
      <c r="LAQ513" s="1759"/>
      <c r="LAR513" s="1759"/>
      <c r="LAS513" s="1760"/>
      <c r="LAT513" s="385"/>
      <c r="LAU513" s="69"/>
      <c r="LAV513" s="69"/>
      <c r="LAW513" s="2512"/>
      <c r="LAX513" s="1758"/>
      <c r="LAY513" s="1759"/>
      <c r="LAZ513" s="1759"/>
      <c r="LBA513" s="1760"/>
      <c r="LBB513" s="385"/>
      <c r="LBC513" s="69"/>
      <c r="LBD513" s="69"/>
      <c r="LBE513" s="2512"/>
      <c r="LBF513" s="1758"/>
      <c r="LBG513" s="1759"/>
      <c r="LBH513" s="1759"/>
      <c r="LBI513" s="1760"/>
      <c r="LBJ513" s="385"/>
      <c r="LBK513" s="69"/>
      <c r="LBL513" s="69"/>
      <c r="LBM513" s="2512"/>
      <c r="LBN513" s="1758"/>
      <c r="LBO513" s="1759"/>
      <c r="LBP513" s="1759"/>
      <c r="LBQ513" s="1760"/>
      <c r="LBR513" s="385"/>
      <c r="LBS513" s="69"/>
      <c r="LBT513" s="69"/>
      <c r="LBU513" s="2512"/>
      <c r="LBV513" s="1758"/>
      <c r="LBW513" s="1759"/>
      <c r="LBX513" s="1759"/>
      <c r="LBY513" s="1760"/>
      <c r="LBZ513" s="385"/>
      <c r="LCA513" s="69"/>
      <c r="LCB513" s="69"/>
      <c r="LCC513" s="2512"/>
      <c r="LCD513" s="1758"/>
      <c r="LCE513" s="1759"/>
      <c r="LCF513" s="1759"/>
      <c r="LCG513" s="1760"/>
      <c r="LCH513" s="385"/>
      <c r="LCI513" s="69"/>
      <c r="LCJ513" s="69"/>
      <c r="LCK513" s="2512"/>
      <c r="LCL513" s="1758"/>
      <c r="LCM513" s="1759"/>
      <c r="LCN513" s="1759"/>
      <c r="LCO513" s="1760"/>
      <c r="LCP513" s="385"/>
      <c r="LCQ513" s="69"/>
      <c r="LCR513" s="69"/>
      <c r="LCS513" s="2512"/>
      <c r="LCT513" s="1758"/>
      <c r="LCU513" s="1759"/>
      <c r="LCV513" s="1759"/>
      <c r="LCW513" s="1760"/>
      <c r="LCX513" s="385"/>
      <c r="LCY513" s="69"/>
      <c r="LCZ513" s="69"/>
      <c r="LDA513" s="2512"/>
      <c r="LDB513" s="1758"/>
      <c r="LDC513" s="1759"/>
      <c r="LDD513" s="1759"/>
      <c r="LDE513" s="1760"/>
      <c r="LDF513" s="385"/>
      <c r="LDG513" s="69"/>
      <c r="LDH513" s="69"/>
      <c r="LDI513" s="2512"/>
      <c r="LDJ513" s="1758"/>
      <c r="LDK513" s="1759"/>
      <c r="LDL513" s="1759"/>
      <c r="LDM513" s="1760"/>
      <c r="LDN513" s="385"/>
      <c r="LDO513" s="69"/>
      <c r="LDP513" s="69"/>
      <c r="LDQ513" s="2512"/>
      <c r="LDR513" s="1758"/>
      <c r="LDS513" s="1759"/>
      <c r="LDT513" s="1759"/>
      <c r="LDU513" s="1760"/>
      <c r="LDV513" s="385"/>
      <c r="LDW513" s="69"/>
      <c r="LDX513" s="69"/>
      <c r="LDY513" s="2512"/>
      <c r="LDZ513" s="1758"/>
      <c r="LEA513" s="1759"/>
      <c r="LEB513" s="1759"/>
      <c r="LEC513" s="1760"/>
      <c r="LED513" s="385"/>
      <c r="LEE513" s="69"/>
      <c r="LEF513" s="69"/>
      <c r="LEG513" s="2512"/>
      <c r="LEH513" s="1758"/>
      <c r="LEI513" s="1759"/>
      <c r="LEJ513" s="1759"/>
      <c r="LEK513" s="1760"/>
      <c r="LEL513" s="385"/>
      <c r="LEM513" s="69"/>
      <c r="LEN513" s="69"/>
      <c r="LEO513" s="2512"/>
      <c r="LEP513" s="1758"/>
      <c r="LEQ513" s="1759"/>
      <c r="LER513" s="1759"/>
      <c r="LES513" s="1760"/>
      <c r="LET513" s="385"/>
      <c r="LEU513" s="69"/>
      <c r="LEV513" s="69"/>
      <c r="LEW513" s="2512"/>
      <c r="LEX513" s="1758"/>
      <c r="LEY513" s="1759"/>
      <c r="LEZ513" s="1759"/>
      <c r="LFA513" s="1760"/>
      <c r="LFB513" s="385"/>
      <c r="LFC513" s="69"/>
      <c r="LFD513" s="69"/>
      <c r="LFE513" s="2512"/>
      <c r="LFF513" s="1758"/>
      <c r="LFG513" s="1759"/>
      <c r="LFH513" s="1759"/>
      <c r="LFI513" s="1760"/>
      <c r="LFJ513" s="385"/>
      <c r="LFK513" s="69"/>
      <c r="LFL513" s="69"/>
      <c r="LFM513" s="2512"/>
      <c r="LFN513" s="1758"/>
      <c r="LFO513" s="1759"/>
      <c r="LFP513" s="1759"/>
      <c r="LFQ513" s="1760"/>
      <c r="LFR513" s="385"/>
      <c r="LFS513" s="69"/>
      <c r="LFT513" s="69"/>
      <c r="LFU513" s="2512"/>
      <c r="LFV513" s="1758"/>
      <c r="LFW513" s="1759"/>
      <c r="LFX513" s="1759"/>
      <c r="LFY513" s="1760"/>
      <c r="LFZ513" s="385"/>
      <c r="LGA513" s="69"/>
      <c r="LGB513" s="69"/>
      <c r="LGC513" s="2512"/>
      <c r="LGD513" s="1758"/>
      <c r="LGE513" s="1759"/>
      <c r="LGF513" s="1759"/>
      <c r="LGG513" s="1760"/>
      <c r="LGH513" s="385"/>
      <c r="LGI513" s="69"/>
      <c r="LGJ513" s="69"/>
      <c r="LGK513" s="2512"/>
      <c r="LGL513" s="1758"/>
      <c r="LGM513" s="1759"/>
      <c r="LGN513" s="1759"/>
      <c r="LGO513" s="1760"/>
      <c r="LGP513" s="385"/>
      <c r="LGQ513" s="69"/>
      <c r="LGR513" s="69"/>
      <c r="LGS513" s="2512"/>
      <c r="LGT513" s="1758"/>
      <c r="LGU513" s="1759"/>
      <c r="LGV513" s="1759"/>
      <c r="LGW513" s="1760"/>
      <c r="LGX513" s="385"/>
      <c r="LGY513" s="69"/>
      <c r="LGZ513" s="69"/>
      <c r="LHA513" s="2512"/>
      <c r="LHB513" s="1758"/>
      <c r="LHC513" s="1759"/>
      <c r="LHD513" s="1759"/>
      <c r="LHE513" s="1760"/>
      <c r="LHF513" s="385"/>
      <c r="LHG513" s="69"/>
      <c r="LHH513" s="69"/>
      <c r="LHI513" s="2512"/>
      <c r="LHJ513" s="1758"/>
      <c r="LHK513" s="1759"/>
      <c r="LHL513" s="1759"/>
      <c r="LHM513" s="1760"/>
      <c r="LHN513" s="385"/>
      <c r="LHO513" s="69"/>
      <c r="LHP513" s="69"/>
      <c r="LHQ513" s="2512"/>
      <c r="LHR513" s="1758"/>
      <c r="LHS513" s="1759"/>
      <c r="LHT513" s="1759"/>
      <c r="LHU513" s="1760"/>
      <c r="LHV513" s="385"/>
      <c r="LHW513" s="69"/>
      <c r="LHX513" s="69"/>
      <c r="LHY513" s="2512"/>
      <c r="LHZ513" s="1758"/>
      <c r="LIA513" s="1759"/>
      <c r="LIB513" s="1759"/>
      <c r="LIC513" s="1760"/>
      <c r="LID513" s="385"/>
      <c r="LIE513" s="69"/>
      <c r="LIF513" s="69"/>
      <c r="LIG513" s="2512"/>
      <c r="LIH513" s="1758"/>
      <c r="LII513" s="1759"/>
      <c r="LIJ513" s="1759"/>
      <c r="LIK513" s="1760"/>
      <c r="LIL513" s="385"/>
      <c r="LIM513" s="69"/>
      <c r="LIN513" s="69"/>
      <c r="LIO513" s="2512"/>
      <c r="LIP513" s="1758"/>
      <c r="LIQ513" s="1759"/>
      <c r="LIR513" s="1759"/>
      <c r="LIS513" s="1760"/>
      <c r="LIT513" s="385"/>
      <c r="LIU513" s="69"/>
      <c r="LIV513" s="69"/>
      <c r="LIW513" s="2512"/>
      <c r="LIX513" s="1758"/>
      <c r="LIY513" s="1759"/>
      <c r="LIZ513" s="1759"/>
      <c r="LJA513" s="1760"/>
      <c r="LJB513" s="385"/>
      <c r="LJC513" s="69"/>
      <c r="LJD513" s="69"/>
      <c r="LJE513" s="2512"/>
      <c r="LJF513" s="1758"/>
      <c r="LJG513" s="1759"/>
      <c r="LJH513" s="1759"/>
      <c r="LJI513" s="1760"/>
      <c r="LJJ513" s="385"/>
      <c r="LJK513" s="69"/>
      <c r="LJL513" s="69"/>
      <c r="LJM513" s="2512"/>
      <c r="LJN513" s="1758"/>
      <c r="LJO513" s="1759"/>
      <c r="LJP513" s="1759"/>
      <c r="LJQ513" s="1760"/>
      <c r="LJR513" s="385"/>
      <c r="LJS513" s="69"/>
      <c r="LJT513" s="69"/>
      <c r="LJU513" s="2512"/>
      <c r="LJV513" s="1758"/>
      <c r="LJW513" s="1759"/>
      <c r="LJX513" s="1759"/>
      <c r="LJY513" s="1760"/>
      <c r="LJZ513" s="385"/>
      <c r="LKA513" s="69"/>
      <c r="LKB513" s="69"/>
      <c r="LKC513" s="2512"/>
      <c r="LKD513" s="1758"/>
      <c r="LKE513" s="1759"/>
      <c r="LKF513" s="1759"/>
      <c r="LKG513" s="1760"/>
      <c r="LKH513" s="385"/>
      <c r="LKI513" s="69"/>
      <c r="LKJ513" s="69"/>
      <c r="LKK513" s="2512"/>
      <c r="LKL513" s="1758"/>
      <c r="LKM513" s="1759"/>
      <c r="LKN513" s="1759"/>
      <c r="LKO513" s="1760"/>
      <c r="LKP513" s="385"/>
      <c r="LKQ513" s="69"/>
      <c r="LKR513" s="69"/>
      <c r="LKS513" s="2512"/>
      <c r="LKT513" s="1758"/>
      <c r="LKU513" s="1759"/>
      <c r="LKV513" s="1759"/>
      <c r="LKW513" s="1760"/>
      <c r="LKX513" s="385"/>
      <c r="LKY513" s="69"/>
      <c r="LKZ513" s="69"/>
      <c r="LLA513" s="2512"/>
      <c r="LLB513" s="1758"/>
      <c r="LLC513" s="1759"/>
      <c r="LLD513" s="1759"/>
      <c r="LLE513" s="1760"/>
      <c r="LLF513" s="385"/>
      <c r="LLG513" s="69"/>
      <c r="LLH513" s="69"/>
      <c r="LLI513" s="2512"/>
      <c r="LLJ513" s="1758"/>
      <c r="LLK513" s="1759"/>
      <c r="LLL513" s="1759"/>
      <c r="LLM513" s="1760"/>
      <c r="LLN513" s="385"/>
      <c r="LLO513" s="69"/>
      <c r="LLP513" s="69"/>
      <c r="LLQ513" s="2512"/>
      <c r="LLR513" s="1758"/>
      <c r="LLS513" s="1759"/>
      <c r="LLT513" s="1759"/>
      <c r="LLU513" s="1760"/>
      <c r="LLV513" s="385"/>
      <c r="LLW513" s="69"/>
      <c r="LLX513" s="69"/>
      <c r="LLY513" s="2512"/>
      <c r="LLZ513" s="1758"/>
      <c r="LMA513" s="1759"/>
      <c r="LMB513" s="1759"/>
      <c r="LMC513" s="1760"/>
      <c r="LMD513" s="385"/>
      <c r="LME513" s="69"/>
      <c r="LMF513" s="69"/>
      <c r="LMG513" s="2512"/>
      <c r="LMH513" s="1758"/>
      <c r="LMI513" s="1759"/>
      <c r="LMJ513" s="1759"/>
      <c r="LMK513" s="1760"/>
      <c r="LML513" s="385"/>
      <c r="LMM513" s="69"/>
      <c r="LMN513" s="69"/>
      <c r="LMO513" s="2512"/>
      <c r="LMP513" s="1758"/>
      <c r="LMQ513" s="1759"/>
      <c r="LMR513" s="1759"/>
      <c r="LMS513" s="1760"/>
      <c r="LMT513" s="385"/>
      <c r="LMU513" s="69"/>
      <c r="LMV513" s="69"/>
      <c r="LMW513" s="2512"/>
      <c r="LMX513" s="1758"/>
      <c r="LMY513" s="1759"/>
      <c r="LMZ513" s="1759"/>
      <c r="LNA513" s="1760"/>
      <c r="LNB513" s="385"/>
      <c r="LNC513" s="69"/>
      <c r="LND513" s="69"/>
      <c r="LNE513" s="2512"/>
      <c r="LNF513" s="1758"/>
      <c r="LNG513" s="1759"/>
      <c r="LNH513" s="1759"/>
      <c r="LNI513" s="1760"/>
      <c r="LNJ513" s="385"/>
      <c r="LNK513" s="69"/>
      <c r="LNL513" s="69"/>
      <c r="LNM513" s="2512"/>
      <c r="LNN513" s="1758"/>
      <c r="LNO513" s="1759"/>
      <c r="LNP513" s="1759"/>
      <c r="LNQ513" s="1760"/>
      <c r="LNR513" s="385"/>
      <c r="LNS513" s="69"/>
      <c r="LNT513" s="69"/>
      <c r="LNU513" s="2512"/>
      <c r="LNV513" s="1758"/>
      <c r="LNW513" s="1759"/>
      <c r="LNX513" s="1759"/>
      <c r="LNY513" s="1760"/>
      <c r="LNZ513" s="385"/>
      <c r="LOA513" s="69"/>
      <c r="LOB513" s="69"/>
      <c r="LOC513" s="2512"/>
      <c r="LOD513" s="1758"/>
      <c r="LOE513" s="1759"/>
      <c r="LOF513" s="1759"/>
      <c r="LOG513" s="1760"/>
      <c r="LOH513" s="385"/>
      <c r="LOI513" s="69"/>
      <c r="LOJ513" s="69"/>
      <c r="LOK513" s="2512"/>
      <c r="LOL513" s="1758"/>
      <c r="LOM513" s="1759"/>
      <c r="LON513" s="1759"/>
      <c r="LOO513" s="1760"/>
      <c r="LOP513" s="385"/>
      <c r="LOQ513" s="69"/>
      <c r="LOR513" s="69"/>
      <c r="LOS513" s="2512"/>
      <c r="LOT513" s="1758"/>
      <c r="LOU513" s="1759"/>
      <c r="LOV513" s="1759"/>
      <c r="LOW513" s="1760"/>
      <c r="LOX513" s="385"/>
      <c r="LOY513" s="69"/>
      <c r="LOZ513" s="69"/>
      <c r="LPA513" s="2512"/>
      <c r="LPB513" s="1758"/>
      <c r="LPC513" s="1759"/>
      <c r="LPD513" s="1759"/>
      <c r="LPE513" s="1760"/>
      <c r="LPF513" s="385"/>
      <c r="LPG513" s="69"/>
      <c r="LPH513" s="69"/>
      <c r="LPI513" s="2512"/>
      <c r="LPJ513" s="1758"/>
      <c r="LPK513" s="1759"/>
      <c r="LPL513" s="1759"/>
      <c r="LPM513" s="1760"/>
      <c r="LPN513" s="385"/>
      <c r="LPO513" s="69"/>
      <c r="LPP513" s="69"/>
      <c r="LPQ513" s="2512"/>
      <c r="LPR513" s="1758"/>
      <c r="LPS513" s="1759"/>
      <c r="LPT513" s="1759"/>
      <c r="LPU513" s="1760"/>
      <c r="LPV513" s="385"/>
      <c r="LPW513" s="69"/>
      <c r="LPX513" s="69"/>
      <c r="LPY513" s="2512"/>
      <c r="LPZ513" s="1758"/>
      <c r="LQA513" s="1759"/>
      <c r="LQB513" s="1759"/>
      <c r="LQC513" s="1760"/>
      <c r="LQD513" s="385"/>
      <c r="LQE513" s="69"/>
      <c r="LQF513" s="69"/>
      <c r="LQG513" s="2512"/>
      <c r="LQH513" s="1758"/>
      <c r="LQI513" s="1759"/>
      <c r="LQJ513" s="1759"/>
      <c r="LQK513" s="1760"/>
      <c r="LQL513" s="385"/>
      <c r="LQM513" s="69"/>
      <c r="LQN513" s="69"/>
      <c r="LQO513" s="2512"/>
      <c r="LQP513" s="1758"/>
      <c r="LQQ513" s="1759"/>
      <c r="LQR513" s="1759"/>
      <c r="LQS513" s="1760"/>
      <c r="LQT513" s="385"/>
      <c r="LQU513" s="69"/>
      <c r="LQV513" s="69"/>
      <c r="LQW513" s="2512"/>
      <c r="LQX513" s="1758"/>
      <c r="LQY513" s="1759"/>
      <c r="LQZ513" s="1759"/>
      <c r="LRA513" s="1760"/>
      <c r="LRB513" s="385"/>
      <c r="LRC513" s="69"/>
      <c r="LRD513" s="69"/>
      <c r="LRE513" s="2512"/>
      <c r="LRF513" s="1758"/>
      <c r="LRG513" s="1759"/>
      <c r="LRH513" s="1759"/>
      <c r="LRI513" s="1760"/>
      <c r="LRJ513" s="385"/>
      <c r="LRK513" s="69"/>
      <c r="LRL513" s="69"/>
      <c r="LRM513" s="2512"/>
      <c r="LRN513" s="1758"/>
      <c r="LRO513" s="1759"/>
      <c r="LRP513" s="1759"/>
      <c r="LRQ513" s="1760"/>
      <c r="LRR513" s="385"/>
      <c r="LRS513" s="69"/>
      <c r="LRT513" s="69"/>
      <c r="LRU513" s="2512"/>
      <c r="LRV513" s="1758"/>
      <c r="LRW513" s="1759"/>
      <c r="LRX513" s="1759"/>
      <c r="LRY513" s="1760"/>
      <c r="LRZ513" s="385"/>
      <c r="LSA513" s="69"/>
      <c r="LSB513" s="69"/>
      <c r="LSC513" s="2512"/>
      <c r="LSD513" s="1758"/>
      <c r="LSE513" s="1759"/>
      <c r="LSF513" s="1759"/>
      <c r="LSG513" s="1760"/>
      <c r="LSH513" s="385"/>
      <c r="LSI513" s="69"/>
      <c r="LSJ513" s="69"/>
      <c r="LSK513" s="2512"/>
      <c r="LSL513" s="1758"/>
      <c r="LSM513" s="1759"/>
      <c r="LSN513" s="1759"/>
      <c r="LSO513" s="1760"/>
      <c r="LSP513" s="385"/>
      <c r="LSQ513" s="69"/>
      <c r="LSR513" s="69"/>
      <c r="LSS513" s="2512"/>
      <c r="LST513" s="1758"/>
      <c r="LSU513" s="1759"/>
      <c r="LSV513" s="1759"/>
      <c r="LSW513" s="1760"/>
      <c r="LSX513" s="385"/>
      <c r="LSY513" s="69"/>
      <c r="LSZ513" s="69"/>
      <c r="LTA513" s="2512"/>
      <c r="LTB513" s="1758"/>
      <c r="LTC513" s="1759"/>
      <c r="LTD513" s="1759"/>
      <c r="LTE513" s="1760"/>
      <c r="LTF513" s="385"/>
      <c r="LTG513" s="69"/>
      <c r="LTH513" s="69"/>
      <c r="LTI513" s="2512"/>
      <c r="LTJ513" s="1758"/>
      <c r="LTK513" s="1759"/>
      <c r="LTL513" s="1759"/>
      <c r="LTM513" s="1760"/>
      <c r="LTN513" s="385"/>
      <c r="LTO513" s="69"/>
      <c r="LTP513" s="69"/>
      <c r="LTQ513" s="2512"/>
      <c r="LTR513" s="1758"/>
      <c r="LTS513" s="1759"/>
      <c r="LTT513" s="1759"/>
      <c r="LTU513" s="1760"/>
      <c r="LTV513" s="385"/>
      <c r="LTW513" s="69"/>
      <c r="LTX513" s="69"/>
      <c r="LTY513" s="2512"/>
      <c r="LTZ513" s="1758"/>
      <c r="LUA513" s="1759"/>
      <c r="LUB513" s="1759"/>
      <c r="LUC513" s="1760"/>
      <c r="LUD513" s="385"/>
      <c r="LUE513" s="69"/>
      <c r="LUF513" s="69"/>
      <c r="LUG513" s="2512"/>
      <c r="LUH513" s="1758"/>
      <c r="LUI513" s="1759"/>
      <c r="LUJ513" s="1759"/>
      <c r="LUK513" s="1760"/>
      <c r="LUL513" s="385"/>
      <c r="LUM513" s="69"/>
      <c r="LUN513" s="69"/>
      <c r="LUO513" s="2512"/>
      <c r="LUP513" s="1758"/>
      <c r="LUQ513" s="1759"/>
      <c r="LUR513" s="1759"/>
      <c r="LUS513" s="1760"/>
      <c r="LUT513" s="385"/>
      <c r="LUU513" s="69"/>
      <c r="LUV513" s="69"/>
      <c r="LUW513" s="2512"/>
      <c r="LUX513" s="1758"/>
      <c r="LUY513" s="1759"/>
      <c r="LUZ513" s="1759"/>
      <c r="LVA513" s="1760"/>
      <c r="LVB513" s="385"/>
      <c r="LVC513" s="69"/>
      <c r="LVD513" s="69"/>
      <c r="LVE513" s="2512"/>
      <c r="LVF513" s="1758"/>
      <c r="LVG513" s="1759"/>
      <c r="LVH513" s="1759"/>
      <c r="LVI513" s="1760"/>
      <c r="LVJ513" s="385"/>
      <c r="LVK513" s="69"/>
      <c r="LVL513" s="69"/>
      <c r="LVM513" s="2512"/>
      <c r="LVN513" s="1758"/>
      <c r="LVO513" s="1759"/>
      <c r="LVP513" s="1759"/>
      <c r="LVQ513" s="1760"/>
      <c r="LVR513" s="385"/>
      <c r="LVS513" s="69"/>
      <c r="LVT513" s="69"/>
      <c r="LVU513" s="2512"/>
      <c r="LVV513" s="1758"/>
      <c r="LVW513" s="1759"/>
      <c r="LVX513" s="1759"/>
      <c r="LVY513" s="1760"/>
      <c r="LVZ513" s="385"/>
      <c r="LWA513" s="69"/>
      <c r="LWB513" s="69"/>
      <c r="LWC513" s="2512"/>
      <c r="LWD513" s="1758"/>
      <c r="LWE513" s="1759"/>
      <c r="LWF513" s="1759"/>
      <c r="LWG513" s="1760"/>
      <c r="LWH513" s="385"/>
      <c r="LWI513" s="69"/>
      <c r="LWJ513" s="69"/>
      <c r="LWK513" s="2512"/>
      <c r="LWL513" s="1758"/>
      <c r="LWM513" s="1759"/>
      <c r="LWN513" s="1759"/>
      <c r="LWO513" s="1760"/>
      <c r="LWP513" s="385"/>
      <c r="LWQ513" s="69"/>
      <c r="LWR513" s="69"/>
      <c r="LWS513" s="2512"/>
      <c r="LWT513" s="1758"/>
      <c r="LWU513" s="1759"/>
      <c r="LWV513" s="1759"/>
      <c r="LWW513" s="1760"/>
      <c r="LWX513" s="385"/>
      <c r="LWY513" s="69"/>
      <c r="LWZ513" s="69"/>
      <c r="LXA513" s="2512"/>
      <c r="LXB513" s="1758"/>
      <c r="LXC513" s="1759"/>
      <c r="LXD513" s="1759"/>
      <c r="LXE513" s="1760"/>
      <c r="LXF513" s="385"/>
      <c r="LXG513" s="69"/>
      <c r="LXH513" s="69"/>
      <c r="LXI513" s="2512"/>
      <c r="LXJ513" s="1758"/>
      <c r="LXK513" s="1759"/>
      <c r="LXL513" s="1759"/>
      <c r="LXM513" s="1760"/>
      <c r="LXN513" s="385"/>
      <c r="LXO513" s="69"/>
      <c r="LXP513" s="69"/>
      <c r="LXQ513" s="2512"/>
      <c r="LXR513" s="1758"/>
      <c r="LXS513" s="1759"/>
      <c r="LXT513" s="1759"/>
      <c r="LXU513" s="1760"/>
      <c r="LXV513" s="385"/>
      <c r="LXW513" s="69"/>
      <c r="LXX513" s="69"/>
      <c r="LXY513" s="2512"/>
      <c r="LXZ513" s="1758"/>
      <c r="LYA513" s="1759"/>
      <c r="LYB513" s="1759"/>
      <c r="LYC513" s="1760"/>
      <c r="LYD513" s="385"/>
      <c r="LYE513" s="69"/>
      <c r="LYF513" s="69"/>
      <c r="LYG513" s="2512"/>
      <c r="LYH513" s="1758"/>
      <c r="LYI513" s="1759"/>
      <c r="LYJ513" s="1759"/>
      <c r="LYK513" s="1760"/>
      <c r="LYL513" s="385"/>
      <c r="LYM513" s="69"/>
      <c r="LYN513" s="69"/>
      <c r="LYO513" s="2512"/>
      <c r="LYP513" s="1758"/>
      <c r="LYQ513" s="1759"/>
      <c r="LYR513" s="1759"/>
      <c r="LYS513" s="1760"/>
      <c r="LYT513" s="385"/>
      <c r="LYU513" s="69"/>
      <c r="LYV513" s="69"/>
      <c r="LYW513" s="2512"/>
      <c r="LYX513" s="1758"/>
      <c r="LYY513" s="1759"/>
      <c r="LYZ513" s="1759"/>
      <c r="LZA513" s="1760"/>
      <c r="LZB513" s="385"/>
      <c r="LZC513" s="69"/>
      <c r="LZD513" s="69"/>
      <c r="LZE513" s="2512"/>
      <c r="LZF513" s="1758"/>
      <c r="LZG513" s="1759"/>
      <c r="LZH513" s="1759"/>
      <c r="LZI513" s="1760"/>
      <c r="LZJ513" s="385"/>
      <c r="LZK513" s="69"/>
      <c r="LZL513" s="69"/>
      <c r="LZM513" s="2512"/>
      <c r="LZN513" s="1758"/>
      <c r="LZO513" s="1759"/>
      <c r="LZP513" s="1759"/>
      <c r="LZQ513" s="1760"/>
      <c r="LZR513" s="385"/>
      <c r="LZS513" s="69"/>
      <c r="LZT513" s="69"/>
      <c r="LZU513" s="2512"/>
      <c r="LZV513" s="1758"/>
      <c r="LZW513" s="1759"/>
      <c r="LZX513" s="1759"/>
      <c r="LZY513" s="1760"/>
      <c r="LZZ513" s="385"/>
      <c r="MAA513" s="69"/>
      <c r="MAB513" s="69"/>
      <c r="MAC513" s="2512"/>
      <c r="MAD513" s="1758"/>
      <c r="MAE513" s="1759"/>
      <c r="MAF513" s="1759"/>
      <c r="MAG513" s="1760"/>
      <c r="MAH513" s="385"/>
      <c r="MAI513" s="69"/>
      <c r="MAJ513" s="69"/>
      <c r="MAK513" s="2512"/>
      <c r="MAL513" s="1758"/>
      <c r="MAM513" s="1759"/>
      <c r="MAN513" s="1759"/>
      <c r="MAO513" s="1760"/>
      <c r="MAP513" s="385"/>
      <c r="MAQ513" s="69"/>
      <c r="MAR513" s="69"/>
      <c r="MAS513" s="2512"/>
      <c r="MAT513" s="1758"/>
      <c r="MAU513" s="1759"/>
      <c r="MAV513" s="1759"/>
      <c r="MAW513" s="1760"/>
      <c r="MAX513" s="385"/>
      <c r="MAY513" s="69"/>
      <c r="MAZ513" s="69"/>
      <c r="MBA513" s="2512"/>
      <c r="MBB513" s="1758"/>
      <c r="MBC513" s="1759"/>
      <c r="MBD513" s="1759"/>
      <c r="MBE513" s="1760"/>
      <c r="MBF513" s="385"/>
      <c r="MBG513" s="69"/>
      <c r="MBH513" s="69"/>
      <c r="MBI513" s="2512"/>
      <c r="MBJ513" s="1758"/>
      <c r="MBK513" s="1759"/>
      <c r="MBL513" s="1759"/>
      <c r="MBM513" s="1760"/>
      <c r="MBN513" s="385"/>
      <c r="MBO513" s="69"/>
      <c r="MBP513" s="69"/>
      <c r="MBQ513" s="2512"/>
      <c r="MBR513" s="1758"/>
      <c r="MBS513" s="1759"/>
      <c r="MBT513" s="1759"/>
      <c r="MBU513" s="1760"/>
      <c r="MBV513" s="385"/>
      <c r="MBW513" s="69"/>
      <c r="MBX513" s="69"/>
      <c r="MBY513" s="2512"/>
      <c r="MBZ513" s="1758"/>
      <c r="MCA513" s="1759"/>
      <c r="MCB513" s="1759"/>
      <c r="MCC513" s="1760"/>
      <c r="MCD513" s="385"/>
      <c r="MCE513" s="69"/>
      <c r="MCF513" s="69"/>
      <c r="MCG513" s="2512"/>
      <c r="MCH513" s="1758"/>
      <c r="MCI513" s="1759"/>
      <c r="MCJ513" s="1759"/>
      <c r="MCK513" s="1760"/>
      <c r="MCL513" s="385"/>
      <c r="MCM513" s="69"/>
      <c r="MCN513" s="69"/>
      <c r="MCO513" s="2512"/>
      <c r="MCP513" s="1758"/>
      <c r="MCQ513" s="1759"/>
      <c r="MCR513" s="1759"/>
      <c r="MCS513" s="1760"/>
      <c r="MCT513" s="385"/>
      <c r="MCU513" s="69"/>
      <c r="MCV513" s="69"/>
      <c r="MCW513" s="2512"/>
      <c r="MCX513" s="1758"/>
      <c r="MCY513" s="1759"/>
      <c r="MCZ513" s="1759"/>
      <c r="MDA513" s="1760"/>
      <c r="MDB513" s="385"/>
      <c r="MDC513" s="69"/>
      <c r="MDD513" s="69"/>
      <c r="MDE513" s="2512"/>
      <c r="MDF513" s="1758"/>
      <c r="MDG513" s="1759"/>
      <c r="MDH513" s="1759"/>
      <c r="MDI513" s="1760"/>
      <c r="MDJ513" s="385"/>
      <c r="MDK513" s="69"/>
      <c r="MDL513" s="69"/>
      <c r="MDM513" s="2512"/>
      <c r="MDN513" s="1758"/>
      <c r="MDO513" s="1759"/>
      <c r="MDP513" s="1759"/>
      <c r="MDQ513" s="1760"/>
      <c r="MDR513" s="385"/>
      <c r="MDS513" s="69"/>
      <c r="MDT513" s="69"/>
      <c r="MDU513" s="2512"/>
      <c r="MDV513" s="1758"/>
      <c r="MDW513" s="1759"/>
      <c r="MDX513" s="1759"/>
      <c r="MDY513" s="1760"/>
      <c r="MDZ513" s="385"/>
      <c r="MEA513" s="69"/>
      <c r="MEB513" s="69"/>
      <c r="MEC513" s="2512"/>
      <c r="MED513" s="1758"/>
      <c r="MEE513" s="1759"/>
      <c r="MEF513" s="1759"/>
      <c r="MEG513" s="1760"/>
      <c r="MEH513" s="385"/>
      <c r="MEI513" s="69"/>
      <c r="MEJ513" s="69"/>
      <c r="MEK513" s="2512"/>
      <c r="MEL513" s="1758"/>
      <c r="MEM513" s="1759"/>
      <c r="MEN513" s="1759"/>
      <c r="MEO513" s="1760"/>
      <c r="MEP513" s="385"/>
      <c r="MEQ513" s="69"/>
      <c r="MER513" s="69"/>
      <c r="MES513" s="2512"/>
      <c r="MET513" s="1758"/>
      <c r="MEU513" s="1759"/>
      <c r="MEV513" s="1759"/>
      <c r="MEW513" s="1760"/>
      <c r="MEX513" s="385"/>
      <c r="MEY513" s="69"/>
      <c r="MEZ513" s="69"/>
      <c r="MFA513" s="2512"/>
      <c r="MFB513" s="1758"/>
      <c r="MFC513" s="1759"/>
      <c r="MFD513" s="1759"/>
      <c r="MFE513" s="1760"/>
      <c r="MFF513" s="385"/>
      <c r="MFG513" s="69"/>
      <c r="MFH513" s="69"/>
      <c r="MFI513" s="2512"/>
      <c r="MFJ513" s="1758"/>
      <c r="MFK513" s="1759"/>
      <c r="MFL513" s="1759"/>
      <c r="MFM513" s="1760"/>
      <c r="MFN513" s="385"/>
      <c r="MFO513" s="69"/>
      <c r="MFP513" s="69"/>
      <c r="MFQ513" s="2512"/>
      <c r="MFR513" s="1758"/>
      <c r="MFS513" s="1759"/>
      <c r="MFT513" s="1759"/>
      <c r="MFU513" s="1760"/>
      <c r="MFV513" s="385"/>
      <c r="MFW513" s="69"/>
      <c r="MFX513" s="69"/>
      <c r="MFY513" s="2512"/>
      <c r="MFZ513" s="1758"/>
      <c r="MGA513" s="1759"/>
      <c r="MGB513" s="1759"/>
      <c r="MGC513" s="1760"/>
      <c r="MGD513" s="385"/>
      <c r="MGE513" s="69"/>
      <c r="MGF513" s="69"/>
      <c r="MGG513" s="2512"/>
      <c r="MGH513" s="1758"/>
      <c r="MGI513" s="1759"/>
      <c r="MGJ513" s="1759"/>
      <c r="MGK513" s="1760"/>
      <c r="MGL513" s="385"/>
      <c r="MGM513" s="69"/>
      <c r="MGN513" s="69"/>
      <c r="MGO513" s="2512"/>
      <c r="MGP513" s="1758"/>
      <c r="MGQ513" s="1759"/>
      <c r="MGR513" s="1759"/>
      <c r="MGS513" s="1760"/>
      <c r="MGT513" s="385"/>
      <c r="MGU513" s="69"/>
      <c r="MGV513" s="69"/>
      <c r="MGW513" s="2512"/>
      <c r="MGX513" s="1758"/>
      <c r="MGY513" s="1759"/>
      <c r="MGZ513" s="1759"/>
      <c r="MHA513" s="1760"/>
      <c r="MHB513" s="385"/>
      <c r="MHC513" s="69"/>
      <c r="MHD513" s="69"/>
      <c r="MHE513" s="2512"/>
      <c r="MHF513" s="1758"/>
      <c r="MHG513" s="1759"/>
      <c r="MHH513" s="1759"/>
      <c r="MHI513" s="1760"/>
      <c r="MHJ513" s="385"/>
      <c r="MHK513" s="69"/>
      <c r="MHL513" s="69"/>
      <c r="MHM513" s="2512"/>
      <c r="MHN513" s="1758"/>
      <c r="MHO513" s="1759"/>
      <c r="MHP513" s="1759"/>
      <c r="MHQ513" s="1760"/>
      <c r="MHR513" s="385"/>
      <c r="MHS513" s="69"/>
      <c r="MHT513" s="69"/>
      <c r="MHU513" s="2512"/>
      <c r="MHV513" s="1758"/>
      <c r="MHW513" s="1759"/>
      <c r="MHX513" s="1759"/>
      <c r="MHY513" s="1760"/>
      <c r="MHZ513" s="385"/>
      <c r="MIA513" s="69"/>
      <c r="MIB513" s="69"/>
      <c r="MIC513" s="2512"/>
      <c r="MID513" s="1758"/>
      <c r="MIE513" s="1759"/>
      <c r="MIF513" s="1759"/>
      <c r="MIG513" s="1760"/>
      <c r="MIH513" s="385"/>
      <c r="MII513" s="69"/>
      <c r="MIJ513" s="69"/>
      <c r="MIK513" s="2512"/>
      <c r="MIL513" s="1758"/>
      <c r="MIM513" s="1759"/>
      <c r="MIN513" s="1759"/>
      <c r="MIO513" s="1760"/>
      <c r="MIP513" s="385"/>
      <c r="MIQ513" s="69"/>
      <c r="MIR513" s="69"/>
      <c r="MIS513" s="2512"/>
      <c r="MIT513" s="1758"/>
      <c r="MIU513" s="1759"/>
      <c r="MIV513" s="1759"/>
      <c r="MIW513" s="1760"/>
      <c r="MIX513" s="385"/>
      <c r="MIY513" s="69"/>
      <c r="MIZ513" s="69"/>
      <c r="MJA513" s="2512"/>
      <c r="MJB513" s="1758"/>
      <c r="MJC513" s="1759"/>
      <c r="MJD513" s="1759"/>
      <c r="MJE513" s="1760"/>
      <c r="MJF513" s="385"/>
      <c r="MJG513" s="69"/>
      <c r="MJH513" s="69"/>
      <c r="MJI513" s="2512"/>
      <c r="MJJ513" s="1758"/>
      <c r="MJK513" s="1759"/>
      <c r="MJL513" s="1759"/>
      <c r="MJM513" s="1760"/>
      <c r="MJN513" s="385"/>
      <c r="MJO513" s="69"/>
      <c r="MJP513" s="69"/>
      <c r="MJQ513" s="2512"/>
      <c r="MJR513" s="1758"/>
      <c r="MJS513" s="1759"/>
      <c r="MJT513" s="1759"/>
      <c r="MJU513" s="1760"/>
      <c r="MJV513" s="385"/>
      <c r="MJW513" s="69"/>
      <c r="MJX513" s="69"/>
      <c r="MJY513" s="2512"/>
      <c r="MJZ513" s="1758"/>
      <c r="MKA513" s="1759"/>
      <c r="MKB513" s="1759"/>
      <c r="MKC513" s="1760"/>
      <c r="MKD513" s="385"/>
      <c r="MKE513" s="69"/>
      <c r="MKF513" s="69"/>
      <c r="MKG513" s="2512"/>
      <c r="MKH513" s="1758"/>
      <c r="MKI513" s="1759"/>
      <c r="MKJ513" s="1759"/>
      <c r="MKK513" s="1760"/>
      <c r="MKL513" s="385"/>
      <c r="MKM513" s="69"/>
      <c r="MKN513" s="69"/>
      <c r="MKO513" s="2512"/>
      <c r="MKP513" s="1758"/>
      <c r="MKQ513" s="1759"/>
      <c r="MKR513" s="1759"/>
      <c r="MKS513" s="1760"/>
      <c r="MKT513" s="385"/>
      <c r="MKU513" s="69"/>
      <c r="MKV513" s="69"/>
      <c r="MKW513" s="2512"/>
      <c r="MKX513" s="1758"/>
      <c r="MKY513" s="1759"/>
      <c r="MKZ513" s="1759"/>
      <c r="MLA513" s="1760"/>
      <c r="MLB513" s="385"/>
      <c r="MLC513" s="69"/>
      <c r="MLD513" s="69"/>
      <c r="MLE513" s="2512"/>
      <c r="MLF513" s="1758"/>
      <c r="MLG513" s="1759"/>
      <c r="MLH513" s="1759"/>
      <c r="MLI513" s="1760"/>
      <c r="MLJ513" s="385"/>
      <c r="MLK513" s="69"/>
      <c r="MLL513" s="69"/>
      <c r="MLM513" s="2512"/>
      <c r="MLN513" s="1758"/>
      <c r="MLO513" s="1759"/>
      <c r="MLP513" s="1759"/>
      <c r="MLQ513" s="1760"/>
      <c r="MLR513" s="385"/>
      <c r="MLS513" s="69"/>
      <c r="MLT513" s="69"/>
      <c r="MLU513" s="2512"/>
      <c r="MLV513" s="1758"/>
      <c r="MLW513" s="1759"/>
      <c r="MLX513" s="1759"/>
      <c r="MLY513" s="1760"/>
      <c r="MLZ513" s="385"/>
      <c r="MMA513" s="69"/>
      <c r="MMB513" s="69"/>
      <c r="MMC513" s="2512"/>
      <c r="MMD513" s="1758"/>
      <c r="MME513" s="1759"/>
      <c r="MMF513" s="1759"/>
      <c r="MMG513" s="1760"/>
      <c r="MMH513" s="385"/>
      <c r="MMI513" s="69"/>
      <c r="MMJ513" s="69"/>
      <c r="MMK513" s="2512"/>
      <c r="MML513" s="1758"/>
      <c r="MMM513" s="1759"/>
      <c r="MMN513" s="1759"/>
      <c r="MMO513" s="1760"/>
      <c r="MMP513" s="385"/>
      <c r="MMQ513" s="69"/>
      <c r="MMR513" s="69"/>
      <c r="MMS513" s="2512"/>
      <c r="MMT513" s="1758"/>
      <c r="MMU513" s="1759"/>
      <c r="MMV513" s="1759"/>
      <c r="MMW513" s="1760"/>
      <c r="MMX513" s="385"/>
      <c r="MMY513" s="69"/>
      <c r="MMZ513" s="69"/>
      <c r="MNA513" s="2512"/>
      <c r="MNB513" s="1758"/>
      <c r="MNC513" s="1759"/>
      <c r="MND513" s="1759"/>
      <c r="MNE513" s="1760"/>
      <c r="MNF513" s="385"/>
      <c r="MNG513" s="69"/>
      <c r="MNH513" s="69"/>
      <c r="MNI513" s="2512"/>
      <c r="MNJ513" s="1758"/>
      <c r="MNK513" s="1759"/>
      <c r="MNL513" s="1759"/>
      <c r="MNM513" s="1760"/>
      <c r="MNN513" s="385"/>
      <c r="MNO513" s="69"/>
      <c r="MNP513" s="69"/>
      <c r="MNQ513" s="2512"/>
      <c r="MNR513" s="1758"/>
      <c r="MNS513" s="1759"/>
      <c r="MNT513" s="1759"/>
      <c r="MNU513" s="1760"/>
      <c r="MNV513" s="385"/>
      <c r="MNW513" s="69"/>
      <c r="MNX513" s="69"/>
      <c r="MNY513" s="2512"/>
      <c r="MNZ513" s="1758"/>
      <c r="MOA513" s="1759"/>
      <c r="MOB513" s="1759"/>
      <c r="MOC513" s="1760"/>
      <c r="MOD513" s="385"/>
      <c r="MOE513" s="69"/>
      <c r="MOF513" s="69"/>
      <c r="MOG513" s="2512"/>
      <c r="MOH513" s="1758"/>
      <c r="MOI513" s="1759"/>
      <c r="MOJ513" s="1759"/>
      <c r="MOK513" s="1760"/>
      <c r="MOL513" s="385"/>
      <c r="MOM513" s="69"/>
      <c r="MON513" s="69"/>
      <c r="MOO513" s="2512"/>
      <c r="MOP513" s="1758"/>
      <c r="MOQ513" s="1759"/>
      <c r="MOR513" s="1759"/>
      <c r="MOS513" s="1760"/>
      <c r="MOT513" s="385"/>
      <c r="MOU513" s="69"/>
      <c r="MOV513" s="69"/>
      <c r="MOW513" s="2512"/>
      <c r="MOX513" s="1758"/>
      <c r="MOY513" s="1759"/>
      <c r="MOZ513" s="1759"/>
      <c r="MPA513" s="1760"/>
      <c r="MPB513" s="385"/>
      <c r="MPC513" s="69"/>
      <c r="MPD513" s="69"/>
      <c r="MPE513" s="2512"/>
      <c r="MPF513" s="1758"/>
      <c r="MPG513" s="1759"/>
      <c r="MPH513" s="1759"/>
      <c r="MPI513" s="1760"/>
      <c r="MPJ513" s="385"/>
      <c r="MPK513" s="69"/>
      <c r="MPL513" s="69"/>
      <c r="MPM513" s="2512"/>
      <c r="MPN513" s="1758"/>
      <c r="MPO513" s="1759"/>
      <c r="MPP513" s="1759"/>
      <c r="MPQ513" s="1760"/>
      <c r="MPR513" s="385"/>
      <c r="MPS513" s="69"/>
      <c r="MPT513" s="69"/>
      <c r="MPU513" s="2512"/>
      <c r="MPV513" s="1758"/>
      <c r="MPW513" s="1759"/>
      <c r="MPX513" s="1759"/>
      <c r="MPY513" s="1760"/>
      <c r="MPZ513" s="385"/>
      <c r="MQA513" s="69"/>
      <c r="MQB513" s="69"/>
      <c r="MQC513" s="2512"/>
      <c r="MQD513" s="1758"/>
      <c r="MQE513" s="1759"/>
      <c r="MQF513" s="1759"/>
      <c r="MQG513" s="1760"/>
      <c r="MQH513" s="385"/>
      <c r="MQI513" s="69"/>
      <c r="MQJ513" s="69"/>
      <c r="MQK513" s="2512"/>
      <c r="MQL513" s="1758"/>
      <c r="MQM513" s="1759"/>
      <c r="MQN513" s="1759"/>
      <c r="MQO513" s="1760"/>
      <c r="MQP513" s="385"/>
      <c r="MQQ513" s="69"/>
      <c r="MQR513" s="69"/>
      <c r="MQS513" s="2512"/>
      <c r="MQT513" s="1758"/>
      <c r="MQU513" s="1759"/>
      <c r="MQV513" s="1759"/>
      <c r="MQW513" s="1760"/>
      <c r="MQX513" s="385"/>
      <c r="MQY513" s="69"/>
      <c r="MQZ513" s="69"/>
      <c r="MRA513" s="2512"/>
      <c r="MRB513" s="1758"/>
      <c r="MRC513" s="1759"/>
      <c r="MRD513" s="1759"/>
      <c r="MRE513" s="1760"/>
      <c r="MRF513" s="385"/>
      <c r="MRG513" s="69"/>
      <c r="MRH513" s="69"/>
      <c r="MRI513" s="2512"/>
      <c r="MRJ513" s="1758"/>
      <c r="MRK513" s="1759"/>
      <c r="MRL513" s="1759"/>
      <c r="MRM513" s="1760"/>
      <c r="MRN513" s="385"/>
      <c r="MRO513" s="69"/>
      <c r="MRP513" s="69"/>
      <c r="MRQ513" s="2512"/>
      <c r="MRR513" s="1758"/>
      <c r="MRS513" s="1759"/>
      <c r="MRT513" s="1759"/>
      <c r="MRU513" s="1760"/>
      <c r="MRV513" s="385"/>
      <c r="MRW513" s="69"/>
      <c r="MRX513" s="69"/>
      <c r="MRY513" s="2512"/>
      <c r="MRZ513" s="1758"/>
      <c r="MSA513" s="1759"/>
      <c r="MSB513" s="1759"/>
      <c r="MSC513" s="1760"/>
      <c r="MSD513" s="385"/>
      <c r="MSE513" s="69"/>
      <c r="MSF513" s="69"/>
      <c r="MSG513" s="2512"/>
      <c r="MSH513" s="1758"/>
      <c r="MSI513" s="1759"/>
      <c r="MSJ513" s="1759"/>
      <c r="MSK513" s="1760"/>
      <c r="MSL513" s="385"/>
      <c r="MSM513" s="69"/>
      <c r="MSN513" s="69"/>
      <c r="MSO513" s="2512"/>
      <c r="MSP513" s="1758"/>
      <c r="MSQ513" s="1759"/>
      <c r="MSR513" s="1759"/>
      <c r="MSS513" s="1760"/>
      <c r="MST513" s="385"/>
      <c r="MSU513" s="69"/>
      <c r="MSV513" s="69"/>
      <c r="MSW513" s="2512"/>
      <c r="MSX513" s="1758"/>
      <c r="MSY513" s="1759"/>
      <c r="MSZ513" s="1759"/>
      <c r="MTA513" s="1760"/>
      <c r="MTB513" s="385"/>
      <c r="MTC513" s="69"/>
      <c r="MTD513" s="69"/>
      <c r="MTE513" s="2512"/>
      <c r="MTF513" s="1758"/>
      <c r="MTG513" s="1759"/>
      <c r="MTH513" s="1759"/>
      <c r="MTI513" s="1760"/>
      <c r="MTJ513" s="385"/>
      <c r="MTK513" s="69"/>
      <c r="MTL513" s="69"/>
      <c r="MTM513" s="2512"/>
      <c r="MTN513" s="1758"/>
      <c r="MTO513" s="1759"/>
      <c r="MTP513" s="1759"/>
      <c r="MTQ513" s="1760"/>
      <c r="MTR513" s="385"/>
      <c r="MTS513" s="69"/>
      <c r="MTT513" s="69"/>
      <c r="MTU513" s="2512"/>
      <c r="MTV513" s="1758"/>
      <c r="MTW513" s="1759"/>
      <c r="MTX513" s="1759"/>
      <c r="MTY513" s="1760"/>
      <c r="MTZ513" s="385"/>
      <c r="MUA513" s="69"/>
      <c r="MUB513" s="69"/>
      <c r="MUC513" s="2512"/>
      <c r="MUD513" s="1758"/>
      <c r="MUE513" s="1759"/>
      <c r="MUF513" s="1759"/>
      <c r="MUG513" s="1760"/>
      <c r="MUH513" s="385"/>
      <c r="MUI513" s="69"/>
      <c r="MUJ513" s="69"/>
      <c r="MUK513" s="2512"/>
      <c r="MUL513" s="1758"/>
      <c r="MUM513" s="1759"/>
      <c r="MUN513" s="1759"/>
      <c r="MUO513" s="1760"/>
      <c r="MUP513" s="385"/>
      <c r="MUQ513" s="69"/>
      <c r="MUR513" s="69"/>
      <c r="MUS513" s="2512"/>
      <c r="MUT513" s="1758"/>
      <c r="MUU513" s="1759"/>
      <c r="MUV513" s="1759"/>
      <c r="MUW513" s="1760"/>
      <c r="MUX513" s="385"/>
      <c r="MUY513" s="69"/>
      <c r="MUZ513" s="69"/>
      <c r="MVA513" s="2512"/>
      <c r="MVB513" s="1758"/>
      <c r="MVC513" s="1759"/>
      <c r="MVD513" s="1759"/>
      <c r="MVE513" s="1760"/>
      <c r="MVF513" s="385"/>
      <c r="MVG513" s="69"/>
      <c r="MVH513" s="69"/>
      <c r="MVI513" s="2512"/>
      <c r="MVJ513" s="1758"/>
      <c r="MVK513" s="1759"/>
      <c r="MVL513" s="1759"/>
      <c r="MVM513" s="1760"/>
      <c r="MVN513" s="385"/>
      <c r="MVO513" s="69"/>
      <c r="MVP513" s="69"/>
      <c r="MVQ513" s="2512"/>
      <c r="MVR513" s="1758"/>
      <c r="MVS513" s="1759"/>
      <c r="MVT513" s="1759"/>
      <c r="MVU513" s="1760"/>
      <c r="MVV513" s="385"/>
      <c r="MVW513" s="69"/>
      <c r="MVX513" s="69"/>
      <c r="MVY513" s="2512"/>
      <c r="MVZ513" s="1758"/>
      <c r="MWA513" s="1759"/>
      <c r="MWB513" s="1759"/>
      <c r="MWC513" s="1760"/>
      <c r="MWD513" s="385"/>
      <c r="MWE513" s="69"/>
      <c r="MWF513" s="69"/>
      <c r="MWG513" s="2512"/>
      <c r="MWH513" s="1758"/>
      <c r="MWI513" s="1759"/>
      <c r="MWJ513" s="1759"/>
      <c r="MWK513" s="1760"/>
      <c r="MWL513" s="385"/>
      <c r="MWM513" s="69"/>
      <c r="MWN513" s="69"/>
      <c r="MWO513" s="2512"/>
      <c r="MWP513" s="1758"/>
      <c r="MWQ513" s="1759"/>
      <c r="MWR513" s="1759"/>
      <c r="MWS513" s="1760"/>
      <c r="MWT513" s="385"/>
      <c r="MWU513" s="69"/>
      <c r="MWV513" s="69"/>
      <c r="MWW513" s="2512"/>
      <c r="MWX513" s="1758"/>
      <c r="MWY513" s="1759"/>
      <c r="MWZ513" s="1759"/>
      <c r="MXA513" s="1760"/>
      <c r="MXB513" s="385"/>
      <c r="MXC513" s="69"/>
      <c r="MXD513" s="69"/>
      <c r="MXE513" s="2512"/>
      <c r="MXF513" s="1758"/>
      <c r="MXG513" s="1759"/>
      <c r="MXH513" s="1759"/>
      <c r="MXI513" s="1760"/>
      <c r="MXJ513" s="385"/>
      <c r="MXK513" s="69"/>
      <c r="MXL513" s="69"/>
      <c r="MXM513" s="2512"/>
      <c r="MXN513" s="1758"/>
      <c r="MXO513" s="1759"/>
      <c r="MXP513" s="1759"/>
      <c r="MXQ513" s="1760"/>
      <c r="MXR513" s="385"/>
      <c r="MXS513" s="69"/>
      <c r="MXT513" s="69"/>
      <c r="MXU513" s="2512"/>
      <c r="MXV513" s="1758"/>
      <c r="MXW513" s="1759"/>
      <c r="MXX513" s="1759"/>
      <c r="MXY513" s="1760"/>
      <c r="MXZ513" s="385"/>
      <c r="MYA513" s="69"/>
      <c r="MYB513" s="69"/>
      <c r="MYC513" s="2512"/>
      <c r="MYD513" s="1758"/>
      <c r="MYE513" s="1759"/>
      <c r="MYF513" s="1759"/>
      <c r="MYG513" s="1760"/>
      <c r="MYH513" s="385"/>
      <c r="MYI513" s="69"/>
      <c r="MYJ513" s="69"/>
      <c r="MYK513" s="2512"/>
      <c r="MYL513" s="1758"/>
      <c r="MYM513" s="1759"/>
      <c r="MYN513" s="1759"/>
      <c r="MYO513" s="1760"/>
      <c r="MYP513" s="385"/>
      <c r="MYQ513" s="69"/>
      <c r="MYR513" s="69"/>
      <c r="MYS513" s="2512"/>
      <c r="MYT513" s="1758"/>
      <c r="MYU513" s="1759"/>
      <c r="MYV513" s="1759"/>
      <c r="MYW513" s="1760"/>
      <c r="MYX513" s="385"/>
      <c r="MYY513" s="69"/>
      <c r="MYZ513" s="69"/>
      <c r="MZA513" s="2512"/>
      <c r="MZB513" s="1758"/>
      <c r="MZC513" s="1759"/>
      <c r="MZD513" s="1759"/>
      <c r="MZE513" s="1760"/>
      <c r="MZF513" s="385"/>
      <c r="MZG513" s="69"/>
      <c r="MZH513" s="69"/>
      <c r="MZI513" s="2512"/>
      <c r="MZJ513" s="1758"/>
      <c r="MZK513" s="1759"/>
      <c r="MZL513" s="1759"/>
      <c r="MZM513" s="1760"/>
      <c r="MZN513" s="385"/>
      <c r="MZO513" s="69"/>
      <c r="MZP513" s="69"/>
      <c r="MZQ513" s="2512"/>
      <c r="MZR513" s="1758"/>
      <c r="MZS513" s="1759"/>
      <c r="MZT513" s="1759"/>
      <c r="MZU513" s="1760"/>
      <c r="MZV513" s="385"/>
      <c r="MZW513" s="69"/>
      <c r="MZX513" s="69"/>
      <c r="MZY513" s="2512"/>
      <c r="MZZ513" s="1758"/>
      <c r="NAA513" s="1759"/>
      <c r="NAB513" s="1759"/>
      <c r="NAC513" s="1760"/>
      <c r="NAD513" s="385"/>
      <c r="NAE513" s="69"/>
      <c r="NAF513" s="69"/>
      <c r="NAG513" s="2512"/>
      <c r="NAH513" s="1758"/>
      <c r="NAI513" s="1759"/>
      <c r="NAJ513" s="1759"/>
      <c r="NAK513" s="1760"/>
      <c r="NAL513" s="385"/>
      <c r="NAM513" s="69"/>
      <c r="NAN513" s="69"/>
      <c r="NAO513" s="2512"/>
      <c r="NAP513" s="1758"/>
      <c r="NAQ513" s="1759"/>
      <c r="NAR513" s="1759"/>
      <c r="NAS513" s="1760"/>
      <c r="NAT513" s="385"/>
      <c r="NAU513" s="69"/>
      <c r="NAV513" s="69"/>
      <c r="NAW513" s="2512"/>
      <c r="NAX513" s="1758"/>
      <c r="NAY513" s="1759"/>
      <c r="NAZ513" s="1759"/>
      <c r="NBA513" s="1760"/>
      <c r="NBB513" s="385"/>
      <c r="NBC513" s="69"/>
      <c r="NBD513" s="69"/>
      <c r="NBE513" s="2512"/>
      <c r="NBF513" s="1758"/>
      <c r="NBG513" s="1759"/>
      <c r="NBH513" s="1759"/>
      <c r="NBI513" s="1760"/>
      <c r="NBJ513" s="385"/>
      <c r="NBK513" s="69"/>
      <c r="NBL513" s="69"/>
      <c r="NBM513" s="2512"/>
      <c r="NBN513" s="1758"/>
      <c r="NBO513" s="1759"/>
      <c r="NBP513" s="1759"/>
      <c r="NBQ513" s="1760"/>
      <c r="NBR513" s="385"/>
      <c r="NBS513" s="69"/>
      <c r="NBT513" s="69"/>
      <c r="NBU513" s="2512"/>
      <c r="NBV513" s="1758"/>
      <c r="NBW513" s="1759"/>
      <c r="NBX513" s="1759"/>
      <c r="NBY513" s="1760"/>
      <c r="NBZ513" s="385"/>
      <c r="NCA513" s="69"/>
      <c r="NCB513" s="69"/>
      <c r="NCC513" s="2512"/>
      <c r="NCD513" s="1758"/>
      <c r="NCE513" s="1759"/>
      <c r="NCF513" s="1759"/>
      <c r="NCG513" s="1760"/>
      <c r="NCH513" s="385"/>
      <c r="NCI513" s="69"/>
      <c r="NCJ513" s="69"/>
      <c r="NCK513" s="2512"/>
      <c r="NCL513" s="1758"/>
      <c r="NCM513" s="1759"/>
      <c r="NCN513" s="1759"/>
      <c r="NCO513" s="1760"/>
      <c r="NCP513" s="385"/>
      <c r="NCQ513" s="69"/>
      <c r="NCR513" s="69"/>
      <c r="NCS513" s="2512"/>
      <c r="NCT513" s="1758"/>
      <c r="NCU513" s="1759"/>
      <c r="NCV513" s="1759"/>
      <c r="NCW513" s="1760"/>
      <c r="NCX513" s="385"/>
      <c r="NCY513" s="69"/>
      <c r="NCZ513" s="69"/>
      <c r="NDA513" s="2512"/>
      <c r="NDB513" s="1758"/>
      <c r="NDC513" s="1759"/>
      <c r="NDD513" s="1759"/>
      <c r="NDE513" s="1760"/>
      <c r="NDF513" s="385"/>
      <c r="NDG513" s="69"/>
      <c r="NDH513" s="69"/>
      <c r="NDI513" s="2512"/>
      <c r="NDJ513" s="1758"/>
      <c r="NDK513" s="1759"/>
      <c r="NDL513" s="1759"/>
      <c r="NDM513" s="1760"/>
      <c r="NDN513" s="385"/>
      <c r="NDO513" s="69"/>
      <c r="NDP513" s="69"/>
      <c r="NDQ513" s="2512"/>
      <c r="NDR513" s="1758"/>
      <c r="NDS513" s="1759"/>
      <c r="NDT513" s="1759"/>
      <c r="NDU513" s="1760"/>
      <c r="NDV513" s="385"/>
      <c r="NDW513" s="69"/>
      <c r="NDX513" s="69"/>
      <c r="NDY513" s="2512"/>
      <c r="NDZ513" s="1758"/>
      <c r="NEA513" s="1759"/>
      <c r="NEB513" s="1759"/>
      <c r="NEC513" s="1760"/>
      <c r="NED513" s="385"/>
      <c r="NEE513" s="69"/>
      <c r="NEF513" s="69"/>
      <c r="NEG513" s="2512"/>
      <c r="NEH513" s="1758"/>
      <c r="NEI513" s="1759"/>
      <c r="NEJ513" s="1759"/>
      <c r="NEK513" s="1760"/>
      <c r="NEL513" s="385"/>
      <c r="NEM513" s="69"/>
      <c r="NEN513" s="69"/>
      <c r="NEO513" s="2512"/>
      <c r="NEP513" s="1758"/>
      <c r="NEQ513" s="1759"/>
      <c r="NER513" s="1759"/>
      <c r="NES513" s="1760"/>
      <c r="NET513" s="385"/>
      <c r="NEU513" s="69"/>
      <c r="NEV513" s="69"/>
      <c r="NEW513" s="2512"/>
      <c r="NEX513" s="1758"/>
      <c r="NEY513" s="1759"/>
      <c r="NEZ513" s="1759"/>
      <c r="NFA513" s="1760"/>
      <c r="NFB513" s="385"/>
      <c r="NFC513" s="69"/>
      <c r="NFD513" s="69"/>
      <c r="NFE513" s="2512"/>
      <c r="NFF513" s="1758"/>
      <c r="NFG513" s="1759"/>
      <c r="NFH513" s="1759"/>
      <c r="NFI513" s="1760"/>
      <c r="NFJ513" s="385"/>
      <c r="NFK513" s="69"/>
      <c r="NFL513" s="69"/>
      <c r="NFM513" s="2512"/>
      <c r="NFN513" s="1758"/>
      <c r="NFO513" s="1759"/>
      <c r="NFP513" s="1759"/>
      <c r="NFQ513" s="1760"/>
      <c r="NFR513" s="385"/>
      <c r="NFS513" s="69"/>
      <c r="NFT513" s="69"/>
      <c r="NFU513" s="2512"/>
      <c r="NFV513" s="1758"/>
      <c r="NFW513" s="1759"/>
      <c r="NFX513" s="1759"/>
      <c r="NFY513" s="1760"/>
      <c r="NFZ513" s="385"/>
      <c r="NGA513" s="69"/>
      <c r="NGB513" s="69"/>
      <c r="NGC513" s="2512"/>
      <c r="NGD513" s="1758"/>
      <c r="NGE513" s="1759"/>
      <c r="NGF513" s="1759"/>
      <c r="NGG513" s="1760"/>
      <c r="NGH513" s="385"/>
      <c r="NGI513" s="69"/>
      <c r="NGJ513" s="69"/>
      <c r="NGK513" s="2512"/>
      <c r="NGL513" s="1758"/>
      <c r="NGM513" s="1759"/>
      <c r="NGN513" s="1759"/>
      <c r="NGO513" s="1760"/>
      <c r="NGP513" s="385"/>
      <c r="NGQ513" s="69"/>
      <c r="NGR513" s="69"/>
      <c r="NGS513" s="2512"/>
      <c r="NGT513" s="1758"/>
      <c r="NGU513" s="1759"/>
      <c r="NGV513" s="1759"/>
      <c r="NGW513" s="1760"/>
      <c r="NGX513" s="385"/>
      <c r="NGY513" s="69"/>
      <c r="NGZ513" s="69"/>
      <c r="NHA513" s="2512"/>
      <c r="NHB513" s="1758"/>
      <c r="NHC513" s="1759"/>
      <c r="NHD513" s="1759"/>
      <c r="NHE513" s="1760"/>
      <c r="NHF513" s="385"/>
      <c r="NHG513" s="69"/>
      <c r="NHH513" s="69"/>
      <c r="NHI513" s="2512"/>
      <c r="NHJ513" s="1758"/>
      <c r="NHK513" s="1759"/>
      <c r="NHL513" s="1759"/>
      <c r="NHM513" s="1760"/>
      <c r="NHN513" s="385"/>
      <c r="NHO513" s="69"/>
      <c r="NHP513" s="69"/>
      <c r="NHQ513" s="2512"/>
      <c r="NHR513" s="1758"/>
      <c r="NHS513" s="1759"/>
      <c r="NHT513" s="1759"/>
      <c r="NHU513" s="1760"/>
      <c r="NHV513" s="385"/>
      <c r="NHW513" s="69"/>
      <c r="NHX513" s="69"/>
      <c r="NHY513" s="2512"/>
      <c r="NHZ513" s="1758"/>
      <c r="NIA513" s="1759"/>
      <c r="NIB513" s="1759"/>
      <c r="NIC513" s="1760"/>
      <c r="NID513" s="385"/>
      <c r="NIE513" s="69"/>
      <c r="NIF513" s="69"/>
      <c r="NIG513" s="2512"/>
      <c r="NIH513" s="1758"/>
      <c r="NII513" s="1759"/>
      <c r="NIJ513" s="1759"/>
      <c r="NIK513" s="1760"/>
      <c r="NIL513" s="385"/>
      <c r="NIM513" s="69"/>
      <c r="NIN513" s="69"/>
      <c r="NIO513" s="2512"/>
      <c r="NIP513" s="1758"/>
      <c r="NIQ513" s="1759"/>
      <c r="NIR513" s="1759"/>
      <c r="NIS513" s="1760"/>
      <c r="NIT513" s="385"/>
      <c r="NIU513" s="69"/>
      <c r="NIV513" s="69"/>
      <c r="NIW513" s="2512"/>
      <c r="NIX513" s="1758"/>
      <c r="NIY513" s="1759"/>
      <c r="NIZ513" s="1759"/>
      <c r="NJA513" s="1760"/>
      <c r="NJB513" s="385"/>
      <c r="NJC513" s="69"/>
      <c r="NJD513" s="69"/>
      <c r="NJE513" s="2512"/>
      <c r="NJF513" s="1758"/>
      <c r="NJG513" s="1759"/>
      <c r="NJH513" s="1759"/>
      <c r="NJI513" s="1760"/>
      <c r="NJJ513" s="385"/>
      <c r="NJK513" s="69"/>
      <c r="NJL513" s="69"/>
      <c r="NJM513" s="2512"/>
      <c r="NJN513" s="1758"/>
      <c r="NJO513" s="1759"/>
      <c r="NJP513" s="1759"/>
      <c r="NJQ513" s="1760"/>
      <c r="NJR513" s="385"/>
      <c r="NJS513" s="69"/>
      <c r="NJT513" s="69"/>
      <c r="NJU513" s="2512"/>
      <c r="NJV513" s="1758"/>
      <c r="NJW513" s="1759"/>
      <c r="NJX513" s="1759"/>
      <c r="NJY513" s="1760"/>
      <c r="NJZ513" s="385"/>
      <c r="NKA513" s="69"/>
      <c r="NKB513" s="69"/>
      <c r="NKC513" s="2512"/>
      <c r="NKD513" s="1758"/>
      <c r="NKE513" s="1759"/>
      <c r="NKF513" s="1759"/>
      <c r="NKG513" s="1760"/>
      <c r="NKH513" s="385"/>
      <c r="NKI513" s="69"/>
      <c r="NKJ513" s="69"/>
      <c r="NKK513" s="2512"/>
      <c r="NKL513" s="1758"/>
      <c r="NKM513" s="1759"/>
      <c r="NKN513" s="1759"/>
      <c r="NKO513" s="1760"/>
      <c r="NKP513" s="385"/>
      <c r="NKQ513" s="69"/>
      <c r="NKR513" s="69"/>
      <c r="NKS513" s="2512"/>
      <c r="NKT513" s="1758"/>
      <c r="NKU513" s="1759"/>
      <c r="NKV513" s="1759"/>
      <c r="NKW513" s="1760"/>
      <c r="NKX513" s="385"/>
      <c r="NKY513" s="69"/>
      <c r="NKZ513" s="69"/>
      <c r="NLA513" s="2512"/>
      <c r="NLB513" s="1758"/>
      <c r="NLC513" s="1759"/>
      <c r="NLD513" s="1759"/>
      <c r="NLE513" s="1760"/>
      <c r="NLF513" s="385"/>
      <c r="NLG513" s="69"/>
      <c r="NLH513" s="69"/>
      <c r="NLI513" s="2512"/>
      <c r="NLJ513" s="1758"/>
      <c r="NLK513" s="1759"/>
      <c r="NLL513" s="1759"/>
      <c r="NLM513" s="1760"/>
      <c r="NLN513" s="385"/>
      <c r="NLO513" s="69"/>
      <c r="NLP513" s="69"/>
      <c r="NLQ513" s="2512"/>
      <c r="NLR513" s="1758"/>
      <c r="NLS513" s="1759"/>
      <c r="NLT513" s="1759"/>
      <c r="NLU513" s="1760"/>
      <c r="NLV513" s="385"/>
      <c r="NLW513" s="69"/>
      <c r="NLX513" s="69"/>
      <c r="NLY513" s="2512"/>
      <c r="NLZ513" s="1758"/>
      <c r="NMA513" s="1759"/>
      <c r="NMB513" s="1759"/>
      <c r="NMC513" s="1760"/>
      <c r="NMD513" s="385"/>
      <c r="NME513" s="69"/>
      <c r="NMF513" s="69"/>
      <c r="NMG513" s="2512"/>
      <c r="NMH513" s="1758"/>
      <c r="NMI513" s="1759"/>
      <c r="NMJ513" s="1759"/>
      <c r="NMK513" s="1760"/>
      <c r="NML513" s="385"/>
      <c r="NMM513" s="69"/>
      <c r="NMN513" s="69"/>
      <c r="NMO513" s="2512"/>
      <c r="NMP513" s="1758"/>
      <c r="NMQ513" s="1759"/>
      <c r="NMR513" s="1759"/>
      <c r="NMS513" s="1760"/>
      <c r="NMT513" s="385"/>
      <c r="NMU513" s="69"/>
      <c r="NMV513" s="69"/>
      <c r="NMW513" s="2512"/>
      <c r="NMX513" s="1758"/>
      <c r="NMY513" s="1759"/>
      <c r="NMZ513" s="1759"/>
      <c r="NNA513" s="1760"/>
      <c r="NNB513" s="385"/>
      <c r="NNC513" s="69"/>
      <c r="NND513" s="69"/>
      <c r="NNE513" s="2512"/>
      <c r="NNF513" s="1758"/>
      <c r="NNG513" s="1759"/>
      <c r="NNH513" s="1759"/>
      <c r="NNI513" s="1760"/>
      <c r="NNJ513" s="385"/>
      <c r="NNK513" s="69"/>
      <c r="NNL513" s="69"/>
      <c r="NNM513" s="2512"/>
      <c r="NNN513" s="1758"/>
      <c r="NNO513" s="1759"/>
      <c r="NNP513" s="1759"/>
      <c r="NNQ513" s="1760"/>
      <c r="NNR513" s="385"/>
      <c r="NNS513" s="69"/>
      <c r="NNT513" s="69"/>
      <c r="NNU513" s="2512"/>
      <c r="NNV513" s="1758"/>
      <c r="NNW513" s="1759"/>
      <c r="NNX513" s="1759"/>
      <c r="NNY513" s="1760"/>
      <c r="NNZ513" s="385"/>
      <c r="NOA513" s="69"/>
      <c r="NOB513" s="69"/>
      <c r="NOC513" s="2512"/>
      <c r="NOD513" s="1758"/>
      <c r="NOE513" s="1759"/>
      <c r="NOF513" s="1759"/>
      <c r="NOG513" s="1760"/>
      <c r="NOH513" s="385"/>
      <c r="NOI513" s="69"/>
      <c r="NOJ513" s="69"/>
      <c r="NOK513" s="2512"/>
      <c r="NOL513" s="1758"/>
      <c r="NOM513" s="1759"/>
      <c r="NON513" s="1759"/>
      <c r="NOO513" s="1760"/>
      <c r="NOP513" s="385"/>
      <c r="NOQ513" s="69"/>
      <c r="NOR513" s="69"/>
      <c r="NOS513" s="2512"/>
      <c r="NOT513" s="1758"/>
      <c r="NOU513" s="1759"/>
      <c r="NOV513" s="1759"/>
      <c r="NOW513" s="1760"/>
      <c r="NOX513" s="385"/>
      <c r="NOY513" s="69"/>
      <c r="NOZ513" s="69"/>
      <c r="NPA513" s="2512"/>
      <c r="NPB513" s="1758"/>
      <c r="NPC513" s="1759"/>
      <c r="NPD513" s="1759"/>
      <c r="NPE513" s="1760"/>
      <c r="NPF513" s="385"/>
      <c r="NPG513" s="69"/>
      <c r="NPH513" s="69"/>
      <c r="NPI513" s="2512"/>
      <c r="NPJ513" s="1758"/>
      <c r="NPK513" s="1759"/>
      <c r="NPL513" s="1759"/>
      <c r="NPM513" s="1760"/>
      <c r="NPN513" s="385"/>
      <c r="NPO513" s="69"/>
      <c r="NPP513" s="69"/>
      <c r="NPQ513" s="2512"/>
      <c r="NPR513" s="1758"/>
      <c r="NPS513" s="1759"/>
      <c r="NPT513" s="1759"/>
      <c r="NPU513" s="1760"/>
      <c r="NPV513" s="385"/>
      <c r="NPW513" s="69"/>
      <c r="NPX513" s="69"/>
      <c r="NPY513" s="2512"/>
      <c r="NPZ513" s="1758"/>
      <c r="NQA513" s="1759"/>
      <c r="NQB513" s="1759"/>
      <c r="NQC513" s="1760"/>
      <c r="NQD513" s="385"/>
      <c r="NQE513" s="69"/>
      <c r="NQF513" s="69"/>
      <c r="NQG513" s="2512"/>
      <c r="NQH513" s="1758"/>
      <c r="NQI513" s="1759"/>
      <c r="NQJ513" s="1759"/>
      <c r="NQK513" s="1760"/>
      <c r="NQL513" s="385"/>
      <c r="NQM513" s="69"/>
      <c r="NQN513" s="69"/>
      <c r="NQO513" s="2512"/>
      <c r="NQP513" s="1758"/>
      <c r="NQQ513" s="1759"/>
      <c r="NQR513" s="1759"/>
      <c r="NQS513" s="1760"/>
      <c r="NQT513" s="385"/>
      <c r="NQU513" s="69"/>
      <c r="NQV513" s="69"/>
      <c r="NQW513" s="2512"/>
      <c r="NQX513" s="1758"/>
      <c r="NQY513" s="1759"/>
      <c r="NQZ513" s="1759"/>
      <c r="NRA513" s="1760"/>
      <c r="NRB513" s="385"/>
      <c r="NRC513" s="69"/>
      <c r="NRD513" s="69"/>
      <c r="NRE513" s="2512"/>
      <c r="NRF513" s="1758"/>
      <c r="NRG513" s="1759"/>
      <c r="NRH513" s="1759"/>
      <c r="NRI513" s="1760"/>
      <c r="NRJ513" s="385"/>
      <c r="NRK513" s="69"/>
      <c r="NRL513" s="69"/>
      <c r="NRM513" s="2512"/>
      <c r="NRN513" s="1758"/>
      <c r="NRO513" s="1759"/>
      <c r="NRP513" s="1759"/>
      <c r="NRQ513" s="1760"/>
      <c r="NRR513" s="385"/>
      <c r="NRS513" s="69"/>
      <c r="NRT513" s="69"/>
      <c r="NRU513" s="2512"/>
      <c r="NRV513" s="1758"/>
      <c r="NRW513" s="1759"/>
      <c r="NRX513" s="1759"/>
      <c r="NRY513" s="1760"/>
      <c r="NRZ513" s="385"/>
      <c r="NSA513" s="69"/>
      <c r="NSB513" s="69"/>
      <c r="NSC513" s="2512"/>
      <c r="NSD513" s="1758"/>
      <c r="NSE513" s="1759"/>
      <c r="NSF513" s="1759"/>
      <c r="NSG513" s="1760"/>
      <c r="NSH513" s="385"/>
      <c r="NSI513" s="69"/>
      <c r="NSJ513" s="69"/>
      <c r="NSK513" s="2512"/>
      <c r="NSL513" s="1758"/>
      <c r="NSM513" s="1759"/>
      <c r="NSN513" s="1759"/>
      <c r="NSO513" s="1760"/>
      <c r="NSP513" s="385"/>
      <c r="NSQ513" s="69"/>
      <c r="NSR513" s="69"/>
      <c r="NSS513" s="2512"/>
      <c r="NST513" s="1758"/>
      <c r="NSU513" s="1759"/>
      <c r="NSV513" s="1759"/>
      <c r="NSW513" s="1760"/>
      <c r="NSX513" s="385"/>
      <c r="NSY513" s="69"/>
      <c r="NSZ513" s="69"/>
      <c r="NTA513" s="2512"/>
      <c r="NTB513" s="1758"/>
      <c r="NTC513" s="1759"/>
      <c r="NTD513" s="1759"/>
      <c r="NTE513" s="1760"/>
      <c r="NTF513" s="385"/>
      <c r="NTG513" s="69"/>
      <c r="NTH513" s="69"/>
      <c r="NTI513" s="2512"/>
      <c r="NTJ513" s="1758"/>
      <c r="NTK513" s="1759"/>
      <c r="NTL513" s="1759"/>
      <c r="NTM513" s="1760"/>
      <c r="NTN513" s="385"/>
      <c r="NTO513" s="69"/>
      <c r="NTP513" s="69"/>
      <c r="NTQ513" s="2512"/>
      <c r="NTR513" s="1758"/>
      <c r="NTS513" s="1759"/>
      <c r="NTT513" s="1759"/>
      <c r="NTU513" s="1760"/>
      <c r="NTV513" s="385"/>
      <c r="NTW513" s="69"/>
      <c r="NTX513" s="69"/>
      <c r="NTY513" s="2512"/>
      <c r="NTZ513" s="1758"/>
      <c r="NUA513" s="1759"/>
      <c r="NUB513" s="1759"/>
      <c r="NUC513" s="1760"/>
      <c r="NUD513" s="385"/>
      <c r="NUE513" s="69"/>
      <c r="NUF513" s="69"/>
      <c r="NUG513" s="2512"/>
      <c r="NUH513" s="1758"/>
      <c r="NUI513" s="1759"/>
      <c r="NUJ513" s="1759"/>
      <c r="NUK513" s="1760"/>
      <c r="NUL513" s="385"/>
      <c r="NUM513" s="69"/>
      <c r="NUN513" s="69"/>
      <c r="NUO513" s="2512"/>
      <c r="NUP513" s="1758"/>
      <c r="NUQ513" s="1759"/>
      <c r="NUR513" s="1759"/>
      <c r="NUS513" s="1760"/>
      <c r="NUT513" s="385"/>
      <c r="NUU513" s="69"/>
      <c r="NUV513" s="69"/>
      <c r="NUW513" s="2512"/>
      <c r="NUX513" s="1758"/>
      <c r="NUY513" s="1759"/>
      <c r="NUZ513" s="1759"/>
      <c r="NVA513" s="1760"/>
      <c r="NVB513" s="385"/>
      <c r="NVC513" s="69"/>
      <c r="NVD513" s="69"/>
      <c r="NVE513" s="2512"/>
      <c r="NVF513" s="1758"/>
      <c r="NVG513" s="1759"/>
      <c r="NVH513" s="1759"/>
      <c r="NVI513" s="1760"/>
      <c r="NVJ513" s="385"/>
      <c r="NVK513" s="69"/>
      <c r="NVL513" s="69"/>
      <c r="NVM513" s="2512"/>
      <c r="NVN513" s="1758"/>
      <c r="NVO513" s="1759"/>
      <c r="NVP513" s="1759"/>
      <c r="NVQ513" s="1760"/>
      <c r="NVR513" s="385"/>
      <c r="NVS513" s="69"/>
      <c r="NVT513" s="69"/>
      <c r="NVU513" s="2512"/>
      <c r="NVV513" s="1758"/>
      <c r="NVW513" s="1759"/>
      <c r="NVX513" s="1759"/>
      <c r="NVY513" s="1760"/>
      <c r="NVZ513" s="385"/>
      <c r="NWA513" s="69"/>
      <c r="NWB513" s="69"/>
      <c r="NWC513" s="2512"/>
      <c r="NWD513" s="1758"/>
      <c r="NWE513" s="1759"/>
      <c r="NWF513" s="1759"/>
      <c r="NWG513" s="1760"/>
      <c r="NWH513" s="385"/>
      <c r="NWI513" s="69"/>
      <c r="NWJ513" s="69"/>
      <c r="NWK513" s="2512"/>
      <c r="NWL513" s="1758"/>
      <c r="NWM513" s="1759"/>
      <c r="NWN513" s="1759"/>
      <c r="NWO513" s="1760"/>
      <c r="NWP513" s="385"/>
      <c r="NWQ513" s="69"/>
      <c r="NWR513" s="69"/>
      <c r="NWS513" s="2512"/>
      <c r="NWT513" s="1758"/>
      <c r="NWU513" s="1759"/>
      <c r="NWV513" s="1759"/>
      <c r="NWW513" s="1760"/>
      <c r="NWX513" s="385"/>
      <c r="NWY513" s="69"/>
      <c r="NWZ513" s="69"/>
      <c r="NXA513" s="2512"/>
      <c r="NXB513" s="1758"/>
      <c r="NXC513" s="1759"/>
      <c r="NXD513" s="1759"/>
      <c r="NXE513" s="1760"/>
      <c r="NXF513" s="385"/>
      <c r="NXG513" s="69"/>
      <c r="NXH513" s="69"/>
      <c r="NXI513" s="2512"/>
      <c r="NXJ513" s="1758"/>
      <c r="NXK513" s="1759"/>
      <c r="NXL513" s="1759"/>
      <c r="NXM513" s="1760"/>
      <c r="NXN513" s="385"/>
      <c r="NXO513" s="69"/>
      <c r="NXP513" s="69"/>
      <c r="NXQ513" s="2512"/>
      <c r="NXR513" s="1758"/>
      <c r="NXS513" s="1759"/>
      <c r="NXT513" s="1759"/>
      <c r="NXU513" s="1760"/>
      <c r="NXV513" s="385"/>
      <c r="NXW513" s="69"/>
      <c r="NXX513" s="69"/>
      <c r="NXY513" s="2512"/>
      <c r="NXZ513" s="1758"/>
      <c r="NYA513" s="1759"/>
      <c r="NYB513" s="1759"/>
      <c r="NYC513" s="1760"/>
      <c r="NYD513" s="385"/>
      <c r="NYE513" s="69"/>
      <c r="NYF513" s="69"/>
      <c r="NYG513" s="2512"/>
      <c r="NYH513" s="1758"/>
      <c r="NYI513" s="1759"/>
      <c r="NYJ513" s="1759"/>
      <c r="NYK513" s="1760"/>
      <c r="NYL513" s="385"/>
      <c r="NYM513" s="69"/>
      <c r="NYN513" s="69"/>
      <c r="NYO513" s="2512"/>
      <c r="NYP513" s="1758"/>
      <c r="NYQ513" s="1759"/>
      <c r="NYR513" s="1759"/>
      <c r="NYS513" s="1760"/>
      <c r="NYT513" s="385"/>
      <c r="NYU513" s="69"/>
      <c r="NYV513" s="69"/>
      <c r="NYW513" s="2512"/>
      <c r="NYX513" s="1758"/>
      <c r="NYY513" s="1759"/>
      <c r="NYZ513" s="1759"/>
      <c r="NZA513" s="1760"/>
      <c r="NZB513" s="385"/>
      <c r="NZC513" s="69"/>
      <c r="NZD513" s="69"/>
      <c r="NZE513" s="2512"/>
      <c r="NZF513" s="1758"/>
      <c r="NZG513" s="1759"/>
      <c r="NZH513" s="1759"/>
      <c r="NZI513" s="1760"/>
      <c r="NZJ513" s="385"/>
      <c r="NZK513" s="69"/>
      <c r="NZL513" s="69"/>
      <c r="NZM513" s="2512"/>
      <c r="NZN513" s="1758"/>
      <c r="NZO513" s="1759"/>
      <c r="NZP513" s="1759"/>
      <c r="NZQ513" s="1760"/>
      <c r="NZR513" s="385"/>
      <c r="NZS513" s="69"/>
      <c r="NZT513" s="69"/>
      <c r="NZU513" s="2512"/>
      <c r="NZV513" s="1758"/>
      <c r="NZW513" s="1759"/>
      <c r="NZX513" s="1759"/>
      <c r="NZY513" s="1760"/>
      <c r="NZZ513" s="385"/>
      <c r="OAA513" s="69"/>
      <c r="OAB513" s="69"/>
      <c r="OAC513" s="2512"/>
      <c r="OAD513" s="1758"/>
      <c r="OAE513" s="1759"/>
      <c r="OAF513" s="1759"/>
      <c r="OAG513" s="1760"/>
      <c r="OAH513" s="385"/>
      <c r="OAI513" s="69"/>
      <c r="OAJ513" s="69"/>
      <c r="OAK513" s="2512"/>
      <c r="OAL513" s="1758"/>
      <c r="OAM513" s="1759"/>
      <c r="OAN513" s="1759"/>
      <c r="OAO513" s="1760"/>
      <c r="OAP513" s="385"/>
      <c r="OAQ513" s="69"/>
      <c r="OAR513" s="69"/>
      <c r="OAS513" s="2512"/>
      <c r="OAT513" s="1758"/>
      <c r="OAU513" s="1759"/>
      <c r="OAV513" s="1759"/>
      <c r="OAW513" s="1760"/>
      <c r="OAX513" s="385"/>
      <c r="OAY513" s="69"/>
      <c r="OAZ513" s="69"/>
      <c r="OBA513" s="2512"/>
      <c r="OBB513" s="1758"/>
      <c r="OBC513" s="1759"/>
      <c r="OBD513" s="1759"/>
      <c r="OBE513" s="1760"/>
      <c r="OBF513" s="385"/>
      <c r="OBG513" s="69"/>
      <c r="OBH513" s="69"/>
      <c r="OBI513" s="2512"/>
      <c r="OBJ513" s="1758"/>
      <c r="OBK513" s="1759"/>
      <c r="OBL513" s="1759"/>
      <c r="OBM513" s="1760"/>
      <c r="OBN513" s="385"/>
      <c r="OBO513" s="69"/>
      <c r="OBP513" s="69"/>
      <c r="OBQ513" s="2512"/>
      <c r="OBR513" s="1758"/>
      <c r="OBS513" s="1759"/>
      <c r="OBT513" s="1759"/>
      <c r="OBU513" s="1760"/>
      <c r="OBV513" s="385"/>
      <c r="OBW513" s="69"/>
      <c r="OBX513" s="69"/>
      <c r="OBY513" s="2512"/>
      <c r="OBZ513" s="1758"/>
      <c r="OCA513" s="1759"/>
      <c r="OCB513" s="1759"/>
      <c r="OCC513" s="1760"/>
      <c r="OCD513" s="385"/>
      <c r="OCE513" s="69"/>
      <c r="OCF513" s="69"/>
      <c r="OCG513" s="2512"/>
      <c r="OCH513" s="1758"/>
      <c r="OCI513" s="1759"/>
      <c r="OCJ513" s="1759"/>
      <c r="OCK513" s="1760"/>
      <c r="OCL513" s="385"/>
      <c r="OCM513" s="69"/>
      <c r="OCN513" s="69"/>
      <c r="OCO513" s="2512"/>
      <c r="OCP513" s="1758"/>
      <c r="OCQ513" s="1759"/>
      <c r="OCR513" s="1759"/>
      <c r="OCS513" s="1760"/>
      <c r="OCT513" s="385"/>
      <c r="OCU513" s="69"/>
      <c r="OCV513" s="69"/>
      <c r="OCW513" s="2512"/>
      <c r="OCX513" s="1758"/>
      <c r="OCY513" s="1759"/>
      <c r="OCZ513" s="1759"/>
      <c r="ODA513" s="1760"/>
      <c r="ODB513" s="385"/>
      <c r="ODC513" s="69"/>
      <c r="ODD513" s="69"/>
      <c r="ODE513" s="2512"/>
      <c r="ODF513" s="1758"/>
      <c r="ODG513" s="1759"/>
      <c r="ODH513" s="1759"/>
      <c r="ODI513" s="1760"/>
      <c r="ODJ513" s="385"/>
      <c r="ODK513" s="69"/>
      <c r="ODL513" s="69"/>
      <c r="ODM513" s="2512"/>
      <c r="ODN513" s="1758"/>
      <c r="ODO513" s="1759"/>
      <c r="ODP513" s="1759"/>
      <c r="ODQ513" s="1760"/>
      <c r="ODR513" s="385"/>
      <c r="ODS513" s="69"/>
      <c r="ODT513" s="69"/>
      <c r="ODU513" s="2512"/>
      <c r="ODV513" s="1758"/>
      <c r="ODW513" s="1759"/>
      <c r="ODX513" s="1759"/>
      <c r="ODY513" s="1760"/>
      <c r="ODZ513" s="385"/>
      <c r="OEA513" s="69"/>
      <c r="OEB513" s="69"/>
      <c r="OEC513" s="2512"/>
      <c r="OED513" s="1758"/>
      <c r="OEE513" s="1759"/>
      <c r="OEF513" s="1759"/>
      <c r="OEG513" s="1760"/>
      <c r="OEH513" s="385"/>
      <c r="OEI513" s="69"/>
      <c r="OEJ513" s="69"/>
      <c r="OEK513" s="2512"/>
      <c r="OEL513" s="1758"/>
      <c r="OEM513" s="1759"/>
      <c r="OEN513" s="1759"/>
      <c r="OEO513" s="1760"/>
      <c r="OEP513" s="385"/>
      <c r="OEQ513" s="69"/>
      <c r="OER513" s="69"/>
      <c r="OES513" s="2512"/>
      <c r="OET513" s="1758"/>
      <c r="OEU513" s="1759"/>
      <c r="OEV513" s="1759"/>
      <c r="OEW513" s="1760"/>
      <c r="OEX513" s="385"/>
      <c r="OEY513" s="69"/>
      <c r="OEZ513" s="69"/>
      <c r="OFA513" s="2512"/>
      <c r="OFB513" s="1758"/>
      <c r="OFC513" s="1759"/>
      <c r="OFD513" s="1759"/>
      <c r="OFE513" s="1760"/>
      <c r="OFF513" s="385"/>
      <c r="OFG513" s="69"/>
      <c r="OFH513" s="69"/>
      <c r="OFI513" s="2512"/>
      <c r="OFJ513" s="1758"/>
      <c r="OFK513" s="1759"/>
      <c r="OFL513" s="1759"/>
      <c r="OFM513" s="1760"/>
      <c r="OFN513" s="385"/>
      <c r="OFO513" s="69"/>
      <c r="OFP513" s="69"/>
      <c r="OFQ513" s="2512"/>
      <c r="OFR513" s="1758"/>
      <c r="OFS513" s="1759"/>
      <c r="OFT513" s="1759"/>
      <c r="OFU513" s="1760"/>
      <c r="OFV513" s="385"/>
      <c r="OFW513" s="69"/>
      <c r="OFX513" s="69"/>
      <c r="OFY513" s="2512"/>
      <c r="OFZ513" s="1758"/>
      <c r="OGA513" s="1759"/>
      <c r="OGB513" s="1759"/>
      <c r="OGC513" s="1760"/>
      <c r="OGD513" s="385"/>
      <c r="OGE513" s="69"/>
      <c r="OGF513" s="69"/>
      <c r="OGG513" s="2512"/>
      <c r="OGH513" s="1758"/>
      <c r="OGI513" s="1759"/>
      <c r="OGJ513" s="1759"/>
      <c r="OGK513" s="1760"/>
      <c r="OGL513" s="385"/>
      <c r="OGM513" s="69"/>
      <c r="OGN513" s="69"/>
      <c r="OGO513" s="2512"/>
      <c r="OGP513" s="1758"/>
      <c r="OGQ513" s="1759"/>
      <c r="OGR513" s="1759"/>
      <c r="OGS513" s="1760"/>
      <c r="OGT513" s="385"/>
      <c r="OGU513" s="69"/>
      <c r="OGV513" s="69"/>
      <c r="OGW513" s="2512"/>
      <c r="OGX513" s="1758"/>
      <c r="OGY513" s="1759"/>
      <c r="OGZ513" s="1759"/>
      <c r="OHA513" s="1760"/>
      <c r="OHB513" s="385"/>
      <c r="OHC513" s="69"/>
      <c r="OHD513" s="69"/>
      <c r="OHE513" s="2512"/>
      <c r="OHF513" s="1758"/>
      <c r="OHG513" s="1759"/>
      <c r="OHH513" s="1759"/>
      <c r="OHI513" s="1760"/>
      <c r="OHJ513" s="385"/>
      <c r="OHK513" s="69"/>
      <c r="OHL513" s="69"/>
      <c r="OHM513" s="2512"/>
      <c r="OHN513" s="1758"/>
      <c r="OHO513" s="1759"/>
      <c r="OHP513" s="1759"/>
      <c r="OHQ513" s="1760"/>
      <c r="OHR513" s="385"/>
      <c r="OHS513" s="69"/>
      <c r="OHT513" s="69"/>
      <c r="OHU513" s="2512"/>
      <c r="OHV513" s="1758"/>
      <c r="OHW513" s="1759"/>
      <c r="OHX513" s="1759"/>
      <c r="OHY513" s="1760"/>
      <c r="OHZ513" s="385"/>
      <c r="OIA513" s="69"/>
      <c r="OIB513" s="69"/>
      <c r="OIC513" s="2512"/>
      <c r="OID513" s="1758"/>
      <c r="OIE513" s="1759"/>
      <c r="OIF513" s="1759"/>
      <c r="OIG513" s="1760"/>
      <c r="OIH513" s="385"/>
      <c r="OII513" s="69"/>
      <c r="OIJ513" s="69"/>
      <c r="OIK513" s="2512"/>
      <c r="OIL513" s="1758"/>
      <c r="OIM513" s="1759"/>
      <c r="OIN513" s="1759"/>
      <c r="OIO513" s="1760"/>
      <c r="OIP513" s="385"/>
      <c r="OIQ513" s="69"/>
      <c r="OIR513" s="69"/>
      <c r="OIS513" s="2512"/>
      <c r="OIT513" s="1758"/>
      <c r="OIU513" s="1759"/>
      <c r="OIV513" s="1759"/>
      <c r="OIW513" s="1760"/>
      <c r="OIX513" s="385"/>
      <c r="OIY513" s="69"/>
      <c r="OIZ513" s="69"/>
      <c r="OJA513" s="2512"/>
      <c r="OJB513" s="1758"/>
      <c r="OJC513" s="1759"/>
      <c r="OJD513" s="1759"/>
      <c r="OJE513" s="1760"/>
      <c r="OJF513" s="385"/>
      <c r="OJG513" s="69"/>
      <c r="OJH513" s="69"/>
      <c r="OJI513" s="2512"/>
      <c r="OJJ513" s="1758"/>
      <c r="OJK513" s="1759"/>
      <c r="OJL513" s="1759"/>
      <c r="OJM513" s="1760"/>
      <c r="OJN513" s="385"/>
      <c r="OJO513" s="69"/>
      <c r="OJP513" s="69"/>
      <c r="OJQ513" s="2512"/>
      <c r="OJR513" s="1758"/>
      <c r="OJS513" s="1759"/>
      <c r="OJT513" s="1759"/>
      <c r="OJU513" s="1760"/>
      <c r="OJV513" s="385"/>
      <c r="OJW513" s="69"/>
      <c r="OJX513" s="69"/>
      <c r="OJY513" s="2512"/>
      <c r="OJZ513" s="1758"/>
      <c r="OKA513" s="1759"/>
      <c r="OKB513" s="1759"/>
      <c r="OKC513" s="1760"/>
      <c r="OKD513" s="385"/>
      <c r="OKE513" s="69"/>
      <c r="OKF513" s="69"/>
      <c r="OKG513" s="2512"/>
      <c r="OKH513" s="1758"/>
      <c r="OKI513" s="1759"/>
      <c r="OKJ513" s="1759"/>
      <c r="OKK513" s="1760"/>
      <c r="OKL513" s="385"/>
      <c r="OKM513" s="69"/>
      <c r="OKN513" s="69"/>
      <c r="OKO513" s="2512"/>
      <c r="OKP513" s="1758"/>
      <c r="OKQ513" s="1759"/>
      <c r="OKR513" s="1759"/>
      <c r="OKS513" s="1760"/>
      <c r="OKT513" s="385"/>
      <c r="OKU513" s="69"/>
      <c r="OKV513" s="69"/>
      <c r="OKW513" s="2512"/>
      <c r="OKX513" s="1758"/>
      <c r="OKY513" s="1759"/>
      <c r="OKZ513" s="1759"/>
      <c r="OLA513" s="1760"/>
      <c r="OLB513" s="385"/>
      <c r="OLC513" s="69"/>
      <c r="OLD513" s="69"/>
      <c r="OLE513" s="2512"/>
      <c r="OLF513" s="1758"/>
      <c r="OLG513" s="1759"/>
      <c r="OLH513" s="1759"/>
      <c r="OLI513" s="1760"/>
      <c r="OLJ513" s="385"/>
      <c r="OLK513" s="69"/>
      <c r="OLL513" s="69"/>
      <c r="OLM513" s="2512"/>
      <c r="OLN513" s="1758"/>
      <c r="OLO513" s="1759"/>
      <c r="OLP513" s="1759"/>
      <c r="OLQ513" s="1760"/>
      <c r="OLR513" s="385"/>
      <c r="OLS513" s="69"/>
      <c r="OLT513" s="69"/>
      <c r="OLU513" s="2512"/>
      <c r="OLV513" s="1758"/>
      <c r="OLW513" s="1759"/>
      <c r="OLX513" s="1759"/>
      <c r="OLY513" s="1760"/>
      <c r="OLZ513" s="385"/>
      <c r="OMA513" s="69"/>
      <c r="OMB513" s="69"/>
      <c r="OMC513" s="2512"/>
      <c r="OMD513" s="1758"/>
      <c r="OME513" s="1759"/>
      <c r="OMF513" s="1759"/>
      <c r="OMG513" s="1760"/>
      <c r="OMH513" s="385"/>
      <c r="OMI513" s="69"/>
      <c r="OMJ513" s="69"/>
      <c r="OMK513" s="2512"/>
      <c r="OML513" s="1758"/>
      <c r="OMM513" s="1759"/>
      <c r="OMN513" s="1759"/>
      <c r="OMO513" s="1760"/>
      <c r="OMP513" s="385"/>
      <c r="OMQ513" s="69"/>
      <c r="OMR513" s="69"/>
      <c r="OMS513" s="2512"/>
      <c r="OMT513" s="1758"/>
      <c r="OMU513" s="1759"/>
      <c r="OMV513" s="1759"/>
      <c r="OMW513" s="1760"/>
      <c r="OMX513" s="385"/>
      <c r="OMY513" s="69"/>
      <c r="OMZ513" s="69"/>
      <c r="ONA513" s="2512"/>
      <c r="ONB513" s="1758"/>
      <c r="ONC513" s="1759"/>
      <c r="OND513" s="1759"/>
      <c r="ONE513" s="1760"/>
      <c r="ONF513" s="385"/>
      <c r="ONG513" s="69"/>
      <c r="ONH513" s="69"/>
      <c r="ONI513" s="2512"/>
      <c r="ONJ513" s="1758"/>
      <c r="ONK513" s="1759"/>
      <c r="ONL513" s="1759"/>
      <c r="ONM513" s="1760"/>
      <c r="ONN513" s="385"/>
      <c r="ONO513" s="69"/>
      <c r="ONP513" s="69"/>
      <c r="ONQ513" s="2512"/>
      <c r="ONR513" s="1758"/>
      <c r="ONS513" s="1759"/>
      <c r="ONT513" s="1759"/>
      <c r="ONU513" s="1760"/>
      <c r="ONV513" s="385"/>
      <c r="ONW513" s="69"/>
      <c r="ONX513" s="69"/>
      <c r="ONY513" s="2512"/>
      <c r="ONZ513" s="1758"/>
      <c r="OOA513" s="1759"/>
      <c r="OOB513" s="1759"/>
      <c r="OOC513" s="1760"/>
      <c r="OOD513" s="385"/>
      <c r="OOE513" s="69"/>
      <c r="OOF513" s="69"/>
      <c r="OOG513" s="2512"/>
      <c r="OOH513" s="1758"/>
      <c r="OOI513" s="1759"/>
      <c r="OOJ513" s="1759"/>
      <c r="OOK513" s="1760"/>
      <c r="OOL513" s="385"/>
      <c r="OOM513" s="69"/>
      <c r="OON513" s="69"/>
      <c r="OOO513" s="2512"/>
      <c r="OOP513" s="1758"/>
      <c r="OOQ513" s="1759"/>
      <c r="OOR513" s="1759"/>
      <c r="OOS513" s="1760"/>
      <c r="OOT513" s="385"/>
      <c r="OOU513" s="69"/>
      <c r="OOV513" s="69"/>
      <c r="OOW513" s="2512"/>
      <c r="OOX513" s="1758"/>
      <c r="OOY513" s="1759"/>
      <c r="OOZ513" s="1759"/>
      <c r="OPA513" s="1760"/>
      <c r="OPB513" s="385"/>
      <c r="OPC513" s="69"/>
      <c r="OPD513" s="69"/>
      <c r="OPE513" s="2512"/>
      <c r="OPF513" s="1758"/>
      <c r="OPG513" s="1759"/>
      <c r="OPH513" s="1759"/>
      <c r="OPI513" s="1760"/>
      <c r="OPJ513" s="385"/>
      <c r="OPK513" s="69"/>
      <c r="OPL513" s="69"/>
      <c r="OPM513" s="2512"/>
      <c r="OPN513" s="1758"/>
      <c r="OPO513" s="1759"/>
      <c r="OPP513" s="1759"/>
      <c r="OPQ513" s="1760"/>
      <c r="OPR513" s="385"/>
      <c r="OPS513" s="69"/>
      <c r="OPT513" s="69"/>
      <c r="OPU513" s="2512"/>
      <c r="OPV513" s="1758"/>
      <c r="OPW513" s="1759"/>
      <c r="OPX513" s="1759"/>
      <c r="OPY513" s="1760"/>
      <c r="OPZ513" s="385"/>
      <c r="OQA513" s="69"/>
      <c r="OQB513" s="69"/>
      <c r="OQC513" s="2512"/>
      <c r="OQD513" s="1758"/>
      <c r="OQE513" s="1759"/>
      <c r="OQF513" s="1759"/>
      <c r="OQG513" s="1760"/>
      <c r="OQH513" s="385"/>
      <c r="OQI513" s="69"/>
      <c r="OQJ513" s="69"/>
      <c r="OQK513" s="2512"/>
      <c r="OQL513" s="1758"/>
      <c r="OQM513" s="1759"/>
      <c r="OQN513" s="1759"/>
      <c r="OQO513" s="1760"/>
      <c r="OQP513" s="385"/>
      <c r="OQQ513" s="69"/>
      <c r="OQR513" s="69"/>
      <c r="OQS513" s="2512"/>
      <c r="OQT513" s="1758"/>
      <c r="OQU513" s="1759"/>
      <c r="OQV513" s="1759"/>
      <c r="OQW513" s="1760"/>
      <c r="OQX513" s="385"/>
      <c r="OQY513" s="69"/>
      <c r="OQZ513" s="69"/>
      <c r="ORA513" s="2512"/>
      <c r="ORB513" s="1758"/>
      <c r="ORC513" s="1759"/>
      <c r="ORD513" s="1759"/>
      <c r="ORE513" s="1760"/>
      <c r="ORF513" s="385"/>
      <c r="ORG513" s="69"/>
      <c r="ORH513" s="69"/>
      <c r="ORI513" s="2512"/>
      <c r="ORJ513" s="1758"/>
      <c r="ORK513" s="1759"/>
      <c r="ORL513" s="1759"/>
      <c r="ORM513" s="1760"/>
      <c r="ORN513" s="385"/>
      <c r="ORO513" s="69"/>
      <c r="ORP513" s="69"/>
      <c r="ORQ513" s="2512"/>
      <c r="ORR513" s="1758"/>
      <c r="ORS513" s="1759"/>
      <c r="ORT513" s="1759"/>
      <c r="ORU513" s="1760"/>
      <c r="ORV513" s="385"/>
      <c r="ORW513" s="69"/>
      <c r="ORX513" s="69"/>
      <c r="ORY513" s="2512"/>
      <c r="ORZ513" s="1758"/>
      <c r="OSA513" s="1759"/>
      <c r="OSB513" s="1759"/>
      <c r="OSC513" s="1760"/>
      <c r="OSD513" s="385"/>
      <c r="OSE513" s="69"/>
      <c r="OSF513" s="69"/>
      <c r="OSG513" s="2512"/>
      <c r="OSH513" s="1758"/>
      <c r="OSI513" s="1759"/>
      <c r="OSJ513" s="1759"/>
      <c r="OSK513" s="1760"/>
      <c r="OSL513" s="385"/>
      <c r="OSM513" s="69"/>
      <c r="OSN513" s="69"/>
      <c r="OSO513" s="2512"/>
      <c r="OSP513" s="1758"/>
      <c r="OSQ513" s="1759"/>
      <c r="OSR513" s="1759"/>
      <c r="OSS513" s="1760"/>
      <c r="OST513" s="385"/>
      <c r="OSU513" s="69"/>
      <c r="OSV513" s="69"/>
      <c r="OSW513" s="2512"/>
      <c r="OSX513" s="1758"/>
      <c r="OSY513" s="1759"/>
      <c r="OSZ513" s="1759"/>
      <c r="OTA513" s="1760"/>
      <c r="OTB513" s="385"/>
      <c r="OTC513" s="69"/>
      <c r="OTD513" s="69"/>
      <c r="OTE513" s="2512"/>
      <c r="OTF513" s="1758"/>
      <c r="OTG513" s="1759"/>
      <c r="OTH513" s="1759"/>
      <c r="OTI513" s="1760"/>
      <c r="OTJ513" s="385"/>
      <c r="OTK513" s="69"/>
      <c r="OTL513" s="69"/>
      <c r="OTM513" s="2512"/>
      <c r="OTN513" s="1758"/>
      <c r="OTO513" s="1759"/>
      <c r="OTP513" s="1759"/>
      <c r="OTQ513" s="1760"/>
      <c r="OTR513" s="385"/>
      <c r="OTS513" s="69"/>
      <c r="OTT513" s="69"/>
      <c r="OTU513" s="2512"/>
      <c r="OTV513" s="1758"/>
      <c r="OTW513" s="1759"/>
      <c r="OTX513" s="1759"/>
      <c r="OTY513" s="1760"/>
      <c r="OTZ513" s="385"/>
      <c r="OUA513" s="69"/>
      <c r="OUB513" s="69"/>
      <c r="OUC513" s="2512"/>
      <c r="OUD513" s="1758"/>
      <c r="OUE513" s="1759"/>
      <c r="OUF513" s="1759"/>
      <c r="OUG513" s="1760"/>
      <c r="OUH513" s="385"/>
      <c r="OUI513" s="69"/>
      <c r="OUJ513" s="69"/>
      <c r="OUK513" s="2512"/>
      <c r="OUL513" s="1758"/>
      <c r="OUM513" s="1759"/>
      <c r="OUN513" s="1759"/>
      <c r="OUO513" s="1760"/>
      <c r="OUP513" s="385"/>
      <c r="OUQ513" s="69"/>
      <c r="OUR513" s="69"/>
      <c r="OUS513" s="2512"/>
      <c r="OUT513" s="1758"/>
      <c r="OUU513" s="1759"/>
      <c r="OUV513" s="1759"/>
      <c r="OUW513" s="1760"/>
      <c r="OUX513" s="385"/>
      <c r="OUY513" s="69"/>
      <c r="OUZ513" s="69"/>
      <c r="OVA513" s="2512"/>
      <c r="OVB513" s="1758"/>
      <c r="OVC513" s="1759"/>
      <c r="OVD513" s="1759"/>
      <c r="OVE513" s="1760"/>
      <c r="OVF513" s="385"/>
      <c r="OVG513" s="69"/>
      <c r="OVH513" s="69"/>
      <c r="OVI513" s="2512"/>
      <c r="OVJ513" s="1758"/>
      <c r="OVK513" s="1759"/>
      <c r="OVL513" s="1759"/>
      <c r="OVM513" s="1760"/>
      <c r="OVN513" s="385"/>
      <c r="OVO513" s="69"/>
      <c r="OVP513" s="69"/>
      <c r="OVQ513" s="2512"/>
      <c r="OVR513" s="1758"/>
      <c r="OVS513" s="1759"/>
      <c r="OVT513" s="1759"/>
      <c r="OVU513" s="1760"/>
      <c r="OVV513" s="385"/>
      <c r="OVW513" s="69"/>
      <c r="OVX513" s="69"/>
      <c r="OVY513" s="2512"/>
      <c r="OVZ513" s="1758"/>
      <c r="OWA513" s="1759"/>
      <c r="OWB513" s="1759"/>
      <c r="OWC513" s="1760"/>
      <c r="OWD513" s="385"/>
      <c r="OWE513" s="69"/>
      <c r="OWF513" s="69"/>
      <c r="OWG513" s="2512"/>
      <c r="OWH513" s="1758"/>
      <c r="OWI513" s="1759"/>
      <c r="OWJ513" s="1759"/>
      <c r="OWK513" s="1760"/>
      <c r="OWL513" s="385"/>
      <c r="OWM513" s="69"/>
      <c r="OWN513" s="69"/>
      <c r="OWO513" s="2512"/>
      <c r="OWP513" s="1758"/>
      <c r="OWQ513" s="1759"/>
      <c r="OWR513" s="1759"/>
      <c r="OWS513" s="1760"/>
      <c r="OWT513" s="385"/>
      <c r="OWU513" s="69"/>
      <c r="OWV513" s="69"/>
      <c r="OWW513" s="2512"/>
      <c r="OWX513" s="1758"/>
      <c r="OWY513" s="1759"/>
      <c r="OWZ513" s="1759"/>
      <c r="OXA513" s="1760"/>
      <c r="OXB513" s="385"/>
      <c r="OXC513" s="69"/>
      <c r="OXD513" s="69"/>
      <c r="OXE513" s="2512"/>
      <c r="OXF513" s="1758"/>
      <c r="OXG513" s="1759"/>
      <c r="OXH513" s="1759"/>
      <c r="OXI513" s="1760"/>
      <c r="OXJ513" s="385"/>
      <c r="OXK513" s="69"/>
      <c r="OXL513" s="69"/>
      <c r="OXM513" s="2512"/>
      <c r="OXN513" s="1758"/>
      <c r="OXO513" s="1759"/>
      <c r="OXP513" s="1759"/>
      <c r="OXQ513" s="1760"/>
      <c r="OXR513" s="385"/>
      <c r="OXS513" s="69"/>
      <c r="OXT513" s="69"/>
      <c r="OXU513" s="2512"/>
      <c r="OXV513" s="1758"/>
      <c r="OXW513" s="1759"/>
      <c r="OXX513" s="1759"/>
      <c r="OXY513" s="1760"/>
      <c r="OXZ513" s="385"/>
      <c r="OYA513" s="69"/>
      <c r="OYB513" s="69"/>
      <c r="OYC513" s="2512"/>
      <c r="OYD513" s="1758"/>
      <c r="OYE513" s="1759"/>
      <c r="OYF513" s="1759"/>
      <c r="OYG513" s="1760"/>
      <c r="OYH513" s="385"/>
      <c r="OYI513" s="69"/>
      <c r="OYJ513" s="69"/>
      <c r="OYK513" s="2512"/>
      <c r="OYL513" s="1758"/>
      <c r="OYM513" s="1759"/>
      <c r="OYN513" s="1759"/>
      <c r="OYO513" s="1760"/>
      <c r="OYP513" s="385"/>
      <c r="OYQ513" s="69"/>
      <c r="OYR513" s="69"/>
      <c r="OYS513" s="2512"/>
      <c r="OYT513" s="1758"/>
      <c r="OYU513" s="1759"/>
      <c r="OYV513" s="1759"/>
      <c r="OYW513" s="1760"/>
      <c r="OYX513" s="385"/>
      <c r="OYY513" s="69"/>
      <c r="OYZ513" s="69"/>
      <c r="OZA513" s="2512"/>
      <c r="OZB513" s="1758"/>
      <c r="OZC513" s="1759"/>
      <c r="OZD513" s="1759"/>
      <c r="OZE513" s="1760"/>
      <c r="OZF513" s="385"/>
      <c r="OZG513" s="69"/>
      <c r="OZH513" s="69"/>
      <c r="OZI513" s="2512"/>
      <c r="OZJ513" s="1758"/>
      <c r="OZK513" s="1759"/>
      <c r="OZL513" s="1759"/>
      <c r="OZM513" s="1760"/>
      <c r="OZN513" s="385"/>
      <c r="OZO513" s="69"/>
      <c r="OZP513" s="69"/>
      <c r="OZQ513" s="2512"/>
      <c r="OZR513" s="1758"/>
      <c r="OZS513" s="1759"/>
      <c r="OZT513" s="1759"/>
      <c r="OZU513" s="1760"/>
      <c r="OZV513" s="385"/>
      <c r="OZW513" s="69"/>
      <c r="OZX513" s="69"/>
      <c r="OZY513" s="2512"/>
      <c r="OZZ513" s="1758"/>
      <c r="PAA513" s="1759"/>
      <c r="PAB513" s="1759"/>
      <c r="PAC513" s="1760"/>
      <c r="PAD513" s="385"/>
      <c r="PAE513" s="69"/>
      <c r="PAF513" s="69"/>
      <c r="PAG513" s="2512"/>
      <c r="PAH513" s="1758"/>
      <c r="PAI513" s="1759"/>
      <c r="PAJ513" s="1759"/>
      <c r="PAK513" s="1760"/>
      <c r="PAL513" s="385"/>
      <c r="PAM513" s="69"/>
      <c r="PAN513" s="69"/>
      <c r="PAO513" s="2512"/>
      <c r="PAP513" s="1758"/>
      <c r="PAQ513" s="1759"/>
      <c r="PAR513" s="1759"/>
      <c r="PAS513" s="1760"/>
      <c r="PAT513" s="385"/>
      <c r="PAU513" s="69"/>
      <c r="PAV513" s="69"/>
      <c r="PAW513" s="2512"/>
      <c r="PAX513" s="1758"/>
      <c r="PAY513" s="1759"/>
      <c r="PAZ513" s="1759"/>
      <c r="PBA513" s="1760"/>
      <c r="PBB513" s="385"/>
      <c r="PBC513" s="69"/>
      <c r="PBD513" s="69"/>
      <c r="PBE513" s="2512"/>
      <c r="PBF513" s="1758"/>
      <c r="PBG513" s="1759"/>
      <c r="PBH513" s="1759"/>
      <c r="PBI513" s="1760"/>
      <c r="PBJ513" s="385"/>
      <c r="PBK513" s="69"/>
      <c r="PBL513" s="69"/>
      <c r="PBM513" s="2512"/>
      <c r="PBN513" s="1758"/>
      <c r="PBO513" s="1759"/>
      <c r="PBP513" s="1759"/>
      <c r="PBQ513" s="1760"/>
      <c r="PBR513" s="385"/>
      <c r="PBS513" s="69"/>
      <c r="PBT513" s="69"/>
      <c r="PBU513" s="2512"/>
      <c r="PBV513" s="1758"/>
      <c r="PBW513" s="1759"/>
      <c r="PBX513" s="1759"/>
      <c r="PBY513" s="1760"/>
      <c r="PBZ513" s="385"/>
      <c r="PCA513" s="69"/>
      <c r="PCB513" s="69"/>
      <c r="PCC513" s="2512"/>
      <c r="PCD513" s="1758"/>
      <c r="PCE513" s="1759"/>
      <c r="PCF513" s="1759"/>
      <c r="PCG513" s="1760"/>
      <c r="PCH513" s="385"/>
      <c r="PCI513" s="69"/>
      <c r="PCJ513" s="69"/>
      <c r="PCK513" s="2512"/>
      <c r="PCL513" s="1758"/>
      <c r="PCM513" s="1759"/>
      <c r="PCN513" s="1759"/>
      <c r="PCO513" s="1760"/>
      <c r="PCP513" s="385"/>
      <c r="PCQ513" s="69"/>
      <c r="PCR513" s="69"/>
      <c r="PCS513" s="2512"/>
      <c r="PCT513" s="1758"/>
      <c r="PCU513" s="1759"/>
      <c r="PCV513" s="1759"/>
      <c r="PCW513" s="1760"/>
      <c r="PCX513" s="385"/>
      <c r="PCY513" s="69"/>
      <c r="PCZ513" s="69"/>
      <c r="PDA513" s="2512"/>
      <c r="PDB513" s="1758"/>
      <c r="PDC513" s="1759"/>
      <c r="PDD513" s="1759"/>
      <c r="PDE513" s="1760"/>
      <c r="PDF513" s="385"/>
      <c r="PDG513" s="69"/>
      <c r="PDH513" s="69"/>
      <c r="PDI513" s="2512"/>
      <c r="PDJ513" s="1758"/>
      <c r="PDK513" s="1759"/>
      <c r="PDL513" s="1759"/>
      <c r="PDM513" s="1760"/>
      <c r="PDN513" s="385"/>
      <c r="PDO513" s="69"/>
      <c r="PDP513" s="69"/>
      <c r="PDQ513" s="2512"/>
      <c r="PDR513" s="1758"/>
      <c r="PDS513" s="1759"/>
      <c r="PDT513" s="1759"/>
      <c r="PDU513" s="1760"/>
      <c r="PDV513" s="385"/>
      <c r="PDW513" s="69"/>
      <c r="PDX513" s="69"/>
      <c r="PDY513" s="2512"/>
      <c r="PDZ513" s="1758"/>
      <c r="PEA513" s="1759"/>
      <c r="PEB513" s="1759"/>
      <c r="PEC513" s="1760"/>
      <c r="PED513" s="385"/>
      <c r="PEE513" s="69"/>
      <c r="PEF513" s="69"/>
      <c r="PEG513" s="2512"/>
      <c r="PEH513" s="1758"/>
      <c r="PEI513" s="1759"/>
      <c r="PEJ513" s="1759"/>
      <c r="PEK513" s="1760"/>
      <c r="PEL513" s="385"/>
      <c r="PEM513" s="69"/>
      <c r="PEN513" s="69"/>
      <c r="PEO513" s="2512"/>
      <c r="PEP513" s="1758"/>
      <c r="PEQ513" s="1759"/>
      <c r="PER513" s="1759"/>
      <c r="PES513" s="1760"/>
      <c r="PET513" s="385"/>
      <c r="PEU513" s="69"/>
      <c r="PEV513" s="69"/>
      <c r="PEW513" s="2512"/>
      <c r="PEX513" s="1758"/>
      <c r="PEY513" s="1759"/>
      <c r="PEZ513" s="1759"/>
      <c r="PFA513" s="1760"/>
      <c r="PFB513" s="385"/>
      <c r="PFC513" s="69"/>
      <c r="PFD513" s="69"/>
      <c r="PFE513" s="2512"/>
      <c r="PFF513" s="1758"/>
      <c r="PFG513" s="1759"/>
      <c r="PFH513" s="1759"/>
      <c r="PFI513" s="1760"/>
      <c r="PFJ513" s="385"/>
      <c r="PFK513" s="69"/>
      <c r="PFL513" s="69"/>
      <c r="PFM513" s="2512"/>
      <c r="PFN513" s="1758"/>
      <c r="PFO513" s="1759"/>
      <c r="PFP513" s="1759"/>
      <c r="PFQ513" s="1760"/>
      <c r="PFR513" s="385"/>
      <c r="PFS513" s="69"/>
      <c r="PFT513" s="69"/>
      <c r="PFU513" s="2512"/>
      <c r="PFV513" s="1758"/>
      <c r="PFW513" s="1759"/>
      <c r="PFX513" s="1759"/>
      <c r="PFY513" s="1760"/>
      <c r="PFZ513" s="385"/>
      <c r="PGA513" s="69"/>
      <c r="PGB513" s="69"/>
      <c r="PGC513" s="2512"/>
      <c r="PGD513" s="1758"/>
      <c r="PGE513" s="1759"/>
      <c r="PGF513" s="1759"/>
      <c r="PGG513" s="1760"/>
      <c r="PGH513" s="385"/>
      <c r="PGI513" s="69"/>
      <c r="PGJ513" s="69"/>
      <c r="PGK513" s="2512"/>
      <c r="PGL513" s="1758"/>
      <c r="PGM513" s="1759"/>
      <c r="PGN513" s="1759"/>
      <c r="PGO513" s="1760"/>
      <c r="PGP513" s="385"/>
      <c r="PGQ513" s="69"/>
      <c r="PGR513" s="69"/>
      <c r="PGS513" s="2512"/>
      <c r="PGT513" s="1758"/>
      <c r="PGU513" s="1759"/>
      <c r="PGV513" s="1759"/>
      <c r="PGW513" s="1760"/>
      <c r="PGX513" s="385"/>
      <c r="PGY513" s="69"/>
      <c r="PGZ513" s="69"/>
      <c r="PHA513" s="2512"/>
      <c r="PHB513" s="1758"/>
      <c r="PHC513" s="1759"/>
      <c r="PHD513" s="1759"/>
      <c r="PHE513" s="1760"/>
      <c r="PHF513" s="385"/>
      <c r="PHG513" s="69"/>
      <c r="PHH513" s="69"/>
      <c r="PHI513" s="2512"/>
      <c r="PHJ513" s="1758"/>
      <c r="PHK513" s="1759"/>
      <c r="PHL513" s="1759"/>
      <c r="PHM513" s="1760"/>
      <c r="PHN513" s="385"/>
      <c r="PHO513" s="69"/>
      <c r="PHP513" s="69"/>
      <c r="PHQ513" s="2512"/>
      <c r="PHR513" s="1758"/>
      <c r="PHS513" s="1759"/>
      <c r="PHT513" s="1759"/>
      <c r="PHU513" s="1760"/>
      <c r="PHV513" s="385"/>
      <c r="PHW513" s="69"/>
      <c r="PHX513" s="69"/>
      <c r="PHY513" s="2512"/>
      <c r="PHZ513" s="1758"/>
      <c r="PIA513" s="1759"/>
      <c r="PIB513" s="1759"/>
      <c r="PIC513" s="1760"/>
      <c r="PID513" s="385"/>
      <c r="PIE513" s="69"/>
      <c r="PIF513" s="69"/>
      <c r="PIG513" s="2512"/>
      <c r="PIH513" s="1758"/>
      <c r="PII513" s="1759"/>
      <c r="PIJ513" s="1759"/>
      <c r="PIK513" s="1760"/>
      <c r="PIL513" s="385"/>
      <c r="PIM513" s="69"/>
      <c r="PIN513" s="69"/>
      <c r="PIO513" s="2512"/>
      <c r="PIP513" s="1758"/>
      <c r="PIQ513" s="1759"/>
      <c r="PIR513" s="1759"/>
      <c r="PIS513" s="1760"/>
      <c r="PIT513" s="385"/>
      <c r="PIU513" s="69"/>
      <c r="PIV513" s="69"/>
      <c r="PIW513" s="2512"/>
      <c r="PIX513" s="1758"/>
      <c r="PIY513" s="1759"/>
      <c r="PIZ513" s="1759"/>
      <c r="PJA513" s="1760"/>
      <c r="PJB513" s="385"/>
      <c r="PJC513" s="69"/>
      <c r="PJD513" s="69"/>
      <c r="PJE513" s="2512"/>
      <c r="PJF513" s="1758"/>
      <c r="PJG513" s="1759"/>
      <c r="PJH513" s="1759"/>
      <c r="PJI513" s="1760"/>
      <c r="PJJ513" s="385"/>
      <c r="PJK513" s="69"/>
      <c r="PJL513" s="69"/>
      <c r="PJM513" s="2512"/>
      <c r="PJN513" s="1758"/>
      <c r="PJO513" s="1759"/>
      <c r="PJP513" s="1759"/>
      <c r="PJQ513" s="1760"/>
      <c r="PJR513" s="385"/>
      <c r="PJS513" s="69"/>
      <c r="PJT513" s="69"/>
      <c r="PJU513" s="2512"/>
      <c r="PJV513" s="1758"/>
      <c r="PJW513" s="1759"/>
      <c r="PJX513" s="1759"/>
      <c r="PJY513" s="1760"/>
      <c r="PJZ513" s="385"/>
      <c r="PKA513" s="69"/>
      <c r="PKB513" s="69"/>
      <c r="PKC513" s="2512"/>
      <c r="PKD513" s="1758"/>
      <c r="PKE513" s="1759"/>
      <c r="PKF513" s="1759"/>
      <c r="PKG513" s="1760"/>
      <c r="PKH513" s="385"/>
      <c r="PKI513" s="69"/>
      <c r="PKJ513" s="69"/>
      <c r="PKK513" s="2512"/>
      <c r="PKL513" s="1758"/>
      <c r="PKM513" s="1759"/>
      <c r="PKN513" s="1759"/>
      <c r="PKO513" s="1760"/>
      <c r="PKP513" s="385"/>
      <c r="PKQ513" s="69"/>
      <c r="PKR513" s="69"/>
      <c r="PKS513" s="2512"/>
      <c r="PKT513" s="1758"/>
      <c r="PKU513" s="1759"/>
      <c r="PKV513" s="1759"/>
      <c r="PKW513" s="1760"/>
      <c r="PKX513" s="385"/>
      <c r="PKY513" s="69"/>
      <c r="PKZ513" s="69"/>
      <c r="PLA513" s="2512"/>
      <c r="PLB513" s="1758"/>
      <c r="PLC513" s="1759"/>
      <c r="PLD513" s="1759"/>
      <c r="PLE513" s="1760"/>
      <c r="PLF513" s="385"/>
      <c r="PLG513" s="69"/>
      <c r="PLH513" s="69"/>
      <c r="PLI513" s="2512"/>
      <c r="PLJ513" s="1758"/>
      <c r="PLK513" s="1759"/>
      <c r="PLL513" s="1759"/>
      <c r="PLM513" s="1760"/>
      <c r="PLN513" s="385"/>
      <c r="PLO513" s="69"/>
      <c r="PLP513" s="69"/>
      <c r="PLQ513" s="2512"/>
      <c r="PLR513" s="1758"/>
      <c r="PLS513" s="1759"/>
      <c r="PLT513" s="1759"/>
      <c r="PLU513" s="1760"/>
      <c r="PLV513" s="385"/>
      <c r="PLW513" s="69"/>
      <c r="PLX513" s="69"/>
      <c r="PLY513" s="2512"/>
      <c r="PLZ513" s="1758"/>
      <c r="PMA513" s="1759"/>
      <c r="PMB513" s="1759"/>
      <c r="PMC513" s="1760"/>
      <c r="PMD513" s="385"/>
      <c r="PME513" s="69"/>
      <c r="PMF513" s="69"/>
      <c r="PMG513" s="2512"/>
      <c r="PMH513" s="1758"/>
      <c r="PMI513" s="1759"/>
      <c r="PMJ513" s="1759"/>
      <c r="PMK513" s="1760"/>
      <c r="PML513" s="385"/>
      <c r="PMM513" s="69"/>
      <c r="PMN513" s="69"/>
      <c r="PMO513" s="2512"/>
      <c r="PMP513" s="1758"/>
      <c r="PMQ513" s="1759"/>
      <c r="PMR513" s="1759"/>
      <c r="PMS513" s="1760"/>
      <c r="PMT513" s="385"/>
      <c r="PMU513" s="69"/>
      <c r="PMV513" s="69"/>
      <c r="PMW513" s="2512"/>
      <c r="PMX513" s="1758"/>
      <c r="PMY513" s="1759"/>
      <c r="PMZ513" s="1759"/>
      <c r="PNA513" s="1760"/>
      <c r="PNB513" s="385"/>
      <c r="PNC513" s="69"/>
      <c r="PND513" s="69"/>
      <c r="PNE513" s="2512"/>
      <c r="PNF513" s="1758"/>
      <c r="PNG513" s="1759"/>
      <c r="PNH513" s="1759"/>
      <c r="PNI513" s="1760"/>
      <c r="PNJ513" s="385"/>
      <c r="PNK513" s="69"/>
      <c r="PNL513" s="69"/>
      <c r="PNM513" s="2512"/>
      <c r="PNN513" s="1758"/>
      <c r="PNO513" s="1759"/>
      <c r="PNP513" s="1759"/>
      <c r="PNQ513" s="1760"/>
      <c r="PNR513" s="385"/>
      <c r="PNS513" s="69"/>
      <c r="PNT513" s="69"/>
      <c r="PNU513" s="2512"/>
      <c r="PNV513" s="1758"/>
      <c r="PNW513" s="1759"/>
      <c r="PNX513" s="1759"/>
      <c r="PNY513" s="1760"/>
      <c r="PNZ513" s="385"/>
      <c r="POA513" s="69"/>
      <c r="POB513" s="69"/>
      <c r="POC513" s="2512"/>
      <c r="POD513" s="1758"/>
      <c r="POE513" s="1759"/>
      <c r="POF513" s="1759"/>
      <c r="POG513" s="1760"/>
      <c r="POH513" s="385"/>
      <c r="POI513" s="69"/>
      <c r="POJ513" s="69"/>
      <c r="POK513" s="2512"/>
      <c r="POL513" s="1758"/>
      <c r="POM513" s="1759"/>
      <c r="PON513" s="1759"/>
      <c r="POO513" s="1760"/>
      <c r="POP513" s="385"/>
      <c r="POQ513" s="69"/>
      <c r="POR513" s="69"/>
      <c r="POS513" s="2512"/>
      <c r="POT513" s="1758"/>
      <c r="POU513" s="1759"/>
      <c r="POV513" s="1759"/>
      <c r="POW513" s="1760"/>
      <c r="POX513" s="385"/>
      <c r="POY513" s="69"/>
      <c r="POZ513" s="69"/>
      <c r="PPA513" s="2512"/>
      <c r="PPB513" s="1758"/>
      <c r="PPC513" s="1759"/>
      <c r="PPD513" s="1759"/>
      <c r="PPE513" s="1760"/>
      <c r="PPF513" s="385"/>
      <c r="PPG513" s="69"/>
      <c r="PPH513" s="69"/>
      <c r="PPI513" s="2512"/>
      <c r="PPJ513" s="1758"/>
      <c r="PPK513" s="1759"/>
      <c r="PPL513" s="1759"/>
      <c r="PPM513" s="1760"/>
      <c r="PPN513" s="385"/>
      <c r="PPO513" s="69"/>
      <c r="PPP513" s="69"/>
      <c r="PPQ513" s="2512"/>
      <c r="PPR513" s="1758"/>
      <c r="PPS513" s="1759"/>
      <c r="PPT513" s="1759"/>
      <c r="PPU513" s="1760"/>
      <c r="PPV513" s="385"/>
      <c r="PPW513" s="69"/>
      <c r="PPX513" s="69"/>
      <c r="PPY513" s="2512"/>
      <c r="PPZ513" s="1758"/>
      <c r="PQA513" s="1759"/>
      <c r="PQB513" s="1759"/>
      <c r="PQC513" s="1760"/>
      <c r="PQD513" s="385"/>
      <c r="PQE513" s="69"/>
      <c r="PQF513" s="69"/>
      <c r="PQG513" s="2512"/>
      <c r="PQH513" s="1758"/>
      <c r="PQI513" s="1759"/>
      <c r="PQJ513" s="1759"/>
      <c r="PQK513" s="1760"/>
      <c r="PQL513" s="385"/>
      <c r="PQM513" s="69"/>
      <c r="PQN513" s="69"/>
      <c r="PQO513" s="2512"/>
      <c r="PQP513" s="1758"/>
      <c r="PQQ513" s="1759"/>
      <c r="PQR513" s="1759"/>
      <c r="PQS513" s="1760"/>
      <c r="PQT513" s="385"/>
      <c r="PQU513" s="69"/>
      <c r="PQV513" s="69"/>
      <c r="PQW513" s="2512"/>
      <c r="PQX513" s="1758"/>
      <c r="PQY513" s="1759"/>
      <c r="PQZ513" s="1759"/>
      <c r="PRA513" s="1760"/>
      <c r="PRB513" s="385"/>
      <c r="PRC513" s="69"/>
      <c r="PRD513" s="69"/>
      <c r="PRE513" s="2512"/>
      <c r="PRF513" s="1758"/>
      <c r="PRG513" s="1759"/>
      <c r="PRH513" s="1759"/>
      <c r="PRI513" s="1760"/>
      <c r="PRJ513" s="385"/>
      <c r="PRK513" s="69"/>
      <c r="PRL513" s="69"/>
      <c r="PRM513" s="2512"/>
      <c r="PRN513" s="1758"/>
      <c r="PRO513" s="1759"/>
      <c r="PRP513" s="1759"/>
      <c r="PRQ513" s="1760"/>
      <c r="PRR513" s="385"/>
      <c r="PRS513" s="69"/>
      <c r="PRT513" s="69"/>
      <c r="PRU513" s="2512"/>
      <c r="PRV513" s="1758"/>
      <c r="PRW513" s="1759"/>
      <c r="PRX513" s="1759"/>
      <c r="PRY513" s="1760"/>
      <c r="PRZ513" s="385"/>
      <c r="PSA513" s="69"/>
      <c r="PSB513" s="69"/>
      <c r="PSC513" s="2512"/>
      <c r="PSD513" s="1758"/>
      <c r="PSE513" s="1759"/>
      <c r="PSF513" s="1759"/>
      <c r="PSG513" s="1760"/>
      <c r="PSH513" s="385"/>
      <c r="PSI513" s="69"/>
      <c r="PSJ513" s="69"/>
      <c r="PSK513" s="2512"/>
      <c r="PSL513" s="1758"/>
      <c r="PSM513" s="1759"/>
      <c r="PSN513" s="1759"/>
      <c r="PSO513" s="1760"/>
      <c r="PSP513" s="385"/>
      <c r="PSQ513" s="69"/>
      <c r="PSR513" s="69"/>
      <c r="PSS513" s="2512"/>
      <c r="PST513" s="1758"/>
      <c r="PSU513" s="1759"/>
      <c r="PSV513" s="1759"/>
      <c r="PSW513" s="1760"/>
      <c r="PSX513" s="385"/>
      <c r="PSY513" s="69"/>
      <c r="PSZ513" s="69"/>
      <c r="PTA513" s="2512"/>
      <c r="PTB513" s="1758"/>
      <c r="PTC513" s="1759"/>
      <c r="PTD513" s="1759"/>
      <c r="PTE513" s="1760"/>
      <c r="PTF513" s="385"/>
      <c r="PTG513" s="69"/>
      <c r="PTH513" s="69"/>
      <c r="PTI513" s="2512"/>
      <c r="PTJ513" s="1758"/>
      <c r="PTK513" s="1759"/>
      <c r="PTL513" s="1759"/>
      <c r="PTM513" s="1760"/>
      <c r="PTN513" s="385"/>
      <c r="PTO513" s="69"/>
      <c r="PTP513" s="69"/>
      <c r="PTQ513" s="2512"/>
      <c r="PTR513" s="1758"/>
      <c r="PTS513" s="1759"/>
      <c r="PTT513" s="1759"/>
      <c r="PTU513" s="1760"/>
      <c r="PTV513" s="385"/>
      <c r="PTW513" s="69"/>
      <c r="PTX513" s="69"/>
      <c r="PTY513" s="2512"/>
      <c r="PTZ513" s="1758"/>
      <c r="PUA513" s="1759"/>
      <c r="PUB513" s="1759"/>
      <c r="PUC513" s="1760"/>
      <c r="PUD513" s="385"/>
      <c r="PUE513" s="69"/>
      <c r="PUF513" s="69"/>
      <c r="PUG513" s="2512"/>
      <c r="PUH513" s="1758"/>
      <c r="PUI513" s="1759"/>
      <c r="PUJ513" s="1759"/>
      <c r="PUK513" s="1760"/>
      <c r="PUL513" s="385"/>
      <c r="PUM513" s="69"/>
      <c r="PUN513" s="69"/>
      <c r="PUO513" s="2512"/>
      <c r="PUP513" s="1758"/>
      <c r="PUQ513" s="1759"/>
      <c r="PUR513" s="1759"/>
      <c r="PUS513" s="1760"/>
      <c r="PUT513" s="385"/>
      <c r="PUU513" s="69"/>
      <c r="PUV513" s="69"/>
      <c r="PUW513" s="2512"/>
      <c r="PUX513" s="1758"/>
      <c r="PUY513" s="1759"/>
      <c r="PUZ513" s="1759"/>
      <c r="PVA513" s="1760"/>
      <c r="PVB513" s="385"/>
      <c r="PVC513" s="69"/>
      <c r="PVD513" s="69"/>
      <c r="PVE513" s="2512"/>
      <c r="PVF513" s="1758"/>
      <c r="PVG513" s="1759"/>
      <c r="PVH513" s="1759"/>
      <c r="PVI513" s="1760"/>
      <c r="PVJ513" s="385"/>
      <c r="PVK513" s="69"/>
      <c r="PVL513" s="69"/>
      <c r="PVM513" s="2512"/>
      <c r="PVN513" s="1758"/>
      <c r="PVO513" s="1759"/>
      <c r="PVP513" s="1759"/>
      <c r="PVQ513" s="1760"/>
      <c r="PVR513" s="385"/>
      <c r="PVS513" s="69"/>
      <c r="PVT513" s="69"/>
      <c r="PVU513" s="2512"/>
      <c r="PVV513" s="1758"/>
      <c r="PVW513" s="1759"/>
      <c r="PVX513" s="1759"/>
      <c r="PVY513" s="1760"/>
      <c r="PVZ513" s="385"/>
      <c r="PWA513" s="69"/>
      <c r="PWB513" s="69"/>
      <c r="PWC513" s="2512"/>
      <c r="PWD513" s="1758"/>
      <c r="PWE513" s="1759"/>
      <c r="PWF513" s="1759"/>
      <c r="PWG513" s="1760"/>
      <c r="PWH513" s="385"/>
      <c r="PWI513" s="69"/>
      <c r="PWJ513" s="69"/>
      <c r="PWK513" s="2512"/>
      <c r="PWL513" s="1758"/>
      <c r="PWM513" s="1759"/>
      <c r="PWN513" s="1759"/>
      <c r="PWO513" s="1760"/>
      <c r="PWP513" s="385"/>
      <c r="PWQ513" s="69"/>
      <c r="PWR513" s="69"/>
      <c r="PWS513" s="2512"/>
      <c r="PWT513" s="1758"/>
      <c r="PWU513" s="1759"/>
      <c r="PWV513" s="1759"/>
      <c r="PWW513" s="1760"/>
      <c r="PWX513" s="385"/>
      <c r="PWY513" s="69"/>
      <c r="PWZ513" s="69"/>
      <c r="PXA513" s="2512"/>
      <c r="PXB513" s="1758"/>
      <c r="PXC513" s="1759"/>
      <c r="PXD513" s="1759"/>
      <c r="PXE513" s="1760"/>
      <c r="PXF513" s="385"/>
      <c r="PXG513" s="69"/>
      <c r="PXH513" s="69"/>
      <c r="PXI513" s="2512"/>
      <c r="PXJ513" s="1758"/>
      <c r="PXK513" s="1759"/>
      <c r="PXL513" s="1759"/>
      <c r="PXM513" s="1760"/>
      <c r="PXN513" s="385"/>
      <c r="PXO513" s="69"/>
      <c r="PXP513" s="69"/>
      <c r="PXQ513" s="2512"/>
      <c r="PXR513" s="1758"/>
      <c r="PXS513" s="1759"/>
      <c r="PXT513" s="1759"/>
      <c r="PXU513" s="1760"/>
      <c r="PXV513" s="385"/>
      <c r="PXW513" s="69"/>
      <c r="PXX513" s="69"/>
      <c r="PXY513" s="2512"/>
      <c r="PXZ513" s="1758"/>
      <c r="PYA513" s="1759"/>
      <c r="PYB513" s="1759"/>
      <c r="PYC513" s="1760"/>
      <c r="PYD513" s="385"/>
      <c r="PYE513" s="69"/>
      <c r="PYF513" s="69"/>
      <c r="PYG513" s="2512"/>
      <c r="PYH513" s="1758"/>
      <c r="PYI513" s="1759"/>
      <c r="PYJ513" s="1759"/>
      <c r="PYK513" s="1760"/>
      <c r="PYL513" s="385"/>
      <c r="PYM513" s="69"/>
      <c r="PYN513" s="69"/>
      <c r="PYO513" s="2512"/>
      <c r="PYP513" s="1758"/>
      <c r="PYQ513" s="1759"/>
      <c r="PYR513" s="1759"/>
      <c r="PYS513" s="1760"/>
      <c r="PYT513" s="385"/>
      <c r="PYU513" s="69"/>
      <c r="PYV513" s="69"/>
      <c r="PYW513" s="2512"/>
      <c r="PYX513" s="1758"/>
      <c r="PYY513" s="1759"/>
      <c r="PYZ513" s="1759"/>
      <c r="PZA513" s="1760"/>
      <c r="PZB513" s="385"/>
      <c r="PZC513" s="69"/>
      <c r="PZD513" s="69"/>
      <c r="PZE513" s="2512"/>
      <c r="PZF513" s="1758"/>
      <c r="PZG513" s="1759"/>
      <c r="PZH513" s="1759"/>
      <c r="PZI513" s="1760"/>
      <c r="PZJ513" s="385"/>
      <c r="PZK513" s="69"/>
      <c r="PZL513" s="69"/>
      <c r="PZM513" s="2512"/>
      <c r="PZN513" s="1758"/>
      <c r="PZO513" s="1759"/>
      <c r="PZP513" s="1759"/>
      <c r="PZQ513" s="1760"/>
      <c r="PZR513" s="385"/>
      <c r="PZS513" s="69"/>
      <c r="PZT513" s="69"/>
      <c r="PZU513" s="2512"/>
      <c r="PZV513" s="1758"/>
      <c r="PZW513" s="1759"/>
      <c r="PZX513" s="1759"/>
      <c r="PZY513" s="1760"/>
      <c r="PZZ513" s="385"/>
      <c r="QAA513" s="69"/>
      <c r="QAB513" s="69"/>
      <c r="QAC513" s="2512"/>
      <c r="QAD513" s="1758"/>
      <c r="QAE513" s="1759"/>
      <c r="QAF513" s="1759"/>
      <c r="QAG513" s="1760"/>
      <c r="QAH513" s="385"/>
      <c r="QAI513" s="69"/>
      <c r="QAJ513" s="69"/>
      <c r="QAK513" s="2512"/>
      <c r="QAL513" s="1758"/>
      <c r="QAM513" s="1759"/>
      <c r="QAN513" s="1759"/>
      <c r="QAO513" s="1760"/>
      <c r="QAP513" s="385"/>
      <c r="QAQ513" s="69"/>
      <c r="QAR513" s="69"/>
      <c r="QAS513" s="2512"/>
      <c r="QAT513" s="1758"/>
      <c r="QAU513" s="1759"/>
      <c r="QAV513" s="1759"/>
      <c r="QAW513" s="1760"/>
      <c r="QAX513" s="385"/>
      <c r="QAY513" s="69"/>
      <c r="QAZ513" s="69"/>
      <c r="QBA513" s="2512"/>
      <c r="QBB513" s="1758"/>
      <c r="QBC513" s="1759"/>
      <c r="QBD513" s="1759"/>
      <c r="QBE513" s="1760"/>
      <c r="QBF513" s="385"/>
      <c r="QBG513" s="69"/>
      <c r="QBH513" s="69"/>
      <c r="QBI513" s="2512"/>
      <c r="QBJ513" s="1758"/>
      <c r="QBK513" s="1759"/>
      <c r="QBL513" s="1759"/>
      <c r="QBM513" s="1760"/>
      <c r="QBN513" s="385"/>
      <c r="QBO513" s="69"/>
      <c r="QBP513" s="69"/>
      <c r="QBQ513" s="2512"/>
      <c r="QBR513" s="1758"/>
      <c r="QBS513" s="1759"/>
      <c r="QBT513" s="1759"/>
      <c r="QBU513" s="1760"/>
      <c r="QBV513" s="385"/>
      <c r="QBW513" s="69"/>
      <c r="QBX513" s="69"/>
      <c r="QBY513" s="2512"/>
      <c r="QBZ513" s="1758"/>
      <c r="QCA513" s="1759"/>
      <c r="QCB513" s="1759"/>
      <c r="QCC513" s="1760"/>
      <c r="QCD513" s="385"/>
      <c r="QCE513" s="69"/>
      <c r="QCF513" s="69"/>
      <c r="QCG513" s="2512"/>
      <c r="QCH513" s="1758"/>
      <c r="QCI513" s="1759"/>
      <c r="QCJ513" s="1759"/>
      <c r="QCK513" s="1760"/>
      <c r="QCL513" s="385"/>
      <c r="QCM513" s="69"/>
      <c r="QCN513" s="69"/>
      <c r="QCO513" s="2512"/>
      <c r="QCP513" s="1758"/>
      <c r="QCQ513" s="1759"/>
      <c r="QCR513" s="1759"/>
      <c r="QCS513" s="1760"/>
      <c r="QCT513" s="385"/>
      <c r="QCU513" s="69"/>
      <c r="QCV513" s="69"/>
      <c r="QCW513" s="2512"/>
      <c r="QCX513" s="1758"/>
      <c r="QCY513" s="1759"/>
      <c r="QCZ513" s="1759"/>
      <c r="QDA513" s="1760"/>
      <c r="QDB513" s="385"/>
      <c r="QDC513" s="69"/>
      <c r="QDD513" s="69"/>
      <c r="QDE513" s="2512"/>
      <c r="QDF513" s="1758"/>
      <c r="QDG513" s="1759"/>
      <c r="QDH513" s="1759"/>
      <c r="QDI513" s="1760"/>
      <c r="QDJ513" s="385"/>
      <c r="QDK513" s="69"/>
      <c r="QDL513" s="69"/>
      <c r="QDM513" s="2512"/>
      <c r="QDN513" s="1758"/>
      <c r="QDO513" s="1759"/>
      <c r="QDP513" s="1759"/>
      <c r="QDQ513" s="1760"/>
      <c r="QDR513" s="385"/>
      <c r="QDS513" s="69"/>
      <c r="QDT513" s="69"/>
      <c r="QDU513" s="2512"/>
      <c r="QDV513" s="1758"/>
      <c r="QDW513" s="1759"/>
      <c r="QDX513" s="1759"/>
      <c r="QDY513" s="1760"/>
      <c r="QDZ513" s="385"/>
      <c r="QEA513" s="69"/>
      <c r="QEB513" s="69"/>
      <c r="QEC513" s="2512"/>
      <c r="QED513" s="1758"/>
      <c r="QEE513" s="1759"/>
      <c r="QEF513" s="1759"/>
      <c r="QEG513" s="1760"/>
      <c r="QEH513" s="385"/>
      <c r="QEI513" s="69"/>
      <c r="QEJ513" s="69"/>
      <c r="QEK513" s="2512"/>
      <c r="QEL513" s="1758"/>
      <c r="QEM513" s="1759"/>
      <c r="QEN513" s="1759"/>
      <c r="QEO513" s="1760"/>
      <c r="QEP513" s="385"/>
      <c r="QEQ513" s="69"/>
      <c r="QER513" s="69"/>
      <c r="QES513" s="2512"/>
      <c r="QET513" s="1758"/>
      <c r="QEU513" s="1759"/>
      <c r="QEV513" s="1759"/>
      <c r="QEW513" s="1760"/>
      <c r="QEX513" s="385"/>
      <c r="QEY513" s="69"/>
      <c r="QEZ513" s="69"/>
      <c r="QFA513" s="2512"/>
      <c r="QFB513" s="1758"/>
      <c r="QFC513" s="1759"/>
      <c r="QFD513" s="1759"/>
      <c r="QFE513" s="1760"/>
      <c r="QFF513" s="385"/>
      <c r="QFG513" s="69"/>
      <c r="QFH513" s="69"/>
      <c r="QFI513" s="2512"/>
      <c r="QFJ513" s="1758"/>
      <c r="QFK513" s="1759"/>
      <c r="QFL513" s="1759"/>
      <c r="QFM513" s="1760"/>
      <c r="QFN513" s="385"/>
      <c r="QFO513" s="69"/>
      <c r="QFP513" s="69"/>
      <c r="QFQ513" s="2512"/>
      <c r="QFR513" s="1758"/>
      <c r="QFS513" s="1759"/>
      <c r="QFT513" s="1759"/>
      <c r="QFU513" s="1760"/>
      <c r="QFV513" s="385"/>
      <c r="QFW513" s="69"/>
      <c r="QFX513" s="69"/>
      <c r="QFY513" s="2512"/>
      <c r="QFZ513" s="1758"/>
      <c r="QGA513" s="1759"/>
      <c r="QGB513" s="1759"/>
      <c r="QGC513" s="1760"/>
      <c r="QGD513" s="385"/>
      <c r="QGE513" s="69"/>
      <c r="QGF513" s="69"/>
      <c r="QGG513" s="2512"/>
      <c r="QGH513" s="1758"/>
      <c r="QGI513" s="1759"/>
      <c r="QGJ513" s="1759"/>
      <c r="QGK513" s="1760"/>
      <c r="QGL513" s="385"/>
      <c r="QGM513" s="69"/>
      <c r="QGN513" s="69"/>
      <c r="QGO513" s="2512"/>
      <c r="QGP513" s="1758"/>
      <c r="QGQ513" s="1759"/>
      <c r="QGR513" s="1759"/>
      <c r="QGS513" s="1760"/>
      <c r="QGT513" s="385"/>
      <c r="QGU513" s="69"/>
      <c r="QGV513" s="69"/>
      <c r="QGW513" s="2512"/>
      <c r="QGX513" s="1758"/>
      <c r="QGY513" s="1759"/>
      <c r="QGZ513" s="1759"/>
      <c r="QHA513" s="1760"/>
      <c r="QHB513" s="385"/>
      <c r="QHC513" s="69"/>
      <c r="QHD513" s="69"/>
      <c r="QHE513" s="2512"/>
      <c r="QHF513" s="1758"/>
      <c r="QHG513" s="1759"/>
      <c r="QHH513" s="1759"/>
      <c r="QHI513" s="1760"/>
      <c r="QHJ513" s="385"/>
      <c r="QHK513" s="69"/>
      <c r="QHL513" s="69"/>
      <c r="QHM513" s="2512"/>
      <c r="QHN513" s="1758"/>
      <c r="QHO513" s="1759"/>
      <c r="QHP513" s="1759"/>
      <c r="QHQ513" s="1760"/>
      <c r="QHR513" s="385"/>
      <c r="QHS513" s="69"/>
      <c r="QHT513" s="69"/>
      <c r="QHU513" s="2512"/>
      <c r="QHV513" s="1758"/>
      <c r="QHW513" s="1759"/>
      <c r="QHX513" s="1759"/>
      <c r="QHY513" s="1760"/>
      <c r="QHZ513" s="385"/>
      <c r="QIA513" s="69"/>
      <c r="QIB513" s="69"/>
      <c r="QIC513" s="2512"/>
      <c r="QID513" s="1758"/>
      <c r="QIE513" s="1759"/>
      <c r="QIF513" s="1759"/>
      <c r="QIG513" s="1760"/>
      <c r="QIH513" s="385"/>
      <c r="QII513" s="69"/>
      <c r="QIJ513" s="69"/>
      <c r="QIK513" s="2512"/>
      <c r="QIL513" s="1758"/>
      <c r="QIM513" s="1759"/>
      <c r="QIN513" s="1759"/>
      <c r="QIO513" s="1760"/>
      <c r="QIP513" s="385"/>
      <c r="QIQ513" s="69"/>
      <c r="QIR513" s="69"/>
      <c r="QIS513" s="2512"/>
      <c r="QIT513" s="1758"/>
      <c r="QIU513" s="1759"/>
      <c r="QIV513" s="1759"/>
      <c r="QIW513" s="1760"/>
      <c r="QIX513" s="385"/>
      <c r="QIY513" s="69"/>
      <c r="QIZ513" s="69"/>
      <c r="QJA513" s="2512"/>
      <c r="QJB513" s="1758"/>
      <c r="QJC513" s="1759"/>
      <c r="QJD513" s="1759"/>
      <c r="QJE513" s="1760"/>
      <c r="QJF513" s="385"/>
      <c r="QJG513" s="69"/>
      <c r="QJH513" s="69"/>
      <c r="QJI513" s="2512"/>
      <c r="QJJ513" s="1758"/>
      <c r="QJK513" s="1759"/>
      <c r="QJL513" s="1759"/>
      <c r="QJM513" s="1760"/>
      <c r="QJN513" s="385"/>
      <c r="QJO513" s="69"/>
      <c r="QJP513" s="69"/>
      <c r="QJQ513" s="2512"/>
      <c r="QJR513" s="1758"/>
      <c r="QJS513" s="1759"/>
      <c r="QJT513" s="1759"/>
      <c r="QJU513" s="1760"/>
      <c r="QJV513" s="385"/>
      <c r="QJW513" s="69"/>
      <c r="QJX513" s="69"/>
      <c r="QJY513" s="2512"/>
      <c r="QJZ513" s="1758"/>
      <c r="QKA513" s="1759"/>
      <c r="QKB513" s="1759"/>
      <c r="QKC513" s="1760"/>
      <c r="QKD513" s="385"/>
      <c r="QKE513" s="69"/>
      <c r="QKF513" s="69"/>
      <c r="QKG513" s="2512"/>
      <c r="QKH513" s="1758"/>
      <c r="QKI513" s="1759"/>
      <c r="QKJ513" s="1759"/>
      <c r="QKK513" s="1760"/>
      <c r="QKL513" s="385"/>
      <c r="QKM513" s="69"/>
      <c r="QKN513" s="69"/>
      <c r="QKO513" s="2512"/>
      <c r="QKP513" s="1758"/>
      <c r="QKQ513" s="1759"/>
      <c r="QKR513" s="1759"/>
      <c r="QKS513" s="1760"/>
      <c r="QKT513" s="385"/>
      <c r="QKU513" s="69"/>
      <c r="QKV513" s="69"/>
      <c r="QKW513" s="2512"/>
      <c r="QKX513" s="1758"/>
      <c r="QKY513" s="1759"/>
      <c r="QKZ513" s="1759"/>
      <c r="QLA513" s="1760"/>
      <c r="QLB513" s="385"/>
      <c r="QLC513" s="69"/>
      <c r="QLD513" s="69"/>
      <c r="QLE513" s="2512"/>
      <c r="QLF513" s="1758"/>
      <c r="QLG513" s="1759"/>
      <c r="QLH513" s="1759"/>
      <c r="QLI513" s="1760"/>
      <c r="QLJ513" s="385"/>
      <c r="QLK513" s="69"/>
      <c r="QLL513" s="69"/>
      <c r="QLM513" s="2512"/>
      <c r="QLN513" s="1758"/>
      <c r="QLO513" s="1759"/>
      <c r="QLP513" s="1759"/>
      <c r="QLQ513" s="1760"/>
      <c r="QLR513" s="385"/>
      <c r="QLS513" s="69"/>
      <c r="QLT513" s="69"/>
      <c r="QLU513" s="2512"/>
      <c r="QLV513" s="1758"/>
      <c r="QLW513" s="1759"/>
      <c r="QLX513" s="1759"/>
      <c r="QLY513" s="1760"/>
      <c r="QLZ513" s="385"/>
      <c r="QMA513" s="69"/>
      <c r="QMB513" s="69"/>
      <c r="QMC513" s="2512"/>
      <c r="QMD513" s="1758"/>
      <c r="QME513" s="1759"/>
      <c r="QMF513" s="1759"/>
      <c r="QMG513" s="1760"/>
      <c r="QMH513" s="385"/>
      <c r="QMI513" s="69"/>
      <c r="QMJ513" s="69"/>
      <c r="QMK513" s="2512"/>
      <c r="QML513" s="1758"/>
      <c r="QMM513" s="1759"/>
      <c r="QMN513" s="1759"/>
      <c r="QMO513" s="1760"/>
      <c r="QMP513" s="385"/>
      <c r="QMQ513" s="69"/>
      <c r="QMR513" s="69"/>
      <c r="QMS513" s="2512"/>
      <c r="QMT513" s="1758"/>
      <c r="QMU513" s="1759"/>
      <c r="QMV513" s="1759"/>
      <c r="QMW513" s="1760"/>
      <c r="QMX513" s="385"/>
      <c r="QMY513" s="69"/>
      <c r="QMZ513" s="69"/>
      <c r="QNA513" s="2512"/>
      <c r="QNB513" s="1758"/>
      <c r="QNC513" s="1759"/>
      <c r="QND513" s="1759"/>
      <c r="QNE513" s="1760"/>
      <c r="QNF513" s="385"/>
      <c r="QNG513" s="69"/>
      <c r="QNH513" s="69"/>
      <c r="QNI513" s="2512"/>
      <c r="QNJ513" s="1758"/>
      <c r="QNK513" s="1759"/>
      <c r="QNL513" s="1759"/>
      <c r="QNM513" s="1760"/>
      <c r="QNN513" s="385"/>
      <c r="QNO513" s="69"/>
      <c r="QNP513" s="69"/>
      <c r="QNQ513" s="2512"/>
      <c r="QNR513" s="1758"/>
      <c r="QNS513" s="1759"/>
      <c r="QNT513" s="1759"/>
      <c r="QNU513" s="1760"/>
      <c r="QNV513" s="385"/>
      <c r="QNW513" s="69"/>
      <c r="QNX513" s="69"/>
      <c r="QNY513" s="2512"/>
      <c r="QNZ513" s="1758"/>
      <c r="QOA513" s="1759"/>
      <c r="QOB513" s="1759"/>
      <c r="QOC513" s="1760"/>
      <c r="QOD513" s="385"/>
      <c r="QOE513" s="69"/>
      <c r="QOF513" s="69"/>
      <c r="QOG513" s="2512"/>
      <c r="QOH513" s="1758"/>
      <c r="QOI513" s="1759"/>
      <c r="QOJ513" s="1759"/>
      <c r="QOK513" s="1760"/>
      <c r="QOL513" s="385"/>
      <c r="QOM513" s="69"/>
      <c r="QON513" s="69"/>
      <c r="QOO513" s="2512"/>
      <c r="QOP513" s="1758"/>
      <c r="QOQ513" s="1759"/>
      <c r="QOR513" s="1759"/>
      <c r="QOS513" s="1760"/>
      <c r="QOT513" s="385"/>
      <c r="QOU513" s="69"/>
      <c r="QOV513" s="69"/>
      <c r="QOW513" s="2512"/>
      <c r="QOX513" s="1758"/>
      <c r="QOY513" s="1759"/>
      <c r="QOZ513" s="1759"/>
      <c r="QPA513" s="1760"/>
      <c r="QPB513" s="385"/>
      <c r="QPC513" s="69"/>
      <c r="QPD513" s="69"/>
      <c r="QPE513" s="2512"/>
      <c r="QPF513" s="1758"/>
      <c r="QPG513" s="1759"/>
      <c r="QPH513" s="1759"/>
      <c r="QPI513" s="1760"/>
      <c r="QPJ513" s="385"/>
      <c r="QPK513" s="69"/>
      <c r="QPL513" s="69"/>
      <c r="QPM513" s="2512"/>
      <c r="QPN513" s="1758"/>
      <c r="QPO513" s="1759"/>
      <c r="QPP513" s="1759"/>
      <c r="QPQ513" s="1760"/>
      <c r="QPR513" s="385"/>
      <c r="QPS513" s="69"/>
      <c r="QPT513" s="69"/>
      <c r="QPU513" s="2512"/>
      <c r="QPV513" s="1758"/>
      <c r="QPW513" s="1759"/>
      <c r="QPX513" s="1759"/>
      <c r="QPY513" s="1760"/>
      <c r="QPZ513" s="385"/>
      <c r="QQA513" s="69"/>
      <c r="QQB513" s="69"/>
      <c r="QQC513" s="2512"/>
      <c r="QQD513" s="1758"/>
      <c r="QQE513" s="1759"/>
      <c r="QQF513" s="1759"/>
      <c r="QQG513" s="1760"/>
      <c r="QQH513" s="385"/>
      <c r="QQI513" s="69"/>
      <c r="QQJ513" s="69"/>
      <c r="QQK513" s="2512"/>
      <c r="QQL513" s="1758"/>
      <c r="QQM513" s="1759"/>
      <c r="QQN513" s="1759"/>
      <c r="QQO513" s="1760"/>
      <c r="QQP513" s="385"/>
      <c r="QQQ513" s="69"/>
      <c r="QQR513" s="69"/>
      <c r="QQS513" s="2512"/>
      <c r="QQT513" s="1758"/>
      <c r="QQU513" s="1759"/>
      <c r="QQV513" s="1759"/>
      <c r="QQW513" s="1760"/>
      <c r="QQX513" s="385"/>
      <c r="QQY513" s="69"/>
      <c r="QQZ513" s="69"/>
      <c r="QRA513" s="2512"/>
      <c r="QRB513" s="1758"/>
      <c r="QRC513" s="1759"/>
      <c r="QRD513" s="1759"/>
      <c r="QRE513" s="1760"/>
      <c r="QRF513" s="385"/>
      <c r="QRG513" s="69"/>
      <c r="QRH513" s="69"/>
      <c r="QRI513" s="2512"/>
      <c r="QRJ513" s="1758"/>
      <c r="QRK513" s="1759"/>
      <c r="QRL513" s="1759"/>
      <c r="QRM513" s="1760"/>
      <c r="QRN513" s="385"/>
      <c r="QRO513" s="69"/>
      <c r="QRP513" s="69"/>
      <c r="QRQ513" s="2512"/>
      <c r="QRR513" s="1758"/>
      <c r="QRS513" s="1759"/>
      <c r="QRT513" s="1759"/>
      <c r="QRU513" s="1760"/>
      <c r="QRV513" s="385"/>
      <c r="QRW513" s="69"/>
      <c r="QRX513" s="69"/>
      <c r="QRY513" s="2512"/>
      <c r="QRZ513" s="1758"/>
      <c r="QSA513" s="1759"/>
      <c r="QSB513" s="1759"/>
      <c r="QSC513" s="1760"/>
      <c r="QSD513" s="385"/>
      <c r="QSE513" s="69"/>
      <c r="QSF513" s="69"/>
      <c r="QSG513" s="2512"/>
      <c r="QSH513" s="1758"/>
      <c r="QSI513" s="1759"/>
      <c r="QSJ513" s="1759"/>
      <c r="QSK513" s="1760"/>
      <c r="QSL513" s="385"/>
      <c r="QSM513" s="69"/>
      <c r="QSN513" s="69"/>
      <c r="QSO513" s="2512"/>
      <c r="QSP513" s="1758"/>
      <c r="QSQ513" s="1759"/>
      <c r="QSR513" s="1759"/>
      <c r="QSS513" s="1760"/>
      <c r="QST513" s="385"/>
      <c r="QSU513" s="69"/>
      <c r="QSV513" s="69"/>
      <c r="QSW513" s="2512"/>
      <c r="QSX513" s="1758"/>
      <c r="QSY513" s="1759"/>
      <c r="QSZ513" s="1759"/>
      <c r="QTA513" s="1760"/>
      <c r="QTB513" s="385"/>
      <c r="QTC513" s="69"/>
      <c r="QTD513" s="69"/>
      <c r="QTE513" s="2512"/>
      <c r="QTF513" s="1758"/>
      <c r="QTG513" s="1759"/>
      <c r="QTH513" s="1759"/>
      <c r="QTI513" s="1760"/>
      <c r="QTJ513" s="385"/>
      <c r="QTK513" s="69"/>
      <c r="QTL513" s="69"/>
      <c r="QTM513" s="2512"/>
      <c r="QTN513" s="1758"/>
      <c r="QTO513" s="1759"/>
      <c r="QTP513" s="1759"/>
      <c r="QTQ513" s="1760"/>
      <c r="QTR513" s="385"/>
      <c r="QTS513" s="69"/>
      <c r="QTT513" s="69"/>
      <c r="QTU513" s="2512"/>
      <c r="QTV513" s="1758"/>
      <c r="QTW513" s="1759"/>
      <c r="QTX513" s="1759"/>
      <c r="QTY513" s="1760"/>
      <c r="QTZ513" s="385"/>
      <c r="QUA513" s="69"/>
      <c r="QUB513" s="69"/>
      <c r="QUC513" s="2512"/>
      <c r="QUD513" s="1758"/>
      <c r="QUE513" s="1759"/>
      <c r="QUF513" s="1759"/>
      <c r="QUG513" s="1760"/>
      <c r="QUH513" s="385"/>
      <c r="QUI513" s="69"/>
      <c r="QUJ513" s="69"/>
      <c r="QUK513" s="2512"/>
      <c r="QUL513" s="1758"/>
      <c r="QUM513" s="1759"/>
      <c r="QUN513" s="1759"/>
      <c r="QUO513" s="1760"/>
      <c r="QUP513" s="385"/>
      <c r="QUQ513" s="69"/>
      <c r="QUR513" s="69"/>
      <c r="QUS513" s="2512"/>
      <c r="QUT513" s="1758"/>
      <c r="QUU513" s="1759"/>
      <c r="QUV513" s="1759"/>
      <c r="QUW513" s="1760"/>
      <c r="QUX513" s="385"/>
      <c r="QUY513" s="69"/>
      <c r="QUZ513" s="69"/>
      <c r="QVA513" s="2512"/>
      <c r="QVB513" s="1758"/>
      <c r="QVC513" s="1759"/>
      <c r="QVD513" s="1759"/>
      <c r="QVE513" s="1760"/>
      <c r="QVF513" s="385"/>
      <c r="QVG513" s="69"/>
      <c r="QVH513" s="69"/>
      <c r="QVI513" s="2512"/>
      <c r="QVJ513" s="1758"/>
      <c r="QVK513" s="1759"/>
      <c r="QVL513" s="1759"/>
      <c r="QVM513" s="1760"/>
      <c r="QVN513" s="385"/>
      <c r="QVO513" s="69"/>
      <c r="QVP513" s="69"/>
      <c r="QVQ513" s="2512"/>
      <c r="QVR513" s="1758"/>
      <c r="QVS513" s="1759"/>
      <c r="QVT513" s="1759"/>
      <c r="QVU513" s="1760"/>
      <c r="QVV513" s="385"/>
      <c r="QVW513" s="69"/>
      <c r="QVX513" s="69"/>
      <c r="QVY513" s="2512"/>
      <c r="QVZ513" s="1758"/>
      <c r="QWA513" s="1759"/>
      <c r="QWB513" s="1759"/>
      <c r="QWC513" s="1760"/>
      <c r="QWD513" s="385"/>
      <c r="QWE513" s="69"/>
      <c r="QWF513" s="69"/>
      <c r="QWG513" s="2512"/>
      <c r="QWH513" s="1758"/>
      <c r="QWI513" s="1759"/>
      <c r="QWJ513" s="1759"/>
      <c r="QWK513" s="1760"/>
      <c r="QWL513" s="385"/>
      <c r="QWM513" s="69"/>
      <c r="QWN513" s="69"/>
      <c r="QWO513" s="2512"/>
      <c r="QWP513" s="1758"/>
      <c r="QWQ513" s="1759"/>
      <c r="QWR513" s="1759"/>
      <c r="QWS513" s="1760"/>
      <c r="QWT513" s="385"/>
      <c r="QWU513" s="69"/>
      <c r="QWV513" s="69"/>
      <c r="QWW513" s="2512"/>
      <c r="QWX513" s="1758"/>
      <c r="QWY513" s="1759"/>
      <c r="QWZ513" s="1759"/>
      <c r="QXA513" s="1760"/>
      <c r="QXB513" s="385"/>
      <c r="QXC513" s="69"/>
      <c r="QXD513" s="69"/>
      <c r="QXE513" s="2512"/>
      <c r="QXF513" s="1758"/>
      <c r="QXG513" s="1759"/>
      <c r="QXH513" s="1759"/>
      <c r="QXI513" s="1760"/>
      <c r="QXJ513" s="385"/>
      <c r="QXK513" s="69"/>
      <c r="QXL513" s="69"/>
      <c r="QXM513" s="2512"/>
      <c r="QXN513" s="1758"/>
      <c r="QXO513" s="1759"/>
      <c r="QXP513" s="1759"/>
      <c r="QXQ513" s="1760"/>
      <c r="QXR513" s="385"/>
      <c r="QXS513" s="69"/>
      <c r="QXT513" s="69"/>
      <c r="QXU513" s="2512"/>
      <c r="QXV513" s="1758"/>
      <c r="QXW513" s="1759"/>
      <c r="QXX513" s="1759"/>
      <c r="QXY513" s="1760"/>
      <c r="QXZ513" s="385"/>
      <c r="QYA513" s="69"/>
      <c r="QYB513" s="69"/>
      <c r="QYC513" s="2512"/>
      <c r="QYD513" s="1758"/>
      <c r="QYE513" s="1759"/>
      <c r="QYF513" s="1759"/>
      <c r="QYG513" s="1760"/>
      <c r="QYH513" s="385"/>
      <c r="QYI513" s="69"/>
      <c r="QYJ513" s="69"/>
      <c r="QYK513" s="2512"/>
      <c r="QYL513" s="1758"/>
      <c r="QYM513" s="1759"/>
      <c r="QYN513" s="1759"/>
      <c r="QYO513" s="1760"/>
      <c r="QYP513" s="385"/>
      <c r="QYQ513" s="69"/>
      <c r="QYR513" s="69"/>
      <c r="QYS513" s="2512"/>
      <c r="QYT513" s="1758"/>
      <c r="QYU513" s="1759"/>
      <c r="QYV513" s="1759"/>
      <c r="QYW513" s="1760"/>
      <c r="QYX513" s="385"/>
      <c r="QYY513" s="69"/>
      <c r="QYZ513" s="69"/>
      <c r="QZA513" s="2512"/>
      <c r="QZB513" s="1758"/>
      <c r="QZC513" s="1759"/>
      <c r="QZD513" s="1759"/>
      <c r="QZE513" s="1760"/>
      <c r="QZF513" s="385"/>
      <c r="QZG513" s="69"/>
      <c r="QZH513" s="69"/>
      <c r="QZI513" s="2512"/>
      <c r="QZJ513" s="1758"/>
      <c r="QZK513" s="1759"/>
      <c r="QZL513" s="1759"/>
      <c r="QZM513" s="1760"/>
      <c r="QZN513" s="385"/>
      <c r="QZO513" s="69"/>
      <c r="QZP513" s="69"/>
      <c r="QZQ513" s="2512"/>
      <c r="QZR513" s="1758"/>
      <c r="QZS513" s="1759"/>
      <c r="QZT513" s="1759"/>
      <c r="QZU513" s="1760"/>
      <c r="QZV513" s="385"/>
      <c r="QZW513" s="69"/>
      <c r="QZX513" s="69"/>
      <c r="QZY513" s="2512"/>
      <c r="QZZ513" s="1758"/>
      <c r="RAA513" s="1759"/>
      <c r="RAB513" s="1759"/>
      <c r="RAC513" s="1760"/>
      <c r="RAD513" s="385"/>
      <c r="RAE513" s="69"/>
      <c r="RAF513" s="69"/>
      <c r="RAG513" s="2512"/>
      <c r="RAH513" s="1758"/>
      <c r="RAI513" s="1759"/>
      <c r="RAJ513" s="1759"/>
      <c r="RAK513" s="1760"/>
      <c r="RAL513" s="385"/>
      <c r="RAM513" s="69"/>
      <c r="RAN513" s="69"/>
      <c r="RAO513" s="2512"/>
      <c r="RAP513" s="1758"/>
      <c r="RAQ513" s="1759"/>
      <c r="RAR513" s="1759"/>
      <c r="RAS513" s="1760"/>
      <c r="RAT513" s="385"/>
      <c r="RAU513" s="69"/>
      <c r="RAV513" s="69"/>
      <c r="RAW513" s="2512"/>
      <c r="RAX513" s="1758"/>
      <c r="RAY513" s="1759"/>
      <c r="RAZ513" s="1759"/>
      <c r="RBA513" s="1760"/>
      <c r="RBB513" s="385"/>
      <c r="RBC513" s="69"/>
      <c r="RBD513" s="69"/>
      <c r="RBE513" s="2512"/>
      <c r="RBF513" s="1758"/>
      <c r="RBG513" s="1759"/>
      <c r="RBH513" s="1759"/>
      <c r="RBI513" s="1760"/>
      <c r="RBJ513" s="385"/>
      <c r="RBK513" s="69"/>
      <c r="RBL513" s="69"/>
      <c r="RBM513" s="2512"/>
      <c r="RBN513" s="1758"/>
      <c r="RBO513" s="1759"/>
      <c r="RBP513" s="1759"/>
      <c r="RBQ513" s="1760"/>
      <c r="RBR513" s="385"/>
      <c r="RBS513" s="69"/>
      <c r="RBT513" s="69"/>
      <c r="RBU513" s="2512"/>
      <c r="RBV513" s="1758"/>
      <c r="RBW513" s="1759"/>
      <c r="RBX513" s="1759"/>
      <c r="RBY513" s="1760"/>
      <c r="RBZ513" s="385"/>
      <c r="RCA513" s="69"/>
      <c r="RCB513" s="69"/>
      <c r="RCC513" s="2512"/>
      <c r="RCD513" s="1758"/>
      <c r="RCE513" s="1759"/>
      <c r="RCF513" s="1759"/>
      <c r="RCG513" s="1760"/>
      <c r="RCH513" s="385"/>
      <c r="RCI513" s="69"/>
      <c r="RCJ513" s="69"/>
      <c r="RCK513" s="2512"/>
      <c r="RCL513" s="1758"/>
      <c r="RCM513" s="1759"/>
      <c r="RCN513" s="1759"/>
      <c r="RCO513" s="1760"/>
      <c r="RCP513" s="385"/>
      <c r="RCQ513" s="69"/>
      <c r="RCR513" s="69"/>
      <c r="RCS513" s="2512"/>
      <c r="RCT513" s="1758"/>
      <c r="RCU513" s="1759"/>
      <c r="RCV513" s="1759"/>
      <c r="RCW513" s="1760"/>
      <c r="RCX513" s="385"/>
      <c r="RCY513" s="69"/>
      <c r="RCZ513" s="69"/>
      <c r="RDA513" s="2512"/>
      <c r="RDB513" s="1758"/>
      <c r="RDC513" s="1759"/>
      <c r="RDD513" s="1759"/>
      <c r="RDE513" s="1760"/>
      <c r="RDF513" s="385"/>
      <c r="RDG513" s="69"/>
      <c r="RDH513" s="69"/>
      <c r="RDI513" s="2512"/>
      <c r="RDJ513" s="1758"/>
      <c r="RDK513" s="1759"/>
      <c r="RDL513" s="1759"/>
      <c r="RDM513" s="1760"/>
      <c r="RDN513" s="385"/>
      <c r="RDO513" s="69"/>
      <c r="RDP513" s="69"/>
      <c r="RDQ513" s="2512"/>
      <c r="RDR513" s="1758"/>
      <c r="RDS513" s="1759"/>
      <c r="RDT513" s="1759"/>
      <c r="RDU513" s="1760"/>
      <c r="RDV513" s="385"/>
      <c r="RDW513" s="69"/>
      <c r="RDX513" s="69"/>
      <c r="RDY513" s="2512"/>
      <c r="RDZ513" s="1758"/>
      <c r="REA513" s="1759"/>
      <c r="REB513" s="1759"/>
      <c r="REC513" s="1760"/>
      <c r="RED513" s="385"/>
      <c r="REE513" s="69"/>
      <c r="REF513" s="69"/>
      <c r="REG513" s="2512"/>
      <c r="REH513" s="1758"/>
      <c r="REI513" s="1759"/>
      <c r="REJ513" s="1759"/>
      <c r="REK513" s="1760"/>
      <c r="REL513" s="385"/>
      <c r="REM513" s="69"/>
      <c r="REN513" s="69"/>
      <c r="REO513" s="2512"/>
      <c r="REP513" s="1758"/>
      <c r="REQ513" s="1759"/>
      <c r="RER513" s="1759"/>
      <c r="RES513" s="1760"/>
      <c r="RET513" s="385"/>
      <c r="REU513" s="69"/>
      <c r="REV513" s="69"/>
      <c r="REW513" s="2512"/>
      <c r="REX513" s="1758"/>
      <c r="REY513" s="1759"/>
      <c r="REZ513" s="1759"/>
      <c r="RFA513" s="1760"/>
      <c r="RFB513" s="385"/>
      <c r="RFC513" s="69"/>
      <c r="RFD513" s="69"/>
      <c r="RFE513" s="2512"/>
      <c r="RFF513" s="1758"/>
      <c r="RFG513" s="1759"/>
      <c r="RFH513" s="1759"/>
      <c r="RFI513" s="1760"/>
      <c r="RFJ513" s="385"/>
      <c r="RFK513" s="69"/>
      <c r="RFL513" s="69"/>
      <c r="RFM513" s="2512"/>
      <c r="RFN513" s="1758"/>
      <c r="RFO513" s="1759"/>
      <c r="RFP513" s="1759"/>
      <c r="RFQ513" s="1760"/>
      <c r="RFR513" s="385"/>
      <c r="RFS513" s="69"/>
      <c r="RFT513" s="69"/>
      <c r="RFU513" s="2512"/>
      <c r="RFV513" s="1758"/>
      <c r="RFW513" s="1759"/>
      <c r="RFX513" s="1759"/>
      <c r="RFY513" s="1760"/>
      <c r="RFZ513" s="385"/>
      <c r="RGA513" s="69"/>
      <c r="RGB513" s="69"/>
      <c r="RGC513" s="2512"/>
      <c r="RGD513" s="1758"/>
      <c r="RGE513" s="1759"/>
      <c r="RGF513" s="1759"/>
      <c r="RGG513" s="1760"/>
      <c r="RGH513" s="385"/>
      <c r="RGI513" s="69"/>
      <c r="RGJ513" s="69"/>
      <c r="RGK513" s="2512"/>
      <c r="RGL513" s="1758"/>
      <c r="RGM513" s="1759"/>
      <c r="RGN513" s="1759"/>
      <c r="RGO513" s="1760"/>
      <c r="RGP513" s="385"/>
      <c r="RGQ513" s="69"/>
      <c r="RGR513" s="69"/>
      <c r="RGS513" s="2512"/>
      <c r="RGT513" s="1758"/>
      <c r="RGU513" s="1759"/>
      <c r="RGV513" s="1759"/>
      <c r="RGW513" s="1760"/>
      <c r="RGX513" s="385"/>
      <c r="RGY513" s="69"/>
      <c r="RGZ513" s="69"/>
      <c r="RHA513" s="2512"/>
      <c r="RHB513" s="1758"/>
      <c r="RHC513" s="1759"/>
      <c r="RHD513" s="1759"/>
      <c r="RHE513" s="1760"/>
      <c r="RHF513" s="385"/>
      <c r="RHG513" s="69"/>
      <c r="RHH513" s="69"/>
      <c r="RHI513" s="2512"/>
      <c r="RHJ513" s="1758"/>
      <c r="RHK513" s="1759"/>
      <c r="RHL513" s="1759"/>
      <c r="RHM513" s="1760"/>
      <c r="RHN513" s="385"/>
      <c r="RHO513" s="69"/>
      <c r="RHP513" s="69"/>
      <c r="RHQ513" s="2512"/>
      <c r="RHR513" s="1758"/>
      <c r="RHS513" s="1759"/>
      <c r="RHT513" s="1759"/>
      <c r="RHU513" s="1760"/>
      <c r="RHV513" s="385"/>
      <c r="RHW513" s="69"/>
      <c r="RHX513" s="69"/>
      <c r="RHY513" s="2512"/>
      <c r="RHZ513" s="1758"/>
      <c r="RIA513" s="1759"/>
      <c r="RIB513" s="1759"/>
      <c r="RIC513" s="1760"/>
      <c r="RID513" s="385"/>
      <c r="RIE513" s="69"/>
      <c r="RIF513" s="69"/>
      <c r="RIG513" s="2512"/>
      <c r="RIH513" s="1758"/>
      <c r="RII513" s="1759"/>
      <c r="RIJ513" s="1759"/>
      <c r="RIK513" s="1760"/>
      <c r="RIL513" s="385"/>
      <c r="RIM513" s="69"/>
      <c r="RIN513" s="69"/>
      <c r="RIO513" s="2512"/>
      <c r="RIP513" s="1758"/>
      <c r="RIQ513" s="1759"/>
      <c r="RIR513" s="1759"/>
      <c r="RIS513" s="1760"/>
      <c r="RIT513" s="385"/>
      <c r="RIU513" s="69"/>
      <c r="RIV513" s="69"/>
      <c r="RIW513" s="2512"/>
      <c r="RIX513" s="1758"/>
      <c r="RIY513" s="1759"/>
      <c r="RIZ513" s="1759"/>
      <c r="RJA513" s="1760"/>
      <c r="RJB513" s="385"/>
      <c r="RJC513" s="69"/>
      <c r="RJD513" s="69"/>
      <c r="RJE513" s="2512"/>
      <c r="RJF513" s="1758"/>
      <c r="RJG513" s="1759"/>
      <c r="RJH513" s="1759"/>
      <c r="RJI513" s="1760"/>
      <c r="RJJ513" s="385"/>
      <c r="RJK513" s="69"/>
      <c r="RJL513" s="69"/>
      <c r="RJM513" s="2512"/>
      <c r="RJN513" s="1758"/>
      <c r="RJO513" s="1759"/>
      <c r="RJP513" s="1759"/>
      <c r="RJQ513" s="1760"/>
      <c r="RJR513" s="385"/>
      <c r="RJS513" s="69"/>
      <c r="RJT513" s="69"/>
      <c r="RJU513" s="2512"/>
      <c r="RJV513" s="1758"/>
      <c r="RJW513" s="1759"/>
      <c r="RJX513" s="1759"/>
      <c r="RJY513" s="1760"/>
      <c r="RJZ513" s="385"/>
      <c r="RKA513" s="69"/>
      <c r="RKB513" s="69"/>
      <c r="RKC513" s="2512"/>
      <c r="RKD513" s="1758"/>
      <c r="RKE513" s="1759"/>
      <c r="RKF513" s="1759"/>
      <c r="RKG513" s="1760"/>
      <c r="RKH513" s="385"/>
      <c r="RKI513" s="69"/>
      <c r="RKJ513" s="69"/>
      <c r="RKK513" s="2512"/>
      <c r="RKL513" s="1758"/>
      <c r="RKM513" s="1759"/>
      <c r="RKN513" s="1759"/>
      <c r="RKO513" s="1760"/>
      <c r="RKP513" s="385"/>
      <c r="RKQ513" s="69"/>
      <c r="RKR513" s="69"/>
      <c r="RKS513" s="2512"/>
      <c r="RKT513" s="1758"/>
      <c r="RKU513" s="1759"/>
      <c r="RKV513" s="1759"/>
      <c r="RKW513" s="1760"/>
      <c r="RKX513" s="385"/>
      <c r="RKY513" s="69"/>
      <c r="RKZ513" s="69"/>
      <c r="RLA513" s="2512"/>
      <c r="RLB513" s="1758"/>
      <c r="RLC513" s="1759"/>
      <c r="RLD513" s="1759"/>
      <c r="RLE513" s="1760"/>
      <c r="RLF513" s="385"/>
      <c r="RLG513" s="69"/>
      <c r="RLH513" s="69"/>
      <c r="RLI513" s="2512"/>
      <c r="RLJ513" s="1758"/>
      <c r="RLK513" s="1759"/>
      <c r="RLL513" s="1759"/>
      <c r="RLM513" s="1760"/>
      <c r="RLN513" s="385"/>
      <c r="RLO513" s="69"/>
      <c r="RLP513" s="69"/>
      <c r="RLQ513" s="2512"/>
      <c r="RLR513" s="1758"/>
      <c r="RLS513" s="1759"/>
      <c r="RLT513" s="1759"/>
      <c r="RLU513" s="1760"/>
      <c r="RLV513" s="385"/>
      <c r="RLW513" s="69"/>
      <c r="RLX513" s="69"/>
      <c r="RLY513" s="2512"/>
      <c r="RLZ513" s="1758"/>
      <c r="RMA513" s="1759"/>
      <c r="RMB513" s="1759"/>
      <c r="RMC513" s="1760"/>
      <c r="RMD513" s="385"/>
      <c r="RME513" s="69"/>
      <c r="RMF513" s="69"/>
      <c r="RMG513" s="2512"/>
      <c r="RMH513" s="1758"/>
      <c r="RMI513" s="1759"/>
      <c r="RMJ513" s="1759"/>
      <c r="RMK513" s="1760"/>
      <c r="RML513" s="385"/>
      <c r="RMM513" s="69"/>
      <c r="RMN513" s="69"/>
      <c r="RMO513" s="2512"/>
      <c r="RMP513" s="1758"/>
      <c r="RMQ513" s="1759"/>
      <c r="RMR513" s="1759"/>
      <c r="RMS513" s="1760"/>
      <c r="RMT513" s="385"/>
      <c r="RMU513" s="69"/>
      <c r="RMV513" s="69"/>
      <c r="RMW513" s="2512"/>
      <c r="RMX513" s="1758"/>
      <c r="RMY513" s="1759"/>
      <c r="RMZ513" s="1759"/>
      <c r="RNA513" s="1760"/>
      <c r="RNB513" s="385"/>
      <c r="RNC513" s="69"/>
      <c r="RND513" s="69"/>
      <c r="RNE513" s="2512"/>
      <c r="RNF513" s="1758"/>
      <c r="RNG513" s="1759"/>
      <c r="RNH513" s="1759"/>
      <c r="RNI513" s="1760"/>
      <c r="RNJ513" s="385"/>
      <c r="RNK513" s="69"/>
      <c r="RNL513" s="69"/>
      <c r="RNM513" s="2512"/>
      <c r="RNN513" s="1758"/>
      <c r="RNO513" s="1759"/>
      <c r="RNP513" s="1759"/>
      <c r="RNQ513" s="1760"/>
      <c r="RNR513" s="385"/>
      <c r="RNS513" s="69"/>
      <c r="RNT513" s="69"/>
      <c r="RNU513" s="2512"/>
      <c r="RNV513" s="1758"/>
      <c r="RNW513" s="1759"/>
      <c r="RNX513" s="1759"/>
      <c r="RNY513" s="1760"/>
      <c r="RNZ513" s="385"/>
      <c r="ROA513" s="69"/>
      <c r="ROB513" s="69"/>
      <c r="ROC513" s="2512"/>
      <c r="ROD513" s="1758"/>
      <c r="ROE513" s="1759"/>
      <c r="ROF513" s="1759"/>
      <c r="ROG513" s="1760"/>
      <c r="ROH513" s="385"/>
      <c r="ROI513" s="69"/>
      <c r="ROJ513" s="69"/>
      <c r="ROK513" s="2512"/>
      <c r="ROL513" s="1758"/>
      <c r="ROM513" s="1759"/>
      <c r="RON513" s="1759"/>
      <c r="ROO513" s="1760"/>
      <c r="ROP513" s="385"/>
      <c r="ROQ513" s="69"/>
      <c r="ROR513" s="69"/>
      <c r="ROS513" s="2512"/>
      <c r="ROT513" s="1758"/>
      <c r="ROU513" s="1759"/>
      <c r="ROV513" s="1759"/>
      <c r="ROW513" s="1760"/>
      <c r="ROX513" s="385"/>
      <c r="ROY513" s="69"/>
      <c r="ROZ513" s="69"/>
      <c r="RPA513" s="2512"/>
      <c r="RPB513" s="1758"/>
      <c r="RPC513" s="1759"/>
      <c r="RPD513" s="1759"/>
      <c r="RPE513" s="1760"/>
      <c r="RPF513" s="385"/>
      <c r="RPG513" s="69"/>
      <c r="RPH513" s="69"/>
      <c r="RPI513" s="2512"/>
      <c r="RPJ513" s="1758"/>
      <c r="RPK513" s="1759"/>
      <c r="RPL513" s="1759"/>
      <c r="RPM513" s="1760"/>
      <c r="RPN513" s="385"/>
      <c r="RPO513" s="69"/>
      <c r="RPP513" s="69"/>
      <c r="RPQ513" s="2512"/>
      <c r="RPR513" s="1758"/>
      <c r="RPS513" s="1759"/>
      <c r="RPT513" s="1759"/>
      <c r="RPU513" s="1760"/>
      <c r="RPV513" s="385"/>
      <c r="RPW513" s="69"/>
      <c r="RPX513" s="69"/>
      <c r="RPY513" s="2512"/>
      <c r="RPZ513" s="1758"/>
      <c r="RQA513" s="1759"/>
      <c r="RQB513" s="1759"/>
      <c r="RQC513" s="1760"/>
      <c r="RQD513" s="385"/>
      <c r="RQE513" s="69"/>
      <c r="RQF513" s="69"/>
      <c r="RQG513" s="2512"/>
      <c r="RQH513" s="1758"/>
      <c r="RQI513" s="1759"/>
      <c r="RQJ513" s="1759"/>
      <c r="RQK513" s="1760"/>
      <c r="RQL513" s="385"/>
      <c r="RQM513" s="69"/>
      <c r="RQN513" s="69"/>
      <c r="RQO513" s="2512"/>
      <c r="RQP513" s="1758"/>
      <c r="RQQ513" s="1759"/>
      <c r="RQR513" s="1759"/>
      <c r="RQS513" s="1760"/>
      <c r="RQT513" s="385"/>
      <c r="RQU513" s="69"/>
      <c r="RQV513" s="69"/>
      <c r="RQW513" s="2512"/>
      <c r="RQX513" s="1758"/>
      <c r="RQY513" s="1759"/>
      <c r="RQZ513" s="1759"/>
      <c r="RRA513" s="1760"/>
      <c r="RRB513" s="385"/>
      <c r="RRC513" s="69"/>
      <c r="RRD513" s="69"/>
      <c r="RRE513" s="2512"/>
      <c r="RRF513" s="1758"/>
      <c r="RRG513" s="1759"/>
      <c r="RRH513" s="1759"/>
      <c r="RRI513" s="1760"/>
      <c r="RRJ513" s="385"/>
      <c r="RRK513" s="69"/>
      <c r="RRL513" s="69"/>
      <c r="RRM513" s="2512"/>
      <c r="RRN513" s="1758"/>
      <c r="RRO513" s="1759"/>
      <c r="RRP513" s="1759"/>
      <c r="RRQ513" s="1760"/>
      <c r="RRR513" s="385"/>
      <c r="RRS513" s="69"/>
      <c r="RRT513" s="69"/>
      <c r="RRU513" s="2512"/>
      <c r="RRV513" s="1758"/>
      <c r="RRW513" s="1759"/>
      <c r="RRX513" s="1759"/>
      <c r="RRY513" s="1760"/>
      <c r="RRZ513" s="385"/>
      <c r="RSA513" s="69"/>
      <c r="RSB513" s="69"/>
      <c r="RSC513" s="2512"/>
      <c r="RSD513" s="1758"/>
      <c r="RSE513" s="1759"/>
      <c r="RSF513" s="1759"/>
      <c r="RSG513" s="1760"/>
      <c r="RSH513" s="385"/>
      <c r="RSI513" s="69"/>
      <c r="RSJ513" s="69"/>
      <c r="RSK513" s="2512"/>
      <c r="RSL513" s="1758"/>
      <c r="RSM513" s="1759"/>
      <c r="RSN513" s="1759"/>
      <c r="RSO513" s="1760"/>
      <c r="RSP513" s="385"/>
      <c r="RSQ513" s="69"/>
      <c r="RSR513" s="69"/>
      <c r="RSS513" s="2512"/>
      <c r="RST513" s="1758"/>
      <c r="RSU513" s="1759"/>
      <c r="RSV513" s="1759"/>
      <c r="RSW513" s="1760"/>
      <c r="RSX513" s="385"/>
      <c r="RSY513" s="69"/>
      <c r="RSZ513" s="69"/>
      <c r="RTA513" s="2512"/>
      <c r="RTB513" s="1758"/>
      <c r="RTC513" s="1759"/>
      <c r="RTD513" s="1759"/>
      <c r="RTE513" s="1760"/>
      <c r="RTF513" s="385"/>
      <c r="RTG513" s="69"/>
      <c r="RTH513" s="69"/>
      <c r="RTI513" s="2512"/>
      <c r="RTJ513" s="1758"/>
      <c r="RTK513" s="1759"/>
      <c r="RTL513" s="1759"/>
      <c r="RTM513" s="1760"/>
      <c r="RTN513" s="385"/>
      <c r="RTO513" s="69"/>
      <c r="RTP513" s="69"/>
      <c r="RTQ513" s="2512"/>
      <c r="RTR513" s="1758"/>
      <c r="RTS513" s="1759"/>
      <c r="RTT513" s="1759"/>
      <c r="RTU513" s="1760"/>
      <c r="RTV513" s="385"/>
      <c r="RTW513" s="69"/>
      <c r="RTX513" s="69"/>
      <c r="RTY513" s="2512"/>
      <c r="RTZ513" s="1758"/>
      <c r="RUA513" s="1759"/>
      <c r="RUB513" s="1759"/>
      <c r="RUC513" s="1760"/>
      <c r="RUD513" s="385"/>
      <c r="RUE513" s="69"/>
      <c r="RUF513" s="69"/>
      <c r="RUG513" s="2512"/>
      <c r="RUH513" s="1758"/>
      <c r="RUI513" s="1759"/>
      <c r="RUJ513" s="1759"/>
      <c r="RUK513" s="1760"/>
      <c r="RUL513" s="385"/>
      <c r="RUM513" s="69"/>
      <c r="RUN513" s="69"/>
      <c r="RUO513" s="2512"/>
      <c r="RUP513" s="1758"/>
      <c r="RUQ513" s="1759"/>
      <c r="RUR513" s="1759"/>
      <c r="RUS513" s="1760"/>
      <c r="RUT513" s="385"/>
      <c r="RUU513" s="69"/>
      <c r="RUV513" s="69"/>
      <c r="RUW513" s="2512"/>
      <c r="RUX513" s="1758"/>
      <c r="RUY513" s="1759"/>
      <c r="RUZ513" s="1759"/>
      <c r="RVA513" s="1760"/>
      <c r="RVB513" s="385"/>
      <c r="RVC513" s="69"/>
      <c r="RVD513" s="69"/>
      <c r="RVE513" s="2512"/>
      <c r="RVF513" s="1758"/>
      <c r="RVG513" s="1759"/>
      <c r="RVH513" s="1759"/>
      <c r="RVI513" s="1760"/>
      <c r="RVJ513" s="385"/>
      <c r="RVK513" s="69"/>
      <c r="RVL513" s="69"/>
      <c r="RVM513" s="2512"/>
      <c r="RVN513" s="1758"/>
      <c r="RVO513" s="1759"/>
      <c r="RVP513" s="1759"/>
      <c r="RVQ513" s="1760"/>
      <c r="RVR513" s="385"/>
      <c r="RVS513" s="69"/>
      <c r="RVT513" s="69"/>
      <c r="RVU513" s="2512"/>
      <c r="RVV513" s="1758"/>
      <c r="RVW513" s="1759"/>
      <c r="RVX513" s="1759"/>
      <c r="RVY513" s="1760"/>
      <c r="RVZ513" s="385"/>
      <c r="RWA513" s="69"/>
      <c r="RWB513" s="69"/>
      <c r="RWC513" s="2512"/>
      <c r="RWD513" s="1758"/>
      <c r="RWE513" s="1759"/>
      <c r="RWF513" s="1759"/>
      <c r="RWG513" s="1760"/>
      <c r="RWH513" s="385"/>
      <c r="RWI513" s="69"/>
      <c r="RWJ513" s="69"/>
      <c r="RWK513" s="2512"/>
      <c r="RWL513" s="1758"/>
      <c r="RWM513" s="1759"/>
      <c r="RWN513" s="1759"/>
      <c r="RWO513" s="1760"/>
      <c r="RWP513" s="385"/>
      <c r="RWQ513" s="69"/>
      <c r="RWR513" s="69"/>
      <c r="RWS513" s="2512"/>
      <c r="RWT513" s="1758"/>
      <c r="RWU513" s="1759"/>
      <c r="RWV513" s="1759"/>
      <c r="RWW513" s="1760"/>
      <c r="RWX513" s="385"/>
      <c r="RWY513" s="69"/>
      <c r="RWZ513" s="69"/>
      <c r="RXA513" s="2512"/>
      <c r="RXB513" s="1758"/>
      <c r="RXC513" s="1759"/>
      <c r="RXD513" s="1759"/>
      <c r="RXE513" s="1760"/>
      <c r="RXF513" s="385"/>
      <c r="RXG513" s="69"/>
      <c r="RXH513" s="69"/>
      <c r="RXI513" s="2512"/>
      <c r="RXJ513" s="1758"/>
      <c r="RXK513" s="1759"/>
      <c r="RXL513" s="1759"/>
      <c r="RXM513" s="1760"/>
      <c r="RXN513" s="385"/>
      <c r="RXO513" s="69"/>
      <c r="RXP513" s="69"/>
      <c r="RXQ513" s="2512"/>
      <c r="RXR513" s="1758"/>
      <c r="RXS513" s="1759"/>
      <c r="RXT513" s="1759"/>
      <c r="RXU513" s="1760"/>
      <c r="RXV513" s="385"/>
      <c r="RXW513" s="69"/>
      <c r="RXX513" s="69"/>
      <c r="RXY513" s="2512"/>
      <c r="RXZ513" s="1758"/>
      <c r="RYA513" s="1759"/>
      <c r="RYB513" s="1759"/>
      <c r="RYC513" s="1760"/>
      <c r="RYD513" s="385"/>
      <c r="RYE513" s="69"/>
      <c r="RYF513" s="69"/>
      <c r="RYG513" s="2512"/>
      <c r="RYH513" s="1758"/>
      <c r="RYI513" s="1759"/>
      <c r="RYJ513" s="1759"/>
      <c r="RYK513" s="1760"/>
      <c r="RYL513" s="385"/>
      <c r="RYM513" s="69"/>
      <c r="RYN513" s="69"/>
      <c r="RYO513" s="2512"/>
      <c r="RYP513" s="1758"/>
      <c r="RYQ513" s="1759"/>
      <c r="RYR513" s="1759"/>
      <c r="RYS513" s="1760"/>
      <c r="RYT513" s="385"/>
      <c r="RYU513" s="69"/>
      <c r="RYV513" s="69"/>
      <c r="RYW513" s="2512"/>
      <c r="RYX513" s="1758"/>
      <c r="RYY513" s="1759"/>
      <c r="RYZ513" s="1759"/>
      <c r="RZA513" s="1760"/>
      <c r="RZB513" s="385"/>
      <c r="RZC513" s="69"/>
      <c r="RZD513" s="69"/>
      <c r="RZE513" s="2512"/>
      <c r="RZF513" s="1758"/>
      <c r="RZG513" s="1759"/>
      <c r="RZH513" s="1759"/>
      <c r="RZI513" s="1760"/>
      <c r="RZJ513" s="385"/>
      <c r="RZK513" s="69"/>
      <c r="RZL513" s="69"/>
      <c r="RZM513" s="2512"/>
      <c r="RZN513" s="1758"/>
      <c r="RZO513" s="1759"/>
      <c r="RZP513" s="1759"/>
      <c r="RZQ513" s="1760"/>
      <c r="RZR513" s="385"/>
      <c r="RZS513" s="69"/>
      <c r="RZT513" s="69"/>
      <c r="RZU513" s="2512"/>
      <c r="RZV513" s="1758"/>
      <c r="RZW513" s="1759"/>
      <c r="RZX513" s="1759"/>
      <c r="RZY513" s="1760"/>
      <c r="RZZ513" s="385"/>
      <c r="SAA513" s="69"/>
      <c r="SAB513" s="69"/>
      <c r="SAC513" s="2512"/>
      <c r="SAD513" s="1758"/>
      <c r="SAE513" s="1759"/>
      <c r="SAF513" s="1759"/>
      <c r="SAG513" s="1760"/>
      <c r="SAH513" s="385"/>
      <c r="SAI513" s="69"/>
      <c r="SAJ513" s="69"/>
      <c r="SAK513" s="2512"/>
      <c r="SAL513" s="1758"/>
      <c r="SAM513" s="1759"/>
      <c r="SAN513" s="1759"/>
      <c r="SAO513" s="1760"/>
      <c r="SAP513" s="385"/>
      <c r="SAQ513" s="69"/>
      <c r="SAR513" s="69"/>
      <c r="SAS513" s="2512"/>
      <c r="SAT513" s="1758"/>
      <c r="SAU513" s="1759"/>
      <c r="SAV513" s="1759"/>
      <c r="SAW513" s="1760"/>
      <c r="SAX513" s="385"/>
      <c r="SAY513" s="69"/>
      <c r="SAZ513" s="69"/>
      <c r="SBA513" s="2512"/>
      <c r="SBB513" s="1758"/>
      <c r="SBC513" s="1759"/>
      <c r="SBD513" s="1759"/>
      <c r="SBE513" s="1760"/>
      <c r="SBF513" s="385"/>
      <c r="SBG513" s="69"/>
      <c r="SBH513" s="69"/>
      <c r="SBI513" s="2512"/>
      <c r="SBJ513" s="1758"/>
      <c r="SBK513" s="1759"/>
      <c r="SBL513" s="1759"/>
      <c r="SBM513" s="1760"/>
      <c r="SBN513" s="385"/>
      <c r="SBO513" s="69"/>
      <c r="SBP513" s="69"/>
      <c r="SBQ513" s="2512"/>
      <c r="SBR513" s="1758"/>
      <c r="SBS513" s="1759"/>
      <c r="SBT513" s="1759"/>
      <c r="SBU513" s="1760"/>
      <c r="SBV513" s="385"/>
      <c r="SBW513" s="69"/>
      <c r="SBX513" s="69"/>
      <c r="SBY513" s="2512"/>
      <c r="SBZ513" s="1758"/>
      <c r="SCA513" s="1759"/>
      <c r="SCB513" s="1759"/>
      <c r="SCC513" s="1760"/>
      <c r="SCD513" s="385"/>
      <c r="SCE513" s="69"/>
      <c r="SCF513" s="69"/>
      <c r="SCG513" s="2512"/>
      <c r="SCH513" s="1758"/>
      <c r="SCI513" s="1759"/>
      <c r="SCJ513" s="1759"/>
      <c r="SCK513" s="1760"/>
      <c r="SCL513" s="385"/>
      <c r="SCM513" s="69"/>
      <c r="SCN513" s="69"/>
      <c r="SCO513" s="2512"/>
      <c r="SCP513" s="1758"/>
      <c r="SCQ513" s="1759"/>
      <c r="SCR513" s="1759"/>
      <c r="SCS513" s="1760"/>
      <c r="SCT513" s="385"/>
      <c r="SCU513" s="69"/>
      <c r="SCV513" s="69"/>
      <c r="SCW513" s="2512"/>
      <c r="SCX513" s="1758"/>
      <c r="SCY513" s="1759"/>
      <c r="SCZ513" s="1759"/>
      <c r="SDA513" s="1760"/>
      <c r="SDB513" s="385"/>
      <c r="SDC513" s="69"/>
      <c r="SDD513" s="69"/>
      <c r="SDE513" s="2512"/>
      <c r="SDF513" s="1758"/>
      <c r="SDG513" s="1759"/>
      <c r="SDH513" s="1759"/>
      <c r="SDI513" s="1760"/>
      <c r="SDJ513" s="385"/>
      <c r="SDK513" s="69"/>
      <c r="SDL513" s="69"/>
      <c r="SDM513" s="2512"/>
      <c r="SDN513" s="1758"/>
      <c r="SDO513" s="1759"/>
      <c r="SDP513" s="1759"/>
      <c r="SDQ513" s="1760"/>
      <c r="SDR513" s="385"/>
      <c r="SDS513" s="69"/>
      <c r="SDT513" s="69"/>
      <c r="SDU513" s="2512"/>
      <c r="SDV513" s="1758"/>
      <c r="SDW513" s="1759"/>
      <c r="SDX513" s="1759"/>
      <c r="SDY513" s="1760"/>
      <c r="SDZ513" s="385"/>
      <c r="SEA513" s="69"/>
      <c r="SEB513" s="69"/>
      <c r="SEC513" s="2512"/>
      <c r="SED513" s="1758"/>
      <c r="SEE513" s="1759"/>
      <c r="SEF513" s="1759"/>
      <c r="SEG513" s="1760"/>
      <c r="SEH513" s="385"/>
      <c r="SEI513" s="69"/>
      <c r="SEJ513" s="69"/>
      <c r="SEK513" s="2512"/>
      <c r="SEL513" s="1758"/>
      <c r="SEM513" s="1759"/>
      <c r="SEN513" s="1759"/>
      <c r="SEO513" s="1760"/>
      <c r="SEP513" s="385"/>
      <c r="SEQ513" s="69"/>
      <c r="SER513" s="69"/>
      <c r="SES513" s="2512"/>
      <c r="SET513" s="1758"/>
      <c r="SEU513" s="1759"/>
      <c r="SEV513" s="1759"/>
      <c r="SEW513" s="1760"/>
      <c r="SEX513" s="385"/>
      <c r="SEY513" s="69"/>
      <c r="SEZ513" s="69"/>
      <c r="SFA513" s="2512"/>
      <c r="SFB513" s="1758"/>
      <c r="SFC513" s="1759"/>
      <c r="SFD513" s="1759"/>
      <c r="SFE513" s="1760"/>
      <c r="SFF513" s="385"/>
      <c r="SFG513" s="69"/>
      <c r="SFH513" s="69"/>
      <c r="SFI513" s="2512"/>
      <c r="SFJ513" s="1758"/>
      <c r="SFK513" s="1759"/>
      <c r="SFL513" s="1759"/>
      <c r="SFM513" s="1760"/>
      <c r="SFN513" s="385"/>
      <c r="SFO513" s="69"/>
      <c r="SFP513" s="69"/>
      <c r="SFQ513" s="2512"/>
      <c r="SFR513" s="1758"/>
      <c r="SFS513" s="1759"/>
      <c r="SFT513" s="1759"/>
      <c r="SFU513" s="1760"/>
      <c r="SFV513" s="385"/>
      <c r="SFW513" s="69"/>
      <c r="SFX513" s="69"/>
      <c r="SFY513" s="2512"/>
      <c r="SFZ513" s="1758"/>
      <c r="SGA513" s="1759"/>
      <c r="SGB513" s="1759"/>
      <c r="SGC513" s="1760"/>
      <c r="SGD513" s="385"/>
      <c r="SGE513" s="69"/>
      <c r="SGF513" s="69"/>
      <c r="SGG513" s="2512"/>
      <c r="SGH513" s="1758"/>
      <c r="SGI513" s="1759"/>
      <c r="SGJ513" s="1759"/>
      <c r="SGK513" s="1760"/>
      <c r="SGL513" s="385"/>
      <c r="SGM513" s="69"/>
      <c r="SGN513" s="69"/>
      <c r="SGO513" s="2512"/>
      <c r="SGP513" s="1758"/>
      <c r="SGQ513" s="1759"/>
      <c r="SGR513" s="1759"/>
      <c r="SGS513" s="1760"/>
      <c r="SGT513" s="385"/>
      <c r="SGU513" s="69"/>
      <c r="SGV513" s="69"/>
      <c r="SGW513" s="2512"/>
      <c r="SGX513" s="1758"/>
      <c r="SGY513" s="1759"/>
      <c r="SGZ513" s="1759"/>
      <c r="SHA513" s="1760"/>
      <c r="SHB513" s="385"/>
      <c r="SHC513" s="69"/>
      <c r="SHD513" s="69"/>
      <c r="SHE513" s="2512"/>
      <c r="SHF513" s="1758"/>
      <c r="SHG513" s="1759"/>
      <c r="SHH513" s="1759"/>
      <c r="SHI513" s="1760"/>
      <c r="SHJ513" s="385"/>
      <c r="SHK513" s="69"/>
      <c r="SHL513" s="69"/>
      <c r="SHM513" s="2512"/>
      <c r="SHN513" s="1758"/>
      <c r="SHO513" s="1759"/>
      <c r="SHP513" s="1759"/>
      <c r="SHQ513" s="1760"/>
      <c r="SHR513" s="385"/>
      <c r="SHS513" s="69"/>
      <c r="SHT513" s="69"/>
      <c r="SHU513" s="2512"/>
      <c r="SHV513" s="1758"/>
      <c r="SHW513" s="1759"/>
      <c r="SHX513" s="1759"/>
      <c r="SHY513" s="1760"/>
      <c r="SHZ513" s="385"/>
      <c r="SIA513" s="69"/>
      <c r="SIB513" s="69"/>
      <c r="SIC513" s="2512"/>
      <c r="SID513" s="1758"/>
      <c r="SIE513" s="1759"/>
      <c r="SIF513" s="1759"/>
      <c r="SIG513" s="1760"/>
      <c r="SIH513" s="385"/>
      <c r="SII513" s="69"/>
      <c r="SIJ513" s="69"/>
      <c r="SIK513" s="2512"/>
      <c r="SIL513" s="1758"/>
      <c r="SIM513" s="1759"/>
      <c r="SIN513" s="1759"/>
      <c r="SIO513" s="1760"/>
      <c r="SIP513" s="385"/>
      <c r="SIQ513" s="69"/>
      <c r="SIR513" s="69"/>
      <c r="SIS513" s="2512"/>
      <c r="SIT513" s="1758"/>
      <c r="SIU513" s="1759"/>
      <c r="SIV513" s="1759"/>
      <c r="SIW513" s="1760"/>
      <c r="SIX513" s="385"/>
      <c r="SIY513" s="69"/>
      <c r="SIZ513" s="69"/>
      <c r="SJA513" s="2512"/>
      <c r="SJB513" s="1758"/>
      <c r="SJC513" s="1759"/>
      <c r="SJD513" s="1759"/>
      <c r="SJE513" s="1760"/>
      <c r="SJF513" s="385"/>
      <c r="SJG513" s="69"/>
      <c r="SJH513" s="69"/>
      <c r="SJI513" s="2512"/>
      <c r="SJJ513" s="1758"/>
      <c r="SJK513" s="1759"/>
      <c r="SJL513" s="1759"/>
      <c r="SJM513" s="1760"/>
      <c r="SJN513" s="385"/>
      <c r="SJO513" s="69"/>
      <c r="SJP513" s="69"/>
      <c r="SJQ513" s="2512"/>
      <c r="SJR513" s="1758"/>
      <c r="SJS513" s="1759"/>
      <c r="SJT513" s="1759"/>
      <c r="SJU513" s="1760"/>
      <c r="SJV513" s="385"/>
      <c r="SJW513" s="69"/>
      <c r="SJX513" s="69"/>
      <c r="SJY513" s="2512"/>
      <c r="SJZ513" s="1758"/>
      <c r="SKA513" s="1759"/>
      <c r="SKB513" s="1759"/>
      <c r="SKC513" s="1760"/>
      <c r="SKD513" s="385"/>
      <c r="SKE513" s="69"/>
      <c r="SKF513" s="69"/>
      <c r="SKG513" s="2512"/>
      <c r="SKH513" s="1758"/>
      <c r="SKI513" s="1759"/>
      <c r="SKJ513" s="1759"/>
      <c r="SKK513" s="1760"/>
      <c r="SKL513" s="385"/>
      <c r="SKM513" s="69"/>
      <c r="SKN513" s="69"/>
      <c r="SKO513" s="2512"/>
      <c r="SKP513" s="1758"/>
      <c r="SKQ513" s="1759"/>
      <c r="SKR513" s="1759"/>
      <c r="SKS513" s="1760"/>
      <c r="SKT513" s="385"/>
      <c r="SKU513" s="69"/>
      <c r="SKV513" s="69"/>
      <c r="SKW513" s="2512"/>
      <c r="SKX513" s="1758"/>
      <c r="SKY513" s="1759"/>
      <c r="SKZ513" s="1759"/>
      <c r="SLA513" s="1760"/>
      <c r="SLB513" s="385"/>
      <c r="SLC513" s="69"/>
      <c r="SLD513" s="69"/>
      <c r="SLE513" s="2512"/>
      <c r="SLF513" s="1758"/>
      <c r="SLG513" s="1759"/>
      <c r="SLH513" s="1759"/>
      <c r="SLI513" s="1760"/>
      <c r="SLJ513" s="385"/>
      <c r="SLK513" s="69"/>
      <c r="SLL513" s="69"/>
      <c r="SLM513" s="2512"/>
      <c r="SLN513" s="1758"/>
      <c r="SLO513" s="1759"/>
      <c r="SLP513" s="1759"/>
      <c r="SLQ513" s="1760"/>
      <c r="SLR513" s="385"/>
      <c r="SLS513" s="69"/>
      <c r="SLT513" s="69"/>
      <c r="SLU513" s="2512"/>
      <c r="SLV513" s="1758"/>
      <c r="SLW513" s="1759"/>
      <c r="SLX513" s="1759"/>
      <c r="SLY513" s="1760"/>
      <c r="SLZ513" s="385"/>
      <c r="SMA513" s="69"/>
      <c r="SMB513" s="69"/>
      <c r="SMC513" s="2512"/>
      <c r="SMD513" s="1758"/>
      <c r="SME513" s="1759"/>
      <c r="SMF513" s="1759"/>
      <c r="SMG513" s="1760"/>
      <c r="SMH513" s="385"/>
      <c r="SMI513" s="69"/>
      <c r="SMJ513" s="69"/>
      <c r="SMK513" s="2512"/>
      <c r="SML513" s="1758"/>
      <c r="SMM513" s="1759"/>
      <c r="SMN513" s="1759"/>
      <c r="SMO513" s="1760"/>
      <c r="SMP513" s="385"/>
      <c r="SMQ513" s="69"/>
      <c r="SMR513" s="69"/>
      <c r="SMS513" s="2512"/>
      <c r="SMT513" s="1758"/>
      <c r="SMU513" s="1759"/>
      <c r="SMV513" s="1759"/>
      <c r="SMW513" s="1760"/>
      <c r="SMX513" s="385"/>
      <c r="SMY513" s="69"/>
      <c r="SMZ513" s="69"/>
      <c r="SNA513" s="2512"/>
      <c r="SNB513" s="1758"/>
      <c r="SNC513" s="1759"/>
      <c r="SND513" s="1759"/>
      <c r="SNE513" s="1760"/>
      <c r="SNF513" s="385"/>
      <c r="SNG513" s="69"/>
      <c r="SNH513" s="69"/>
      <c r="SNI513" s="2512"/>
      <c r="SNJ513" s="1758"/>
      <c r="SNK513" s="1759"/>
      <c r="SNL513" s="1759"/>
      <c r="SNM513" s="1760"/>
      <c r="SNN513" s="385"/>
      <c r="SNO513" s="69"/>
      <c r="SNP513" s="69"/>
      <c r="SNQ513" s="2512"/>
      <c r="SNR513" s="1758"/>
      <c r="SNS513" s="1759"/>
      <c r="SNT513" s="1759"/>
      <c r="SNU513" s="1760"/>
      <c r="SNV513" s="385"/>
      <c r="SNW513" s="69"/>
      <c r="SNX513" s="69"/>
      <c r="SNY513" s="2512"/>
      <c r="SNZ513" s="1758"/>
      <c r="SOA513" s="1759"/>
      <c r="SOB513" s="1759"/>
      <c r="SOC513" s="1760"/>
      <c r="SOD513" s="385"/>
      <c r="SOE513" s="69"/>
      <c r="SOF513" s="69"/>
      <c r="SOG513" s="2512"/>
      <c r="SOH513" s="1758"/>
      <c r="SOI513" s="1759"/>
      <c r="SOJ513" s="1759"/>
      <c r="SOK513" s="1760"/>
      <c r="SOL513" s="385"/>
      <c r="SOM513" s="69"/>
      <c r="SON513" s="69"/>
      <c r="SOO513" s="2512"/>
      <c r="SOP513" s="1758"/>
      <c r="SOQ513" s="1759"/>
      <c r="SOR513" s="1759"/>
      <c r="SOS513" s="1760"/>
      <c r="SOT513" s="385"/>
      <c r="SOU513" s="69"/>
      <c r="SOV513" s="69"/>
      <c r="SOW513" s="2512"/>
      <c r="SOX513" s="1758"/>
      <c r="SOY513" s="1759"/>
      <c r="SOZ513" s="1759"/>
      <c r="SPA513" s="1760"/>
      <c r="SPB513" s="385"/>
      <c r="SPC513" s="69"/>
      <c r="SPD513" s="69"/>
      <c r="SPE513" s="2512"/>
      <c r="SPF513" s="1758"/>
      <c r="SPG513" s="1759"/>
      <c r="SPH513" s="1759"/>
      <c r="SPI513" s="1760"/>
      <c r="SPJ513" s="385"/>
      <c r="SPK513" s="69"/>
      <c r="SPL513" s="69"/>
      <c r="SPM513" s="2512"/>
      <c r="SPN513" s="1758"/>
      <c r="SPO513" s="1759"/>
      <c r="SPP513" s="1759"/>
      <c r="SPQ513" s="1760"/>
      <c r="SPR513" s="385"/>
      <c r="SPS513" s="69"/>
      <c r="SPT513" s="69"/>
      <c r="SPU513" s="2512"/>
      <c r="SPV513" s="1758"/>
      <c r="SPW513" s="1759"/>
      <c r="SPX513" s="1759"/>
      <c r="SPY513" s="1760"/>
      <c r="SPZ513" s="385"/>
      <c r="SQA513" s="69"/>
      <c r="SQB513" s="69"/>
      <c r="SQC513" s="2512"/>
      <c r="SQD513" s="1758"/>
      <c r="SQE513" s="1759"/>
      <c r="SQF513" s="1759"/>
      <c r="SQG513" s="1760"/>
      <c r="SQH513" s="385"/>
      <c r="SQI513" s="69"/>
      <c r="SQJ513" s="69"/>
      <c r="SQK513" s="2512"/>
      <c r="SQL513" s="1758"/>
      <c r="SQM513" s="1759"/>
      <c r="SQN513" s="1759"/>
      <c r="SQO513" s="1760"/>
      <c r="SQP513" s="385"/>
      <c r="SQQ513" s="69"/>
      <c r="SQR513" s="69"/>
      <c r="SQS513" s="2512"/>
      <c r="SQT513" s="1758"/>
      <c r="SQU513" s="1759"/>
      <c r="SQV513" s="1759"/>
      <c r="SQW513" s="1760"/>
      <c r="SQX513" s="385"/>
      <c r="SQY513" s="69"/>
      <c r="SQZ513" s="69"/>
      <c r="SRA513" s="2512"/>
      <c r="SRB513" s="1758"/>
      <c r="SRC513" s="1759"/>
      <c r="SRD513" s="1759"/>
      <c r="SRE513" s="1760"/>
      <c r="SRF513" s="385"/>
      <c r="SRG513" s="69"/>
      <c r="SRH513" s="69"/>
      <c r="SRI513" s="2512"/>
      <c r="SRJ513" s="1758"/>
      <c r="SRK513" s="1759"/>
      <c r="SRL513" s="1759"/>
      <c r="SRM513" s="1760"/>
      <c r="SRN513" s="385"/>
      <c r="SRO513" s="69"/>
      <c r="SRP513" s="69"/>
      <c r="SRQ513" s="2512"/>
      <c r="SRR513" s="1758"/>
      <c r="SRS513" s="1759"/>
      <c r="SRT513" s="1759"/>
      <c r="SRU513" s="1760"/>
      <c r="SRV513" s="385"/>
      <c r="SRW513" s="69"/>
      <c r="SRX513" s="69"/>
      <c r="SRY513" s="2512"/>
      <c r="SRZ513" s="1758"/>
      <c r="SSA513" s="1759"/>
      <c r="SSB513" s="1759"/>
      <c r="SSC513" s="1760"/>
      <c r="SSD513" s="385"/>
      <c r="SSE513" s="69"/>
      <c r="SSF513" s="69"/>
      <c r="SSG513" s="2512"/>
      <c r="SSH513" s="1758"/>
      <c r="SSI513" s="1759"/>
      <c r="SSJ513" s="1759"/>
      <c r="SSK513" s="1760"/>
      <c r="SSL513" s="385"/>
      <c r="SSM513" s="69"/>
      <c r="SSN513" s="69"/>
      <c r="SSO513" s="2512"/>
      <c r="SSP513" s="1758"/>
      <c r="SSQ513" s="1759"/>
      <c r="SSR513" s="1759"/>
      <c r="SSS513" s="1760"/>
      <c r="SST513" s="385"/>
      <c r="SSU513" s="69"/>
      <c r="SSV513" s="69"/>
      <c r="SSW513" s="2512"/>
      <c r="SSX513" s="1758"/>
      <c r="SSY513" s="1759"/>
      <c r="SSZ513" s="1759"/>
      <c r="STA513" s="1760"/>
      <c r="STB513" s="385"/>
      <c r="STC513" s="69"/>
      <c r="STD513" s="69"/>
      <c r="STE513" s="2512"/>
      <c r="STF513" s="1758"/>
      <c r="STG513" s="1759"/>
      <c r="STH513" s="1759"/>
      <c r="STI513" s="1760"/>
      <c r="STJ513" s="385"/>
      <c r="STK513" s="69"/>
      <c r="STL513" s="69"/>
      <c r="STM513" s="2512"/>
      <c r="STN513" s="1758"/>
      <c r="STO513" s="1759"/>
      <c r="STP513" s="1759"/>
      <c r="STQ513" s="1760"/>
      <c r="STR513" s="385"/>
      <c r="STS513" s="69"/>
      <c r="STT513" s="69"/>
      <c r="STU513" s="2512"/>
      <c r="STV513" s="1758"/>
      <c r="STW513" s="1759"/>
      <c r="STX513" s="1759"/>
      <c r="STY513" s="1760"/>
      <c r="STZ513" s="385"/>
      <c r="SUA513" s="69"/>
      <c r="SUB513" s="69"/>
      <c r="SUC513" s="2512"/>
      <c r="SUD513" s="1758"/>
      <c r="SUE513" s="1759"/>
      <c r="SUF513" s="1759"/>
      <c r="SUG513" s="1760"/>
      <c r="SUH513" s="385"/>
      <c r="SUI513" s="69"/>
      <c r="SUJ513" s="69"/>
      <c r="SUK513" s="2512"/>
      <c r="SUL513" s="1758"/>
      <c r="SUM513" s="1759"/>
      <c r="SUN513" s="1759"/>
      <c r="SUO513" s="1760"/>
      <c r="SUP513" s="385"/>
      <c r="SUQ513" s="69"/>
      <c r="SUR513" s="69"/>
      <c r="SUS513" s="2512"/>
      <c r="SUT513" s="1758"/>
      <c r="SUU513" s="1759"/>
      <c r="SUV513" s="1759"/>
      <c r="SUW513" s="1760"/>
      <c r="SUX513" s="385"/>
      <c r="SUY513" s="69"/>
      <c r="SUZ513" s="69"/>
      <c r="SVA513" s="2512"/>
      <c r="SVB513" s="1758"/>
      <c r="SVC513" s="1759"/>
      <c r="SVD513" s="1759"/>
      <c r="SVE513" s="1760"/>
      <c r="SVF513" s="385"/>
      <c r="SVG513" s="69"/>
      <c r="SVH513" s="69"/>
      <c r="SVI513" s="2512"/>
      <c r="SVJ513" s="1758"/>
      <c r="SVK513" s="1759"/>
      <c r="SVL513" s="1759"/>
      <c r="SVM513" s="1760"/>
      <c r="SVN513" s="385"/>
      <c r="SVO513" s="69"/>
      <c r="SVP513" s="69"/>
      <c r="SVQ513" s="2512"/>
      <c r="SVR513" s="1758"/>
      <c r="SVS513" s="1759"/>
      <c r="SVT513" s="1759"/>
      <c r="SVU513" s="1760"/>
      <c r="SVV513" s="385"/>
      <c r="SVW513" s="69"/>
      <c r="SVX513" s="69"/>
      <c r="SVY513" s="2512"/>
      <c r="SVZ513" s="1758"/>
      <c r="SWA513" s="1759"/>
      <c r="SWB513" s="1759"/>
      <c r="SWC513" s="1760"/>
      <c r="SWD513" s="385"/>
      <c r="SWE513" s="69"/>
      <c r="SWF513" s="69"/>
      <c r="SWG513" s="2512"/>
      <c r="SWH513" s="1758"/>
      <c r="SWI513" s="1759"/>
      <c r="SWJ513" s="1759"/>
      <c r="SWK513" s="1760"/>
      <c r="SWL513" s="385"/>
      <c r="SWM513" s="69"/>
      <c r="SWN513" s="69"/>
      <c r="SWO513" s="2512"/>
      <c r="SWP513" s="1758"/>
      <c r="SWQ513" s="1759"/>
      <c r="SWR513" s="1759"/>
      <c r="SWS513" s="1760"/>
      <c r="SWT513" s="385"/>
      <c r="SWU513" s="69"/>
      <c r="SWV513" s="69"/>
      <c r="SWW513" s="2512"/>
      <c r="SWX513" s="1758"/>
      <c r="SWY513" s="1759"/>
      <c r="SWZ513" s="1759"/>
      <c r="SXA513" s="1760"/>
      <c r="SXB513" s="385"/>
      <c r="SXC513" s="69"/>
      <c r="SXD513" s="69"/>
      <c r="SXE513" s="2512"/>
      <c r="SXF513" s="1758"/>
      <c r="SXG513" s="1759"/>
      <c r="SXH513" s="1759"/>
      <c r="SXI513" s="1760"/>
      <c r="SXJ513" s="385"/>
      <c r="SXK513" s="69"/>
      <c r="SXL513" s="69"/>
      <c r="SXM513" s="2512"/>
      <c r="SXN513" s="1758"/>
      <c r="SXO513" s="1759"/>
      <c r="SXP513" s="1759"/>
      <c r="SXQ513" s="1760"/>
      <c r="SXR513" s="385"/>
      <c r="SXS513" s="69"/>
      <c r="SXT513" s="69"/>
      <c r="SXU513" s="2512"/>
      <c r="SXV513" s="1758"/>
      <c r="SXW513" s="1759"/>
      <c r="SXX513" s="1759"/>
      <c r="SXY513" s="1760"/>
      <c r="SXZ513" s="385"/>
      <c r="SYA513" s="69"/>
      <c r="SYB513" s="69"/>
      <c r="SYC513" s="2512"/>
      <c r="SYD513" s="1758"/>
      <c r="SYE513" s="1759"/>
      <c r="SYF513" s="1759"/>
      <c r="SYG513" s="1760"/>
      <c r="SYH513" s="385"/>
      <c r="SYI513" s="69"/>
      <c r="SYJ513" s="69"/>
      <c r="SYK513" s="2512"/>
      <c r="SYL513" s="1758"/>
      <c r="SYM513" s="1759"/>
      <c r="SYN513" s="1759"/>
      <c r="SYO513" s="1760"/>
      <c r="SYP513" s="385"/>
      <c r="SYQ513" s="69"/>
      <c r="SYR513" s="69"/>
      <c r="SYS513" s="2512"/>
      <c r="SYT513" s="1758"/>
      <c r="SYU513" s="1759"/>
      <c r="SYV513" s="1759"/>
      <c r="SYW513" s="1760"/>
      <c r="SYX513" s="385"/>
      <c r="SYY513" s="69"/>
      <c r="SYZ513" s="69"/>
      <c r="SZA513" s="2512"/>
      <c r="SZB513" s="1758"/>
      <c r="SZC513" s="1759"/>
      <c r="SZD513" s="1759"/>
      <c r="SZE513" s="1760"/>
      <c r="SZF513" s="385"/>
      <c r="SZG513" s="69"/>
      <c r="SZH513" s="69"/>
      <c r="SZI513" s="2512"/>
      <c r="SZJ513" s="1758"/>
      <c r="SZK513" s="1759"/>
      <c r="SZL513" s="1759"/>
      <c r="SZM513" s="1760"/>
      <c r="SZN513" s="385"/>
      <c r="SZO513" s="69"/>
      <c r="SZP513" s="69"/>
      <c r="SZQ513" s="2512"/>
      <c r="SZR513" s="1758"/>
      <c r="SZS513" s="1759"/>
      <c r="SZT513" s="1759"/>
      <c r="SZU513" s="1760"/>
      <c r="SZV513" s="385"/>
      <c r="SZW513" s="69"/>
      <c r="SZX513" s="69"/>
      <c r="SZY513" s="2512"/>
      <c r="SZZ513" s="1758"/>
      <c r="TAA513" s="1759"/>
      <c r="TAB513" s="1759"/>
      <c r="TAC513" s="1760"/>
      <c r="TAD513" s="385"/>
      <c r="TAE513" s="69"/>
      <c r="TAF513" s="69"/>
      <c r="TAG513" s="2512"/>
      <c r="TAH513" s="1758"/>
      <c r="TAI513" s="1759"/>
      <c r="TAJ513" s="1759"/>
      <c r="TAK513" s="1760"/>
      <c r="TAL513" s="385"/>
      <c r="TAM513" s="69"/>
      <c r="TAN513" s="69"/>
      <c r="TAO513" s="2512"/>
      <c r="TAP513" s="1758"/>
      <c r="TAQ513" s="1759"/>
      <c r="TAR513" s="1759"/>
      <c r="TAS513" s="1760"/>
      <c r="TAT513" s="385"/>
      <c r="TAU513" s="69"/>
      <c r="TAV513" s="69"/>
      <c r="TAW513" s="2512"/>
      <c r="TAX513" s="1758"/>
      <c r="TAY513" s="1759"/>
      <c r="TAZ513" s="1759"/>
      <c r="TBA513" s="1760"/>
      <c r="TBB513" s="385"/>
      <c r="TBC513" s="69"/>
      <c r="TBD513" s="69"/>
      <c r="TBE513" s="2512"/>
      <c r="TBF513" s="1758"/>
      <c r="TBG513" s="1759"/>
      <c r="TBH513" s="1759"/>
      <c r="TBI513" s="1760"/>
      <c r="TBJ513" s="385"/>
      <c r="TBK513" s="69"/>
      <c r="TBL513" s="69"/>
      <c r="TBM513" s="2512"/>
      <c r="TBN513" s="1758"/>
      <c r="TBO513" s="1759"/>
      <c r="TBP513" s="1759"/>
      <c r="TBQ513" s="1760"/>
      <c r="TBR513" s="385"/>
      <c r="TBS513" s="69"/>
      <c r="TBT513" s="69"/>
      <c r="TBU513" s="2512"/>
      <c r="TBV513" s="1758"/>
      <c r="TBW513" s="1759"/>
      <c r="TBX513" s="1759"/>
      <c r="TBY513" s="1760"/>
      <c r="TBZ513" s="385"/>
      <c r="TCA513" s="69"/>
      <c r="TCB513" s="69"/>
      <c r="TCC513" s="2512"/>
      <c r="TCD513" s="1758"/>
      <c r="TCE513" s="1759"/>
      <c r="TCF513" s="1759"/>
      <c r="TCG513" s="1760"/>
      <c r="TCH513" s="385"/>
      <c r="TCI513" s="69"/>
      <c r="TCJ513" s="69"/>
      <c r="TCK513" s="2512"/>
      <c r="TCL513" s="1758"/>
      <c r="TCM513" s="1759"/>
      <c r="TCN513" s="1759"/>
      <c r="TCO513" s="1760"/>
      <c r="TCP513" s="385"/>
      <c r="TCQ513" s="69"/>
      <c r="TCR513" s="69"/>
      <c r="TCS513" s="2512"/>
      <c r="TCT513" s="1758"/>
      <c r="TCU513" s="1759"/>
      <c r="TCV513" s="1759"/>
      <c r="TCW513" s="1760"/>
      <c r="TCX513" s="385"/>
      <c r="TCY513" s="69"/>
      <c r="TCZ513" s="69"/>
      <c r="TDA513" s="2512"/>
      <c r="TDB513" s="1758"/>
      <c r="TDC513" s="1759"/>
      <c r="TDD513" s="1759"/>
      <c r="TDE513" s="1760"/>
      <c r="TDF513" s="385"/>
      <c r="TDG513" s="69"/>
      <c r="TDH513" s="69"/>
      <c r="TDI513" s="2512"/>
      <c r="TDJ513" s="1758"/>
      <c r="TDK513" s="1759"/>
      <c r="TDL513" s="1759"/>
      <c r="TDM513" s="1760"/>
      <c r="TDN513" s="385"/>
      <c r="TDO513" s="69"/>
      <c r="TDP513" s="69"/>
      <c r="TDQ513" s="2512"/>
      <c r="TDR513" s="1758"/>
      <c r="TDS513" s="1759"/>
      <c r="TDT513" s="1759"/>
      <c r="TDU513" s="1760"/>
      <c r="TDV513" s="385"/>
      <c r="TDW513" s="69"/>
      <c r="TDX513" s="69"/>
      <c r="TDY513" s="2512"/>
      <c r="TDZ513" s="1758"/>
      <c r="TEA513" s="1759"/>
      <c r="TEB513" s="1759"/>
      <c r="TEC513" s="1760"/>
      <c r="TED513" s="385"/>
      <c r="TEE513" s="69"/>
      <c r="TEF513" s="69"/>
      <c r="TEG513" s="2512"/>
      <c r="TEH513" s="1758"/>
      <c r="TEI513" s="1759"/>
      <c r="TEJ513" s="1759"/>
      <c r="TEK513" s="1760"/>
      <c r="TEL513" s="385"/>
      <c r="TEM513" s="69"/>
      <c r="TEN513" s="69"/>
      <c r="TEO513" s="2512"/>
      <c r="TEP513" s="1758"/>
      <c r="TEQ513" s="1759"/>
      <c r="TER513" s="1759"/>
      <c r="TES513" s="1760"/>
      <c r="TET513" s="385"/>
      <c r="TEU513" s="69"/>
      <c r="TEV513" s="69"/>
      <c r="TEW513" s="2512"/>
      <c r="TEX513" s="1758"/>
      <c r="TEY513" s="1759"/>
      <c r="TEZ513" s="1759"/>
      <c r="TFA513" s="1760"/>
      <c r="TFB513" s="385"/>
      <c r="TFC513" s="69"/>
      <c r="TFD513" s="69"/>
      <c r="TFE513" s="2512"/>
      <c r="TFF513" s="1758"/>
      <c r="TFG513" s="1759"/>
      <c r="TFH513" s="1759"/>
      <c r="TFI513" s="1760"/>
      <c r="TFJ513" s="385"/>
      <c r="TFK513" s="69"/>
      <c r="TFL513" s="69"/>
      <c r="TFM513" s="2512"/>
      <c r="TFN513" s="1758"/>
      <c r="TFO513" s="1759"/>
      <c r="TFP513" s="1759"/>
      <c r="TFQ513" s="1760"/>
      <c r="TFR513" s="385"/>
      <c r="TFS513" s="69"/>
      <c r="TFT513" s="69"/>
      <c r="TFU513" s="2512"/>
      <c r="TFV513" s="1758"/>
      <c r="TFW513" s="1759"/>
      <c r="TFX513" s="1759"/>
      <c r="TFY513" s="1760"/>
      <c r="TFZ513" s="385"/>
      <c r="TGA513" s="69"/>
      <c r="TGB513" s="69"/>
      <c r="TGC513" s="2512"/>
      <c r="TGD513" s="1758"/>
      <c r="TGE513" s="1759"/>
      <c r="TGF513" s="1759"/>
      <c r="TGG513" s="1760"/>
      <c r="TGH513" s="385"/>
      <c r="TGI513" s="69"/>
      <c r="TGJ513" s="69"/>
      <c r="TGK513" s="2512"/>
      <c r="TGL513" s="1758"/>
      <c r="TGM513" s="1759"/>
      <c r="TGN513" s="1759"/>
      <c r="TGO513" s="1760"/>
      <c r="TGP513" s="385"/>
      <c r="TGQ513" s="69"/>
      <c r="TGR513" s="69"/>
      <c r="TGS513" s="2512"/>
      <c r="TGT513" s="1758"/>
      <c r="TGU513" s="1759"/>
      <c r="TGV513" s="1759"/>
      <c r="TGW513" s="1760"/>
      <c r="TGX513" s="385"/>
      <c r="TGY513" s="69"/>
      <c r="TGZ513" s="69"/>
      <c r="THA513" s="2512"/>
      <c r="THB513" s="1758"/>
      <c r="THC513" s="1759"/>
      <c r="THD513" s="1759"/>
      <c r="THE513" s="1760"/>
      <c r="THF513" s="385"/>
      <c r="THG513" s="69"/>
      <c r="THH513" s="69"/>
      <c r="THI513" s="2512"/>
      <c r="THJ513" s="1758"/>
      <c r="THK513" s="1759"/>
      <c r="THL513" s="1759"/>
      <c r="THM513" s="1760"/>
      <c r="THN513" s="385"/>
      <c r="THO513" s="69"/>
      <c r="THP513" s="69"/>
      <c r="THQ513" s="2512"/>
      <c r="THR513" s="1758"/>
      <c r="THS513" s="1759"/>
      <c r="THT513" s="1759"/>
      <c r="THU513" s="1760"/>
      <c r="THV513" s="385"/>
      <c r="THW513" s="69"/>
      <c r="THX513" s="69"/>
      <c r="THY513" s="2512"/>
      <c r="THZ513" s="1758"/>
      <c r="TIA513" s="1759"/>
      <c r="TIB513" s="1759"/>
      <c r="TIC513" s="1760"/>
      <c r="TID513" s="385"/>
      <c r="TIE513" s="69"/>
      <c r="TIF513" s="69"/>
      <c r="TIG513" s="2512"/>
      <c r="TIH513" s="1758"/>
      <c r="TII513" s="1759"/>
      <c r="TIJ513" s="1759"/>
      <c r="TIK513" s="1760"/>
      <c r="TIL513" s="385"/>
      <c r="TIM513" s="69"/>
      <c r="TIN513" s="69"/>
      <c r="TIO513" s="2512"/>
      <c r="TIP513" s="1758"/>
      <c r="TIQ513" s="1759"/>
      <c r="TIR513" s="1759"/>
      <c r="TIS513" s="1760"/>
      <c r="TIT513" s="385"/>
      <c r="TIU513" s="69"/>
      <c r="TIV513" s="69"/>
      <c r="TIW513" s="2512"/>
      <c r="TIX513" s="1758"/>
      <c r="TIY513" s="1759"/>
      <c r="TIZ513" s="1759"/>
      <c r="TJA513" s="1760"/>
      <c r="TJB513" s="385"/>
      <c r="TJC513" s="69"/>
      <c r="TJD513" s="69"/>
      <c r="TJE513" s="2512"/>
      <c r="TJF513" s="1758"/>
      <c r="TJG513" s="1759"/>
      <c r="TJH513" s="1759"/>
      <c r="TJI513" s="1760"/>
      <c r="TJJ513" s="385"/>
      <c r="TJK513" s="69"/>
      <c r="TJL513" s="69"/>
      <c r="TJM513" s="2512"/>
      <c r="TJN513" s="1758"/>
      <c r="TJO513" s="1759"/>
      <c r="TJP513" s="1759"/>
      <c r="TJQ513" s="1760"/>
      <c r="TJR513" s="385"/>
      <c r="TJS513" s="69"/>
      <c r="TJT513" s="69"/>
      <c r="TJU513" s="2512"/>
      <c r="TJV513" s="1758"/>
      <c r="TJW513" s="1759"/>
      <c r="TJX513" s="1759"/>
      <c r="TJY513" s="1760"/>
      <c r="TJZ513" s="385"/>
      <c r="TKA513" s="69"/>
      <c r="TKB513" s="69"/>
      <c r="TKC513" s="2512"/>
      <c r="TKD513" s="1758"/>
      <c r="TKE513" s="1759"/>
      <c r="TKF513" s="1759"/>
      <c r="TKG513" s="1760"/>
      <c r="TKH513" s="385"/>
      <c r="TKI513" s="69"/>
      <c r="TKJ513" s="69"/>
      <c r="TKK513" s="2512"/>
      <c r="TKL513" s="1758"/>
      <c r="TKM513" s="1759"/>
      <c r="TKN513" s="1759"/>
      <c r="TKO513" s="1760"/>
      <c r="TKP513" s="385"/>
      <c r="TKQ513" s="69"/>
      <c r="TKR513" s="69"/>
      <c r="TKS513" s="2512"/>
      <c r="TKT513" s="1758"/>
      <c r="TKU513" s="1759"/>
      <c r="TKV513" s="1759"/>
      <c r="TKW513" s="1760"/>
      <c r="TKX513" s="385"/>
      <c r="TKY513" s="69"/>
      <c r="TKZ513" s="69"/>
      <c r="TLA513" s="2512"/>
      <c r="TLB513" s="1758"/>
      <c r="TLC513" s="1759"/>
      <c r="TLD513" s="1759"/>
      <c r="TLE513" s="1760"/>
      <c r="TLF513" s="385"/>
      <c r="TLG513" s="69"/>
      <c r="TLH513" s="69"/>
      <c r="TLI513" s="2512"/>
      <c r="TLJ513" s="1758"/>
      <c r="TLK513" s="1759"/>
      <c r="TLL513" s="1759"/>
      <c r="TLM513" s="1760"/>
      <c r="TLN513" s="385"/>
      <c r="TLO513" s="69"/>
      <c r="TLP513" s="69"/>
      <c r="TLQ513" s="2512"/>
      <c r="TLR513" s="1758"/>
      <c r="TLS513" s="1759"/>
      <c r="TLT513" s="1759"/>
      <c r="TLU513" s="1760"/>
      <c r="TLV513" s="385"/>
      <c r="TLW513" s="69"/>
      <c r="TLX513" s="69"/>
      <c r="TLY513" s="2512"/>
      <c r="TLZ513" s="1758"/>
      <c r="TMA513" s="1759"/>
      <c r="TMB513" s="1759"/>
      <c r="TMC513" s="1760"/>
      <c r="TMD513" s="385"/>
      <c r="TME513" s="69"/>
      <c r="TMF513" s="69"/>
      <c r="TMG513" s="2512"/>
      <c r="TMH513" s="1758"/>
      <c r="TMI513" s="1759"/>
      <c r="TMJ513" s="1759"/>
      <c r="TMK513" s="1760"/>
      <c r="TML513" s="385"/>
      <c r="TMM513" s="69"/>
      <c r="TMN513" s="69"/>
      <c r="TMO513" s="2512"/>
      <c r="TMP513" s="1758"/>
      <c r="TMQ513" s="1759"/>
      <c r="TMR513" s="1759"/>
      <c r="TMS513" s="1760"/>
      <c r="TMT513" s="385"/>
      <c r="TMU513" s="69"/>
      <c r="TMV513" s="69"/>
      <c r="TMW513" s="2512"/>
      <c r="TMX513" s="1758"/>
      <c r="TMY513" s="1759"/>
      <c r="TMZ513" s="1759"/>
      <c r="TNA513" s="1760"/>
      <c r="TNB513" s="385"/>
      <c r="TNC513" s="69"/>
      <c r="TND513" s="69"/>
      <c r="TNE513" s="2512"/>
      <c r="TNF513" s="1758"/>
      <c r="TNG513" s="1759"/>
      <c r="TNH513" s="1759"/>
      <c r="TNI513" s="1760"/>
      <c r="TNJ513" s="385"/>
      <c r="TNK513" s="69"/>
      <c r="TNL513" s="69"/>
      <c r="TNM513" s="2512"/>
      <c r="TNN513" s="1758"/>
      <c r="TNO513" s="1759"/>
      <c r="TNP513" s="1759"/>
      <c r="TNQ513" s="1760"/>
      <c r="TNR513" s="385"/>
      <c r="TNS513" s="69"/>
      <c r="TNT513" s="69"/>
      <c r="TNU513" s="2512"/>
      <c r="TNV513" s="1758"/>
      <c r="TNW513" s="1759"/>
      <c r="TNX513" s="1759"/>
      <c r="TNY513" s="1760"/>
      <c r="TNZ513" s="385"/>
      <c r="TOA513" s="69"/>
      <c r="TOB513" s="69"/>
      <c r="TOC513" s="2512"/>
      <c r="TOD513" s="1758"/>
      <c r="TOE513" s="1759"/>
      <c r="TOF513" s="1759"/>
      <c r="TOG513" s="1760"/>
      <c r="TOH513" s="385"/>
      <c r="TOI513" s="69"/>
      <c r="TOJ513" s="69"/>
      <c r="TOK513" s="2512"/>
      <c r="TOL513" s="1758"/>
      <c r="TOM513" s="1759"/>
      <c r="TON513" s="1759"/>
      <c r="TOO513" s="1760"/>
      <c r="TOP513" s="385"/>
      <c r="TOQ513" s="69"/>
      <c r="TOR513" s="69"/>
      <c r="TOS513" s="2512"/>
      <c r="TOT513" s="1758"/>
      <c r="TOU513" s="1759"/>
      <c r="TOV513" s="1759"/>
      <c r="TOW513" s="1760"/>
      <c r="TOX513" s="385"/>
      <c r="TOY513" s="69"/>
      <c r="TOZ513" s="69"/>
      <c r="TPA513" s="2512"/>
      <c r="TPB513" s="1758"/>
      <c r="TPC513" s="1759"/>
      <c r="TPD513" s="1759"/>
      <c r="TPE513" s="1760"/>
      <c r="TPF513" s="385"/>
      <c r="TPG513" s="69"/>
      <c r="TPH513" s="69"/>
      <c r="TPI513" s="2512"/>
      <c r="TPJ513" s="1758"/>
      <c r="TPK513" s="1759"/>
      <c r="TPL513" s="1759"/>
      <c r="TPM513" s="1760"/>
      <c r="TPN513" s="385"/>
      <c r="TPO513" s="69"/>
      <c r="TPP513" s="69"/>
      <c r="TPQ513" s="2512"/>
      <c r="TPR513" s="1758"/>
      <c r="TPS513" s="1759"/>
      <c r="TPT513" s="1759"/>
      <c r="TPU513" s="1760"/>
      <c r="TPV513" s="385"/>
      <c r="TPW513" s="69"/>
      <c r="TPX513" s="69"/>
      <c r="TPY513" s="2512"/>
      <c r="TPZ513" s="1758"/>
      <c r="TQA513" s="1759"/>
      <c r="TQB513" s="1759"/>
      <c r="TQC513" s="1760"/>
      <c r="TQD513" s="385"/>
      <c r="TQE513" s="69"/>
      <c r="TQF513" s="69"/>
      <c r="TQG513" s="2512"/>
      <c r="TQH513" s="1758"/>
      <c r="TQI513" s="1759"/>
      <c r="TQJ513" s="1759"/>
      <c r="TQK513" s="1760"/>
      <c r="TQL513" s="385"/>
      <c r="TQM513" s="69"/>
      <c r="TQN513" s="69"/>
      <c r="TQO513" s="2512"/>
      <c r="TQP513" s="1758"/>
      <c r="TQQ513" s="1759"/>
      <c r="TQR513" s="1759"/>
      <c r="TQS513" s="1760"/>
      <c r="TQT513" s="385"/>
      <c r="TQU513" s="69"/>
      <c r="TQV513" s="69"/>
      <c r="TQW513" s="2512"/>
      <c r="TQX513" s="1758"/>
      <c r="TQY513" s="1759"/>
      <c r="TQZ513" s="1759"/>
      <c r="TRA513" s="1760"/>
      <c r="TRB513" s="385"/>
      <c r="TRC513" s="69"/>
      <c r="TRD513" s="69"/>
      <c r="TRE513" s="2512"/>
      <c r="TRF513" s="1758"/>
      <c r="TRG513" s="1759"/>
      <c r="TRH513" s="1759"/>
      <c r="TRI513" s="1760"/>
      <c r="TRJ513" s="385"/>
      <c r="TRK513" s="69"/>
      <c r="TRL513" s="69"/>
      <c r="TRM513" s="2512"/>
      <c r="TRN513" s="1758"/>
      <c r="TRO513" s="1759"/>
      <c r="TRP513" s="1759"/>
      <c r="TRQ513" s="1760"/>
      <c r="TRR513" s="385"/>
      <c r="TRS513" s="69"/>
      <c r="TRT513" s="69"/>
      <c r="TRU513" s="2512"/>
      <c r="TRV513" s="1758"/>
      <c r="TRW513" s="1759"/>
      <c r="TRX513" s="1759"/>
      <c r="TRY513" s="1760"/>
      <c r="TRZ513" s="385"/>
      <c r="TSA513" s="69"/>
      <c r="TSB513" s="69"/>
      <c r="TSC513" s="2512"/>
      <c r="TSD513" s="1758"/>
      <c r="TSE513" s="1759"/>
      <c r="TSF513" s="1759"/>
      <c r="TSG513" s="1760"/>
      <c r="TSH513" s="385"/>
      <c r="TSI513" s="69"/>
      <c r="TSJ513" s="69"/>
      <c r="TSK513" s="2512"/>
      <c r="TSL513" s="1758"/>
      <c r="TSM513" s="1759"/>
      <c r="TSN513" s="1759"/>
      <c r="TSO513" s="1760"/>
      <c r="TSP513" s="385"/>
      <c r="TSQ513" s="69"/>
      <c r="TSR513" s="69"/>
      <c r="TSS513" s="2512"/>
      <c r="TST513" s="1758"/>
      <c r="TSU513" s="1759"/>
      <c r="TSV513" s="1759"/>
      <c r="TSW513" s="1760"/>
      <c r="TSX513" s="385"/>
      <c r="TSY513" s="69"/>
      <c r="TSZ513" s="69"/>
      <c r="TTA513" s="2512"/>
      <c r="TTB513" s="1758"/>
      <c r="TTC513" s="1759"/>
      <c r="TTD513" s="1759"/>
      <c r="TTE513" s="1760"/>
      <c r="TTF513" s="385"/>
      <c r="TTG513" s="69"/>
      <c r="TTH513" s="69"/>
      <c r="TTI513" s="2512"/>
      <c r="TTJ513" s="1758"/>
      <c r="TTK513" s="1759"/>
      <c r="TTL513" s="1759"/>
      <c r="TTM513" s="1760"/>
      <c r="TTN513" s="385"/>
      <c r="TTO513" s="69"/>
      <c r="TTP513" s="69"/>
      <c r="TTQ513" s="2512"/>
      <c r="TTR513" s="1758"/>
      <c r="TTS513" s="1759"/>
      <c r="TTT513" s="1759"/>
      <c r="TTU513" s="1760"/>
      <c r="TTV513" s="385"/>
      <c r="TTW513" s="69"/>
      <c r="TTX513" s="69"/>
      <c r="TTY513" s="2512"/>
      <c r="TTZ513" s="1758"/>
      <c r="TUA513" s="1759"/>
      <c r="TUB513" s="1759"/>
      <c r="TUC513" s="1760"/>
      <c r="TUD513" s="385"/>
      <c r="TUE513" s="69"/>
      <c r="TUF513" s="69"/>
      <c r="TUG513" s="2512"/>
      <c r="TUH513" s="1758"/>
      <c r="TUI513" s="1759"/>
      <c r="TUJ513" s="1759"/>
      <c r="TUK513" s="1760"/>
      <c r="TUL513" s="385"/>
      <c r="TUM513" s="69"/>
      <c r="TUN513" s="69"/>
      <c r="TUO513" s="2512"/>
      <c r="TUP513" s="1758"/>
      <c r="TUQ513" s="1759"/>
      <c r="TUR513" s="1759"/>
      <c r="TUS513" s="1760"/>
      <c r="TUT513" s="385"/>
      <c r="TUU513" s="69"/>
      <c r="TUV513" s="69"/>
      <c r="TUW513" s="2512"/>
      <c r="TUX513" s="1758"/>
      <c r="TUY513" s="1759"/>
      <c r="TUZ513" s="1759"/>
      <c r="TVA513" s="1760"/>
      <c r="TVB513" s="385"/>
      <c r="TVC513" s="69"/>
      <c r="TVD513" s="69"/>
      <c r="TVE513" s="2512"/>
      <c r="TVF513" s="1758"/>
      <c r="TVG513" s="1759"/>
      <c r="TVH513" s="1759"/>
      <c r="TVI513" s="1760"/>
      <c r="TVJ513" s="385"/>
      <c r="TVK513" s="69"/>
      <c r="TVL513" s="69"/>
      <c r="TVM513" s="2512"/>
      <c r="TVN513" s="1758"/>
      <c r="TVO513" s="1759"/>
      <c r="TVP513" s="1759"/>
      <c r="TVQ513" s="1760"/>
      <c r="TVR513" s="385"/>
      <c r="TVS513" s="69"/>
      <c r="TVT513" s="69"/>
      <c r="TVU513" s="2512"/>
      <c r="TVV513" s="1758"/>
      <c r="TVW513" s="1759"/>
      <c r="TVX513" s="1759"/>
      <c r="TVY513" s="1760"/>
      <c r="TVZ513" s="385"/>
      <c r="TWA513" s="69"/>
      <c r="TWB513" s="69"/>
      <c r="TWC513" s="2512"/>
      <c r="TWD513" s="1758"/>
      <c r="TWE513" s="1759"/>
      <c r="TWF513" s="1759"/>
      <c r="TWG513" s="1760"/>
      <c r="TWH513" s="385"/>
      <c r="TWI513" s="69"/>
      <c r="TWJ513" s="69"/>
      <c r="TWK513" s="2512"/>
      <c r="TWL513" s="1758"/>
      <c r="TWM513" s="1759"/>
      <c r="TWN513" s="1759"/>
      <c r="TWO513" s="1760"/>
      <c r="TWP513" s="385"/>
      <c r="TWQ513" s="69"/>
      <c r="TWR513" s="69"/>
      <c r="TWS513" s="2512"/>
      <c r="TWT513" s="1758"/>
      <c r="TWU513" s="1759"/>
      <c r="TWV513" s="1759"/>
      <c r="TWW513" s="1760"/>
      <c r="TWX513" s="385"/>
      <c r="TWY513" s="69"/>
      <c r="TWZ513" s="69"/>
      <c r="TXA513" s="2512"/>
      <c r="TXB513" s="1758"/>
      <c r="TXC513" s="1759"/>
      <c r="TXD513" s="1759"/>
      <c r="TXE513" s="1760"/>
      <c r="TXF513" s="385"/>
      <c r="TXG513" s="69"/>
      <c r="TXH513" s="69"/>
      <c r="TXI513" s="2512"/>
      <c r="TXJ513" s="1758"/>
      <c r="TXK513" s="1759"/>
      <c r="TXL513" s="1759"/>
      <c r="TXM513" s="1760"/>
      <c r="TXN513" s="385"/>
      <c r="TXO513" s="69"/>
      <c r="TXP513" s="69"/>
      <c r="TXQ513" s="2512"/>
      <c r="TXR513" s="1758"/>
      <c r="TXS513" s="1759"/>
      <c r="TXT513" s="1759"/>
      <c r="TXU513" s="1760"/>
      <c r="TXV513" s="385"/>
      <c r="TXW513" s="69"/>
      <c r="TXX513" s="69"/>
      <c r="TXY513" s="2512"/>
      <c r="TXZ513" s="1758"/>
      <c r="TYA513" s="1759"/>
      <c r="TYB513" s="1759"/>
      <c r="TYC513" s="1760"/>
      <c r="TYD513" s="385"/>
      <c r="TYE513" s="69"/>
      <c r="TYF513" s="69"/>
      <c r="TYG513" s="2512"/>
      <c r="TYH513" s="1758"/>
      <c r="TYI513" s="1759"/>
      <c r="TYJ513" s="1759"/>
      <c r="TYK513" s="1760"/>
      <c r="TYL513" s="385"/>
      <c r="TYM513" s="69"/>
      <c r="TYN513" s="69"/>
      <c r="TYO513" s="2512"/>
      <c r="TYP513" s="1758"/>
      <c r="TYQ513" s="1759"/>
      <c r="TYR513" s="1759"/>
      <c r="TYS513" s="1760"/>
      <c r="TYT513" s="385"/>
      <c r="TYU513" s="69"/>
      <c r="TYV513" s="69"/>
      <c r="TYW513" s="2512"/>
      <c r="TYX513" s="1758"/>
      <c r="TYY513" s="1759"/>
      <c r="TYZ513" s="1759"/>
      <c r="TZA513" s="1760"/>
      <c r="TZB513" s="385"/>
      <c r="TZC513" s="69"/>
      <c r="TZD513" s="69"/>
      <c r="TZE513" s="2512"/>
      <c r="TZF513" s="1758"/>
      <c r="TZG513" s="1759"/>
      <c r="TZH513" s="1759"/>
      <c r="TZI513" s="1760"/>
      <c r="TZJ513" s="385"/>
      <c r="TZK513" s="69"/>
      <c r="TZL513" s="69"/>
      <c r="TZM513" s="2512"/>
      <c r="TZN513" s="1758"/>
      <c r="TZO513" s="1759"/>
      <c r="TZP513" s="1759"/>
      <c r="TZQ513" s="1760"/>
      <c r="TZR513" s="385"/>
      <c r="TZS513" s="69"/>
      <c r="TZT513" s="69"/>
      <c r="TZU513" s="2512"/>
      <c r="TZV513" s="1758"/>
      <c r="TZW513" s="1759"/>
      <c r="TZX513" s="1759"/>
      <c r="TZY513" s="1760"/>
      <c r="TZZ513" s="385"/>
      <c r="UAA513" s="69"/>
      <c r="UAB513" s="69"/>
      <c r="UAC513" s="2512"/>
      <c r="UAD513" s="1758"/>
      <c r="UAE513" s="1759"/>
      <c r="UAF513" s="1759"/>
      <c r="UAG513" s="1760"/>
      <c r="UAH513" s="385"/>
      <c r="UAI513" s="69"/>
      <c r="UAJ513" s="69"/>
      <c r="UAK513" s="2512"/>
      <c r="UAL513" s="1758"/>
      <c r="UAM513" s="1759"/>
      <c r="UAN513" s="1759"/>
      <c r="UAO513" s="1760"/>
      <c r="UAP513" s="385"/>
      <c r="UAQ513" s="69"/>
      <c r="UAR513" s="69"/>
      <c r="UAS513" s="2512"/>
      <c r="UAT513" s="1758"/>
      <c r="UAU513" s="1759"/>
      <c r="UAV513" s="1759"/>
      <c r="UAW513" s="1760"/>
      <c r="UAX513" s="385"/>
      <c r="UAY513" s="69"/>
      <c r="UAZ513" s="69"/>
      <c r="UBA513" s="2512"/>
      <c r="UBB513" s="1758"/>
      <c r="UBC513" s="1759"/>
      <c r="UBD513" s="1759"/>
      <c r="UBE513" s="1760"/>
      <c r="UBF513" s="385"/>
      <c r="UBG513" s="69"/>
      <c r="UBH513" s="69"/>
      <c r="UBI513" s="2512"/>
      <c r="UBJ513" s="1758"/>
      <c r="UBK513" s="1759"/>
      <c r="UBL513" s="1759"/>
      <c r="UBM513" s="1760"/>
      <c r="UBN513" s="385"/>
      <c r="UBO513" s="69"/>
      <c r="UBP513" s="69"/>
      <c r="UBQ513" s="2512"/>
      <c r="UBR513" s="1758"/>
      <c r="UBS513" s="1759"/>
      <c r="UBT513" s="1759"/>
      <c r="UBU513" s="1760"/>
      <c r="UBV513" s="385"/>
      <c r="UBW513" s="69"/>
      <c r="UBX513" s="69"/>
      <c r="UBY513" s="2512"/>
      <c r="UBZ513" s="1758"/>
      <c r="UCA513" s="1759"/>
      <c r="UCB513" s="1759"/>
      <c r="UCC513" s="1760"/>
      <c r="UCD513" s="385"/>
      <c r="UCE513" s="69"/>
      <c r="UCF513" s="69"/>
      <c r="UCG513" s="2512"/>
      <c r="UCH513" s="1758"/>
      <c r="UCI513" s="1759"/>
      <c r="UCJ513" s="1759"/>
      <c r="UCK513" s="1760"/>
      <c r="UCL513" s="385"/>
      <c r="UCM513" s="69"/>
      <c r="UCN513" s="69"/>
      <c r="UCO513" s="2512"/>
      <c r="UCP513" s="1758"/>
      <c r="UCQ513" s="1759"/>
      <c r="UCR513" s="1759"/>
      <c r="UCS513" s="1760"/>
      <c r="UCT513" s="385"/>
      <c r="UCU513" s="69"/>
      <c r="UCV513" s="69"/>
      <c r="UCW513" s="2512"/>
      <c r="UCX513" s="1758"/>
      <c r="UCY513" s="1759"/>
      <c r="UCZ513" s="1759"/>
      <c r="UDA513" s="1760"/>
      <c r="UDB513" s="385"/>
      <c r="UDC513" s="69"/>
      <c r="UDD513" s="69"/>
      <c r="UDE513" s="2512"/>
      <c r="UDF513" s="1758"/>
      <c r="UDG513" s="1759"/>
      <c r="UDH513" s="1759"/>
      <c r="UDI513" s="1760"/>
      <c r="UDJ513" s="385"/>
      <c r="UDK513" s="69"/>
      <c r="UDL513" s="69"/>
      <c r="UDM513" s="2512"/>
      <c r="UDN513" s="1758"/>
      <c r="UDO513" s="1759"/>
      <c r="UDP513" s="1759"/>
      <c r="UDQ513" s="1760"/>
      <c r="UDR513" s="385"/>
      <c r="UDS513" s="69"/>
      <c r="UDT513" s="69"/>
      <c r="UDU513" s="2512"/>
      <c r="UDV513" s="1758"/>
      <c r="UDW513" s="1759"/>
      <c r="UDX513" s="1759"/>
      <c r="UDY513" s="1760"/>
      <c r="UDZ513" s="385"/>
      <c r="UEA513" s="69"/>
      <c r="UEB513" s="69"/>
      <c r="UEC513" s="2512"/>
      <c r="UED513" s="1758"/>
      <c r="UEE513" s="1759"/>
      <c r="UEF513" s="1759"/>
      <c r="UEG513" s="1760"/>
      <c r="UEH513" s="385"/>
      <c r="UEI513" s="69"/>
      <c r="UEJ513" s="69"/>
      <c r="UEK513" s="2512"/>
      <c r="UEL513" s="1758"/>
      <c r="UEM513" s="1759"/>
      <c r="UEN513" s="1759"/>
      <c r="UEO513" s="1760"/>
      <c r="UEP513" s="385"/>
      <c r="UEQ513" s="69"/>
      <c r="UER513" s="69"/>
      <c r="UES513" s="2512"/>
      <c r="UET513" s="1758"/>
      <c r="UEU513" s="1759"/>
      <c r="UEV513" s="1759"/>
      <c r="UEW513" s="1760"/>
      <c r="UEX513" s="385"/>
      <c r="UEY513" s="69"/>
      <c r="UEZ513" s="69"/>
      <c r="UFA513" s="2512"/>
      <c r="UFB513" s="1758"/>
      <c r="UFC513" s="1759"/>
      <c r="UFD513" s="1759"/>
      <c r="UFE513" s="1760"/>
      <c r="UFF513" s="385"/>
      <c r="UFG513" s="69"/>
      <c r="UFH513" s="69"/>
      <c r="UFI513" s="2512"/>
      <c r="UFJ513" s="1758"/>
      <c r="UFK513" s="1759"/>
      <c r="UFL513" s="1759"/>
      <c r="UFM513" s="1760"/>
      <c r="UFN513" s="385"/>
      <c r="UFO513" s="69"/>
      <c r="UFP513" s="69"/>
      <c r="UFQ513" s="2512"/>
      <c r="UFR513" s="1758"/>
      <c r="UFS513" s="1759"/>
      <c r="UFT513" s="1759"/>
      <c r="UFU513" s="1760"/>
      <c r="UFV513" s="385"/>
      <c r="UFW513" s="69"/>
      <c r="UFX513" s="69"/>
      <c r="UFY513" s="2512"/>
      <c r="UFZ513" s="1758"/>
      <c r="UGA513" s="1759"/>
      <c r="UGB513" s="1759"/>
      <c r="UGC513" s="1760"/>
      <c r="UGD513" s="385"/>
      <c r="UGE513" s="69"/>
      <c r="UGF513" s="69"/>
      <c r="UGG513" s="2512"/>
      <c r="UGH513" s="1758"/>
      <c r="UGI513" s="1759"/>
      <c r="UGJ513" s="1759"/>
      <c r="UGK513" s="1760"/>
      <c r="UGL513" s="385"/>
      <c r="UGM513" s="69"/>
      <c r="UGN513" s="69"/>
      <c r="UGO513" s="2512"/>
      <c r="UGP513" s="1758"/>
      <c r="UGQ513" s="1759"/>
      <c r="UGR513" s="1759"/>
      <c r="UGS513" s="1760"/>
      <c r="UGT513" s="385"/>
      <c r="UGU513" s="69"/>
      <c r="UGV513" s="69"/>
      <c r="UGW513" s="2512"/>
      <c r="UGX513" s="1758"/>
      <c r="UGY513" s="1759"/>
      <c r="UGZ513" s="1759"/>
      <c r="UHA513" s="1760"/>
      <c r="UHB513" s="385"/>
      <c r="UHC513" s="69"/>
      <c r="UHD513" s="69"/>
      <c r="UHE513" s="2512"/>
      <c r="UHF513" s="1758"/>
      <c r="UHG513" s="1759"/>
      <c r="UHH513" s="1759"/>
      <c r="UHI513" s="1760"/>
      <c r="UHJ513" s="385"/>
      <c r="UHK513" s="69"/>
      <c r="UHL513" s="69"/>
      <c r="UHM513" s="2512"/>
      <c r="UHN513" s="1758"/>
      <c r="UHO513" s="1759"/>
      <c r="UHP513" s="1759"/>
      <c r="UHQ513" s="1760"/>
      <c r="UHR513" s="385"/>
      <c r="UHS513" s="69"/>
      <c r="UHT513" s="69"/>
      <c r="UHU513" s="2512"/>
      <c r="UHV513" s="1758"/>
      <c r="UHW513" s="1759"/>
      <c r="UHX513" s="1759"/>
      <c r="UHY513" s="1760"/>
      <c r="UHZ513" s="385"/>
      <c r="UIA513" s="69"/>
      <c r="UIB513" s="69"/>
      <c r="UIC513" s="2512"/>
      <c r="UID513" s="1758"/>
      <c r="UIE513" s="1759"/>
      <c r="UIF513" s="1759"/>
      <c r="UIG513" s="1760"/>
      <c r="UIH513" s="385"/>
      <c r="UII513" s="69"/>
      <c r="UIJ513" s="69"/>
      <c r="UIK513" s="2512"/>
      <c r="UIL513" s="1758"/>
      <c r="UIM513" s="1759"/>
      <c r="UIN513" s="1759"/>
      <c r="UIO513" s="1760"/>
      <c r="UIP513" s="385"/>
      <c r="UIQ513" s="69"/>
      <c r="UIR513" s="69"/>
      <c r="UIS513" s="2512"/>
      <c r="UIT513" s="1758"/>
      <c r="UIU513" s="1759"/>
      <c r="UIV513" s="1759"/>
      <c r="UIW513" s="1760"/>
      <c r="UIX513" s="385"/>
      <c r="UIY513" s="69"/>
      <c r="UIZ513" s="69"/>
      <c r="UJA513" s="2512"/>
      <c r="UJB513" s="1758"/>
      <c r="UJC513" s="1759"/>
      <c r="UJD513" s="1759"/>
      <c r="UJE513" s="1760"/>
      <c r="UJF513" s="385"/>
      <c r="UJG513" s="69"/>
      <c r="UJH513" s="69"/>
      <c r="UJI513" s="2512"/>
      <c r="UJJ513" s="1758"/>
      <c r="UJK513" s="1759"/>
      <c r="UJL513" s="1759"/>
      <c r="UJM513" s="1760"/>
      <c r="UJN513" s="385"/>
      <c r="UJO513" s="69"/>
      <c r="UJP513" s="69"/>
      <c r="UJQ513" s="2512"/>
      <c r="UJR513" s="1758"/>
      <c r="UJS513" s="1759"/>
      <c r="UJT513" s="1759"/>
      <c r="UJU513" s="1760"/>
      <c r="UJV513" s="385"/>
      <c r="UJW513" s="69"/>
      <c r="UJX513" s="69"/>
      <c r="UJY513" s="2512"/>
      <c r="UJZ513" s="1758"/>
      <c r="UKA513" s="1759"/>
      <c r="UKB513" s="1759"/>
      <c r="UKC513" s="1760"/>
      <c r="UKD513" s="385"/>
      <c r="UKE513" s="69"/>
      <c r="UKF513" s="69"/>
      <c r="UKG513" s="2512"/>
      <c r="UKH513" s="1758"/>
      <c r="UKI513" s="1759"/>
      <c r="UKJ513" s="1759"/>
      <c r="UKK513" s="1760"/>
      <c r="UKL513" s="385"/>
      <c r="UKM513" s="69"/>
      <c r="UKN513" s="69"/>
      <c r="UKO513" s="2512"/>
      <c r="UKP513" s="1758"/>
      <c r="UKQ513" s="1759"/>
      <c r="UKR513" s="1759"/>
      <c r="UKS513" s="1760"/>
      <c r="UKT513" s="385"/>
      <c r="UKU513" s="69"/>
      <c r="UKV513" s="69"/>
      <c r="UKW513" s="2512"/>
      <c r="UKX513" s="1758"/>
      <c r="UKY513" s="1759"/>
      <c r="UKZ513" s="1759"/>
      <c r="ULA513" s="1760"/>
      <c r="ULB513" s="385"/>
      <c r="ULC513" s="69"/>
      <c r="ULD513" s="69"/>
      <c r="ULE513" s="2512"/>
      <c r="ULF513" s="1758"/>
      <c r="ULG513" s="1759"/>
      <c r="ULH513" s="1759"/>
      <c r="ULI513" s="1760"/>
      <c r="ULJ513" s="385"/>
      <c r="ULK513" s="69"/>
      <c r="ULL513" s="69"/>
      <c r="ULM513" s="2512"/>
      <c r="ULN513" s="1758"/>
      <c r="ULO513" s="1759"/>
      <c r="ULP513" s="1759"/>
      <c r="ULQ513" s="1760"/>
      <c r="ULR513" s="385"/>
      <c r="ULS513" s="69"/>
      <c r="ULT513" s="69"/>
      <c r="ULU513" s="2512"/>
      <c r="ULV513" s="1758"/>
      <c r="ULW513" s="1759"/>
      <c r="ULX513" s="1759"/>
      <c r="ULY513" s="1760"/>
      <c r="ULZ513" s="385"/>
      <c r="UMA513" s="69"/>
      <c r="UMB513" s="69"/>
      <c r="UMC513" s="2512"/>
      <c r="UMD513" s="1758"/>
      <c r="UME513" s="1759"/>
      <c r="UMF513" s="1759"/>
      <c r="UMG513" s="1760"/>
      <c r="UMH513" s="385"/>
      <c r="UMI513" s="69"/>
      <c r="UMJ513" s="69"/>
      <c r="UMK513" s="2512"/>
      <c r="UML513" s="1758"/>
      <c r="UMM513" s="1759"/>
      <c r="UMN513" s="1759"/>
      <c r="UMO513" s="1760"/>
      <c r="UMP513" s="385"/>
      <c r="UMQ513" s="69"/>
      <c r="UMR513" s="69"/>
      <c r="UMS513" s="2512"/>
      <c r="UMT513" s="1758"/>
      <c r="UMU513" s="1759"/>
      <c r="UMV513" s="1759"/>
      <c r="UMW513" s="1760"/>
      <c r="UMX513" s="385"/>
      <c r="UMY513" s="69"/>
      <c r="UMZ513" s="69"/>
      <c r="UNA513" s="2512"/>
      <c r="UNB513" s="1758"/>
      <c r="UNC513" s="1759"/>
      <c r="UND513" s="1759"/>
      <c r="UNE513" s="1760"/>
      <c r="UNF513" s="385"/>
      <c r="UNG513" s="69"/>
      <c r="UNH513" s="69"/>
      <c r="UNI513" s="2512"/>
      <c r="UNJ513" s="1758"/>
      <c r="UNK513" s="1759"/>
      <c r="UNL513" s="1759"/>
      <c r="UNM513" s="1760"/>
      <c r="UNN513" s="385"/>
      <c r="UNO513" s="69"/>
      <c r="UNP513" s="69"/>
      <c r="UNQ513" s="2512"/>
      <c r="UNR513" s="1758"/>
      <c r="UNS513" s="1759"/>
      <c r="UNT513" s="1759"/>
      <c r="UNU513" s="1760"/>
      <c r="UNV513" s="385"/>
      <c r="UNW513" s="69"/>
      <c r="UNX513" s="69"/>
      <c r="UNY513" s="2512"/>
      <c r="UNZ513" s="1758"/>
      <c r="UOA513" s="1759"/>
      <c r="UOB513" s="1759"/>
      <c r="UOC513" s="1760"/>
      <c r="UOD513" s="385"/>
      <c r="UOE513" s="69"/>
      <c r="UOF513" s="69"/>
      <c r="UOG513" s="2512"/>
      <c r="UOH513" s="1758"/>
      <c r="UOI513" s="1759"/>
      <c r="UOJ513" s="1759"/>
      <c r="UOK513" s="1760"/>
      <c r="UOL513" s="385"/>
      <c r="UOM513" s="69"/>
      <c r="UON513" s="69"/>
      <c r="UOO513" s="2512"/>
      <c r="UOP513" s="1758"/>
      <c r="UOQ513" s="1759"/>
      <c r="UOR513" s="1759"/>
      <c r="UOS513" s="1760"/>
      <c r="UOT513" s="385"/>
      <c r="UOU513" s="69"/>
      <c r="UOV513" s="69"/>
      <c r="UOW513" s="2512"/>
      <c r="UOX513" s="1758"/>
      <c r="UOY513" s="1759"/>
      <c r="UOZ513" s="1759"/>
      <c r="UPA513" s="1760"/>
      <c r="UPB513" s="385"/>
      <c r="UPC513" s="69"/>
      <c r="UPD513" s="69"/>
      <c r="UPE513" s="2512"/>
      <c r="UPF513" s="1758"/>
      <c r="UPG513" s="1759"/>
      <c r="UPH513" s="1759"/>
      <c r="UPI513" s="1760"/>
      <c r="UPJ513" s="385"/>
      <c r="UPK513" s="69"/>
      <c r="UPL513" s="69"/>
      <c r="UPM513" s="2512"/>
      <c r="UPN513" s="1758"/>
      <c r="UPO513" s="1759"/>
      <c r="UPP513" s="1759"/>
      <c r="UPQ513" s="1760"/>
      <c r="UPR513" s="385"/>
      <c r="UPS513" s="69"/>
      <c r="UPT513" s="69"/>
      <c r="UPU513" s="2512"/>
      <c r="UPV513" s="1758"/>
      <c r="UPW513" s="1759"/>
      <c r="UPX513" s="1759"/>
      <c r="UPY513" s="1760"/>
      <c r="UPZ513" s="385"/>
      <c r="UQA513" s="69"/>
      <c r="UQB513" s="69"/>
      <c r="UQC513" s="2512"/>
      <c r="UQD513" s="1758"/>
      <c r="UQE513" s="1759"/>
      <c r="UQF513" s="1759"/>
      <c r="UQG513" s="1760"/>
      <c r="UQH513" s="385"/>
      <c r="UQI513" s="69"/>
      <c r="UQJ513" s="69"/>
      <c r="UQK513" s="2512"/>
      <c r="UQL513" s="1758"/>
      <c r="UQM513" s="1759"/>
      <c r="UQN513" s="1759"/>
      <c r="UQO513" s="1760"/>
      <c r="UQP513" s="385"/>
      <c r="UQQ513" s="69"/>
      <c r="UQR513" s="69"/>
      <c r="UQS513" s="2512"/>
      <c r="UQT513" s="1758"/>
      <c r="UQU513" s="1759"/>
      <c r="UQV513" s="1759"/>
      <c r="UQW513" s="1760"/>
      <c r="UQX513" s="385"/>
      <c r="UQY513" s="69"/>
      <c r="UQZ513" s="69"/>
      <c r="URA513" s="2512"/>
      <c r="URB513" s="1758"/>
      <c r="URC513" s="1759"/>
      <c r="URD513" s="1759"/>
      <c r="URE513" s="1760"/>
      <c r="URF513" s="385"/>
      <c r="URG513" s="69"/>
      <c r="URH513" s="69"/>
      <c r="URI513" s="2512"/>
      <c r="URJ513" s="1758"/>
      <c r="URK513" s="1759"/>
      <c r="URL513" s="1759"/>
      <c r="URM513" s="1760"/>
      <c r="URN513" s="385"/>
      <c r="URO513" s="69"/>
      <c r="URP513" s="69"/>
      <c r="URQ513" s="2512"/>
      <c r="URR513" s="1758"/>
      <c r="URS513" s="1759"/>
      <c r="URT513" s="1759"/>
      <c r="URU513" s="1760"/>
      <c r="URV513" s="385"/>
      <c r="URW513" s="69"/>
      <c r="URX513" s="69"/>
      <c r="URY513" s="2512"/>
      <c r="URZ513" s="1758"/>
      <c r="USA513" s="1759"/>
      <c r="USB513" s="1759"/>
      <c r="USC513" s="1760"/>
      <c r="USD513" s="385"/>
      <c r="USE513" s="69"/>
      <c r="USF513" s="69"/>
      <c r="USG513" s="2512"/>
      <c r="USH513" s="1758"/>
      <c r="USI513" s="1759"/>
      <c r="USJ513" s="1759"/>
      <c r="USK513" s="1760"/>
      <c r="USL513" s="385"/>
      <c r="USM513" s="69"/>
      <c r="USN513" s="69"/>
      <c r="USO513" s="2512"/>
      <c r="USP513" s="1758"/>
      <c r="USQ513" s="1759"/>
      <c r="USR513" s="1759"/>
      <c r="USS513" s="1760"/>
      <c r="UST513" s="385"/>
      <c r="USU513" s="69"/>
      <c r="USV513" s="69"/>
      <c r="USW513" s="2512"/>
      <c r="USX513" s="1758"/>
      <c r="USY513" s="1759"/>
      <c r="USZ513" s="1759"/>
      <c r="UTA513" s="1760"/>
      <c r="UTB513" s="385"/>
      <c r="UTC513" s="69"/>
      <c r="UTD513" s="69"/>
      <c r="UTE513" s="2512"/>
      <c r="UTF513" s="1758"/>
      <c r="UTG513" s="1759"/>
      <c r="UTH513" s="1759"/>
      <c r="UTI513" s="1760"/>
      <c r="UTJ513" s="385"/>
      <c r="UTK513" s="69"/>
      <c r="UTL513" s="69"/>
      <c r="UTM513" s="2512"/>
      <c r="UTN513" s="1758"/>
      <c r="UTO513" s="1759"/>
      <c r="UTP513" s="1759"/>
      <c r="UTQ513" s="1760"/>
      <c r="UTR513" s="385"/>
      <c r="UTS513" s="69"/>
      <c r="UTT513" s="69"/>
      <c r="UTU513" s="2512"/>
      <c r="UTV513" s="1758"/>
      <c r="UTW513" s="1759"/>
      <c r="UTX513" s="1759"/>
      <c r="UTY513" s="1760"/>
      <c r="UTZ513" s="385"/>
      <c r="UUA513" s="69"/>
      <c r="UUB513" s="69"/>
      <c r="UUC513" s="2512"/>
      <c r="UUD513" s="1758"/>
      <c r="UUE513" s="1759"/>
      <c r="UUF513" s="1759"/>
      <c r="UUG513" s="1760"/>
      <c r="UUH513" s="385"/>
      <c r="UUI513" s="69"/>
      <c r="UUJ513" s="69"/>
      <c r="UUK513" s="2512"/>
      <c r="UUL513" s="1758"/>
      <c r="UUM513" s="1759"/>
      <c r="UUN513" s="1759"/>
      <c r="UUO513" s="1760"/>
      <c r="UUP513" s="385"/>
      <c r="UUQ513" s="69"/>
      <c r="UUR513" s="69"/>
      <c r="UUS513" s="2512"/>
      <c r="UUT513" s="1758"/>
      <c r="UUU513" s="1759"/>
      <c r="UUV513" s="1759"/>
      <c r="UUW513" s="1760"/>
      <c r="UUX513" s="385"/>
      <c r="UUY513" s="69"/>
      <c r="UUZ513" s="69"/>
      <c r="UVA513" s="2512"/>
      <c r="UVB513" s="1758"/>
      <c r="UVC513" s="1759"/>
      <c r="UVD513" s="1759"/>
      <c r="UVE513" s="1760"/>
      <c r="UVF513" s="385"/>
      <c r="UVG513" s="69"/>
      <c r="UVH513" s="69"/>
      <c r="UVI513" s="2512"/>
      <c r="UVJ513" s="1758"/>
      <c r="UVK513" s="1759"/>
      <c r="UVL513" s="1759"/>
      <c r="UVM513" s="1760"/>
      <c r="UVN513" s="385"/>
      <c r="UVO513" s="69"/>
      <c r="UVP513" s="69"/>
      <c r="UVQ513" s="2512"/>
      <c r="UVR513" s="1758"/>
      <c r="UVS513" s="1759"/>
      <c r="UVT513" s="1759"/>
      <c r="UVU513" s="1760"/>
      <c r="UVV513" s="385"/>
      <c r="UVW513" s="69"/>
      <c r="UVX513" s="69"/>
      <c r="UVY513" s="2512"/>
      <c r="UVZ513" s="1758"/>
      <c r="UWA513" s="1759"/>
      <c r="UWB513" s="1759"/>
      <c r="UWC513" s="1760"/>
      <c r="UWD513" s="385"/>
      <c r="UWE513" s="69"/>
      <c r="UWF513" s="69"/>
      <c r="UWG513" s="2512"/>
      <c r="UWH513" s="1758"/>
      <c r="UWI513" s="1759"/>
      <c r="UWJ513" s="1759"/>
      <c r="UWK513" s="1760"/>
      <c r="UWL513" s="385"/>
      <c r="UWM513" s="69"/>
      <c r="UWN513" s="69"/>
      <c r="UWO513" s="2512"/>
      <c r="UWP513" s="1758"/>
      <c r="UWQ513" s="1759"/>
      <c r="UWR513" s="1759"/>
      <c r="UWS513" s="1760"/>
      <c r="UWT513" s="385"/>
      <c r="UWU513" s="69"/>
      <c r="UWV513" s="69"/>
      <c r="UWW513" s="2512"/>
      <c r="UWX513" s="1758"/>
      <c r="UWY513" s="1759"/>
      <c r="UWZ513" s="1759"/>
      <c r="UXA513" s="1760"/>
      <c r="UXB513" s="385"/>
      <c r="UXC513" s="69"/>
      <c r="UXD513" s="69"/>
      <c r="UXE513" s="2512"/>
      <c r="UXF513" s="1758"/>
      <c r="UXG513" s="1759"/>
      <c r="UXH513" s="1759"/>
      <c r="UXI513" s="1760"/>
      <c r="UXJ513" s="385"/>
      <c r="UXK513" s="69"/>
      <c r="UXL513" s="69"/>
      <c r="UXM513" s="2512"/>
      <c r="UXN513" s="1758"/>
      <c r="UXO513" s="1759"/>
      <c r="UXP513" s="1759"/>
      <c r="UXQ513" s="1760"/>
      <c r="UXR513" s="385"/>
      <c r="UXS513" s="69"/>
      <c r="UXT513" s="69"/>
      <c r="UXU513" s="2512"/>
      <c r="UXV513" s="1758"/>
      <c r="UXW513" s="1759"/>
      <c r="UXX513" s="1759"/>
      <c r="UXY513" s="1760"/>
      <c r="UXZ513" s="385"/>
      <c r="UYA513" s="69"/>
      <c r="UYB513" s="69"/>
      <c r="UYC513" s="2512"/>
      <c r="UYD513" s="1758"/>
      <c r="UYE513" s="1759"/>
      <c r="UYF513" s="1759"/>
      <c r="UYG513" s="1760"/>
      <c r="UYH513" s="385"/>
      <c r="UYI513" s="69"/>
      <c r="UYJ513" s="69"/>
      <c r="UYK513" s="2512"/>
      <c r="UYL513" s="1758"/>
      <c r="UYM513" s="1759"/>
      <c r="UYN513" s="1759"/>
      <c r="UYO513" s="1760"/>
      <c r="UYP513" s="385"/>
      <c r="UYQ513" s="69"/>
      <c r="UYR513" s="69"/>
      <c r="UYS513" s="2512"/>
      <c r="UYT513" s="1758"/>
      <c r="UYU513" s="1759"/>
      <c r="UYV513" s="1759"/>
      <c r="UYW513" s="1760"/>
      <c r="UYX513" s="385"/>
      <c r="UYY513" s="69"/>
      <c r="UYZ513" s="69"/>
      <c r="UZA513" s="2512"/>
      <c r="UZB513" s="1758"/>
      <c r="UZC513" s="1759"/>
      <c r="UZD513" s="1759"/>
      <c r="UZE513" s="1760"/>
      <c r="UZF513" s="385"/>
      <c r="UZG513" s="69"/>
      <c r="UZH513" s="69"/>
      <c r="UZI513" s="2512"/>
      <c r="UZJ513" s="1758"/>
      <c r="UZK513" s="1759"/>
      <c r="UZL513" s="1759"/>
      <c r="UZM513" s="1760"/>
      <c r="UZN513" s="385"/>
      <c r="UZO513" s="69"/>
      <c r="UZP513" s="69"/>
      <c r="UZQ513" s="2512"/>
      <c r="UZR513" s="1758"/>
      <c r="UZS513" s="1759"/>
      <c r="UZT513" s="1759"/>
      <c r="UZU513" s="1760"/>
      <c r="UZV513" s="385"/>
      <c r="UZW513" s="69"/>
      <c r="UZX513" s="69"/>
      <c r="UZY513" s="2512"/>
      <c r="UZZ513" s="1758"/>
      <c r="VAA513" s="1759"/>
      <c r="VAB513" s="1759"/>
      <c r="VAC513" s="1760"/>
      <c r="VAD513" s="385"/>
      <c r="VAE513" s="69"/>
      <c r="VAF513" s="69"/>
      <c r="VAG513" s="2512"/>
      <c r="VAH513" s="1758"/>
      <c r="VAI513" s="1759"/>
      <c r="VAJ513" s="1759"/>
      <c r="VAK513" s="1760"/>
      <c r="VAL513" s="385"/>
      <c r="VAM513" s="69"/>
      <c r="VAN513" s="69"/>
      <c r="VAO513" s="2512"/>
      <c r="VAP513" s="1758"/>
      <c r="VAQ513" s="1759"/>
      <c r="VAR513" s="1759"/>
      <c r="VAS513" s="1760"/>
      <c r="VAT513" s="385"/>
      <c r="VAU513" s="69"/>
      <c r="VAV513" s="69"/>
      <c r="VAW513" s="2512"/>
      <c r="VAX513" s="1758"/>
      <c r="VAY513" s="1759"/>
      <c r="VAZ513" s="1759"/>
      <c r="VBA513" s="1760"/>
      <c r="VBB513" s="385"/>
      <c r="VBC513" s="69"/>
      <c r="VBD513" s="69"/>
      <c r="VBE513" s="2512"/>
      <c r="VBF513" s="1758"/>
      <c r="VBG513" s="1759"/>
      <c r="VBH513" s="1759"/>
      <c r="VBI513" s="1760"/>
      <c r="VBJ513" s="385"/>
      <c r="VBK513" s="69"/>
      <c r="VBL513" s="69"/>
      <c r="VBM513" s="2512"/>
      <c r="VBN513" s="1758"/>
      <c r="VBO513" s="1759"/>
      <c r="VBP513" s="1759"/>
      <c r="VBQ513" s="1760"/>
      <c r="VBR513" s="385"/>
      <c r="VBS513" s="69"/>
      <c r="VBT513" s="69"/>
      <c r="VBU513" s="2512"/>
      <c r="VBV513" s="1758"/>
      <c r="VBW513" s="1759"/>
      <c r="VBX513" s="1759"/>
      <c r="VBY513" s="1760"/>
      <c r="VBZ513" s="385"/>
      <c r="VCA513" s="69"/>
      <c r="VCB513" s="69"/>
      <c r="VCC513" s="2512"/>
      <c r="VCD513" s="1758"/>
      <c r="VCE513" s="1759"/>
      <c r="VCF513" s="1759"/>
      <c r="VCG513" s="1760"/>
      <c r="VCH513" s="385"/>
      <c r="VCI513" s="69"/>
      <c r="VCJ513" s="69"/>
      <c r="VCK513" s="2512"/>
      <c r="VCL513" s="1758"/>
      <c r="VCM513" s="1759"/>
      <c r="VCN513" s="1759"/>
      <c r="VCO513" s="1760"/>
      <c r="VCP513" s="385"/>
      <c r="VCQ513" s="69"/>
      <c r="VCR513" s="69"/>
      <c r="VCS513" s="2512"/>
      <c r="VCT513" s="1758"/>
      <c r="VCU513" s="1759"/>
      <c r="VCV513" s="1759"/>
      <c r="VCW513" s="1760"/>
      <c r="VCX513" s="385"/>
      <c r="VCY513" s="69"/>
      <c r="VCZ513" s="69"/>
      <c r="VDA513" s="2512"/>
      <c r="VDB513" s="1758"/>
      <c r="VDC513" s="1759"/>
      <c r="VDD513" s="1759"/>
      <c r="VDE513" s="1760"/>
      <c r="VDF513" s="385"/>
      <c r="VDG513" s="69"/>
      <c r="VDH513" s="69"/>
      <c r="VDI513" s="2512"/>
      <c r="VDJ513" s="1758"/>
      <c r="VDK513" s="1759"/>
      <c r="VDL513" s="1759"/>
      <c r="VDM513" s="1760"/>
      <c r="VDN513" s="385"/>
      <c r="VDO513" s="69"/>
      <c r="VDP513" s="69"/>
      <c r="VDQ513" s="2512"/>
      <c r="VDR513" s="1758"/>
      <c r="VDS513" s="1759"/>
      <c r="VDT513" s="1759"/>
      <c r="VDU513" s="1760"/>
      <c r="VDV513" s="385"/>
      <c r="VDW513" s="69"/>
      <c r="VDX513" s="69"/>
      <c r="VDY513" s="2512"/>
      <c r="VDZ513" s="1758"/>
      <c r="VEA513" s="1759"/>
      <c r="VEB513" s="1759"/>
      <c r="VEC513" s="1760"/>
      <c r="VED513" s="385"/>
      <c r="VEE513" s="69"/>
      <c r="VEF513" s="69"/>
      <c r="VEG513" s="2512"/>
      <c r="VEH513" s="1758"/>
      <c r="VEI513" s="1759"/>
      <c r="VEJ513" s="1759"/>
      <c r="VEK513" s="1760"/>
      <c r="VEL513" s="385"/>
      <c r="VEM513" s="69"/>
      <c r="VEN513" s="69"/>
      <c r="VEO513" s="2512"/>
      <c r="VEP513" s="1758"/>
      <c r="VEQ513" s="1759"/>
      <c r="VER513" s="1759"/>
      <c r="VES513" s="1760"/>
      <c r="VET513" s="385"/>
      <c r="VEU513" s="69"/>
      <c r="VEV513" s="69"/>
      <c r="VEW513" s="2512"/>
      <c r="VEX513" s="1758"/>
      <c r="VEY513" s="1759"/>
      <c r="VEZ513" s="1759"/>
      <c r="VFA513" s="1760"/>
      <c r="VFB513" s="385"/>
      <c r="VFC513" s="69"/>
      <c r="VFD513" s="69"/>
      <c r="VFE513" s="2512"/>
      <c r="VFF513" s="1758"/>
      <c r="VFG513" s="1759"/>
      <c r="VFH513" s="1759"/>
      <c r="VFI513" s="1760"/>
      <c r="VFJ513" s="385"/>
      <c r="VFK513" s="69"/>
      <c r="VFL513" s="69"/>
      <c r="VFM513" s="2512"/>
      <c r="VFN513" s="1758"/>
      <c r="VFO513" s="1759"/>
      <c r="VFP513" s="1759"/>
      <c r="VFQ513" s="1760"/>
      <c r="VFR513" s="385"/>
      <c r="VFS513" s="69"/>
      <c r="VFT513" s="69"/>
      <c r="VFU513" s="2512"/>
      <c r="VFV513" s="1758"/>
      <c r="VFW513" s="1759"/>
      <c r="VFX513" s="1759"/>
      <c r="VFY513" s="1760"/>
      <c r="VFZ513" s="385"/>
      <c r="VGA513" s="69"/>
      <c r="VGB513" s="69"/>
      <c r="VGC513" s="2512"/>
      <c r="VGD513" s="1758"/>
      <c r="VGE513" s="1759"/>
      <c r="VGF513" s="1759"/>
      <c r="VGG513" s="1760"/>
      <c r="VGH513" s="385"/>
      <c r="VGI513" s="69"/>
      <c r="VGJ513" s="69"/>
      <c r="VGK513" s="2512"/>
      <c r="VGL513" s="1758"/>
      <c r="VGM513" s="1759"/>
      <c r="VGN513" s="1759"/>
      <c r="VGO513" s="1760"/>
      <c r="VGP513" s="385"/>
      <c r="VGQ513" s="69"/>
      <c r="VGR513" s="69"/>
      <c r="VGS513" s="2512"/>
      <c r="VGT513" s="1758"/>
      <c r="VGU513" s="1759"/>
      <c r="VGV513" s="1759"/>
      <c r="VGW513" s="1760"/>
      <c r="VGX513" s="385"/>
      <c r="VGY513" s="69"/>
      <c r="VGZ513" s="69"/>
      <c r="VHA513" s="2512"/>
      <c r="VHB513" s="1758"/>
      <c r="VHC513" s="1759"/>
      <c r="VHD513" s="1759"/>
      <c r="VHE513" s="1760"/>
      <c r="VHF513" s="385"/>
      <c r="VHG513" s="69"/>
      <c r="VHH513" s="69"/>
      <c r="VHI513" s="2512"/>
      <c r="VHJ513" s="1758"/>
      <c r="VHK513" s="1759"/>
      <c r="VHL513" s="1759"/>
      <c r="VHM513" s="1760"/>
      <c r="VHN513" s="385"/>
      <c r="VHO513" s="69"/>
      <c r="VHP513" s="69"/>
      <c r="VHQ513" s="2512"/>
      <c r="VHR513" s="1758"/>
      <c r="VHS513" s="1759"/>
      <c r="VHT513" s="1759"/>
      <c r="VHU513" s="1760"/>
      <c r="VHV513" s="385"/>
      <c r="VHW513" s="69"/>
      <c r="VHX513" s="69"/>
      <c r="VHY513" s="2512"/>
      <c r="VHZ513" s="1758"/>
      <c r="VIA513" s="1759"/>
      <c r="VIB513" s="1759"/>
      <c r="VIC513" s="1760"/>
      <c r="VID513" s="385"/>
      <c r="VIE513" s="69"/>
      <c r="VIF513" s="69"/>
      <c r="VIG513" s="2512"/>
      <c r="VIH513" s="1758"/>
      <c r="VII513" s="1759"/>
      <c r="VIJ513" s="1759"/>
      <c r="VIK513" s="1760"/>
      <c r="VIL513" s="385"/>
      <c r="VIM513" s="69"/>
      <c r="VIN513" s="69"/>
      <c r="VIO513" s="2512"/>
      <c r="VIP513" s="1758"/>
      <c r="VIQ513" s="1759"/>
      <c r="VIR513" s="1759"/>
      <c r="VIS513" s="1760"/>
      <c r="VIT513" s="385"/>
      <c r="VIU513" s="69"/>
      <c r="VIV513" s="69"/>
      <c r="VIW513" s="2512"/>
      <c r="VIX513" s="1758"/>
      <c r="VIY513" s="1759"/>
      <c r="VIZ513" s="1759"/>
      <c r="VJA513" s="1760"/>
      <c r="VJB513" s="385"/>
      <c r="VJC513" s="69"/>
      <c r="VJD513" s="69"/>
      <c r="VJE513" s="2512"/>
      <c r="VJF513" s="1758"/>
      <c r="VJG513" s="1759"/>
      <c r="VJH513" s="1759"/>
      <c r="VJI513" s="1760"/>
      <c r="VJJ513" s="385"/>
      <c r="VJK513" s="69"/>
      <c r="VJL513" s="69"/>
      <c r="VJM513" s="2512"/>
      <c r="VJN513" s="1758"/>
      <c r="VJO513" s="1759"/>
      <c r="VJP513" s="1759"/>
      <c r="VJQ513" s="1760"/>
      <c r="VJR513" s="385"/>
      <c r="VJS513" s="69"/>
      <c r="VJT513" s="69"/>
      <c r="VJU513" s="2512"/>
      <c r="VJV513" s="1758"/>
      <c r="VJW513" s="1759"/>
      <c r="VJX513" s="1759"/>
      <c r="VJY513" s="1760"/>
      <c r="VJZ513" s="385"/>
      <c r="VKA513" s="69"/>
      <c r="VKB513" s="69"/>
      <c r="VKC513" s="2512"/>
      <c r="VKD513" s="1758"/>
      <c r="VKE513" s="1759"/>
      <c r="VKF513" s="1759"/>
      <c r="VKG513" s="1760"/>
      <c r="VKH513" s="385"/>
      <c r="VKI513" s="69"/>
      <c r="VKJ513" s="69"/>
      <c r="VKK513" s="2512"/>
      <c r="VKL513" s="1758"/>
      <c r="VKM513" s="1759"/>
      <c r="VKN513" s="1759"/>
      <c r="VKO513" s="1760"/>
      <c r="VKP513" s="385"/>
      <c r="VKQ513" s="69"/>
      <c r="VKR513" s="69"/>
      <c r="VKS513" s="2512"/>
      <c r="VKT513" s="1758"/>
      <c r="VKU513" s="1759"/>
      <c r="VKV513" s="1759"/>
      <c r="VKW513" s="1760"/>
      <c r="VKX513" s="385"/>
      <c r="VKY513" s="69"/>
      <c r="VKZ513" s="69"/>
      <c r="VLA513" s="2512"/>
      <c r="VLB513" s="1758"/>
      <c r="VLC513" s="1759"/>
      <c r="VLD513" s="1759"/>
      <c r="VLE513" s="1760"/>
      <c r="VLF513" s="385"/>
      <c r="VLG513" s="69"/>
      <c r="VLH513" s="69"/>
      <c r="VLI513" s="2512"/>
      <c r="VLJ513" s="1758"/>
      <c r="VLK513" s="1759"/>
      <c r="VLL513" s="1759"/>
      <c r="VLM513" s="1760"/>
      <c r="VLN513" s="385"/>
      <c r="VLO513" s="69"/>
      <c r="VLP513" s="69"/>
      <c r="VLQ513" s="2512"/>
      <c r="VLR513" s="1758"/>
      <c r="VLS513" s="1759"/>
      <c r="VLT513" s="1759"/>
      <c r="VLU513" s="1760"/>
      <c r="VLV513" s="385"/>
      <c r="VLW513" s="69"/>
      <c r="VLX513" s="69"/>
      <c r="VLY513" s="2512"/>
      <c r="VLZ513" s="1758"/>
      <c r="VMA513" s="1759"/>
      <c r="VMB513" s="1759"/>
      <c r="VMC513" s="1760"/>
      <c r="VMD513" s="385"/>
      <c r="VME513" s="69"/>
      <c r="VMF513" s="69"/>
      <c r="VMG513" s="2512"/>
      <c r="VMH513" s="1758"/>
      <c r="VMI513" s="1759"/>
      <c r="VMJ513" s="1759"/>
      <c r="VMK513" s="1760"/>
      <c r="VML513" s="385"/>
      <c r="VMM513" s="69"/>
      <c r="VMN513" s="69"/>
      <c r="VMO513" s="2512"/>
      <c r="VMP513" s="1758"/>
      <c r="VMQ513" s="1759"/>
      <c r="VMR513" s="1759"/>
      <c r="VMS513" s="1760"/>
      <c r="VMT513" s="385"/>
      <c r="VMU513" s="69"/>
      <c r="VMV513" s="69"/>
      <c r="VMW513" s="2512"/>
      <c r="VMX513" s="1758"/>
      <c r="VMY513" s="1759"/>
      <c r="VMZ513" s="1759"/>
      <c r="VNA513" s="1760"/>
      <c r="VNB513" s="385"/>
      <c r="VNC513" s="69"/>
      <c r="VND513" s="69"/>
      <c r="VNE513" s="2512"/>
      <c r="VNF513" s="1758"/>
      <c r="VNG513" s="1759"/>
      <c r="VNH513" s="1759"/>
      <c r="VNI513" s="1760"/>
      <c r="VNJ513" s="385"/>
      <c r="VNK513" s="69"/>
      <c r="VNL513" s="69"/>
      <c r="VNM513" s="2512"/>
      <c r="VNN513" s="1758"/>
      <c r="VNO513" s="1759"/>
      <c r="VNP513" s="1759"/>
      <c r="VNQ513" s="1760"/>
      <c r="VNR513" s="385"/>
      <c r="VNS513" s="69"/>
      <c r="VNT513" s="69"/>
      <c r="VNU513" s="2512"/>
      <c r="VNV513" s="1758"/>
      <c r="VNW513" s="1759"/>
      <c r="VNX513" s="1759"/>
      <c r="VNY513" s="1760"/>
      <c r="VNZ513" s="385"/>
      <c r="VOA513" s="69"/>
      <c r="VOB513" s="69"/>
      <c r="VOC513" s="2512"/>
      <c r="VOD513" s="1758"/>
      <c r="VOE513" s="1759"/>
      <c r="VOF513" s="1759"/>
      <c r="VOG513" s="1760"/>
      <c r="VOH513" s="385"/>
      <c r="VOI513" s="69"/>
      <c r="VOJ513" s="69"/>
      <c r="VOK513" s="2512"/>
      <c r="VOL513" s="1758"/>
      <c r="VOM513" s="1759"/>
      <c r="VON513" s="1759"/>
      <c r="VOO513" s="1760"/>
      <c r="VOP513" s="385"/>
      <c r="VOQ513" s="69"/>
      <c r="VOR513" s="69"/>
      <c r="VOS513" s="2512"/>
      <c r="VOT513" s="1758"/>
      <c r="VOU513" s="1759"/>
      <c r="VOV513" s="1759"/>
      <c r="VOW513" s="1760"/>
      <c r="VOX513" s="385"/>
      <c r="VOY513" s="69"/>
      <c r="VOZ513" s="69"/>
      <c r="VPA513" s="2512"/>
      <c r="VPB513" s="1758"/>
      <c r="VPC513" s="1759"/>
      <c r="VPD513" s="1759"/>
      <c r="VPE513" s="1760"/>
      <c r="VPF513" s="385"/>
      <c r="VPG513" s="69"/>
      <c r="VPH513" s="69"/>
      <c r="VPI513" s="2512"/>
      <c r="VPJ513" s="1758"/>
      <c r="VPK513" s="1759"/>
      <c r="VPL513" s="1759"/>
      <c r="VPM513" s="1760"/>
      <c r="VPN513" s="385"/>
      <c r="VPO513" s="69"/>
      <c r="VPP513" s="69"/>
      <c r="VPQ513" s="2512"/>
      <c r="VPR513" s="1758"/>
      <c r="VPS513" s="1759"/>
      <c r="VPT513" s="1759"/>
      <c r="VPU513" s="1760"/>
      <c r="VPV513" s="385"/>
      <c r="VPW513" s="69"/>
      <c r="VPX513" s="69"/>
      <c r="VPY513" s="2512"/>
      <c r="VPZ513" s="1758"/>
      <c r="VQA513" s="1759"/>
      <c r="VQB513" s="1759"/>
      <c r="VQC513" s="1760"/>
      <c r="VQD513" s="385"/>
      <c r="VQE513" s="69"/>
      <c r="VQF513" s="69"/>
      <c r="VQG513" s="2512"/>
      <c r="VQH513" s="1758"/>
      <c r="VQI513" s="1759"/>
      <c r="VQJ513" s="1759"/>
      <c r="VQK513" s="1760"/>
      <c r="VQL513" s="385"/>
      <c r="VQM513" s="69"/>
      <c r="VQN513" s="69"/>
      <c r="VQO513" s="2512"/>
      <c r="VQP513" s="1758"/>
      <c r="VQQ513" s="1759"/>
      <c r="VQR513" s="1759"/>
      <c r="VQS513" s="1760"/>
      <c r="VQT513" s="385"/>
      <c r="VQU513" s="69"/>
      <c r="VQV513" s="69"/>
      <c r="VQW513" s="2512"/>
      <c r="VQX513" s="1758"/>
      <c r="VQY513" s="1759"/>
      <c r="VQZ513" s="1759"/>
      <c r="VRA513" s="1760"/>
      <c r="VRB513" s="385"/>
      <c r="VRC513" s="69"/>
      <c r="VRD513" s="69"/>
      <c r="VRE513" s="2512"/>
      <c r="VRF513" s="1758"/>
      <c r="VRG513" s="1759"/>
      <c r="VRH513" s="1759"/>
      <c r="VRI513" s="1760"/>
      <c r="VRJ513" s="385"/>
      <c r="VRK513" s="69"/>
      <c r="VRL513" s="69"/>
      <c r="VRM513" s="2512"/>
      <c r="VRN513" s="1758"/>
      <c r="VRO513" s="1759"/>
      <c r="VRP513" s="1759"/>
      <c r="VRQ513" s="1760"/>
      <c r="VRR513" s="385"/>
      <c r="VRS513" s="69"/>
      <c r="VRT513" s="69"/>
      <c r="VRU513" s="2512"/>
      <c r="VRV513" s="1758"/>
      <c r="VRW513" s="1759"/>
      <c r="VRX513" s="1759"/>
      <c r="VRY513" s="1760"/>
      <c r="VRZ513" s="385"/>
      <c r="VSA513" s="69"/>
      <c r="VSB513" s="69"/>
      <c r="VSC513" s="2512"/>
      <c r="VSD513" s="1758"/>
      <c r="VSE513" s="1759"/>
      <c r="VSF513" s="1759"/>
      <c r="VSG513" s="1760"/>
      <c r="VSH513" s="385"/>
      <c r="VSI513" s="69"/>
      <c r="VSJ513" s="69"/>
      <c r="VSK513" s="2512"/>
      <c r="VSL513" s="1758"/>
      <c r="VSM513" s="1759"/>
      <c r="VSN513" s="1759"/>
      <c r="VSO513" s="1760"/>
      <c r="VSP513" s="385"/>
      <c r="VSQ513" s="69"/>
      <c r="VSR513" s="69"/>
      <c r="VSS513" s="2512"/>
      <c r="VST513" s="1758"/>
      <c r="VSU513" s="1759"/>
      <c r="VSV513" s="1759"/>
      <c r="VSW513" s="1760"/>
      <c r="VSX513" s="385"/>
      <c r="VSY513" s="69"/>
      <c r="VSZ513" s="69"/>
      <c r="VTA513" s="2512"/>
      <c r="VTB513" s="1758"/>
      <c r="VTC513" s="1759"/>
      <c r="VTD513" s="1759"/>
      <c r="VTE513" s="1760"/>
      <c r="VTF513" s="385"/>
      <c r="VTG513" s="69"/>
      <c r="VTH513" s="69"/>
      <c r="VTI513" s="2512"/>
      <c r="VTJ513" s="1758"/>
      <c r="VTK513" s="1759"/>
      <c r="VTL513" s="1759"/>
      <c r="VTM513" s="1760"/>
      <c r="VTN513" s="385"/>
      <c r="VTO513" s="69"/>
      <c r="VTP513" s="69"/>
      <c r="VTQ513" s="2512"/>
      <c r="VTR513" s="1758"/>
      <c r="VTS513" s="1759"/>
      <c r="VTT513" s="1759"/>
      <c r="VTU513" s="1760"/>
      <c r="VTV513" s="385"/>
      <c r="VTW513" s="69"/>
      <c r="VTX513" s="69"/>
      <c r="VTY513" s="2512"/>
      <c r="VTZ513" s="1758"/>
      <c r="VUA513" s="1759"/>
      <c r="VUB513" s="1759"/>
      <c r="VUC513" s="1760"/>
      <c r="VUD513" s="385"/>
      <c r="VUE513" s="69"/>
      <c r="VUF513" s="69"/>
      <c r="VUG513" s="2512"/>
      <c r="VUH513" s="1758"/>
      <c r="VUI513" s="1759"/>
      <c r="VUJ513" s="1759"/>
      <c r="VUK513" s="1760"/>
      <c r="VUL513" s="385"/>
      <c r="VUM513" s="69"/>
      <c r="VUN513" s="69"/>
      <c r="VUO513" s="2512"/>
      <c r="VUP513" s="1758"/>
      <c r="VUQ513" s="1759"/>
      <c r="VUR513" s="1759"/>
      <c r="VUS513" s="1760"/>
      <c r="VUT513" s="385"/>
      <c r="VUU513" s="69"/>
      <c r="VUV513" s="69"/>
      <c r="VUW513" s="2512"/>
      <c r="VUX513" s="1758"/>
      <c r="VUY513" s="1759"/>
      <c r="VUZ513" s="1759"/>
      <c r="VVA513" s="1760"/>
      <c r="VVB513" s="385"/>
      <c r="VVC513" s="69"/>
      <c r="VVD513" s="69"/>
      <c r="VVE513" s="2512"/>
      <c r="VVF513" s="1758"/>
      <c r="VVG513" s="1759"/>
      <c r="VVH513" s="1759"/>
      <c r="VVI513" s="1760"/>
      <c r="VVJ513" s="385"/>
      <c r="VVK513" s="69"/>
      <c r="VVL513" s="69"/>
      <c r="VVM513" s="2512"/>
      <c r="VVN513" s="1758"/>
      <c r="VVO513" s="1759"/>
      <c r="VVP513" s="1759"/>
      <c r="VVQ513" s="1760"/>
      <c r="VVR513" s="385"/>
      <c r="VVS513" s="69"/>
      <c r="VVT513" s="69"/>
      <c r="VVU513" s="2512"/>
      <c r="VVV513" s="1758"/>
      <c r="VVW513" s="1759"/>
      <c r="VVX513" s="1759"/>
      <c r="VVY513" s="1760"/>
      <c r="VVZ513" s="385"/>
      <c r="VWA513" s="69"/>
      <c r="VWB513" s="69"/>
      <c r="VWC513" s="2512"/>
      <c r="VWD513" s="1758"/>
      <c r="VWE513" s="1759"/>
      <c r="VWF513" s="1759"/>
      <c r="VWG513" s="1760"/>
      <c r="VWH513" s="385"/>
      <c r="VWI513" s="69"/>
      <c r="VWJ513" s="69"/>
      <c r="VWK513" s="2512"/>
      <c r="VWL513" s="1758"/>
      <c r="VWM513" s="1759"/>
      <c r="VWN513" s="1759"/>
      <c r="VWO513" s="1760"/>
      <c r="VWP513" s="385"/>
      <c r="VWQ513" s="69"/>
      <c r="VWR513" s="69"/>
      <c r="VWS513" s="2512"/>
      <c r="VWT513" s="1758"/>
      <c r="VWU513" s="1759"/>
      <c r="VWV513" s="1759"/>
      <c r="VWW513" s="1760"/>
      <c r="VWX513" s="385"/>
      <c r="VWY513" s="69"/>
      <c r="VWZ513" s="69"/>
      <c r="VXA513" s="2512"/>
      <c r="VXB513" s="1758"/>
      <c r="VXC513" s="1759"/>
      <c r="VXD513" s="1759"/>
      <c r="VXE513" s="1760"/>
      <c r="VXF513" s="385"/>
      <c r="VXG513" s="69"/>
      <c r="VXH513" s="69"/>
      <c r="VXI513" s="2512"/>
      <c r="VXJ513" s="1758"/>
      <c r="VXK513" s="1759"/>
      <c r="VXL513" s="1759"/>
      <c r="VXM513" s="1760"/>
      <c r="VXN513" s="385"/>
      <c r="VXO513" s="69"/>
      <c r="VXP513" s="69"/>
      <c r="VXQ513" s="2512"/>
      <c r="VXR513" s="1758"/>
      <c r="VXS513" s="1759"/>
      <c r="VXT513" s="1759"/>
      <c r="VXU513" s="1760"/>
      <c r="VXV513" s="385"/>
      <c r="VXW513" s="69"/>
      <c r="VXX513" s="69"/>
      <c r="VXY513" s="2512"/>
      <c r="VXZ513" s="1758"/>
      <c r="VYA513" s="1759"/>
      <c r="VYB513" s="1759"/>
      <c r="VYC513" s="1760"/>
      <c r="VYD513" s="385"/>
      <c r="VYE513" s="69"/>
      <c r="VYF513" s="69"/>
      <c r="VYG513" s="2512"/>
      <c r="VYH513" s="1758"/>
      <c r="VYI513" s="1759"/>
      <c r="VYJ513" s="1759"/>
      <c r="VYK513" s="1760"/>
      <c r="VYL513" s="385"/>
      <c r="VYM513" s="69"/>
      <c r="VYN513" s="69"/>
      <c r="VYO513" s="2512"/>
      <c r="VYP513" s="1758"/>
      <c r="VYQ513" s="1759"/>
      <c r="VYR513" s="1759"/>
      <c r="VYS513" s="1760"/>
      <c r="VYT513" s="385"/>
      <c r="VYU513" s="69"/>
      <c r="VYV513" s="69"/>
      <c r="VYW513" s="2512"/>
      <c r="VYX513" s="1758"/>
      <c r="VYY513" s="1759"/>
      <c r="VYZ513" s="1759"/>
      <c r="VZA513" s="1760"/>
      <c r="VZB513" s="385"/>
      <c r="VZC513" s="69"/>
      <c r="VZD513" s="69"/>
      <c r="VZE513" s="2512"/>
      <c r="VZF513" s="1758"/>
      <c r="VZG513" s="1759"/>
      <c r="VZH513" s="1759"/>
      <c r="VZI513" s="1760"/>
      <c r="VZJ513" s="385"/>
      <c r="VZK513" s="69"/>
      <c r="VZL513" s="69"/>
      <c r="VZM513" s="2512"/>
      <c r="VZN513" s="1758"/>
      <c r="VZO513" s="1759"/>
      <c r="VZP513" s="1759"/>
      <c r="VZQ513" s="1760"/>
      <c r="VZR513" s="385"/>
      <c r="VZS513" s="69"/>
      <c r="VZT513" s="69"/>
      <c r="VZU513" s="2512"/>
      <c r="VZV513" s="1758"/>
      <c r="VZW513" s="1759"/>
      <c r="VZX513" s="1759"/>
      <c r="VZY513" s="1760"/>
      <c r="VZZ513" s="385"/>
      <c r="WAA513" s="69"/>
      <c r="WAB513" s="69"/>
      <c r="WAC513" s="2512"/>
      <c r="WAD513" s="1758"/>
      <c r="WAE513" s="1759"/>
      <c r="WAF513" s="1759"/>
      <c r="WAG513" s="1760"/>
      <c r="WAH513" s="385"/>
      <c r="WAI513" s="69"/>
      <c r="WAJ513" s="69"/>
      <c r="WAK513" s="2512"/>
      <c r="WAL513" s="1758"/>
      <c r="WAM513" s="1759"/>
      <c r="WAN513" s="1759"/>
      <c r="WAO513" s="1760"/>
      <c r="WAP513" s="385"/>
      <c r="WAQ513" s="69"/>
      <c r="WAR513" s="69"/>
      <c r="WAS513" s="2512"/>
      <c r="WAT513" s="1758"/>
      <c r="WAU513" s="1759"/>
      <c r="WAV513" s="1759"/>
      <c r="WAW513" s="1760"/>
      <c r="WAX513" s="385"/>
      <c r="WAY513" s="69"/>
      <c r="WAZ513" s="69"/>
      <c r="WBA513" s="2512"/>
      <c r="WBB513" s="1758"/>
      <c r="WBC513" s="1759"/>
      <c r="WBD513" s="1759"/>
      <c r="WBE513" s="1760"/>
      <c r="WBF513" s="385"/>
      <c r="WBG513" s="69"/>
      <c r="WBH513" s="69"/>
      <c r="WBI513" s="2512"/>
      <c r="WBJ513" s="1758"/>
      <c r="WBK513" s="1759"/>
      <c r="WBL513" s="1759"/>
      <c r="WBM513" s="1760"/>
      <c r="WBN513" s="385"/>
      <c r="WBO513" s="69"/>
      <c r="WBP513" s="69"/>
      <c r="WBQ513" s="2512"/>
      <c r="WBR513" s="1758"/>
      <c r="WBS513" s="1759"/>
      <c r="WBT513" s="1759"/>
      <c r="WBU513" s="1760"/>
      <c r="WBV513" s="385"/>
      <c r="WBW513" s="69"/>
      <c r="WBX513" s="69"/>
      <c r="WBY513" s="2512"/>
      <c r="WBZ513" s="1758"/>
      <c r="WCA513" s="1759"/>
      <c r="WCB513" s="1759"/>
      <c r="WCC513" s="1760"/>
      <c r="WCD513" s="385"/>
      <c r="WCE513" s="69"/>
      <c r="WCF513" s="69"/>
      <c r="WCG513" s="2512"/>
      <c r="WCH513" s="1758"/>
      <c r="WCI513" s="1759"/>
      <c r="WCJ513" s="1759"/>
      <c r="WCK513" s="1760"/>
      <c r="WCL513" s="385"/>
      <c r="WCM513" s="69"/>
      <c r="WCN513" s="69"/>
      <c r="WCO513" s="2512"/>
      <c r="WCP513" s="1758"/>
      <c r="WCQ513" s="1759"/>
      <c r="WCR513" s="1759"/>
      <c r="WCS513" s="1760"/>
      <c r="WCT513" s="385"/>
      <c r="WCU513" s="69"/>
      <c r="WCV513" s="69"/>
      <c r="WCW513" s="2512"/>
      <c r="WCX513" s="1758"/>
      <c r="WCY513" s="1759"/>
      <c r="WCZ513" s="1759"/>
      <c r="WDA513" s="1760"/>
      <c r="WDB513" s="385"/>
      <c r="WDC513" s="69"/>
      <c r="WDD513" s="69"/>
      <c r="WDE513" s="2512"/>
      <c r="WDF513" s="1758"/>
      <c r="WDG513" s="1759"/>
      <c r="WDH513" s="1759"/>
      <c r="WDI513" s="1760"/>
      <c r="WDJ513" s="385"/>
      <c r="WDK513" s="69"/>
      <c r="WDL513" s="69"/>
      <c r="WDM513" s="2512"/>
      <c r="WDN513" s="1758"/>
      <c r="WDO513" s="1759"/>
      <c r="WDP513" s="1759"/>
      <c r="WDQ513" s="1760"/>
      <c r="WDR513" s="385"/>
      <c r="WDS513" s="69"/>
      <c r="WDT513" s="69"/>
      <c r="WDU513" s="2512"/>
      <c r="WDV513" s="1758"/>
      <c r="WDW513" s="1759"/>
      <c r="WDX513" s="1759"/>
      <c r="WDY513" s="1760"/>
      <c r="WDZ513" s="385"/>
      <c r="WEA513" s="69"/>
      <c r="WEB513" s="69"/>
      <c r="WEC513" s="2512"/>
      <c r="WED513" s="1758"/>
      <c r="WEE513" s="1759"/>
      <c r="WEF513" s="1759"/>
      <c r="WEG513" s="1760"/>
      <c r="WEH513" s="385"/>
      <c r="WEI513" s="69"/>
      <c r="WEJ513" s="69"/>
      <c r="WEK513" s="2512"/>
      <c r="WEL513" s="1758"/>
      <c r="WEM513" s="1759"/>
      <c r="WEN513" s="1759"/>
      <c r="WEO513" s="1760"/>
      <c r="WEP513" s="385"/>
      <c r="WEQ513" s="69"/>
      <c r="WER513" s="69"/>
      <c r="WES513" s="2512"/>
      <c r="WET513" s="1758"/>
      <c r="WEU513" s="1759"/>
      <c r="WEV513" s="1759"/>
      <c r="WEW513" s="1760"/>
      <c r="WEX513" s="385"/>
      <c r="WEY513" s="69"/>
      <c r="WEZ513" s="69"/>
      <c r="WFA513" s="2512"/>
      <c r="WFB513" s="1758"/>
      <c r="WFC513" s="1759"/>
      <c r="WFD513" s="1759"/>
      <c r="WFE513" s="1760"/>
      <c r="WFF513" s="385"/>
      <c r="WFG513" s="69"/>
      <c r="WFH513" s="69"/>
      <c r="WFI513" s="2512"/>
      <c r="WFJ513" s="1758"/>
      <c r="WFK513" s="1759"/>
      <c r="WFL513" s="1759"/>
      <c r="WFM513" s="1760"/>
      <c r="WFN513" s="385"/>
      <c r="WFO513" s="69"/>
      <c r="WFP513" s="69"/>
      <c r="WFQ513" s="2512"/>
      <c r="WFR513" s="1758"/>
      <c r="WFS513" s="1759"/>
      <c r="WFT513" s="1759"/>
      <c r="WFU513" s="1760"/>
      <c r="WFV513" s="385"/>
      <c r="WFW513" s="69"/>
      <c r="WFX513" s="69"/>
      <c r="WFY513" s="2512"/>
      <c r="WFZ513" s="1758"/>
      <c r="WGA513" s="1759"/>
      <c r="WGB513" s="1759"/>
      <c r="WGC513" s="1760"/>
      <c r="WGD513" s="385"/>
      <c r="WGE513" s="69"/>
      <c r="WGF513" s="69"/>
      <c r="WGG513" s="2512"/>
      <c r="WGH513" s="1758"/>
      <c r="WGI513" s="1759"/>
      <c r="WGJ513" s="1759"/>
      <c r="WGK513" s="1760"/>
      <c r="WGL513" s="385"/>
      <c r="WGM513" s="69"/>
      <c r="WGN513" s="69"/>
      <c r="WGO513" s="2512"/>
      <c r="WGP513" s="1758"/>
      <c r="WGQ513" s="1759"/>
      <c r="WGR513" s="1759"/>
      <c r="WGS513" s="1760"/>
      <c r="WGT513" s="385"/>
      <c r="WGU513" s="69"/>
      <c r="WGV513" s="69"/>
      <c r="WGW513" s="2512"/>
      <c r="WGX513" s="1758"/>
      <c r="WGY513" s="1759"/>
      <c r="WGZ513" s="1759"/>
      <c r="WHA513" s="1760"/>
      <c r="WHB513" s="385"/>
      <c r="WHC513" s="69"/>
      <c r="WHD513" s="69"/>
      <c r="WHE513" s="2512"/>
      <c r="WHF513" s="1758"/>
      <c r="WHG513" s="1759"/>
      <c r="WHH513" s="1759"/>
      <c r="WHI513" s="1760"/>
      <c r="WHJ513" s="385"/>
      <c r="WHK513" s="69"/>
      <c r="WHL513" s="69"/>
      <c r="WHM513" s="2512"/>
      <c r="WHN513" s="1758"/>
      <c r="WHO513" s="1759"/>
      <c r="WHP513" s="1759"/>
      <c r="WHQ513" s="1760"/>
      <c r="WHR513" s="385"/>
      <c r="WHS513" s="69"/>
      <c r="WHT513" s="69"/>
      <c r="WHU513" s="2512"/>
      <c r="WHV513" s="1758"/>
      <c r="WHW513" s="1759"/>
      <c r="WHX513" s="1759"/>
      <c r="WHY513" s="1760"/>
      <c r="WHZ513" s="385"/>
      <c r="WIA513" s="69"/>
      <c r="WIB513" s="69"/>
      <c r="WIC513" s="2512"/>
      <c r="WID513" s="1758"/>
      <c r="WIE513" s="1759"/>
      <c r="WIF513" s="1759"/>
      <c r="WIG513" s="1760"/>
      <c r="WIH513" s="385"/>
      <c r="WII513" s="69"/>
      <c r="WIJ513" s="69"/>
      <c r="WIK513" s="2512"/>
      <c r="WIL513" s="1758"/>
      <c r="WIM513" s="1759"/>
      <c r="WIN513" s="1759"/>
      <c r="WIO513" s="1760"/>
      <c r="WIP513" s="385"/>
      <c r="WIQ513" s="69"/>
      <c r="WIR513" s="69"/>
      <c r="WIS513" s="2512"/>
      <c r="WIT513" s="1758"/>
      <c r="WIU513" s="1759"/>
      <c r="WIV513" s="1759"/>
      <c r="WIW513" s="1760"/>
      <c r="WIX513" s="385"/>
      <c r="WIY513" s="69"/>
      <c r="WIZ513" s="69"/>
      <c r="WJA513" s="2512"/>
      <c r="WJB513" s="1758"/>
      <c r="WJC513" s="1759"/>
      <c r="WJD513" s="1759"/>
      <c r="WJE513" s="1760"/>
      <c r="WJF513" s="385"/>
      <c r="WJG513" s="69"/>
      <c r="WJH513" s="69"/>
      <c r="WJI513" s="2512"/>
      <c r="WJJ513" s="1758"/>
      <c r="WJK513" s="1759"/>
      <c r="WJL513" s="1759"/>
      <c r="WJM513" s="1760"/>
      <c r="WJN513" s="385"/>
      <c r="WJO513" s="69"/>
      <c r="WJP513" s="69"/>
      <c r="WJQ513" s="2512"/>
      <c r="WJR513" s="1758"/>
      <c r="WJS513" s="1759"/>
      <c r="WJT513" s="1759"/>
      <c r="WJU513" s="1760"/>
      <c r="WJV513" s="385"/>
      <c r="WJW513" s="69"/>
      <c r="WJX513" s="69"/>
      <c r="WJY513" s="2512"/>
      <c r="WJZ513" s="1758"/>
      <c r="WKA513" s="1759"/>
      <c r="WKB513" s="1759"/>
      <c r="WKC513" s="1760"/>
      <c r="WKD513" s="385"/>
      <c r="WKE513" s="69"/>
      <c r="WKF513" s="69"/>
      <c r="WKG513" s="2512"/>
      <c r="WKH513" s="1758"/>
      <c r="WKI513" s="1759"/>
      <c r="WKJ513" s="1759"/>
      <c r="WKK513" s="1760"/>
      <c r="WKL513" s="385"/>
      <c r="WKM513" s="69"/>
      <c r="WKN513" s="69"/>
      <c r="WKO513" s="2512"/>
      <c r="WKP513" s="1758"/>
      <c r="WKQ513" s="1759"/>
      <c r="WKR513" s="1759"/>
      <c r="WKS513" s="1760"/>
      <c r="WKT513" s="385"/>
      <c r="WKU513" s="69"/>
      <c r="WKV513" s="69"/>
      <c r="WKW513" s="2512"/>
      <c r="WKX513" s="1758"/>
      <c r="WKY513" s="1759"/>
      <c r="WKZ513" s="1759"/>
      <c r="WLA513" s="1760"/>
      <c r="WLB513" s="385"/>
      <c r="WLC513" s="69"/>
      <c r="WLD513" s="69"/>
      <c r="WLE513" s="2512"/>
      <c r="WLF513" s="1758"/>
      <c r="WLG513" s="1759"/>
      <c r="WLH513" s="1759"/>
      <c r="WLI513" s="1760"/>
      <c r="WLJ513" s="385"/>
      <c r="WLK513" s="69"/>
      <c r="WLL513" s="69"/>
      <c r="WLM513" s="2512"/>
      <c r="WLN513" s="1758"/>
      <c r="WLO513" s="1759"/>
      <c r="WLP513" s="1759"/>
      <c r="WLQ513" s="1760"/>
      <c r="WLR513" s="385"/>
      <c r="WLS513" s="69"/>
      <c r="WLT513" s="69"/>
      <c r="WLU513" s="2512"/>
      <c r="WLV513" s="1758"/>
      <c r="WLW513" s="1759"/>
      <c r="WLX513" s="1759"/>
      <c r="WLY513" s="1760"/>
      <c r="WLZ513" s="385"/>
      <c r="WMA513" s="69"/>
      <c r="WMB513" s="69"/>
      <c r="WMC513" s="2512"/>
      <c r="WMD513" s="1758"/>
      <c r="WME513" s="1759"/>
      <c r="WMF513" s="1759"/>
      <c r="WMG513" s="1760"/>
      <c r="WMH513" s="385"/>
      <c r="WMI513" s="69"/>
      <c r="WMJ513" s="69"/>
      <c r="WMK513" s="2512"/>
      <c r="WML513" s="1758"/>
      <c r="WMM513" s="1759"/>
      <c r="WMN513" s="1759"/>
      <c r="WMO513" s="1760"/>
      <c r="WMP513" s="385"/>
      <c r="WMQ513" s="69"/>
      <c r="WMR513" s="69"/>
      <c r="WMS513" s="2512"/>
      <c r="WMT513" s="1758"/>
      <c r="WMU513" s="1759"/>
      <c r="WMV513" s="1759"/>
      <c r="WMW513" s="1760"/>
      <c r="WMX513" s="385"/>
      <c r="WMY513" s="69"/>
      <c r="WMZ513" s="69"/>
      <c r="WNA513" s="2512"/>
      <c r="WNB513" s="1758"/>
      <c r="WNC513" s="1759"/>
      <c r="WND513" s="1759"/>
      <c r="WNE513" s="1760"/>
      <c r="WNF513" s="385"/>
      <c r="WNG513" s="69"/>
      <c r="WNH513" s="69"/>
      <c r="WNI513" s="2512"/>
      <c r="WNJ513" s="1758"/>
      <c r="WNK513" s="1759"/>
      <c r="WNL513" s="1759"/>
      <c r="WNM513" s="1760"/>
      <c r="WNN513" s="385"/>
      <c r="WNO513" s="69"/>
      <c r="WNP513" s="69"/>
      <c r="WNQ513" s="2512"/>
      <c r="WNR513" s="1758"/>
      <c r="WNS513" s="1759"/>
      <c r="WNT513" s="1759"/>
      <c r="WNU513" s="1760"/>
      <c r="WNV513" s="385"/>
      <c r="WNW513" s="69"/>
      <c r="WNX513" s="69"/>
      <c r="WNY513" s="2512"/>
      <c r="WNZ513" s="1758"/>
      <c r="WOA513" s="1759"/>
      <c r="WOB513" s="1759"/>
      <c r="WOC513" s="1760"/>
      <c r="WOD513" s="385"/>
      <c r="WOE513" s="69"/>
      <c r="WOF513" s="69"/>
      <c r="WOG513" s="2512"/>
      <c r="WOH513" s="1758"/>
      <c r="WOI513" s="1759"/>
      <c r="WOJ513" s="1759"/>
      <c r="WOK513" s="1760"/>
      <c r="WOL513" s="385"/>
      <c r="WOM513" s="69"/>
      <c r="WON513" s="69"/>
      <c r="WOO513" s="2512"/>
      <c r="WOP513" s="1758"/>
      <c r="WOQ513" s="1759"/>
      <c r="WOR513" s="1759"/>
      <c r="WOS513" s="1760"/>
      <c r="WOT513" s="385"/>
      <c r="WOU513" s="69"/>
      <c r="WOV513" s="69"/>
      <c r="WOW513" s="2512"/>
      <c r="WOX513" s="1758"/>
      <c r="WOY513" s="1759"/>
      <c r="WOZ513" s="1759"/>
      <c r="WPA513" s="1760"/>
      <c r="WPB513" s="385"/>
      <c r="WPC513" s="69"/>
      <c r="WPD513" s="69"/>
      <c r="WPE513" s="2512"/>
      <c r="WPF513" s="1758"/>
      <c r="WPG513" s="1759"/>
      <c r="WPH513" s="1759"/>
      <c r="WPI513" s="1760"/>
      <c r="WPJ513" s="385"/>
      <c r="WPK513" s="69"/>
      <c r="WPL513" s="69"/>
      <c r="WPM513" s="2512"/>
      <c r="WPN513" s="1758"/>
      <c r="WPO513" s="1759"/>
      <c r="WPP513" s="1759"/>
      <c r="WPQ513" s="1760"/>
      <c r="WPR513" s="385"/>
      <c r="WPS513" s="69"/>
      <c r="WPT513" s="69"/>
      <c r="WPU513" s="2512"/>
      <c r="WPV513" s="1758"/>
      <c r="WPW513" s="1759"/>
      <c r="WPX513" s="1759"/>
      <c r="WPY513" s="1760"/>
      <c r="WPZ513" s="385"/>
      <c r="WQA513" s="69"/>
      <c r="WQB513" s="69"/>
      <c r="WQC513" s="2512"/>
      <c r="WQD513" s="1758"/>
      <c r="WQE513" s="1759"/>
      <c r="WQF513" s="1759"/>
      <c r="WQG513" s="1760"/>
      <c r="WQH513" s="385"/>
      <c r="WQI513" s="69"/>
      <c r="WQJ513" s="69"/>
      <c r="WQK513" s="2512"/>
      <c r="WQL513" s="1758"/>
      <c r="WQM513" s="1759"/>
      <c r="WQN513" s="1759"/>
      <c r="WQO513" s="1760"/>
      <c r="WQP513" s="385"/>
      <c r="WQQ513" s="69"/>
      <c r="WQR513" s="69"/>
      <c r="WQS513" s="2512"/>
      <c r="WQT513" s="1758"/>
      <c r="WQU513" s="1759"/>
      <c r="WQV513" s="1759"/>
      <c r="WQW513" s="1760"/>
      <c r="WQX513" s="385"/>
      <c r="WQY513" s="69"/>
      <c r="WQZ513" s="69"/>
      <c r="WRA513" s="2512"/>
      <c r="WRB513" s="1758"/>
      <c r="WRC513" s="1759"/>
      <c r="WRD513" s="1759"/>
      <c r="WRE513" s="1760"/>
      <c r="WRF513" s="385"/>
      <c r="WRG513" s="69"/>
      <c r="WRH513" s="69"/>
      <c r="WRI513" s="2512"/>
      <c r="WRJ513" s="1758"/>
      <c r="WRK513" s="1759"/>
      <c r="WRL513" s="1759"/>
      <c r="WRM513" s="1760"/>
      <c r="WRN513" s="385"/>
      <c r="WRO513" s="69"/>
      <c r="WRP513" s="69"/>
      <c r="WRQ513" s="2512"/>
      <c r="WRR513" s="1758"/>
      <c r="WRS513" s="1759"/>
      <c r="WRT513" s="1759"/>
      <c r="WRU513" s="1760"/>
      <c r="WRV513" s="385"/>
      <c r="WRW513" s="69"/>
      <c r="WRX513" s="69"/>
      <c r="WRY513" s="2512"/>
      <c r="WRZ513" s="1758"/>
      <c r="WSA513" s="1759"/>
      <c r="WSB513" s="1759"/>
      <c r="WSC513" s="1760"/>
      <c r="WSD513" s="385"/>
      <c r="WSE513" s="69"/>
      <c r="WSF513" s="69"/>
      <c r="WSG513" s="2512"/>
      <c r="WSH513" s="1758"/>
      <c r="WSI513" s="1759"/>
      <c r="WSJ513" s="1759"/>
      <c r="WSK513" s="1760"/>
      <c r="WSL513" s="385"/>
      <c r="WSM513" s="69"/>
      <c r="WSN513" s="69"/>
      <c r="WSO513" s="2512"/>
      <c r="WSP513" s="1758"/>
      <c r="WSQ513" s="1759"/>
      <c r="WSR513" s="1759"/>
      <c r="WSS513" s="1760"/>
      <c r="WST513" s="385"/>
      <c r="WSU513" s="69"/>
      <c r="WSV513" s="69"/>
      <c r="WSW513" s="2512"/>
      <c r="WSX513" s="1758"/>
      <c r="WSY513" s="1759"/>
      <c r="WSZ513" s="1759"/>
      <c r="WTA513" s="1760"/>
      <c r="WTB513" s="385"/>
      <c r="WTC513" s="69"/>
      <c r="WTD513" s="69"/>
      <c r="WTE513" s="2512"/>
      <c r="WTF513" s="1758"/>
      <c r="WTG513" s="1759"/>
      <c r="WTH513" s="1759"/>
      <c r="WTI513" s="1760"/>
      <c r="WTJ513" s="385"/>
      <c r="WTK513" s="69"/>
      <c r="WTL513" s="69"/>
      <c r="WTM513" s="2512"/>
      <c r="WTN513" s="1758"/>
      <c r="WTO513" s="1759"/>
      <c r="WTP513" s="1759"/>
      <c r="WTQ513" s="1760"/>
      <c r="WTR513" s="385"/>
      <c r="WTS513" s="69"/>
      <c r="WTT513" s="69"/>
      <c r="WTU513" s="2512"/>
      <c r="WTV513" s="1758"/>
      <c r="WTW513" s="1759"/>
      <c r="WTX513" s="1759"/>
      <c r="WTY513" s="1760"/>
      <c r="WTZ513" s="385"/>
      <c r="WUA513" s="69"/>
      <c r="WUB513" s="69"/>
      <c r="WUC513" s="2512"/>
      <c r="WUD513" s="1758"/>
      <c r="WUE513" s="1759"/>
      <c r="WUF513" s="1759"/>
      <c r="WUG513" s="1760"/>
      <c r="WUH513" s="385"/>
      <c r="WUI513" s="69"/>
      <c r="WUJ513" s="69"/>
      <c r="WUK513" s="2512"/>
      <c r="WUL513" s="1758"/>
      <c r="WUM513" s="1759"/>
      <c r="WUN513" s="1759"/>
      <c r="WUO513" s="1760"/>
      <c r="WUP513" s="385"/>
      <c r="WUQ513" s="69"/>
      <c r="WUR513" s="69"/>
      <c r="WUS513" s="2512"/>
      <c r="WUT513" s="1758"/>
      <c r="WUU513" s="1759"/>
      <c r="WUV513" s="1759"/>
      <c r="WUW513" s="1760"/>
      <c r="WUX513" s="385"/>
      <c r="WUY513" s="69"/>
      <c r="WUZ513" s="69"/>
      <c r="WVA513" s="2512"/>
      <c r="WVB513" s="1758"/>
      <c r="WVC513" s="1759"/>
      <c r="WVD513" s="1759"/>
      <c r="WVE513" s="1760"/>
      <c r="WVF513" s="385"/>
      <c r="WVG513" s="69"/>
      <c r="WVH513" s="69"/>
      <c r="WVI513" s="2512"/>
      <c r="WVJ513" s="1758"/>
      <c r="WVK513" s="1759"/>
      <c r="WVL513" s="1759"/>
      <c r="WVM513" s="1760"/>
      <c r="WVN513" s="385"/>
      <c r="WVO513" s="69"/>
      <c r="WVP513" s="69"/>
      <c r="WVQ513" s="2512"/>
      <c r="WVR513" s="1758"/>
      <c r="WVS513" s="1759"/>
      <c r="WVT513" s="1759"/>
      <c r="WVU513" s="1760"/>
      <c r="WVV513" s="385"/>
      <c r="WVW513" s="69"/>
      <c r="WVX513" s="69"/>
      <c r="WVY513" s="2512"/>
      <c r="WVZ513" s="1758"/>
      <c r="WWA513" s="1759"/>
      <c r="WWB513" s="1759"/>
      <c r="WWC513" s="1760"/>
      <c r="WWD513" s="385"/>
      <c r="WWE513" s="69"/>
      <c r="WWF513" s="69"/>
      <c r="WWG513" s="2512"/>
      <c r="WWH513" s="1758"/>
      <c r="WWI513" s="1759"/>
      <c r="WWJ513" s="1759"/>
      <c r="WWK513" s="1760"/>
      <c r="WWL513" s="385"/>
      <c r="WWM513" s="69"/>
      <c r="WWN513" s="69"/>
      <c r="WWO513" s="2512"/>
      <c r="WWP513" s="1758"/>
      <c r="WWQ513" s="1759"/>
      <c r="WWR513" s="1759"/>
      <c r="WWS513" s="1760"/>
      <c r="WWT513" s="385"/>
      <c r="WWU513" s="69"/>
      <c r="WWV513" s="69"/>
      <c r="WWW513" s="2512"/>
      <c r="WWX513" s="1758"/>
      <c r="WWY513" s="1759"/>
      <c r="WWZ513" s="1759"/>
      <c r="WXA513" s="1760"/>
      <c r="WXB513" s="385"/>
      <c r="WXC513" s="69"/>
      <c r="WXD513" s="69"/>
      <c r="WXE513" s="2512"/>
      <c r="WXF513" s="1758"/>
      <c r="WXG513" s="1759"/>
      <c r="WXH513" s="1759"/>
      <c r="WXI513" s="1760"/>
      <c r="WXJ513" s="385"/>
      <c r="WXK513" s="69"/>
      <c r="WXL513" s="69"/>
      <c r="WXM513" s="2512"/>
      <c r="WXN513" s="1758"/>
      <c r="WXO513" s="1759"/>
      <c r="WXP513" s="1759"/>
      <c r="WXQ513" s="1760"/>
      <c r="WXR513" s="385"/>
      <c r="WXS513" s="69"/>
      <c r="WXT513" s="69"/>
      <c r="WXU513" s="2512"/>
      <c r="WXV513" s="1758"/>
      <c r="WXW513" s="1759"/>
      <c r="WXX513" s="1759"/>
      <c r="WXY513" s="1760"/>
      <c r="WXZ513" s="385"/>
      <c r="WYA513" s="69"/>
      <c r="WYB513" s="69"/>
      <c r="WYC513" s="2512"/>
      <c r="WYD513" s="1758"/>
      <c r="WYE513" s="1759"/>
      <c r="WYF513" s="1759"/>
      <c r="WYG513" s="1760"/>
      <c r="WYH513" s="385"/>
      <c r="WYI513" s="69"/>
      <c r="WYJ513" s="69"/>
      <c r="WYK513" s="2512"/>
      <c r="WYL513" s="1758"/>
      <c r="WYM513" s="1759"/>
      <c r="WYN513" s="1759"/>
      <c r="WYO513" s="1760"/>
      <c r="WYP513" s="385"/>
      <c r="WYQ513" s="69"/>
      <c r="WYR513" s="69"/>
      <c r="WYS513" s="2512"/>
      <c r="WYT513" s="1758"/>
      <c r="WYU513" s="1759"/>
      <c r="WYV513" s="1759"/>
      <c r="WYW513" s="1760"/>
      <c r="WYX513" s="385"/>
      <c r="WYY513" s="69"/>
      <c r="WYZ513" s="69"/>
      <c r="WZA513" s="2512"/>
      <c r="WZB513" s="1758"/>
      <c r="WZC513" s="1759"/>
      <c r="WZD513" s="1759"/>
      <c r="WZE513" s="1760"/>
      <c r="WZF513" s="385"/>
      <c r="WZG513" s="69"/>
      <c r="WZH513" s="69"/>
      <c r="WZI513" s="2512"/>
      <c r="WZJ513" s="1758"/>
      <c r="WZK513" s="1759"/>
      <c r="WZL513" s="1759"/>
      <c r="WZM513" s="1760"/>
      <c r="WZN513" s="385"/>
      <c r="WZO513" s="69"/>
      <c r="WZP513" s="69"/>
      <c r="WZQ513" s="2512"/>
      <c r="WZR513" s="1758"/>
      <c r="WZS513" s="1759"/>
      <c r="WZT513" s="1759"/>
      <c r="WZU513" s="1760"/>
      <c r="WZV513" s="385"/>
      <c r="WZW513" s="69"/>
      <c r="WZX513" s="69"/>
      <c r="WZY513" s="2512"/>
      <c r="WZZ513" s="1758"/>
      <c r="XAA513" s="1759"/>
      <c r="XAB513" s="1759"/>
      <c r="XAC513" s="1760"/>
      <c r="XAD513" s="385"/>
      <c r="XAE513" s="69"/>
      <c r="XAF513" s="69"/>
      <c r="XAG513" s="2512"/>
      <c r="XAH513" s="1758"/>
      <c r="XAI513" s="1759"/>
      <c r="XAJ513" s="1759"/>
      <c r="XAK513" s="1760"/>
      <c r="XAL513" s="385"/>
      <c r="XAM513" s="69"/>
      <c r="XAN513" s="69"/>
      <c r="XAO513" s="2512"/>
      <c r="XAP513" s="1758"/>
      <c r="XAQ513" s="1759"/>
      <c r="XAR513" s="1759"/>
      <c r="XAS513" s="1760"/>
      <c r="XAT513" s="385"/>
      <c r="XAU513" s="69"/>
      <c r="XAV513" s="69"/>
      <c r="XAW513" s="2512"/>
      <c r="XAX513" s="1758"/>
      <c r="XAY513" s="1759"/>
      <c r="XAZ513" s="1759"/>
      <c r="XBA513" s="1760"/>
      <c r="XBB513" s="385"/>
      <c r="XBC513" s="69"/>
      <c r="XBD513" s="69"/>
      <c r="XBE513" s="2512"/>
      <c r="XBF513" s="1758"/>
      <c r="XBG513" s="1759"/>
      <c r="XBH513" s="1759"/>
      <c r="XBI513" s="1760"/>
      <c r="XBJ513" s="385"/>
      <c r="XBK513" s="69"/>
      <c r="XBL513" s="69"/>
      <c r="XBM513" s="2512"/>
      <c r="XBN513" s="1758"/>
      <c r="XBO513" s="1759"/>
      <c r="XBP513" s="1759"/>
      <c r="XBQ513" s="1760"/>
      <c r="XBR513" s="385"/>
      <c r="XBS513" s="69"/>
      <c r="XBT513" s="69"/>
      <c r="XBU513" s="2512"/>
      <c r="XBV513" s="1758"/>
      <c r="XBW513" s="1759"/>
      <c r="XBX513" s="1759"/>
      <c r="XBY513" s="1760"/>
      <c r="XBZ513" s="385"/>
      <c r="XCA513" s="69"/>
      <c r="XCB513" s="69"/>
      <c r="XCC513" s="2512"/>
      <c r="XCD513" s="1758"/>
      <c r="XCE513" s="1759"/>
      <c r="XCF513" s="1759"/>
      <c r="XCG513" s="1760"/>
      <c r="XCH513" s="385"/>
      <c r="XCI513" s="69"/>
      <c r="XCJ513" s="69"/>
      <c r="XCK513" s="2512"/>
      <c r="XCL513" s="1758"/>
      <c r="XCM513" s="1759"/>
      <c r="XCN513" s="1759"/>
      <c r="XCO513" s="1760"/>
      <c r="XCP513" s="385"/>
      <c r="XCQ513" s="69"/>
      <c r="XCR513" s="69"/>
      <c r="XCS513" s="2512"/>
      <c r="XCT513" s="1758"/>
      <c r="XCU513" s="1759"/>
      <c r="XCV513" s="1759"/>
      <c r="XCW513" s="1760"/>
      <c r="XCX513" s="385"/>
      <c r="XCY513" s="69"/>
      <c r="XCZ513" s="69"/>
      <c r="XDA513" s="2512"/>
      <c r="XDB513" s="1758"/>
      <c r="XDC513" s="1759"/>
      <c r="XDD513" s="1759"/>
      <c r="XDE513" s="1760"/>
      <c r="XDF513" s="385"/>
      <c r="XDG513" s="69"/>
      <c r="XDH513" s="69"/>
      <c r="XDI513" s="2512"/>
      <c r="XDJ513" s="1758"/>
      <c r="XDK513" s="1759"/>
      <c r="XDL513" s="1759"/>
      <c r="XDM513" s="1760"/>
      <c r="XDN513" s="385"/>
      <c r="XDO513" s="69"/>
      <c r="XDP513" s="69"/>
      <c r="XDQ513" s="2512"/>
      <c r="XDR513" s="1758"/>
      <c r="XDS513" s="1759"/>
      <c r="XDT513" s="1759"/>
      <c r="XDU513" s="1760"/>
      <c r="XDV513" s="385"/>
      <c r="XDW513" s="69"/>
      <c r="XDX513" s="69"/>
      <c r="XDY513" s="2512"/>
      <c r="XDZ513" s="1758"/>
      <c r="XEA513" s="1759"/>
      <c r="XEB513" s="1759"/>
      <c r="XEC513" s="1760"/>
      <c r="XED513" s="385"/>
      <c r="XEE513" s="69"/>
      <c r="XEF513" s="69"/>
      <c r="XEG513" s="2512"/>
      <c r="XEH513" s="1758"/>
      <c r="XEI513" s="1759"/>
      <c r="XEJ513" s="1759"/>
      <c r="XEK513" s="1760"/>
      <c r="XEL513" s="385"/>
      <c r="XEM513" s="69"/>
      <c r="XEN513" s="69"/>
      <c r="XEO513" s="2512"/>
      <c r="XEP513" s="1758"/>
      <c r="XEQ513" s="1759"/>
      <c r="XER513" s="1759"/>
      <c r="XES513" s="1760"/>
      <c r="XET513" s="385"/>
      <c r="XEU513" s="69"/>
      <c r="XEV513" s="69"/>
      <c r="XEW513" s="2512"/>
      <c r="XEX513" s="1758"/>
      <c r="XEY513" s="1759"/>
      <c r="XEZ513" s="1759"/>
      <c r="XFA513" s="1760"/>
      <c r="XFB513" s="385"/>
      <c r="XFC513" s="69"/>
      <c r="XFD513" s="69"/>
    </row>
    <row r="514" spans="1:16384" s="640" customFormat="1" ht="18" customHeight="1" x14ac:dyDescent="0.3">
      <c r="A514" s="2314"/>
      <c r="B514" s="1718"/>
      <c r="C514" s="1718"/>
      <c r="D514" s="1718"/>
      <c r="E514" s="1718"/>
      <c r="F514" s="385" t="s">
        <v>14</v>
      </c>
      <c r="G514" s="69">
        <f>SUM(H514:L514)</f>
        <v>0</v>
      </c>
      <c r="H514" s="69">
        <v>0</v>
      </c>
      <c r="I514" s="69"/>
      <c r="J514" s="69"/>
      <c r="K514" s="69"/>
      <c r="L514" s="69"/>
      <c r="M514" s="677"/>
      <c r="N514" s="609"/>
      <c r="O514" s="69"/>
      <c r="P514" s="1117"/>
      <c r="Q514" s="2513"/>
      <c r="R514" s="1761"/>
      <c r="S514" s="1762"/>
      <c r="T514" s="1762"/>
      <c r="U514" s="1763"/>
      <c r="V514" s="385"/>
      <c r="W514" s="1171"/>
      <c r="X514" s="69"/>
      <c r="Y514" s="2513"/>
      <c r="Z514" s="1761"/>
      <c r="AA514" s="1762"/>
      <c r="AB514" s="1762"/>
      <c r="AC514" s="1763"/>
      <c r="AD514" s="385"/>
      <c r="AE514" s="69"/>
      <c r="AF514" s="69"/>
      <c r="AG514" s="2513"/>
      <c r="AH514" s="1761"/>
      <c r="AI514" s="1762"/>
      <c r="AJ514" s="1762"/>
      <c r="AK514" s="1763"/>
      <c r="AL514" s="385"/>
      <c r="AM514" s="69"/>
      <c r="AN514" s="69"/>
      <c r="AO514" s="2513"/>
      <c r="AP514" s="1761"/>
      <c r="AQ514" s="1762"/>
      <c r="AR514" s="1762"/>
      <c r="AS514" s="1763"/>
      <c r="AT514" s="385"/>
      <c r="AU514" s="69"/>
      <c r="AV514" s="69"/>
      <c r="AW514" s="2513"/>
      <c r="AX514" s="1761"/>
      <c r="AY514" s="1762"/>
      <c r="AZ514" s="1762"/>
      <c r="BA514" s="1763"/>
      <c r="BB514" s="385"/>
      <c r="BC514" s="69"/>
      <c r="BD514" s="69"/>
      <c r="BE514" s="2513"/>
      <c r="BF514" s="1761"/>
      <c r="BG514" s="1762"/>
      <c r="BH514" s="1762"/>
      <c r="BI514" s="1763"/>
      <c r="BJ514" s="385"/>
      <c r="BK514" s="69"/>
      <c r="BL514" s="69"/>
      <c r="BM514" s="2513"/>
      <c r="BN514" s="1761"/>
      <c r="BO514" s="1762"/>
      <c r="BP514" s="1762"/>
      <c r="BQ514" s="1763"/>
      <c r="BR514" s="385"/>
      <c r="BS514" s="69"/>
      <c r="BT514" s="69"/>
      <c r="BU514" s="2513"/>
      <c r="BV514" s="1761"/>
      <c r="BW514" s="1762"/>
      <c r="BX514" s="1762"/>
      <c r="BY514" s="1763"/>
      <c r="BZ514" s="385"/>
      <c r="CA514" s="69"/>
      <c r="CB514" s="69"/>
      <c r="CC514" s="2513"/>
      <c r="CD514" s="1761"/>
      <c r="CE514" s="1762"/>
      <c r="CF514" s="1762"/>
      <c r="CG514" s="1763"/>
      <c r="CH514" s="385"/>
      <c r="CI514" s="69"/>
      <c r="CJ514" s="69"/>
      <c r="CK514" s="2513"/>
      <c r="CL514" s="1761"/>
      <c r="CM514" s="1762"/>
      <c r="CN514" s="1762"/>
      <c r="CO514" s="1763"/>
      <c r="CP514" s="385"/>
      <c r="CQ514" s="69"/>
      <c r="CR514" s="69"/>
      <c r="CS514" s="2513"/>
      <c r="CT514" s="1761"/>
      <c r="CU514" s="1762"/>
      <c r="CV514" s="1762"/>
      <c r="CW514" s="1763"/>
      <c r="CX514" s="385"/>
      <c r="CY514" s="69"/>
      <c r="CZ514" s="69"/>
      <c r="DA514" s="2513"/>
      <c r="DB514" s="1761"/>
      <c r="DC514" s="1762"/>
      <c r="DD514" s="1762"/>
      <c r="DE514" s="1763"/>
      <c r="DF514" s="385"/>
      <c r="DG514" s="69"/>
      <c r="DH514" s="69"/>
      <c r="DI514" s="2513"/>
      <c r="DJ514" s="1761"/>
      <c r="DK514" s="1762"/>
      <c r="DL514" s="1762"/>
      <c r="DM514" s="1763"/>
      <c r="DN514" s="385"/>
      <c r="DO514" s="69"/>
      <c r="DP514" s="69"/>
      <c r="DQ514" s="2513"/>
      <c r="DR514" s="1761"/>
      <c r="DS514" s="1762"/>
      <c r="DT514" s="1762"/>
      <c r="DU514" s="1763"/>
      <c r="DV514" s="385"/>
      <c r="DW514" s="69"/>
      <c r="DX514" s="69"/>
      <c r="DY514" s="2513"/>
      <c r="DZ514" s="1761"/>
      <c r="EA514" s="1762"/>
      <c r="EB514" s="1762"/>
      <c r="EC514" s="1763"/>
      <c r="ED514" s="385"/>
      <c r="EE514" s="69"/>
      <c r="EF514" s="69"/>
      <c r="EG514" s="2513"/>
      <c r="EH514" s="1761"/>
      <c r="EI514" s="1762"/>
      <c r="EJ514" s="1762"/>
      <c r="EK514" s="1763"/>
      <c r="EL514" s="385"/>
      <c r="EM514" s="69"/>
      <c r="EN514" s="69"/>
      <c r="EO514" s="2513"/>
      <c r="EP514" s="1761"/>
      <c r="EQ514" s="1762"/>
      <c r="ER514" s="1762"/>
      <c r="ES514" s="1763"/>
      <c r="ET514" s="385"/>
      <c r="EU514" s="69"/>
      <c r="EV514" s="69"/>
      <c r="EW514" s="2513"/>
      <c r="EX514" s="1761"/>
      <c r="EY514" s="1762"/>
      <c r="EZ514" s="1762"/>
      <c r="FA514" s="1763"/>
      <c r="FB514" s="385"/>
      <c r="FC514" s="69"/>
      <c r="FD514" s="69"/>
      <c r="FE514" s="2513"/>
      <c r="FF514" s="1761"/>
      <c r="FG514" s="1762"/>
      <c r="FH514" s="1762"/>
      <c r="FI514" s="1763"/>
      <c r="FJ514" s="385"/>
      <c r="FK514" s="69"/>
      <c r="FL514" s="69"/>
      <c r="FM514" s="2513"/>
      <c r="FN514" s="1761"/>
      <c r="FO514" s="1762"/>
      <c r="FP514" s="1762"/>
      <c r="FQ514" s="1763"/>
      <c r="FR514" s="385"/>
      <c r="FS514" s="69"/>
      <c r="FT514" s="69"/>
      <c r="FU514" s="2513"/>
      <c r="FV514" s="1761"/>
      <c r="FW514" s="1762"/>
      <c r="FX514" s="1762"/>
      <c r="FY514" s="1763"/>
      <c r="FZ514" s="385"/>
      <c r="GA514" s="69"/>
      <c r="GB514" s="69"/>
      <c r="GC514" s="2513"/>
      <c r="GD514" s="1761"/>
      <c r="GE514" s="1762"/>
      <c r="GF514" s="1762"/>
      <c r="GG514" s="1763"/>
      <c r="GH514" s="385"/>
      <c r="GI514" s="69"/>
      <c r="GJ514" s="69"/>
      <c r="GK514" s="2513"/>
      <c r="GL514" s="1761"/>
      <c r="GM514" s="1762"/>
      <c r="GN514" s="1762"/>
      <c r="GO514" s="1763"/>
      <c r="GP514" s="385"/>
      <c r="GQ514" s="69"/>
      <c r="GR514" s="69"/>
      <c r="GS514" s="2513"/>
      <c r="GT514" s="1761"/>
      <c r="GU514" s="1762"/>
      <c r="GV514" s="1762"/>
      <c r="GW514" s="1763"/>
      <c r="GX514" s="385"/>
      <c r="GY514" s="69"/>
      <c r="GZ514" s="69"/>
      <c r="HA514" s="2513"/>
      <c r="HB514" s="1761"/>
      <c r="HC514" s="1762"/>
      <c r="HD514" s="1762"/>
      <c r="HE514" s="1763"/>
      <c r="HF514" s="385"/>
      <c r="HG514" s="69"/>
      <c r="HH514" s="69"/>
      <c r="HI514" s="2513"/>
      <c r="HJ514" s="1761"/>
      <c r="HK514" s="1762"/>
      <c r="HL514" s="1762"/>
      <c r="HM514" s="1763"/>
      <c r="HN514" s="385"/>
      <c r="HO514" s="69"/>
      <c r="HP514" s="69"/>
      <c r="HQ514" s="2513"/>
      <c r="HR514" s="1761"/>
      <c r="HS514" s="1762"/>
      <c r="HT514" s="1762"/>
      <c r="HU514" s="1763"/>
      <c r="HV514" s="385"/>
      <c r="HW514" s="69"/>
      <c r="HX514" s="69"/>
      <c r="HY514" s="2513"/>
      <c r="HZ514" s="1761"/>
      <c r="IA514" s="1762"/>
      <c r="IB514" s="1762"/>
      <c r="IC514" s="1763"/>
      <c r="ID514" s="385"/>
      <c r="IE514" s="69"/>
      <c r="IF514" s="69"/>
      <c r="IG514" s="2513"/>
      <c r="IH514" s="1761"/>
      <c r="II514" s="1762"/>
      <c r="IJ514" s="1762"/>
      <c r="IK514" s="1763"/>
      <c r="IL514" s="385"/>
      <c r="IM514" s="69"/>
      <c r="IN514" s="69"/>
      <c r="IO514" s="2513"/>
      <c r="IP514" s="1761"/>
      <c r="IQ514" s="1762"/>
      <c r="IR514" s="1762"/>
      <c r="IS514" s="1763"/>
      <c r="IT514" s="385"/>
      <c r="IU514" s="69"/>
      <c r="IV514" s="69"/>
      <c r="IW514" s="2513"/>
      <c r="IX514" s="1761"/>
      <c r="IY514" s="1762"/>
      <c r="IZ514" s="1762"/>
      <c r="JA514" s="1763"/>
      <c r="JB514" s="385"/>
      <c r="JC514" s="69"/>
      <c r="JD514" s="69"/>
      <c r="JE514" s="2513"/>
      <c r="JF514" s="1761"/>
      <c r="JG514" s="1762"/>
      <c r="JH514" s="1762"/>
      <c r="JI514" s="1763"/>
      <c r="JJ514" s="385"/>
      <c r="JK514" s="69"/>
      <c r="JL514" s="69"/>
      <c r="JM514" s="2513"/>
      <c r="JN514" s="1761"/>
      <c r="JO514" s="1762"/>
      <c r="JP514" s="1762"/>
      <c r="JQ514" s="1763"/>
      <c r="JR514" s="385"/>
      <c r="JS514" s="69"/>
      <c r="JT514" s="69"/>
      <c r="JU514" s="2513"/>
      <c r="JV514" s="1761"/>
      <c r="JW514" s="1762"/>
      <c r="JX514" s="1762"/>
      <c r="JY514" s="1763"/>
      <c r="JZ514" s="385"/>
      <c r="KA514" s="69"/>
      <c r="KB514" s="69"/>
      <c r="KC514" s="2513"/>
      <c r="KD514" s="1761"/>
      <c r="KE514" s="1762"/>
      <c r="KF514" s="1762"/>
      <c r="KG514" s="1763"/>
      <c r="KH514" s="385"/>
      <c r="KI514" s="69"/>
      <c r="KJ514" s="69"/>
      <c r="KK514" s="2513"/>
      <c r="KL514" s="1761"/>
      <c r="KM514" s="1762"/>
      <c r="KN514" s="1762"/>
      <c r="KO514" s="1763"/>
      <c r="KP514" s="385"/>
      <c r="KQ514" s="69"/>
      <c r="KR514" s="69"/>
      <c r="KS514" s="2513"/>
      <c r="KT514" s="1761"/>
      <c r="KU514" s="1762"/>
      <c r="KV514" s="1762"/>
      <c r="KW514" s="1763"/>
      <c r="KX514" s="385"/>
      <c r="KY514" s="69"/>
      <c r="KZ514" s="69"/>
      <c r="LA514" s="2513"/>
      <c r="LB514" s="1761"/>
      <c r="LC514" s="1762"/>
      <c r="LD514" s="1762"/>
      <c r="LE514" s="1763"/>
      <c r="LF514" s="385"/>
      <c r="LG514" s="69"/>
      <c r="LH514" s="69"/>
      <c r="LI514" s="2513"/>
      <c r="LJ514" s="1761"/>
      <c r="LK514" s="1762"/>
      <c r="LL514" s="1762"/>
      <c r="LM514" s="1763"/>
      <c r="LN514" s="385"/>
      <c r="LO514" s="69"/>
      <c r="LP514" s="69"/>
      <c r="LQ514" s="2513"/>
      <c r="LR514" s="1761"/>
      <c r="LS514" s="1762"/>
      <c r="LT514" s="1762"/>
      <c r="LU514" s="1763"/>
      <c r="LV514" s="385"/>
      <c r="LW514" s="69"/>
      <c r="LX514" s="69"/>
      <c r="LY514" s="2513"/>
      <c r="LZ514" s="1761"/>
      <c r="MA514" s="1762"/>
      <c r="MB514" s="1762"/>
      <c r="MC514" s="1763"/>
      <c r="MD514" s="385"/>
      <c r="ME514" s="69"/>
      <c r="MF514" s="69"/>
      <c r="MG514" s="2513"/>
      <c r="MH514" s="1761"/>
      <c r="MI514" s="1762"/>
      <c r="MJ514" s="1762"/>
      <c r="MK514" s="1763"/>
      <c r="ML514" s="385"/>
      <c r="MM514" s="69"/>
      <c r="MN514" s="69"/>
      <c r="MO514" s="2513"/>
      <c r="MP514" s="1761"/>
      <c r="MQ514" s="1762"/>
      <c r="MR514" s="1762"/>
      <c r="MS514" s="1763"/>
      <c r="MT514" s="385"/>
      <c r="MU514" s="69"/>
      <c r="MV514" s="69"/>
      <c r="MW514" s="2513"/>
      <c r="MX514" s="1761"/>
      <c r="MY514" s="1762"/>
      <c r="MZ514" s="1762"/>
      <c r="NA514" s="1763"/>
      <c r="NB514" s="385"/>
      <c r="NC514" s="69"/>
      <c r="ND514" s="69"/>
      <c r="NE514" s="2513"/>
      <c r="NF514" s="1761"/>
      <c r="NG514" s="1762"/>
      <c r="NH514" s="1762"/>
      <c r="NI514" s="1763"/>
      <c r="NJ514" s="385"/>
      <c r="NK514" s="69"/>
      <c r="NL514" s="69"/>
      <c r="NM514" s="2513"/>
      <c r="NN514" s="1761"/>
      <c r="NO514" s="1762"/>
      <c r="NP514" s="1762"/>
      <c r="NQ514" s="1763"/>
      <c r="NR514" s="385"/>
      <c r="NS514" s="69"/>
      <c r="NT514" s="69"/>
      <c r="NU514" s="2513"/>
      <c r="NV514" s="1761"/>
      <c r="NW514" s="1762"/>
      <c r="NX514" s="1762"/>
      <c r="NY514" s="1763"/>
      <c r="NZ514" s="385"/>
      <c r="OA514" s="69"/>
      <c r="OB514" s="69"/>
      <c r="OC514" s="2513"/>
      <c r="OD514" s="1761"/>
      <c r="OE514" s="1762"/>
      <c r="OF514" s="1762"/>
      <c r="OG514" s="1763"/>
      <c r="OH514" s="385"/>
      <c r="OI514" s="69"/>
      <c r="OJ514" s="69"/>
      <c r="OK514" s="2513"/>
      <c r="OL514" s="1761"/>
      <c r="OM514" s="1762"/>
      <c r="ON514" s="1762"/>
      <c r="OO514" s="1763"/>
      <c r="OP514" s="385"/>
      <c r="OQ514" s="69"/>
      <c r="OR514" s="69"/>
      <c r="OS514" s="2513"/>
      <c r="OT514" s="1761"/>
      <c r="OU514" s="1762"/>
      <c r="OV514" s="1762"/>
      <c r="OW514" s="1763"/>
      <c r="OX514" s="385"/>
      <c r="OY514" s="69"/>
      <c r="OZ514" s="69"/>
      <c r="PA514" s="2513"/>
      <c r="PB514" s="1761"/>
      <c r="PC514" s="1762"/>
      <c r="PD514" s="1762"/>
      <c r="PE514" s="1763"/>
      <c r="PF514" s="385"/>
      <c r="PG514" s="69"/>
      <c r="PH514" s="69"/>
      <c r="PI514" s="2513"/>
      <c r="PJ514" s="1761"/>
      <c r="PK514" s="1762"/>
      <c r="PL514" s="1762"/>
      <c r="PM514" s="1763"/>
      <c r="PN514" s="385"/>
      <c r="PO514" s="69"/>
      <c r="PP514" s="69"/>
      <c r="PQ514" s="2513"/>
      <c r="PR514" s="1761"/>
      <c r="PS514" s="1762"/>
      <c r="PT514" s="1762"/>
      <c r="PU514" s="1763"/>
      <c r="PV514" s="385"/>
      <c r="PW514" s="69"/>
      <c r="PX514" s="69"/>
      <c r="PY514" s="2513"/>
      <c r="PZ514" s="1761"/>
      <c r="QA514" s="1762"/>
      <c r="QB514" s="1762"/>
      <c r="QC514" s="1763"/>
      <c r="QD514" s="385"/>
      <c r="QE514" s="69"/>
      <c r="QF514" s="69"/>
      <c r="QG514" s="2513"/>
      <c r="QH514" s="1761"/>
      <c r="QI514" s="1762"/>
      <c r="QJ514" s="1762"/>
      <c r="QK514" s="1763"/>
      <c r="QL514" s="385"/>
      <c r="QM514" s="69"/>
      <c r="QN514" s="69"/>
      <c r="QO514" s="2513"/>
      <c r="QP514" s="1761"/>
      <c r="QQ514" s="1762"/>
      <c r="QR514" s="1762"/>
      <c r="QS514" s="1763"/>
      <c r="QT514" s="385"/>
      <c r="QU514" s="69"/>
      <c r="QV514" s="69"/>
      <c r="QW514" s="2513"/>
      <c r="QX514" s="1761"/>
      <c r="QY514" s="1762"/>
      <c r="QZ514" s="1762"/>
      <c r="RA514" s="1763"/>
      <c r="RB514" s="385"/>
      <c r="RC514" s="69"/>
      <c r="RD514" s="69"/>
      <c r="RE514" s="2513"/>
      <c r="RF514" s="1761"/>
      <c r="RG514" s="1762"/>
      <c r="RH514" s="1762"/>
      <c r="RI514" s="1763"/>
      <c r="RJ514" s="385"/>
      <c r="RK514" s="69"/>
      <c r="RL514" s="69"/>
      <c r="RM514" s="2513"/>
      <c r="RN514" s="1761"/>
      <c r="RO514" s="1762"/>
      <c r="RP514" s="1762"/>
      <c r="RQ514" s="1763"/>
      <c r="RR514" s="385"/>
      <c r="RS514" s="69"/>
      <c r="RT514" s="69"/>
      <c r="RU514" s="2513"/>
      <c r="RV514" s="1761"/>
      <c r="RW514" s="1762"/>
      <c r="RX514" s="1762"/>
      <c r="RY514" s="1763"/>
      <c r="RZ514" s="385"/>
      <c r="SA514" s="69"/>
      <c r="SB514" s="69"/>
      <c r="SC514" s="2513"/>
      <c r="SD514" s="1761"/>
      <c r="SE514" s="1762"/>
      <c r="SF514" s="1762"/>
      <c r="SG514" s="1763"/>
      <c r="SH514" s="385"/>
      <c r="SI514" s="69"/>
      <c r="SJ514" s="69"/>
      <c r="SK514" s="2513"/>
      <c r="SL514" s="1761"/>
      <c r="SM514" s="1762"/>
      <c r="SN514" s="1762"/>
      <c r="SO514" s="1763"/>
      <c r="SP514" s="385"/>
      <c r="SQ514" s="69"/>
      <c r="SR514" s="69"/>
      <c r="SS514" s="2513"/>
      <c r="ST514" s="1761"/>
      <c r="SU514" s="1762"/>
      <c r="SV514" s="1762"/>
      <c r="SW514" s="1763"/>
      <c r="SX514" s="385"/>
      <c r="SY514" s="69"/>
      <c r="SZ514" s="69"/>
      <c r="TA514" s="2513"/>
      <c r="TB514" s="1761"/>
      <c r="TC514" s="1762"/>
      <c r="TD514" s="1762"/>
      <c r="TE514" s="1763"/>
      <c r="TF514" s="385"/>
      <c r="TG514" s="69"/>
      <c r="TH514" s="69"/>
      <c r="TI514" s="2513"/>
      <c r="TJ514" s="1761"/>
      <c r="TK514" s="1762"/>
      <c r="TL514" s="1762"/>
      <c r="TM514" s="1763"/>
      <c r="TN514" s="385"/>
      <c r="TO514" s="69"/>
      <c r="TP514" s="69"/>
      <c r="TQ514" s="2513"/>
      <c r="TR514" s="1761"/>
      <c r="TS514" s="1762"/>
      <c r="TT514" s="1762"/>
      <c r="TU514" s="1763"/>
      <c r="TV514" s="385"/>
      <c r="TW514" s="69"/>
      <c r="TX514" s="69"/>
      <c r="TY514" s="2513"/>
      <c r="TZ514" s="1761"/>
      <c r="UA514" s="1762"/>
      <c r="UB514" s="1762"/>
      <c r="UC514" s="1763"/>
      <c r="UD514" s="385"/>
      <c r="UE514" s="69"/>
      <c r="UF514" s="69"/>
      <c r="UG514" s="2513"/>
      <c r="UH514" s="1761"/>
      <c r="UI514" s="1762"/>
      <c r="UJ514" s="1762"/>
      <c r="UK514" s="1763"/>
      <c r="UL514" s="385"/>
      <c r="UM514" s="69"/>
      <c r="UN514" s="69"/>
      <c r="UO514" s="2513"/>
      <c r="UP514" s="1761"/>
      <c r="UQ514" s="1762"/>
      <c r="UR514" s="1762"/>
      <c r="US514" s="1763"/>
      <c r="UT514" s="385"/>
      <c r="UU514" s="69"/>
      <c r="UV514" s="69"/>
      <c r="UW514" s="2513"/>
      <c r="UX514" s="1761"/>
      <c r="UY514" s="1762"/>
      <c r="UZ514" s="1762"/>
      <c r="VA514" s="1763"/>
      <c r="VB514" s="385"/>
      <c r="VC514" s="69"/>
      <c r="VD514" s="69"/>
      <c r="VE514" s="2513"/>
      <c r="VF514" s="1761"/>
      <c r="VG514" s="1762"/>
      <c r="VH514" s="1762"/>
      <c r="VI514" s="1763"/>
      <c r="VJ514" s="385"/>
      <c r="VK514" s="69"/>
      <c r="VL514" s="69"/>
      <c r="VM514" s="2513"/>
      <c r="VN514" s="1761"/>
      <c r="VO514" s="1762"/>
      <c r="VP514" s="1762"/>
      <c r="VQ514" s="1763"/>
      <c r="VR514" s="385"/>
      <c r="VS514" s="69"/>
      <c r="VT514" s="69"/>
      <c r="VU514" s="2513"/>
      <c r="VV514" s="1761"/>
      <c r="VW514" s="1762"/>
      <c r="VX514" s="1762"/>
      <c r="VY514" s="1763"/>
      <c r="VZ514" s="385"/>
      <c r="WA514" s="69"/>
      <c r="WB514" s="69"/>
      <c r="WC514" s="2513"/>
      <c r="WD514" s="1761"/>
      <c r="WE514" s="1762"/>
      <c r="WF514" s="1762"/>
      <c r="WG514" s="1763"/>
      <c r="WH514" s="385"/>
      <c r="WI514" s="69"/>
      <c r="WJ514" s="69"/>
      <c r="WK514" s="2513"/>
      <c r="WL514" s="1761"/>
      <c r="WM514" s="1762"/>
      <c r="WN514" s="1762"/>
      <c r="WO514" s="1763"/>
      <c r="WP514" s="385"/>
      <c r="WQ514" s="69"/>
      <c r="WR514" s="69"/>
      <c r="WS514" s="2513"/>
      <c r="WT514" s="1761"/>
      <c r="WU514" s="1762"/>
      <c r="WV514" s="1762"/>
      <c r="WW514" s="1763"/>
      <c r="WX514" s="385"/>
      <c r="WY514" s="69"/>
      <c r="WZ514" s="69"/>
      <c r="XA514" s="2513"/>
      <c r="XB514" s="1761"/>
      <c r="XC514" s="1762"/>
      <c r="XD514" s="1762"/>
      <c r="XE514" s="1763"/>
      <c r="XF514" s="385"/>
      <c r="XG514" s="69"/>
      <c r="XH514" s="69"/>
      <c r="XI514" s="2513"/>
      <c r="XJ514" s="1761"/>
      <c r="XK514" s="1762"/>
      <c r="XL514" s="1762"/>
      <c r="XM514" s="1763"/>
      <c r="XN514" s="385"/>
      <c r="XO514" s="69"/>
      <c r="XP514" s="69"/>
      <c r="XQ514" s="2513"/>
      <c r="XR514" s="1761"/>
      <c r="XS514" s="1762"/>
      <c r="XT514" s="1762"/>
      <c r="XU514" s="1763"/>
      <c r="XV514" s="385"/>
      <c r="XW514" s="69"/>
      <c r="XX514" s="69"/>
      <c r="XY514" s="2513"/>
      <c r="XZ514" s="1761"/>
      <c r="YA514" s="1762"/>
      <c r="YB514" s="1762"/>
      <c r="YC514" s="1763"/>
      <c r="YD514" s="385"/>
      <c r="YE514" s="69"/>
      <c r="YF514" s="69"/>
      <c r="YG514" s="2513"/>
      <c r="YH514" s="1761"/>
      <c r="YI514" s="1762"/>
      <c r="YJ514" s="1762"/>
      <c r="YK514" s="1763"/>
      <c r="YL514" s="385"/>
      <c r="YM514" s="69"/>
      <c r="YN514" s="69"/>
      <c r="YO514" s="2513"/>
      <c r="YP514" s="1761"/>
      <c r="YQ514" s="1762"/>
      <c r="YR514" s="1762"/>
      <c r="YS514" s="1763"/>
      <c r="YT514" s="385"/>
      <c r="YU514" s="69"/>
      <c r="YV514" s="69"/>
      <c r="YW514" s="2513"/>
      <c r="YX514" s="1761"/>
      <c r="YY514" s="1762"/>
      <c r="YZ514" s="1762"/>
      <c r="ZA514" s="1763"/>
      <c r="ZB514" s="385"/>
      <c r="ZC514" s="69"/>
      <c r="ZD514" s="69"/>
      <c r="ZE514" s="2513"/>
      <c r="ZF514" s="1761"/>
      <c r="ZG514" s="1762"/>
      <c r="ZH514" s="1762"/>
      <c r="ZI514" s="1763"/>
      <c r="ZJ514" s="385"/>
      <c r="ZK514" s="69"/>
      <c r="ZL514" s="69"/>
      <c r="ZM514" s="2513"/>
      <c r="ZN514" s="1761"/>
      <c r="ZO514" s="1762"/>
      <c r="ZP514" s="1762"/>
      <c r="ZQ514" s="1763"/>
      <c r="ZR514" s="385"/>
      <c r="ZS514" s="69"/>
      <c r="ZT514" s="69"/>
      <c r="ZU514" s="2513"/>
      <c r="ZV514" s="1761"/>
      <c r="ZW514" s="1762"/>
      <c r="ZX514" s="1762"/>
      <c r="ZY514" s="1763"/>
      <c r="ZZ514" s="385"/>
      <c r="AAA514" s="69"/>
      <c r="AAB514" s="69"/>
      <c r="AAC514" s="2513"/>
      <c r="AAD514" s="1761"/>
      <c r="AAE514" s="1762"/>
      <c r="AAF514" s="1762"/>
      <c r="AAG514" s="1763"/>
      <c r="AAH514" s="385"/>
      <c r="AAI514" s="69"/>
      <c r="AAJ514" s="69"/>
      <c r="AAK514" s="2513"/>
      <c r="AAL514" s="1761"/>
      <c r="AAM514" s="1762"/>
      <c r="AAN514" s="1762"/>
      <c r="AAO514" s="1763"/>
      <c r="AAP514" s="385"/>
      <c r="AAQ514" s="69"/>
      <c r="AAR514" s="69"/>
      <c r="AAS514" s="2513"/>
      <c r="AAT514" s="1761"/>
      <c r="AAU514" s="1762"/>
      <c r="AAV514" s="1762"/>
      <c r="AAW514" s="1763"/>
      <c r="AAX514" s="385"/>
      <c r="AAY514" s="69"/>
      <c r="AAZ514" s="69"/>
      <c r="ABA514" s="2513"/>
      <c r="ABB514" s="1761"/>
      <c r="ABC514" s="1762"/>
      <c r="ABD514" s="1762"/>
      <c r="ABE514" s="1763"/>
      <c r="ABF514" s="385"/>
      <c r="ABG514" s="69"/>
      <c r="ABH514" s="69"/>
      <c r="ABI514" s="2513"/>
      <c r="ABJ514" s="1761"/>
      <c r="ABK514" s="1762"/>
      <c r="ABL514" s="1762"/>
      <c r="ABM514" s="1763"/>
      <c r="ABN514" s="385"/>
      <c r="ABO514" s="69"/>
      <c r="ABP514" s="69"/>
      <c r="ABQ514" s="2513"/>
      <c r="ABR514" s="1761"/>
      <c r="ABS514" s="1762"/>
      <c r="ABT514" s="1762"/>
      <c r="ABU514" s="1763"/>
      <c r="ABV514" s="385"/>
      <c r="ABW514" s="69"/>
      <c r="ABX514" s="69"/>
      <c r="ABY514" s="2513"/>
      <c r="ABZ514" s="1761"/>
      <c r="ACA514" s="1762"/>
      <c r="ACB514" s="1762"/>
      <c r="ACC514" s="1763"/>
      <c r="ACD514" s="385"/>
      <c r="ACE514" s="69"/>
      <c r="ACF514" s="69"/>
      <c r="ACG514" s="2513"/>
      <c r="ACH514" s="1761"/>
      <c r="ACI514" s="1762"/>
      <c r="ACJ514" s="1762"/>
      <c r="ACK514" s="1763"/>
      <c r="ACL514" s="385"/>
      <c r="ACM514" s="69"/>
      <c r="ACN514" s="69"/>
      <c r="ACO514" s="2513"/>
      <c r="ACP514" s="1761"/>
      <c r="ACQ514" s="1762"/>
      <c r="ACR514" s="1762"/>
      <c r="ACS514" s="1763"/>
      <c r="ACT514" s="385"/>
      <c r="ACU514" s="69"/>
      <c r="ACV514" s="69"/>
      <c r="ACW514" s="2513"/>
      <c r="ACX514" s="1761"/>
      <c r="ACY514" s="1762"/>
      <c r="ACZ514" s="1762"/>
      <c r="ADA514" s="1763"/>
      <c r="ADB514" s="385"/>
      <c r="ADC514" s="69"/>
      <c r="ADD514" s="69"/>
      <c r="ADE514" s="2513"/>
      <c r="ADF514" s="1761"/>
      <c r="ADG514" s="1762"/>
      <c r="ADH514" s="1762"/>
      <c r="ADI514" s="1763"/>
      <c r="ADJ514" s="385"/>
      <c r="ADK514" s="69"/>
      <c r="ADL514" s="69"/>
      <c r="ADM514" s="2513"/>
      <c r="ADN514" s="1761"/>
      <c r="ADO514" s="1762"/>
      <c r="ADP514" s="1762"/>
      <c r="ADQ514" s="1763"/>
      <c r="ADR514" s="385"/>
      <c r="ADS514" s="69"/>
      <c r="ADT514" s="69"/>
      <c r="ADU514" s="2513"/>
      <c r="ADV514" s="1761"/>
      <c r="ADW514" s="1762"/>
      <c r="ADX514" s="1762"/>
      <c r="ADY514" s="1763"/>
      <c r="ADZ514" s="385"/>
      <c r="AEA514" s="69"/>
      <c r="AEB514" s="69"/>
      <c r="AEC514" s="2513"/>
      <c r="AED514" s="1761"/>
      <c r="AEE514" s="1762"/>
      <c r="AEF514" s="1762"/>
      <c r="AEG514" s="1763"/>
      <c r="AEH514" s="385"/>
      <c r="AEI514" s="69"/>
      <c r="AEJ514" s="69"/>
      <c r="AEK514" s="2513"/>
      <c r="AEL514" s="1761"/>
      <c r="AEM514" s="1762"/>
      <c r="AEN514" s="1762"/>
      <c r="AEO514" s="1763"/>
      <c r="AEP514" s="385"/>
      <c r="AEQ514" s="69"/>
      <c r="AER514" s="69"/>
      <c r="AES514" s="2513"/>
      <c r="AET514" s="1761"/>
      <c r="AEU514" s="1762"/>
      <c r="AEV514" s="1762"/>
      <c r="AEW514" s="1763"/>
      <c r="AEX514" s="385"/>
      <c r="AEY514" s="69"/>
      <c r="AEZ514" s="69"/>
      <c r="AFA514" s="2513"/>
      <c r="AFB514" s="1761"/>
      <c r="AFC514" s="1762"/>
      <c r="AFD514" s="1762"/>
      <c r="AFE514" s="1763"/>
      <c r="AFF514" s="385"/>
      <c r="AFG514" s="69"/>
      <c r="AFH514" s="69"/>
      <c r="AFI514" s="2513"/>
      <c r="AFJ514" s="1761"/>
      <c r="AFK514" s="1762"/>
      <c r="AFL514" s="1762"/>
      <c r="AFM514" s="1763"/>
      <c r="AFN514" s="385"/>
      <c r="AFO514" s="69"/>
      <c r="AFP514" s="69"/>
      <c r="AFQ514" s="2513"/>
      <c r="AFR514" s="1761"/>
      <c r="AFS514" s="1762"/>
      <c r="AFT514" s="1762"/>
      <c r="AFU514" s="1763"/>
      <c r="AFV514" s="385"/>
      <c r="AFW514" s="69"/>
      <c r="AFX514" s="69"/>
      <c r="AFY514" s="2513"/>
      <c r="AFZ514" s="1761"/>
      <c r="AGA514" s="1762"/>
      <c r="AGB514" s="1762"/>
      <c r="AGC514" s="1763"/>
      <c r="AGD514" s="385"/>
      <c r="AGE514" s="69"/>
      <c r="AGF514" s="69"/>
      <c r="AGG514" s="2513"/>
      <c r="AGH514" s="1761"/>
      <c r="AGI514" s="1762"/>
      <c r="AGJ514" s="1762"/>
      <c r="AGK514" s="1763"/>
      <c r="AGL514" s="385"/>
      <c r="AGM514" s="69"/>
      <c r="AGN514" s="69"/>
      <c r="AGO514" s="2513"/>
      <c r="AGP514" s="1761"/>
      <c r="AGQ514" s="1762"/>
      <c r="AGR514" s="1762"/>
      <c r="AGS514" s="1763"/>
      <c r="AGT514" s="385"/>
      <c r="AGU514" s="69"/>
      <c r="AGV514" s="69"/>
      <c r="AGW514" s="2513"/>
      <c r="AGX514" s="1761"/>
      <c r="AGY514" s="1762"/>
      <c r="AGZ514" s="1762"/>
      <c r="AHA514" s="1763"/>
      <c r="AHB514" s="385"/>
      <c r="AHC514" s="69"/>
      <c r="AHD514" s="69"/>
      <c r="AHE514" s="2513"/>
      <c r="AHF514" s="1761"/>
      <c r="AHG514" s="1762"/>
      <c r="AHH514" s="1762"/>
      <c r="AHI514" s="1763"/>
      <c r="AHJ514" s="385"/>
      <c r="AHK514" s="69"/>
      <c r="AHL514" s="69"/>
      <c r="AHM514" s="2513"/>
      <c r="AHN514" s="1761"/>
      <c r="AHO514" s="1762"/>
      <c r="AHP514" s="1762"/>
      <c r="AHQ514" s="1763"/>
      <c r="AHR514" s="385"/>
      <c r="AHS514" s="69"/>
      <c r="AHT514" s="69"/>
      <c r="AHU514" s="2513"/>
      <c r="AHV514" s="1761"/>
      <c r="AHW514" s="1762"/>
      <c r="AHX514" s="1762"/>
      <c r="AHY514" s="1763"/>
      <c r="AHZ514" s="385"/>
      <c r="AIA514" s="69"/>
      <c r="AIB514" s="69"/>
      <c r="AIC514" s="2513"/>
      <c r="AID514" s="1761"/>
      <c r="AIE514" s="1762"/>
      <c r="AIF514" s="1762"/>
      <c r="AIG514" s="1763"/>
      <c r="AIH514" s="385"/>
      <c r="AII514" s="69"/>
      <c r="AIJ514" s="69"/>
      <c r="AIK514" s="2513"/>
      <c r="AIL514" s="1761"/>
      <c r="AIM514" s="1762"/>
      <c r="AIN514" s="1762"/>
      <c r="AIO514" s="1763"/>
      <c r="AIP514" s="385"/>
      <c r="AIQ514" s="69"/>
      <c r="AIR514" s="69"/>
      <c r="AIS514" s="2513"/>
      <c r="AIT514" s="1761"/>
      <c r="AIU514" s="1762"/>
      <c r="AIV514" s="1762"/>
      <c r="AIW514" s="1763"/>
      <c r="AIX514" s="385"/>
      <c r="AIY514" s="69"/>
      <c r="AIZ514" s="69"/>
      <c r="AJA514" s="2513"/>
      <c r="AJB514" s="1761"/>
      <c r="AJC514" s="1762"/>
      <c r="AJD514" s="1762"/>
      <c r="AJE514" s="1763"/>
      <c r="AJF514" s="385"/>
      <c r="AJG514" s="69"/>
      <c r="AJH514" s="69"/>
      <c r="AJI514" s="2513"/>
      <c r="AJJ514" s="1761"/>
      <c r="AJK514" s="1762"/>
      <c r="AJL514" s="1762"/>
      <c r="AJM514" s="1763"/>
      <c r="AJN514" s="385"/>
      <c r="AJO514" s="69"/>
      <c r="AJP514" s="69"/>
      <c r="AJQ514" s="2513"/>
      <c r="AJR514" s="1761"/>
      <c r="AJS514" s="1762"/>
      <c r="AJT514" s="1762"/>
      <c r="AJU514" s="1763"/>
      <c r="AJV514" s="385"/>
      <c r="AJW514" s="69"/>
      <c r="AJX514" s="69"/>
      <c r="AJY514" s="2513"/>
      <c r="AJZ514" s="1761"/>
      <c r="AKA514" s="1762"/>
      <c r="AKB514" s="1762"/>
      <c r="AKC514" s="1763"/>
      <c r="AKD514" s="385"/>
      <c r="AKE514" s="69"/>
      <c r="AKF514" s="69"/>
      <c r="AKG514" s="2513"/>
      <c r="AKH514" s="1761"/>
      <c r="AKI514" s="1762"/>
      <c r="AKJ514" s="1762"/>
      <c r="AKK514" s="1763"/>
      <c r="AKL514" s="385"/>
      <c r="AKM514" s="69"/>
      <c r="AKN514" s="69"/>
      <c r="AKO514" s="2513"/>
      <c r="AKP514" s="1761"/>
      <c r="AKQ514" s="1762"/>
      <c r="AKR514" s="1762"/>
      <c r="AKS514" s="1763"/>
      <c r="AKT514" s="385"/>
      <c r="AKU514" s="69"/>
      <c r="AKV514" s="69"/>
      <c r="AKW514" s="2513"/>
      <c r="AKX514" s="1761"/>
      <c r="AKY514" s="1762"/>
      <c r="AKZ514" s="1762"/>
      <c r="ALA514" s="1763"/>
      <c r="ALB514" s="385"/>
      <c r="ALC514" s="69"/>
      <c r="ALD514" s="69"/>
      <c r="ALE514" s="2513"/>
      <c r="ALF514" s="1761"/>
      <c r="ALG514" s="1762"/>
      <c r="ALH514" s="1762"/>
      <c r="ALI514" s="1763"/>
      <c r="ALJ514" s="385"/>
      <c r="ALK514" s="69"/>
      <c r="ALL514" s="69"/>
      <c r="ALM514" s="2513"/>
      <c r="ALN514" s="1761"/>
      <c r="ALO514" s="1762"/>
      <c r="ALP514" s="1762"/>
      <c r="ALQ514" s="1763"/>
      <c r="ALR514" s="385"/>
      <c r="ALS514" s="69"/>
      <c r="ALT514" s="69"/>
      <c r="ALU514" s="2513"/>
      <c r="ALV514" s="1761"/>
      <c r="ALW514" s="1762"/>
      <c r="ALX514" s="1762"/>
      <c r="ALY514" s="1763"/>
      <c r="ALZ514" s="385"/>
      <c r="AMA514" s="69"/>
      <c r="AMB514" s="69"/>
      <c r="AMC514" s="2513"/>
      <c r="AMD514" s="1761"/>
      <c r="AME514" s="1762"/>
      <c r="AMF514" s="1762"/>
      <c r="AMG514" s="1763"/>
      <c r="AMH514" s="385"/>
      <c r="AMI514" s="69"/>
      <c r="AMJ514" s="69"/>
      <c r="AMK514" s="2513"/>
      <c r="AML514" s="1761"/>
      <c r="AMM514" s="1762"/>
      <c r="AMN514" s="1762"/>
      <c r="AMO514" s="1763"/>
      <c r="AMP514" s="385"/>
      <c r="AMQ514" s="69"/>
      <c r="AMR514" s="69"/>
      <c r="AMS514" s="2513"/>
      <c r="AMT514" s="1761"/>
      <c r="AMU514" s="1762"/>
      <c r="AMV514" s="1762"/>
      <c r="AMW514" s="1763"/>
      <c r="AMX514" s="385"/>
      <c r="AMY514" s="69"/>
      <c r="AMZ514" s="69"/>
      <c r="ANA514" s="2513"/>
      <c r="ANB514" s="1761"/>
      <c r="ANC514" s="1762"/>
      <c r="AND514" s="1762"/>
      <c r="ANE514" s="1763"/>
      <c r="ANF514" s="385"/>
      <c r="ANG514" s="69"/>
      <c r="ANH514" s="69"/>
      <c r="ANI514" s="2513"/>
      <c r="ANJ514" s="1761"/>
      <c r="ANK514" s="1762"/>
      <c r="ANL514" s="1762"/>
      <c r="ANM514" s="1763"/>
      <c r="ANN514" s="385"/>
      <c r="ANO514" s="69"/>
      <c r="ANP514" s="69"/>
      <c r="ANQ514" s="2513"/>
      <c r="ANR514" s="1761"/>
      <c r="ANS514" s="1762"/>
      <c r="ANT514" s="1762"/>
      <c r="ANU514" s="1763"/>
      <c r="ANV514" s="385"/>
      <c r="ANW514" s="69"/>
      <c r="ANX514" s="69"/>
      <c r="ANY514" s="2513"/>
      <c r="ANZ514" s="1761"/>
      <c r="AOA514" s="1762"/>
      <c r="AOB514" s="1762"/>
      <c r="AOC514" s="1763"/>
      <c r="AOD514" s="385"/>
      <c r="AOE514" s="69"/>
      <c r="AOF514" s="69"/>
      <c r="AOG514" s="2513"/>
      <c r="AOH514" s="1761"/>
      <c r="AOI514" s="1762"/>
      <c r="AOJ514" s="1762"/>
      <c r="AOK514" s="1763"/>
      <c r="AOL514" s="385"/>
      <c r="AOM514" s="69"/>
      <c r="AON514" s="69"/>
      <c r="AOO514" s="2513"/>
      <c r="AOP514" s="1761"/>
      <c r="AOQ514" s="1762"/>
      <c r="AOR514" s="1762"/>
      <c r="AOS514" s="1763"/>
      <c r="AOT514" s="385"/>
      <c r="AOU514" s="69"/>
      <c r="AOV514" s="69"/>
      <c r="AOW514" s="2513"/>
      <c r="AOX514" s="1761"/>
      <c r="AOY514" s="1762"/>
      <c r="AOZ514" s="1762"/>
      <c r="APA514" s="1763"/>
      <c r="APB514" s="385"/>
      <c r="APC514" s="69"/>
      <c r="APD514" s="69"/>
      <c r="APE514" s="2513"/>
      <c r="APF514" s="1761"/>
      <c r="APG514" s="1762"/>
      <c r="APH514" s="1762"/>
      <c r="API514" s="1763"/>
      <c r="APJ514" s="385"/>
      <c r="APK514" s="69"/>
      <c r="APL514" s="69"/>
      <c r="APM514" s="2513"/>
      <c r="APN514" s="1761"/>
      <c r="APO514" s="1762"/>
      <c r="APP514" s="1762"/>
      <c r="APQ514" s="1763"/>
      <c r="APR514" s="385"/>
      <c r="APS514" s="69"/>
      <c r="APT514" s="69"/>
      <c r="APU514" s="2513"/>
      <c r="APV514" s="1761"/>
      <c r="APW514" s="1762"/>
      <c r="APX514" s="1762"/>
      <c r="APY514" s="1763"/>
      <c r="APZ514" s="385"/>
      <c r="AQA514" s="69"/>
      <c r="AQB514" s="69"/>
      <c r="AQC514" s="2513"/>
      <c r="AQD514" s="1761"/>
      <c r="AQE514" s="1762"/>
      <c r="AQF514" s="1762"/>
      <c r="AQG514" s="1763"/>
      <c r="AQH514" s="385"/>
      <c r="AQI514" s="69"/>
      <c r="AQJ514" s="69"/>
      <c r="AQK514" s="2513"/>
      <c r="AQL514" s="1761"/>
      <c r="AQM514" s="1762"/>
      <c r="AQN514" s="1762"/>
      <c r="AQO514" s="1763"/>
      <c r="AQP514" s="385"/>
      <c r="AQQ514" s="69"/>
      <c r="AQR514" s="69"/>
      <c r="AQS514" s="2513"/>
      <c r="AQT514" s="1761"/>
      <c r="AQU514" s="1762"/>
      <c r="AQV514" s="1762"/>
      <c r="AQW514" s="1763"/>
      <c r="AQX514" s="385"/>
      <c r="AQY514" s="69"/>
      <c r="AQZ514" s="69"/>
      <c r="ARA514" s="2513"/>
      <c r="ARB514" s="1761"/>
      <c r="ARC514" s="1762"/>
      <c r="ARD514" s="1762"/>
      <c r="ARE514" s="1763"/>
      <c r="ARF514" s="385"/>
      <c r="ARG514" s="69"/>
      <c r="ARH514" s="69"/>
      <c r="ARI514" s="2513"/>
      <c r="ARJ514" s="1761"/>
      <c r="ARK514" s="1762"/>
      <c r="ARL514" s="1762"/>
      <c r="ARM514" s="1763"/>
      <c r="ARN514" s="385"/>
      <c r="ARO514" s="69"/>
      <c r="ARP514" s="69"/>
      <c r="ARQ514" s="2513"/>
      <c r="ARR514" s="1761"/>
      <c r="ARS514" s="1762"/>
      <c r="ART514" s="1762"/>
      <c r="ARU514" s="1763"/>
      <c r="ARV514" s="385"/>
      <c r="ARW514" s="69"/>
      <c r="ARX514" s="69"/>
      <c r="ARY514" s="2513"/>
      <c r="ARZ514" s="1761"/>
      <c r="ASA514" s="1762"/>
      <c r="ASB514" s="1762"/>
      <c r="ASC514" s="1763"/>
      <c r="ASD514" s="385"/>
      <c r="ASE514" s="69"/>
      <c r="ASF514" s="69"/>
      <c r="ASG514" s="2513"/>
      <c r="ASH514" s="1761"/>
      <c r="ASI514" s="1762"/>
      <c r="ASJ514" s="1762"/>
      <c r="ASK514" s="1763"/>
      <c r="ASL514" s="385"/>
      <c r="ASM514" s="69"/>
      <c r="ASN514" s="69"/>
      <c r="ASO514" s="2513"/>
      <c r="ASP514" s="1761"/>
      <c r="ASQ514" s="1762"/>
      <c r="ASR514" s="1762"/>
      <c r="ASS514" s="1763"/>
      <c r="AST514" s="385"/>
      <c r="ASU514" s="69"/>
      <c r="ASV514" s="69"/>
      <c r="ASW514" s="2513"/>
      <c r="ASX514" s="1761"/>
      <c r="ASY514" s="1762"/>
      <c r="ASZ514" s="1762"/>
      <c r="ATA514" s="1763"/>
      <c r="ATB514" s="385"/>
      <c r="ATC514" s="69"/>
      <c r="ATD514" s="69"/>
      <c r="ATE514" s="2513"/>
      <c r="ATF514" s="1761"/>
      <c r="ATG514" s="1762"/>
      <c r="ATH514" s="1762"/>
      <c r="ATI514" s="1763"/>
      <c r="ATJ514" s="385"/>
      <c r="ATK514" s="69"/>
      <c r="ATL514" s="69"/>
      <c r="ATM514" s="2513"/>
      <c r="ATN514" s="1761"/>
      <c r="ATO514" s="1762"/>
      <c r="ATP514" s="1762"/>
      <c r="ATQ514" s="1763"/>
      <c r="ATR514" s="385"/>
      <c r="ATS514" s="69"/>
      <c r="ATT514" s="69"/>
      <c r="ATU514" s="2513"/>
      <c r="ATV514" s="1761"/>
      <c r="ATW514" s="1762"/>
      <c r="ATX514" s="1762"/>
      <c r="ATY514" s="1763"/>
      <c r="ATZ514" s="385"/>
      <c r="AUA514" s="69"/>
      <c r="AUB514" s="69"/>
      <c r="AUC514" s="2513"/>
      <c r="AUD514" s="1761"/>
      <c r="AUE514" s="1762"/>
      <c r="AUF514" s="1762"/>
      <c r="AUG514" s="1763"/>
      <c r="AUH514" s="385"/>
      <c r="AUI514" s="69"/>
      <c r="AUJ514" s="69"/>
      <c r="AUK514" s="2513"/>
      <c r="AUL514" s="1761"/>
      <c r="AUM514" s="1762"/>
      <c r="AUN514" s="1762"/>
      <c r="AUO514" s="1763"/>
      <c r="AUP514" s="385"/>
      <c r="AUQ514" s="69"/>
      <c r="AUR514" s="69"/>
      <c r="AUS514" s="2513"/>
      <c r="AUT514" s="1761"/>
      <c r="AUU514" s="1762"/>
      <c r="AUV514" s="1762"/>
      <c r="AUW514" s="1763"/>
      <c r="AUX514" s="385"/>
      <c r="AUY514" s="69"/>
      <c r="AUZ514" s="69"/>
      <c r="AVA514" s="2513"/>
      <c r="AVB514" s="1761"/>
      <c r="AVC514" s="1762"/>
      <c r="AVD514" s="1762"/>
      <c r="AVE514" s="1763"/>
      <c r="AVF514" s="385"/>
      <c r="AVG514" s="69"/>
      <c r="AVH514" s="69"/>
      <c r="AVI514" s="2513"/>
      <c r="AVJ514" s="1761"/>
      <c r="AVK514" s="1762"/>
      <c r="AVL514" s="1762"/>
      <c r="AVM514" s="1763"/>
      <c r="AVN514" s="385"/>
      <c r="AVO514" s="69"/>
      <c r="AVP514" s="69"/>
      <c r="AVQ514" s="2513"/>
      <c r="AVR514" s="1761"/>
      <c r="AVS514" s="1762"/>
      <c r="AVT514" s="1762"/>
      <c r="AVU514" s="1763"/>
      <c r="AVV514" s="385"/>
      <c r="AVW514" s="69"/>
      <c r="AVX514" s="69"/>
      <c r="AVY514" s="2513"/>
      <c r="AVZ514" s="1761"/>
      <c r="AWA514" s="1762"/>
      <c r="AWB514" s="1762"/>
      <c r="AWC514" s="1763"/>
      <c r="AWD514" s="385"/>
      <c r="AWE514" s="69"/>
      <c r="AWF514" s="69"/>
      <c r="AWG514" s="2513"/>
      <c r="AWH514" s="1761"/>
      <c r="AWI514" s="1762"/>
      <c r="AWJ514" s="1762"/>
      <c r="AWK514" s="1763"/>
      <c r="AWL514" s="385"/>
      <c r="AWM514" s="69"/>
      <c r="AWN514" s="69"/>
      <c r="AWO514" s="2513"/>
      <c r="AWP514" s="1761"/>
      <c r="AWQ514" s="1762"/>
      <c r="AWR514" s="1762"/>
      <c r="AWS514" s="1763"/>
      <c r="AWT514" s="385"/>
      <c r="AWU514" s="69"/>
      <c r="AWV514" s="69"/>
      <c r="AWW514" s="2513"/>
      <c r="AWX514" s="1761"/>
      <c r="AWY514" s="1762"/>
      <c r="AWZ514" s="1762"/>
      <c r="AXA514" s="1763"/>
      <c r="AXB514" s="385"/>
      <c r="AXC514" s="69"/>
      <c r="AXD514" s="69"/>
      <c r="AXE514" s="2513"/>
      <c r="AXF514" s="1761"/>
      <c r="AXG514" s="1762"/>
      <c r="AXH514" s="1762"/>
      <c r="AXI514" s="1763"/>
      <c r="AXJ514" s="385"/>
      <c r="AXK514" s="69"/>
      <c r="AXL514" s="69"/>
      <c r="AXM514" s="2513"/>
      <c r="AXN514" s="1761"/>
      <c r="AXO514" s="1762"/>
      <c r="AXP514" s="1762"/>
      <c r="AXQ514" s="1763"/>
      <c r="AXR514" s="385"/>
      <c r="AXS514" s="69"/>
      <c r="AXT514" s="69"/>
      <c r="AXU514" s="2513"/>
      <c r="AXV514" s="1761"/>
      <c r="AXW514" s="1762"/>
      <c r="AXX514" s="1762"/>
      <c r="AXY514" s="1763"/>
      <c r="AXZ514" s="385"/>
      <c r="AYA514" s="69"/>
      <c r="AYB514" s="69"/>
      <c r="AYC514" s="2513"/>
      <c r="AYD514" s="1761"/>
      <c r="AYE514" s="1762"/>
      <c r="AYF514" s="1762"/>
      <c r="AYG514" s="1763"/>
      <c r="AYH514" s="385"/>
      <c r="AYI514" s="69"/>
      <c r="AYJ514" s="69"/>
      <c r="AYK514" s="2513"/>
      <c r="AYL514" s="1761"/>
      <c r="AYM514" s="1762"/>
      <c r="AYN514" s="1762"/>
      <c r="AYO514" s="1763"/>
      <c r="AYP514" s="385"/>
      <c r="AYQ514" s="69"/>
      <c r="AYR514" s="69"/>
      <c r="AYS514" s="2513"/>
      <c r="AYT514" s="1761"/>
      <c r="AYU514" s="1762"/>
      <c r="AYV514" s="1762"/>
      <c r="AYW514" s="1763"/>
      <c r="AYX514" s="385"/>
      <c r="AYY514" s="69"/>
      <c r="AYZ514" s="69"/>
      <c r="AZA514" s="2513"/>
      <c r="AZB514" s="1761"/>
      <c r="AZC514" s="1762"/>
      <c r="AZD514" s="1762"/>
      <c r="AZE514" s="1763"/>
      <c r="AZF514" s="385"/>
      <c r="AZG514" s="69"/>
      <c r="AZH514" s="69"/>
      <c r="AZI514" s="2513"/>
      <c r="AZJ514" s="1761"/>
      <c r="AZK514" s="1762"/>
      <c r="AZL514" s="1762"/>
      <c r="AZM514" s="1763"/>
      <c r="AZN514" s="385"/>
      <c r="AZO514" s="69"/>
      <c r="AZP514" s="69"/>
      <c r="AZQ514" s="2513"/>
      <c r="AZR514" s="1761"/>
      <c r="AZS514" s="1762"/>
      <c r="AZT514" s="1762"/>
      <c r="AZU514" s="1763"/>
      <c r="AZV514" s="385"/>
      <c r="AZW514" s="69"/>
      <c r="AZX514" s="69"/>
      <c r="AZY514" s="2513"/>
      <c r="AZZ514" s="1761"/>
      <c r="BAA514" s="1762"/>
      <c r="BAB514" s="1762"/>
      <c r="BAC514" s="1763"/>
      <c r="BAD514" s="385"/>
      <c r="BAE514" s="69"/>
      <c r="BAF514" s="69"/>
      <c r="BAG514" s="2513"/>
      <c r="BAH514" s="1761"/>
      <c r="BAI514" s="1762"/>
      <c r="BAJ514" s="1762"/>
      <c r="BAK514" s="1763"/>
      <c r="BAL514" s="385"/>
      <c r="BAM514" s="69"/>
      <c r="BAN514" s="69"/>
      <c r="BAO514" s="2513"/>
      <c r="BAP514" s="1761"/>
      <c r="BAQ514" s="1762"/>
      <c r="BAR514" s="1762"/>
      <c r="BAS514" s="1763"/>
      <c r="BAT514" s="385"/>
      <c r="BAU514" s="69"/>
      <c r="BAV514" s="69"/>
      <c r="BAW514" s="2513"/>
      <c r="BAX514" s="1761"/>
      <c r="BAY514" s="1762"/>
      <c r="BAZ514" s="1762"/>
      <c r="BBA514" s="1763"/>
      <c r="BBB514" s="385"/>
      <c r="BBC514" s="69"/>
      <c r="BBD514" s="69"/>
      <c r="BBE514" s="2513"/>
      <c r="BBF514" s="1761"/>
      <c r="BBG514" s="1762"/>
      <c r="BBH514" s="1762"/>
      <c r="BBI514" s="1763"/>
      <c r="BBJ514" s="385"/>
      <c r="BBK514" s="69"/>
      <c r="BBL514" s="69"/>
      <c r="BBM514" s="2513"/>
      <c r="BBN514" s="1761"/>
      <c r="BBO514" s="1762"/>
      <c r="BBP514" s="1762"/>
      <c r="BBQ514" s="1763"/>
      <c r="BBR514" s="385"/>
      <c r="BBS514" s="69"/>
      <c r="BBT514" s="69"/>
      <c r="BBU514" s="2513"/>
      <c r="BBV514" s="1761"/>
      <c r="BBW514" s="1762"/>
      <c r="BBX514" s="1762"/>
      <c r="BBY514" s="1763"/>
      <c r="BBZ514" s="385"/>
      <c r="BCA514" s="69"/>
      <c r="BCB514" s="69"/>
      <c r="BCC514" s="2513"/>
      <c r="BCD514" s="1761"/>
      <c r="BCE514" s="1762"/>
      <c r="BCF514" s="1762"/>
      <c r="BCG514" s="1763"/>
      <c r="BCH514" s="385"/>
      <c r="BCI514" s="69"/>
      <c r="BCJ514" s="69"/>
      <c r="BCK514" s="2513"/>
      <c r="BCL514" s="1761"/>
      <c r="BCM514" s="1762"/>
      <c r="BCN514" s="1762"/>
      <c r="BCO514" s="1763"/>
      <c r="BCP514" s="385"/>
      <c r="BCQ514" s="69"/>
      <c r="BCR514" s="69"/>
      <c r="BCS514" s="2513"/>
      <c r="BCT514" s="1761"/>
      <c r="BCU514" s="1762"/>
      <c r="BCV514" s="1762"/>
      <c r="BCW514" s="1763"/>
      <c r="BCX514" s="385"/>
      <c r="BCY514" s="69"/>
      <c r="BCZ514" s="69"/>
      <c r="BDA514" s="2513"/>
      <c r="BDB514" s="1761"/>
      <c r="BDC514" s="1762"/>
      <c r="BDD514" s="1762"/>
      <c r="BDE514" s="1763"/>
      <c r="BDF514" s="385"/>
      <c r="BDG514" s="69"/>
      <c r="BDH514" s="69"/>
      <c r="BDI514" s="2513"/>
      <c r="BDJ514" s="1761"/>
      <c r="BDK514" s="1762"/>
      <c r="BDL514" s="1762"/>
      <c r="BDM514" s="1763"/>
      <c r="BDN514" s="385"/>
      <c r="BDO514" s="69"/>
      <c r="BDP514" s="69"/>
      <c r="BDQ514" s="2513"/>
      <c r="BDR514" s="1761"/>
      <c r="BDS514" s="1762"/>
      <c r="BDT514" s="1762"/>
      <c r="BDU514" s="1763"/>
      <c r="BDV514" s="385"/>
      <c r="BDW514" s="69"/>
      <c r="BDX514" s="69"/>
      <c r="BDY514" s="2513"/>
      <c r="BDZ514" s="1761"/>
      <c r="BEA514" s="1762"/>
      <c r="BEB514" s="1762"/>
      <c r="BEC514" s="1763"/>
      <c r="BED514" s="385"/>
      <c r="BEE514" s="69"/>
      <c r="BEF514" s="69"/>
      <c r="BEG514" s="2513"/>
      <c r="BEH514" s="1761"/>
      <c r="BEI514" s="1762"/>
      <c r="BEJ514" s="1762"/>
      <c r="BEK514" s="1763"/>
      <c r="BEL514" s="385"/>
      <c r="BEM514" s="69"/>
      <c r="BEN514" s="69"/>
      <c r="BEO514" s="2513"/>
      <c r="BEP514" s="1761"/>
      <c r="BEQ514" s="1762"/>
      <c r="BER514" s="1762"/>
      <c r="BES514" s="1763"/>
      <c r="BET514" s="385"/>
      <c r="BEU514" s="69"/>
      <c r="BEV514" s="69"/>
      <c r="BEW514" s="2513"/>
      <c r="BEX514" s="1761"/>
      <c r="BEY514" s="1762"/>
      <c r="BEZ514" s="1762"/>
      <c r="BFA514" s="1763"/>
      <c r="BFB514" s="385"/>
      <c r="BFC514" s="69"/>
      <c r="BFD514" s="69"/>
      <c r="BFE514" s="2513"/>
      <c r="BFF514" s="1761"/>
      <c r="BFG514" s="1762"/>
      <c r="BFH514" s="1762"/>
      <c r="BFI514" s="1763"/>
      <c r="BFJ514" s="385"/>
      <c r="BFK514" s="69"/>
      <c r="BFL514" s="69"/>
      <c r="BFM514" s="2513"/>
      <c r="BFN514" s="1761"/>
      <c r="BFO514" s="1762"/>
      <c r="BFP514" s="1762"/>
      <c r="BFQ514" s="1763"/>
      <c r="BFR514" s="385"/>
      <c r="BFS514" s="69"/>
      <c r="BFT514" s="69"/>
      <c r="BFU514" s="2513"/>
      <c r="BFV514" s="1761"/>
      <c r="BFW514" s="1762"/>
      <c r="BFX514" s="1762"/>
      <c r="BFY514" s="1763"/>
      <c r="BFZ514" s="385"/>
      <c r="BGA514" s="69"/>
      <c r="BGB514" s="69"/>
      <c r="BGC514" s="2513"/>
      <c r="BGD514" s="1761"/>
      <c r="BGE514" s="1762"/>
      <c r="BGF514" s="1762"/>
      <c r="BGG514" s="1763"/>
      <c r="BGH514" s="385"/>
      <c r="BGI514" s="69"/>
      <c r="BGJ514" s="69"/>
      <c r="BGK514" s="2513"/>
      <c r="BGL514" s="1761"/>
      <c r="BGM514" s="1762"/>
      <c r="BGN514" s="1762"/>
      <c r="BGO514" s="1763"/>
      <c r="BGP514" s="385"/>
      <c r="BGQ514" s="69"/>
      <c r="BGR514" s="69"/>
      <c r="BGS514" s="2513"/>
      <c r="BGT514" s="1761"/>
      <c r="BGU514" s="1762"/>
      <c r="BGV514" s="1762"/>
      <c r="BGW514" s="1763"/>
      <c r="BGX514" s="385"/>
      <c r="BGY514" s="69"/>
      <c r="BGZ514" s="69"/>
      <c r="BHA514" s="2513"/>
      <c r="BHB514" s="1761"/>
      <c r="BHC514" s="1762"/>
      <c r="BHD514" s="1762"/>
      <c r="BHE514" s="1763"/>
      <c r="BHF514" s="385"/>
      <c r="BHG514" s="69"/>
      <c r="BHH514" s="69"/>
      <c r="BHI514" s="2513"/>
      <c r="BHJ514" s="1761"/>
      <c r="BHK514" s="1762"/>
      <c r="BHL514" s="1762"/>
      <c r="BHM514" s="1763"/>
      <c r="BHN514" s="385"/>
      <c r="BHO514" s="69"/>
      <c r="BHP514" s="69"/>
      <c r="BHQ514" s="2513"/>
      <c r="BHR514" s="1761"/>
      <c r="BHS514" s="1762"/>
      <c r="BHT514" s="1762"/>
      <c r="BHU514" s="1763"/>
      <c r="BHV514" s="385"/>
      <c r="BHW514" s="69"/>
      <c r="BHX514" s="69"/>
      <c r="BHY514" s="2513"/>
      <c r="BHZ514" s="1761"/>
      <c r="BIA514" s="1762"/>
      <c r="BIB514" s="1762"/>
      <c r="BIC514" s="1763"/>
      <c r="BID514" s="385"/>
      <c r="BIE514" s="69"/>
      <c r="BIF514" s="69"/>
      <c r="BIG514" s="2513"/>
      <c r="BIH514" s="1761"/>
      <c r="BII514" s="1762"/>
      <c r="BIJ514" s="1762"/>
      <c r="BIK514" s="1763"/>
      <c r="BIL514" s="385"/>
      <c r="BIM514" s="69"/>
      <c r="BIN514" s="69"/>
      <c r="BIO514" s="2513"/>
      <c r="BIP514" s="1761"/>
      <c r="BIQ514" s="1762"/>
      <c r="BIR514" s="1762"/>
      <c r="BIS514" s="1763"/>
      <c r="BIT514" s="385"/>
      <c r="BIU514" s="69"/>
      <c r="BIV514" s="69"/>
      <c r="BIW514" s="2513"/>
      <c r="BIX514" s="1761"/>
      <c r="BIY514" s="1762"/>
      <c r="BIZ514" s="1762"/>
      <c r="BJA514" s="1763"/>
      <c r="BJB514" s="385"/>
      <c r="BJC514" s="69"/>
      <c r="BJD514" s="69"/>
      <c r="BJE514" s="2513"/>
      <c r="BJF514" s="1761"/>
      <c r="BJG514" s="1762"/>
      <c r="BJH514" s="1762"/>
      <c r="BJI514" s="1763"/>
      <c r="BJJ514" s="385"/>
      <c r="BJK514" s="69"/>
      <c r="BJL514" s="69"/>
      <c r="BJM514" s="2513"/>
      <c r="BJN514" s="1761"/>
      <c r="BJO514" s="1762"/>
      <c r="BJP514" s="1762"/>
      <c r="BJQ514" s="1763"/>
      <c r="BJR514" s="385"/>
      <c r="BJS514" s="69"/>
      <c r="BJT514" s="69"/>
      <c r="BJU514" s="2513"/>
      <c r="BJV514" s="1761"/>
      <c r="BJW514" s="1762"/>
      <c r="BJX514" s="1762"/>
      <c r="BJY514" s="1763"/>
      <c r="BJZ514" s="385"/>
      <c r="BKA514" s="69"/>
      <c r="BKB514" s="69"/>
      <c r="BKC514" s="2513"/>
      <c r="BKD514" s="1761"/>
      <c r="BKE514" s="1762"/>
      <c r="BKF514" s="1762"/>
      <c r="BKG514" s="1763"/>
      <c r="BKH514" s="385"/>
      <c r="BKI514" s="69"/>
      <c r="BKJ514" s="69"/>
      <c r="BKK514" s="2513"/>
      <c r="BKL514" s="1761"/>
      <c r="BKM514" s="1762"/>
      <c r="BKN514" s="1762"/>
      <c r="BKO514" s="1763"/>
      <c r="BKP514" s="385"/>
      <c r="BKQ514" s="69"/>
      <c r="BKR514" s="69"/>
      <c r="BKS514" s="2513"/>
      <c r="BKT514" s="1761"/>
      <c r="BKU514" s="1762"/>
      <c r="BKV514" s="1762"/>
      <c r="BKW514" s="1763"/>
      <c r="BKX514" s="385"/>
      <c r="BKY514" s="69"/>
      <c r="BKZ514" s="69"/>
      <c r="BLA514" s="2513"/>
      <c r="BLB514" s="1761"/>
      <c r="BLC514" s="1762"/>
      <c r="BLD514" s="1762"/>
      <c r="BLE514" s="1763"/>
      <c r="BLF514" s="385"/>
      <c r="BLG514" s="69"/>
      <c r="BLH514" s="69"/>
      <c r="BLI514" s="2513"/>
      <c r="BLJ514" s="1761"/>
      <c r="BLK514" s="1762"/>
      <c r="BLL514" s="1762"/>
      <c r="BLM514" s="1763"/>
      <c r="BLN514" s="385"/>
      <c r="BLO514" s="69"/>
      <c r="BLP514" s="69"/>
      <c r="BLQ514" s="2513"/>
      <c r="BLR514" s="1761"/>
      <c r="BLS514" s="1762"/>
      <c r="BLT514" s="1762"/>
      <c r="BLU514" s="1763"/>
      <c r="BLV514" s="385"/>
      <c r="BLW514" s="69"/>
      <c r="BLX514" s="69"/>
      <c r="BLY514" s="2513"/>
      <c r="BLZ514" s="1761"/>
      <c r="BMA514" s="1762"/>
      <c r="BMB514" s="1762"/>
      <c r="BMC514" s="1763"/>
      <c r="BMD514" s="385"/>
      <c r="BME514" s="69"/>
      <c r="BMF514" s="69"/>
      <c r="BMG514" s="2513"/>
      <c r="BMH514" s="1761"/>
      <c r="BMI514" s="1762"/>
      <c r="BMJ514" s="1762"/>
      <c r="BMK514" s="1763"/>
      <c r="BML514" s="385"/>
      <c r="BMM514" s="69"/>
      <c r="BMN514" s="69"/>
      <c r="BMO514" s="2513"/>
      <c r="BMP514" s="1761"/>
      <c r="BMQ514" s="1762"/>
      <c r="BMR514" s="1762"/>
      <c r="BMS514" s="1763"/>
      <c r="BMT514" s="385"/>
      <c r="BMU514" s="69"/>
      <c r="BMV514" s="69"/>
      <c r="BMW514" s="2513"/>
      <c r="BMX514" s="1761"/>
      <c r="BMY514" s="1762"/>
      <c r="BMZ514" s="1762"/>
      <c r="BNA514" s="1763"/>
      <c r="BNB514" s="385"/>
      <c r="BNC514" s="69"/>
      <c r="BND514" s="69"/>
      <c r="BNE514" s="2513"/>
      <c r="BNF514" s="1761"/>
      <c r="BNG514" s="1762"/>
      <c r="BNH514" s="1762"/>
      <c r="BNI514" s="1763"/>
      <c r="BNJ514" s="385"/>
      <c r="BNK514" s="69"/>
      <c r="BNL514" s="69"/>
      <c r="BNM514" s="2513"/>
      <c r="BNN514" s="1761"/>
      <c r="BNO514" s="1762"/>
      <c r="BNP514" s="1762"/>
      <c r="BNQ514" s="1763"/>
      <c r="BNR514" s="385"/>
      <c r="BNS514" s="69"/>
      <c r="BNT514" s="69"/>
      <c r="BNU514" s="2513"/>
      <c r="BNV514" s="1761"/>
      <c r="BNW514" s="1762"/>
      <c r="BNX514" s="1762"/>
      <c r="BNY514" s="1763"/>
      <c r="BNZ514" s="385"/>
      <c r="BOA514" s="69"/>
      <c r="BOB514" s="69"/>
      <c r="BOC514" s="2513"/>
      <c r="BOD514" s="1761"/>
      <c r="BOE514" s="1762"/>
      <c r="BOF514" s="1762"/>
      <c r="BOG514" s="1763"/>
      <c r="BOH514" s="385"/>
      <c r="BOI514" s="69"/>
      <c r="BOJ514" s="69"/>
      <c r="BOK514" s="2513"/>
      <c r="BOL514" s="1761"/>
      <c r="BOM514" s="1762"/>
      <c r="BON514" s="1762"/>
      <c r="BOO514" s="1763"/>
      <c r="BOP514" s="385"/>
      <c r="BOQ514" s="69"/>
      <c r="BOR514" s="69"/>
      <c r="BOS514" s="2513"/>
      <c r="BOT514" s="1761"/>
      <c r="BOU514" s="1762"/>
      <c r="BOV514" s="1762"/>
      <c r="BOW514" s="1763"/>
      <c r="BOX514" s="385"/>
      <c r="BOY514" s="69"/>
      <c r="BOZ514" s="69"/>
      <c r="BPA514" s="2513"/>
      <c r="BPB514" s="1761"/>
      <c r="BPC514" s="1762"/>
      <c r="BPD514" s="1762"/>
      <c r="BPE514" s="1763"/>
      <c r="BPF514" s="385"/>
      <c r="BPG514" s="69"/>
      <c r="BPH514" s="69"/>
      <c r="BPI514" s="2513"/>
      <c r="BPJ514" s="1761"/>
      <c r="BPK514" s="1762"/>
      <c r="BPL514" s="1762"/>
      <c r="BPM514" s="1763"/>
      <c r="BPN514" s="385"/>
      <c r="BPO514" s="69"/>
      <c r="BPP514" s="69"/>
      <c r="BPQ514" s="2513"/>
      <c r="BPR514" s="1761"/>
      <c r="BPS514" s="1762"/>
      <c r="BPT514" s="1762"/>
      <c r="BPU514" s="1763"/>
      <c r="BPV514" s="385"/>
      <c r="BPW514" s="69"/>
      <c r="BPX514" s="69"/>
      <c r="BPY514" s="2513"/>
      <c r="BPZ514" s="1761"/>
      <c r="BQA514" s="1762"/>
      <c r="BQB514" s="1762"/>
      <c r="BQC514" s="1763"/>
      <c r="BQD514" s="385"/>
      <c r="BQE514" s="69"/>
      <c r="BQF514" s="69"/>
      <c r="BQG514" s="2513"/>
      <c r="BQH514" s="1761"/>
      <c r="BQI514" s="1762"/>
      <c r="BQJ514" s="1762"/>
      <c r="BQK514" s="1763"/>
      <c r="BQL514" s="385"/>
      <c r="BQM514" s="69"/>
      <c r="BQN514" s="69"/>
      <c r="BQO514" s="2513"/>
      <c r="BQP514" s="1761"/>
      <c r="BQQ514" s="1762"/>
      <c r="BQR514" s="1762"/>
      <c r="BQS514" s="1763"/>
      <c r="BQT514" s="385"/>
      <c r="BQU514" s="69"/>
      <c r="BQV514" s="69"/>
      <c r="BQW514" s="2513"/>
      <c r="BQX514" s="1761"/>
      <c r="BQY514" s="1762"/>
      <c r="BQZ514" s="1762"/>
      <c r="BRA514" s="1763"/>
      <c r="BRB514" s="385"/>
      <c r="BRC514" s="69"/>
      <c r="BRD514" s="69"/>
      <c r="BRE514" s="2513"/>
      <c r="BRF514" s="1761"/>
      <c r="BRG514" s="1762"/>
      <c r="BRH514" s="1762"/>
      <c r="BRI514" s="1763"/>
      <c r="BRJ514" s="385"/>
      <c r="BRK514" s="69"/>
      <c r="BRL514" s="69"/>
      <c r="BRM514" s="2513"/>
      <c r="BRN514" s="1761"/>
      <c r="BRO514" s="1762"/>
      <c r="BRP514" s="1762"/>
      <c r="BRQ514" s="1763"/>
      <c r="BRR514" s="385"/>
      <c r="BRS514" s="69"/>
      <c r="BRT514" s="69"/>
      <c r="BRU514" s="2513"/>
      <c r="BRV514" s="1761"/>
      <c r="BRW514" s="1762"/>
      <c r="BRX514" s="1762"/>
      <c r="BRY514" s="1763"/>
      <c r="BRZ514" s="385"/>
      <c r="BSA514" s="69"/>
      <c r="BSB514" s="69"/>
      <c r="BSC514" s="2513"/>
      <c r="BSD514" s="1761"/>
      <c r="BSE514" s="1762"/>
      <c r="BSF514" s="1762"/>
      <c r="BSG514" s="1763"/>
      <c r="BSH514" s="385"/>
      <c r="BSI514" s="69"/>
      <c r="BSJ514" s="69"/>
      <c r="BSK514" s="2513"/>
      <c r="BSL514" s="1761"/>
      <c r="BSM514" s="1762"/>
      <c r="BSN514" s="1762"/>
      <c r="BSO514" s="1763"/>
      <c r="BSP514" s="385"/>
      <c r="BSQ514" s="69"/>
      <c r="BSR514" s="69"/>
      <c r="BSS514" s="2513"/>
      <c r="BST514" s="1761"/>
      <c r="BSU514" s="1762"/>
      <c r="BSV514" s="1762"/>
      <c r="BSW514" s="1763"/>
      <c r="BSX514" s="385"/>
      <c r="BSY514" s="69"/>
      <c r="BSZ514" s="69"/>
      <c r="BTA514" s="2513"/>
      <c r="BTB514" s="1761"/>
      <c r="BTC514" s="1762"/>
      <c r="BTD514" s="1762"/>
      <c r="BTE514" s="1763"/>
      <c r="BTF514" s="385"/>
      <c r="BTG514" s="69"/>
      <c r="BTH514" s="69"/>
      <c r="BTI514" s="2513"/>
      <c r="BTJ514" s="1761"/>
      <c r="BTK514" s="1762"/>
      <c r="BTL514" s="1762"/>
      <c r="BTM514" s="1763"/>
      <c r="BTN514" s="385"/>
      <c r="BTO514" s="69"/>
      <c r="BTP514" s="69"/>
      <c r="BTQ514" s="2513"/>
      <c r="BTR514" s="1761"/>
      <c r="BTS514" s="1762"/>
      <c r="BTT514" s="1762"/>
      <c r="BTU514" s="1763"/>
      <c r="BTV514" s="385"/>
      <c r="BTW514" s="69"/>
      <c r="BTX514" s="69"/>
      <c r="BTY514" s="2513"/>
      <c r="BTZ514" s="1761"/>
      <c r="BUA514" s="1762"/>
      <c r="BUB514" s="1762"/>
      <c r="BUC514" s="1763"/>
      <c r="BUD514" s="385"/>
      <c r="BUE514" s="69"/>
      <c r="BUF514" s="69"/>
      <c r="BUG514" s="2513"/>
      <c r="BUH514" s="1761"/>
      <c r="BUI514" s="1762"/>
      <c r="BUJ514" s="1762"/>
      <c r="BUK514" s="1763"/>
      <c r="BUL514" s="385"/>
      <c r="BUM514" s="69"/>
      <c r="BUN514" s="69"/>
      <c r="BUO514" s="2513"/>
      <c r="BUP514" s="1761"/>
      <c r="BUQ514" s="1762"/>
      <c r="BUR514" s="1762"/>
      <c r="BUS514" s="1763"/>
      <c r="BUT514" s="385"/>
      <c r="BUU514" s="69"/>
      <c r="BUV514" s="69"/>
      <c r="BUW514" s="2513"/>
      <c r="BUX514" s="1761"/>
      <c r="BUY514" s="1762"/>
      <c r="BUZ514" s="1762"/>
      <c r="BVA514" s="1763"/>
      <c r="BVB514" s="385"/>
      <c r="BVC514" s="69"/>
      <c r="BVD514" s="69"/>
      <c r="BVE514" s="2513"/>
      <c r="BVF514" s="1761"/>
      <c r="BVG514" s="1762"/>
      <c r="BVH514" s="1762"/>
      <c r="BVI514" s="1763"/>
      <c r="BVJ514" s="385"/>
      <c r="BVK514" s="69"/>
      <c r="BVL514" s="69"/>
      <c r="BVM514" s="2513"/>
      <c r="BVN514" s="1761"/>
      <c r="BVO514" s="1762"/>
      <c r="BVP514" s="1762"/>
      <c r="BVQ514" s="1763"/>
      <c r="BVR514" s="385"/>
      <c r="BVS514" s="69"/>
      <c r="BVT514" s="69"/>
      <c r="BVU514" s="2513"/>
      <c r="BVV514" s="1761"/>
      <c r="BVW514" s="1762"/>
      <c r="BVX514" s="1762"/>
      <c r="BVY514" s="1763"/>
      <c r="BVZ514" s="385"/>
      <c r="BWA514" s="69"/>
      <c r="BWB514" s="69"/>
      <c r="BWC514" s="2513"/>
      <c r="BWD514" s="1761"/>
      <c r="BWE514" s="1762"/>
      <c r="BWF514" s="1762"/>
      <c r="BWG514" s="1763"/>
      <c r="BWH514" s="385"/>
      <c r="BWI514" s="69"/>
      <c r="BWJ514" s="69"/>
      <c r="BWK514" s="2513"/>
      <c r="BWL514" s="1761"/>
      <c r="BWM514" s="1762"/>
      <c r="BWN514" s="1762"/>
      <c r="BWO514" s="1763"/>
      <c r="BWP514" s="385"/>
      <c r="BWQ514" s="69"/>
      <c r="BWR514" s="69"/>
      <c r="BWS514" s="2513"/>
      <c r="BWT514" s="1761"/>
      <c r="BWU514" s="1762"/>
      <c r="BWV514" s="1762"/>
      <c r="BWW514" s="1763"/>
      <c r="BWX514" s="385"/>
      <c r="BWY514" s="69"/>
      <c r="BWZ514" s="69"/>
      <c r="BXA514" s="2513"/>
      <c r="BXB514" s="1761"/>
      <c r="BXC514" s="1762"/>
      <c r="BXD514" s="1762"/>
      <c r="BXE514" s="1763"/>
      <c r="BXF514" s="385"/>
      <c r="BXG514" s="69"/>
      <c r="BXH514" s="69"/>
      <c r="BXI514" s="2513"/>
      <c r="BXJ514" s="1761"/>
      <c r="BXK514" s="1762"/>
      <c r="BXL514" s="1762"/>
      <c r="BXM514" s="1763"/>
      <c r="BXN514" s="385"/>
      <c r="BXO514" s="69"/>
      <c r="BXP514" s="69"/>
      <c r="BXQ514" s="2513"/>
      <c r="BXR514" s="1761"/>
      <c r="BXS514" s="1762"/>
      <c r="BXT514" s="1762"/>
      <c r="BXU514" s="1763"/>
      <c r="BXV514" s="385"/>
      <c r="BXW514" s="69"/>
      <c r="BXX514" s="69"/>
      <c r="BXY514" s="2513"/>
      <c r="BXZ514" s="1761"/>
      <c r="BYA514" s="1762"/>
      <c r="BYB514" s="1762"/>
      <c r="BYC514" s="1763"/>
      <c r="BYD514" s="385"/>
      <c r="BYE514" s="69"/>
      <c r="BYF514" s="69"/>
      <c r="BYG514" s="2513"/>
      <c r="BYH514" s="1761"/>
      <c r="BYI514" s="1762"/>
      <c r="BYJ514" s="1762"/>
      <c r="BYK514" s="1763"/>
      <c r="BYL514" s="385"/>
      <c r="BYM514" s="69"/>
      <c r="BYN514" s="69"/>
      <c r="BYO514" s="2513"/>
      <c r="BYP514" s="1761"/>
      <c r="BYQ514" s="1762"/>
      <c r="BYR514" s="1762"/>
      <c r="BYS514" s="1763"/>
      <c r="BYT514" s="385"/>
      <c r="BYU514" s="69"/>
      <c r="BYV514" s="69"/>
      <c r="BYW514" s="2513"/>
      <c r="BYX514" s="1761"/>
      <c r="BYY514" s="1762"/>
      <c r="BYZ514" s="1762"/>
      <c r="BZA514" s="1763"/>
      <c r="BZB514" s="385"/>
      <c r="BZC514" s="69"/>
      <c r="BZD514" s="69"/>
      <c r="BZE514" s="2513"/>
      <c r="BZF514" s="1761"/>
      <c r="BZG514" s="1762"/>
      <c r="BZH514" s="1762"/>
      <c r="BZI514" s="1763"/>
      <c r="BZJ514" s="385"/>
      <c r="BZK514" s="69"/>
      <c r="BZL514" s="69"/>
      <c r="BZM514" s="2513"/>
      <c r="BZN514" s="1761"/>
      <c r="BZO514" s="1762"/>
      <c r="BZP514" s="1762"/>
      <c r="BZQ514" s="1763"/>
      <c r="BZR514" s="385"/>
      <c r="BZS514" s="69"/>
      <c r="BZT514" s="69"/>
      <c r="BZU514" s="2513"/>
      <c r="BZV514" s="1761"/>
      <c r="BZW514" s="1762"/>
      <c r="BZX514" s="1762"/>
      <c r="BZY514" s="1763"/>
      <c r="BZZ514" s="385"/>
      <c r="CAA514" s="69"/>
      <c r="CAB514" s="69"/>
      <c r="CAC514" s="2513"/>
      <c r="CAD514" s="1761"/>
      <c r="CAE514" s="1762"/>
      <c r="CAF514" s="1762"/>
      <c r="CAG514" s="1763"/>
      <c r="CAH514" s="385"/>
      <c r="CAI514" s="69"/>
      <c r="CAJ514" s="69"/>
      <c r="CAK514" s="2513"/>
      <c r="CAL514" s="1761"/>
      <c r="CAM514" s="1762"/>
      <c r="CAN514" s="1762"/>
      <c r="CAO514" s="1763"/>
      <c r="CAP514" s="385"/>
      <c r="CAQ514" s="69"/>
      <c r="CAR514" s="69"/>
      <c r="CAS514" s="2513"/>
      <c r="CAT514" s="1761"/>
      <c r="CAU514" s="1762"/>
      <c r="CAV514" s="1762"/>
      <c r="CAW514" s="1763"/>
      <c r="CAX514" s="385"/>
      <c r="CAY514" s="69"/>
      <c r="CAZ514" s="69"/>
      <c r="CBA514" s="2513"/>
      <c r="CBB514" s="1761"/>
      <c r="CBC514" s="1762"/>
      <c r="CBD514" s="1762"/>
      <c r="CBE514" s="1763"/>
      <c r="CBF514" s="385"/>
      <c r="CBG514" s="69"/>
      <c r="CBH514" s="69"/>
      <c r="CBI514" s="2513"/>
      <c r="CBJ514" s="1761"/>
      <c r="CBK514" s="1762"/>
      <c r="CBL514" s="1762"/>
      <c r="CBM514" s="1763"/>
      <c r="CBN514" s="385"/>
      <c r="CBO514" s="69"/>
      <c r="CBP514" s="69"/>
      <c r="CBQ514" s="2513"/>
      <c r="CBR514" s="1761"/>
      <c r="CBS514" s="1762"/>
      <c r="CBT514" s="1762"/>
      <c r="CBU514" s="1763"/>
      <c r="CBV514" s="385"/>
      <c r="CBW514" s="69"/>
      <c r="CBX514" s="69"/>
      <c r="CBY514" s="2513"/>
      <c r="CBZ514" s="1761"/>
      <c r="CCA514" s="1762"/>
      <c r="CCB514" s="1762"/>
      <c r="CCC514" s="1763"/>
      <c r="CCD514" s="385"/>
      <c r="CCE514" s="69"/>
      <c r="CCF514" s="69"/>
      <c r="CCG514" s="2513"/>
      <c r="CCH514" s="1761"/>
      <c r="CCI514" s="1762"/>
      <c r="CCJ514" s="1762"/>
      <c r="CCK514" s="1763"/>
      <c r="CCL514" s="385"/>
      <c r="CCM514" s="69"/>
      <c r="CCN514" s="69"/>
      <c r="CCO514" s="2513"/>
      <c r="CCP514" s="1761"/>
      <c r="CCQ514" s="1762"/>
      <c r="CCR514" s="1762"/>
      <c r="CCS514" s="1763"/>
      <c r="CCT514" s="385"/>
      <c r="CCU514" s="69"/>
      <c r="CCV514" s="69"/>
      <c r="CCW514" s="2513"/>
      <c r="CCX514" s="1761"/>
      <c r="CCY514" s="1762"/>
      <c r="CCZ514" s="1762"/>
      <c r="CDA514" s="1763"/>
      <c r="CDB514" s="385"/>
      <c r="CDC514" s="69"/>
      <c r="CDD514" s="69"/>
      <c r="CDE514" s="2513"/>
      <c r="CDF514" s="1761"/>
      <c r="CDG514" s="1762"/>
      <c r="CDH514" s="1762"/>
      <c r="CDI514" s="1763"/>
      <c r="CDJ514" s="385"/>
      <c r="CDK514" s="69"/>
      <c r="CDL514" s="69"/>
      <c r="CDM514" s="2513"/>
      <c r="CDN514" s="1761"/>
      <c r="CDO514" s="1762"/>
      <c r="CDP514" s="1762"/>
      <c r="CDQ514" s="1763"/>
      <c r="CDR514" s="385"/>
      <c r="CDS514" s="69"/>
      <c r="CDT514" s="69"/>
      <c r="CDU514" s="2513"/>
      <c r="CDV514" s="1761"/>
      <c r="CDW514" s="1762"/>
      <c r="CDX514" s="1762"/>
      <c r="CDY514" s="1763"/>
      <c r="CDZ514" s="385"/>
      <c r="CEA514" s="69"/>
      <c r="CEB514" s="69"/>
      <c r="CEC514" s="2513"/>
      <c r="CED514" s="1761"/>
      <c r="CEE514" s="1762"/>
      <c r="CEF514" s="1762"/>
      <c r="CEG514" s="1763"/>
      <c r="CEH514" s="385"/>
      <c r="CEI514" s="69"/>
      <c r="CEJ514" s="69"/>
      <c r="CEK514" s="2513"/>
      <c r="CEL514" s="1761"/>
      <c r="CEM514" s="1762"/>
      <c r="CEN514" s="1762"/>
      <c r="CEO514" s="1763"/>
      <c r="CEP514" s="385"/>
      <c r="CEQ514" s="69"/>
      <c r="CER514" s="69"/>
      <c r="CES514" s="2513"/>
      <c r="CET514" s="1761"/>
      <c r="CEU514" s="1762"/>
      <c r="CEV514" s="1762"/>
      <c r="CEW514" s="1763"/>
      <c r="CEX514" s="385"/>
      <c r="CEY514" s="69"/>
      <c r="CEZ514" s="69"/>
      <c r="CFA514" s="2513"/>
      <c r="CFB514" s="1761"/>
      <c r="CFC514" s="1762"/>
      <c r="CFD514" s="1762"/>
      <c r="CFE514" s="1763"/>
      <c r="CFF514" s="385"/>
      <c r="CFG514" s="69"/>
      <c r="CFH514" s="69"/>
      <c r="CFI514" s="2513"/>
      <c r="CFJ514" s="1761"/>
      <c r="CFK514" s="1762"/>
      <c r="CFL514" s="1762"/>
      <c r="CFM514" s="1763"/>
      <c r="CFN514" s="385"/>
      <c r="CFO514" s="69"/>
      <c r="CFP514" s="69"/>
      <c r="CFQ514" s="2513"/>
      <c r="CFR514" s="1761"/>
      <c r="CFS514" s="1762"/>
      <c r="CFT514" s="1762"/>
      <c r="CFU514" s="1763"/>
      <c r="CFV514" s="385"/>
      <c r="CFW514" s="69"/>
      <c r="CFX514" s="69"/>
      <c r="CFY514" s="2513"/>
      <c r="CFZ514" s="1761"/>
      <c r="CGA514" s="1762"/>
      <c r="CGB514" s="1762"/>
      <c r="CGC514" s="1763"/>
      <c r="CGD514" s="385"/>
      <c r="CGE514" s="69"/>
      <c r="CGF514" s="69"/>
      <c r="CGG514" s="2513"/>
      <c r="CGH514" s="1761"/>
      <c r="CGI514" s="1762"/>
      <c r="CGJ514" s="1762"/>
      <c r="CGK514" s="1763"/>
      <c r="CGL514" s="385"/>
      <c r="CGM514" s="69"/>
      <c r="CGN514" s="69"/>
      <c r="CGO514" s="2513"/>
      <c r="CGP514" s="1761"/>
      <c r="CGQ514" s="1762"/>
      <c r="CGR514" s="1762"/>
      <c r="CGS514" s="1763"/>
      <c r="CGT514" s="385"/>
      <c r="CGU514" s="69"/>
      <c r="CGV514" s="69"/>
      <c r="CGW514" s="2513"/>
      <c r="CGX514" s="1761"/>
      <c r="CGY514" s="1762"/>
      <c r="CGZ514" s="1762"/>
      <c r="CHA514" s="1763"/>
      <c r="CHB514" s="385"/>
      <c r="CHC514" s="69"/>
      <c r="CHD514" s="69"/>
      <c r="CHE514" s="2513"/>
      <c r="CHF514" s="1761"/>
      <c r="CHG514" s="1762"/>
      <c r="CHH514" s="1762"/>
      <c r="CHI514" s="1763"/>
      <c r="CHJ514" s="385"/>
      <c r="CHK514" s="69"/>
      <c r="CHL514" s="69"/>
      <c r="CHM514" s="2513"/>
      <c r="CHN514" s="1761"/>
      <c r="CHO514" s="1762"/>
      <c r="CHP514" s="1762"/>
      <c r="CHQ514" s="1763"/>
      <c r="CHR514" s="385"/>
      <c r="CHS514" s="69"/>
      <c r="CHT514" s="69"/>
      <c r="CHU514" s="2513"/>
      <c r="CHV514" s="1761"/>
      <c r="CHW514" s="1762"/>
      <c r="CHX514" s="1762"/>
      <c r="CHY514" s="1763"/>
      <c r="CHZ514" s="385"/>
      <c r="CIA514" s="69"/>
      <c r="CIB514" s="69"/>
      <c r="CIC514" s="2513"/>
      <c r="CID514" s="1761"/>
      <c r="CIE514" s="1762"/>
      <c r="CIF514" s="1762"/>
      <c r="CIG514" s="1763"/>
      <c r="CIH514" s="385"/>
      <c r="CII514" s="69"/>
      <c r="CIJ514" s="69"/>
      <c r="CIK514" s="2513"/>
      <c r="CIL514" s="1761"/>
      <c r="CIM514" s="1762"/>
      <c r="CIN514" s="1762"/>
      <c r="CIO514" s="1763"/>
      <c r="CIP514" s="385"/>
      <c r="CIQ514" s="69"/>
      <c r="CIR514" s="69"/>
      <c r="CIS514" s="2513"/>
      <c r="CIT514" s="1761"/>
      <c r="CIU514" s="1762"/>
      <c r="CIV514" s="1762"/>
      <c r="CIW514" s="1763"/>
      <c r="CIX514" s="385"/>
      <c r="CIY514" s="69"/>
      <c r="CIZ514" s="69"/>
      <c r="CJA514" s="2513"/>
      <c r="CJB514" s="1761"/>
      <c r="CJC514" s="1762"/>
      <c r="CJD514" s="1762"/>
      <c r="CJE514" s="1763"/>
      <c r="CJF514" s="385"/>
      <c r="CJG514" s="69"/>
      <c r="CJH514" s="69"/>
      <c r="CJI514" s="2513"/>
      <c r="CJJ514" s="1761"/>
      <c r="CJK514" s="1762"/>
      <c r="CJL514" s="1762"/>
      <c r="CJM514" s="1763"/>
      <c r="CJN514" s="385"/>
      <c r="CJO514" s="69"/>
      <c r="CJP514" s="69"/>
      <c r="CJQ514" s="2513"/>
      <c r="CJR514" s="1761"/>
      <c r="CJS514" s="1762"/>
      <c r="CJT514" s="1762"/>
      <c r="CJU514" s="1763"/>
      <c r="CJV514" s="385"/>
      <c r="CJW514" s="69"/>
      <c r="CJX514" s="69"/>
      <c r="CJY514" s="2513"/>
      <c r="CJZ514" s="1761"/>
      <c r="CKA514" s="1762"/>
      <c r="CKB514" s="1762"/>
      <c r="CKC514" s="1763"/>
      <c r="CKD514" s="385"/>
      <c r="CKE514" s="69"/>
      <c r="CKF514" s="69"/>
      <c r="CKG514" s="2513"/>
      <c r="CKH514" s="1761"/>
      <c r="CKI514" s="1762"/>
      <c r="CKJ514" s="1762"/>
      <c r="CKK514" s="1763"/>
      <c r="CKL514" s="385"/>
      <c r="CKM514" s="69"/>
      <c r="CKN514" s="69"/>
      <c r="CKO514" s="2513"/>
      <c r="CKP514" s="1761"/>
      <c r="CKQ514" s="1762"/>
      <c r="CKR514" s="1762"/>
      <c r="CKS514" s="1763"/>
      <c r="CKT514" s="385"/>
      <c r="CKU514" s="69"/>
      <c r="CKV514" s="69"/>
      <c r="CKW514" s="2513"/>
      <c r="CKX514" s="1761"/>
      <c r="CKY514" s="1762"/>
      <c r="CKZ514" s="1762"/>
      <c r="CLA514" s="1763"/>
      <c r="CLB514" s="385"/>
      <c r="CLC514" s="69"/>
      <c r="CLD514" s="69"/>
      <c r="CLE514" s="2513"/>
      <c r="CLF514" s="1761"/>
      <c r="CLG514" s="1762"/>
      <c r="CLH514" s="1762"/>
      <c r="CLI514" s="1763"/>
      <c r="CLJ514" s="385"/>
      <c r="CLK514" s="69"/>
      <c r="CLL514" s="69"/>
      <c r="CLM514" s="2513"/>
      <c r="CLN514" s="1761"/>
      <c r="CLO514" s="1762"/>
      <c r="CLP514" s="1762"/>
      <c r="CLQ514" s="1763"/>
      <c r="CLR514" s="385"/>
      <c r="CLS514" s="69"/>
      <c r="CLT514" s="69"/>
      <c r="CLU514" s="2513"/>
      <c r="CLV514" s="1761"/>
      <c r="CLW514" s="1762"/>
      <c r="CLX514" s="1762"/>
      <c r="CLY514" s="1763"/>
      <c r="CLZ514" s="385"/>
      <c r="CMA514" s="69"/>
      <c r="CMB514" s="69"/>
      <c r="CMC514" s="2513"/>
      <c r="CMD514" s="1761"/>
      <c r="CME514" s="1762"/>
      <c r="CMF514" s="1762"/>
      <c r="CMG514" s="1763"/>
      <c r="CMH514" s="385"/>
      <c r="CMI514" s="69"/>
      <c r="CMJ514" s="69"/>
      <c r="CMK514" s="2513"/>
      <c r="CML514" s="1761"/>
      <c r="CMM514" s="1762"/>
      <c r="CMN514" s="1762"/>
      <c r="CMO514" s="1763"/>
      <c r="CMP514" s="385"/>
      <c r="CMQ514" s="69"/>
      <c r="CMR514" s="69"/>
      <c r="CMS514" s="2513"/>
      <c r="CMT514" s="1761"/>
      <c r="CMU514" s="1762"/>
      <c r="CMV514" s="1762"/>
      <c r="CMW514" s="1763"/>
      <c r="CMX514" s="385"/>
      <c r="CMY514" s="69"/>
      <c r="CMZ514" s="69"/>
      <c r="CNA514" s="2513"/>
      <c r="CNB514" s="1761"/>
      <c r="CNC514" s="1762"/>
      <c r="CND514" s="1762"/>
      <c r="CNE514" s="1763"/>
      <c r="CNF514" s="385"/>
      <c r="CNG514" s="69"/>
      <c r="CNH514" s="69"/>
      <c r="CNI514" s="2513"/>
      <c r="CNJ514" s="1761"/>
      <c r="CNK514" s="1762"/>
      <c r="CNL514" s="1762"/>
      <c r="CNM514" s="1763"/>
      <c r="CNN514" s="385"/>
      <c r="CNO514" s="69"/>
      <c r="CNP514" s="69"/>
      <c r="CNQ514" s="2513"/>
      <c r="CNR514" s="1761"/>
      <c r="CNS514" s="1762"/>
      <c r="CNT514" s="1762"/>
      <c r="CNU514" s="1763"/>
      <c r="CNV514" s="385"/>
      <c r="CNW514" s="69"/>
      <c r="CNX514" s="69"/>
      <c r="CNY514" s="2513"/>
      <c r="CNZ514" s="1761"/>
      <c r="COA514" s="1762"/>
      <c r="COB514" s="1762"/>
      <c r="COC514" s="1763"/>
      <c r="COD514" s="385"/>
      <c r="COE514" s="69"/>
      <c r="COF514" s="69"/>
      <c r="COG514" s="2513"/>
      <c r="COH514" s="1761"/>
      <c r="COI514" s="1762"/>
      <c r="COJ514" s="1762"/>
      <c r="COK514" s="1763"/>
      <c r="COL514" s="385"/>
      <c r="COM514" s="69"/>
      <c r="CON514" s="69"/>
      <c r="COO514" s="2513"/>
      <c r="COP514" s="1761"/>
      <c r="COQ514" s="1762"/>
      <c r="COR514" s="1762"/>
      <c r="COS514" s="1763"/>
      <c r="COT514" s="385"/>
      <c r="COU514" s="69"/>
      <c r="COV514" s="69"/>
      <c r="COW514" s="2513"/>
      <c r="COX514" s="1761"/>
      <c r="COY514" s="1762"/>
      <c r="COZ514" s="1762"/>
      <c r="CPA514" s="1763"/>
      <c r="CPB514" s="385"/>
      <c r="CPC514" s="69"/>
      <c r="CPD514" s="69"/>
      <c r="CPE514" s="2513"/>
      <c r="CPF514" s="1761"/>
      <c r="CPG514" s="1762"/>
      <c r="CPH514" s="1762"/>
      <c r="CPI514" s="1763"/>
      <c r="CPJ514" s="385"/>
      <c r="CPK514" s="69"/>
      <c r="CPL514" s="69"/>
      <c r="CPM514" s="2513"/>
      <c r="CPN514" s="1761"/>
      <c r="CPO514" s="1762"/>
      <c r="CPP514" s="1762"/>
      <c r="CPQ514" s="1763"/>
      <c r="CPR514" s="385"/>
      <c r="CPS514" s="69"/>
      <c r="CPT514" s="69"/>
      <c r="CPU514" s="2513"/>
      <c r="CPV514" s="1761"/>
      <c r="CPW514" s="1762"/>
      <c r="CPX514" s="1762"/>
      <c r="CPY514" s="1763"/>
      <c r="CPZ514" s="385"/>
      <c r="CQA514" s="69"/>
      <c r="CQB514" s="69"/>
      <c r="CQC514" s="2513"/>
      <c r="CQD514" s="1761"/>
      <c r="CQE514" s="1762"/>
      <c r="CQF514" s="1762"/>
      <c r="CQG514" s="1763"/>
      <c r="CQH514" s="385"/>
      <c r="CQI514" s="69"/>
      <c r="CQJ514" s="69"/>
      <c r="CQK514" s="2513"/>
      <c r="CQL514" s="1761"/>
      <c r="CQM514" s="1762"/>
      <c r="CQN514" s="1762"/>
      <c r="CQO514" s="1763"/>
      <c r="CQP514" s="385"/>
      <c r="CQQ514" s="69"/>
      <c r="CQR514" s="69"/>
      <c r="CQS514" s="2513"/>
      <c r="CQT514" s="1761"/>
      <c r="CQU514" s="1762"/>
      <c r="CQV514" s="1762"/>
      <c r="CQW514" s="1763"/>
      <c r="CQX514" s="385"/>
      <c r="CQY514" s="69"/>
      <c r="CQZ514" s="69"/>
      <c r="CRA514" s="2513"/>
      <c r="CRB514" s="1761"/>
      <c r="CRC514" s="1762"/>
      <c r="CRD514" s="1762"/>
      <c r="CRE514" s="1763"/>
      <c r="CRF514" s="385"/>
      <c r="CRG514" s="69"/>
      <c r="CRH514" s="69"/>
      <c r="CRI514" s="2513"/>
      <c r="CRJ514" s="1761"/>
      <c r="CRK514" s="1762"/>
      <c r="CRL514" s="1762"/>
      <c r="CRM514" s="1763"/>
      <c r="CRN514" s="385"/>
      <c r="CRO514" s="69"/>
      <c r="CRP514" s="69"/>
      <c r="CRQ514" s="2513"/>
      <c r="CRR514" s="1761"/>
      <c r="CRS514" s="1762"/>
      <c r="CRT514" s="1762"/>
      <c r="CRU514" s="1763"/>
      <c r="CRV514" s="385"/>
      <c r="CRW514" s="69"/>
      <c r="CRX514" s="69"/>
      <c r="CRY514" s="2513"/>
      <c r="CRZ514" s="1761"/>
      <c r="CSA514" s="1762"/>
      <c r="CSB514" s="1762"/>
      <c r="CSC514" s="1763"/>
      <c r="CSD514" s="385"/>
      <c r="CSE514" s="69"/>
      <c r="CSF514" s="69"/>
      <c r="CSG514" s="2513"/>
      <c r="CSH514" s="1761"/>
      <c r="CSI514" s="1762"/>
      <c r="CSJ514" s="1762"/>
      <c r="CSK514" s="1763"/>
      <c r="CSL514" s="385"/>
      <c r="CSM514" s="69"/>
      <c r="CSN514" s="69"/>
      <c r="CSO514" s="2513"/>
      <c r="CSP514" s="1761"/>
      <c r="CSQ514" s="1762"/>
      <c r="CSR514" s="1762"/>
      <c r="CSS514" s="1763"/>
      <c r="CST514" s="385"/>
      <c r="CSU514" s="69"/>
      <c r="CSV514" s="69"/>
      <c r="CSW514" s="2513"/>
      <c r="CSX514" s="1761"/>
      <c r="CSY514" s="1762"/>
      <c r="CSZ514" s="1762"/>
      <c r="CTA514" s="1763"/>
      <c r="CTB514" s="385"/>
      <c r="CTC514" s="69"/>
      <c r="CTD514" s="69"/>
      <c r="CTE514" s="2513"/>
      <c r="CTF514" s="1761"/>
      <c r="CTG514" s="1762"/>
      <c r="CTH514" s="1762"/>
      <c r="CTI514" s="1763"/>
      <c r="CTJ514" s="385"/>
      <c r="CTK514" s="69"/>
      <c r="CTL514" s="69"/>
      <c r="CTM514" s="2513"/>
      <c r="CTN514" s="1761"/>
      <c r="CTO514" s="1762"/>
      <c r="CTP514" s="1762"/>
      <c r="CTQ514" s="1763"/>
      <c r="CTR514" s="385"/>
      <c r="CTS514" s="69"/>
      <c r="CTT514" s="69"/>
      <c r="CTU514" s="2513"/>
      <c r="CTV514" s="1761"/>
      <c r="CTW514" s="1762"/>
      <c r="CTX514" s="1762"/>
      <c r="CTY514" s="1763"/>
      <c r="CTZ514" s="385"/>
      <c r="CUA514" s="69"/>
      <c r="CUB514" s="69"/>
      <c r="CUC514" s="2513"/>
      <c r="CUD514" s="1761"/>
      <c r="CUE514" s="1762"/>
      <c r="CUF514" s="1762"/>
      <c r="CUG514" s="1763"/>
      <c r="CUH514" s="385"/>
      <c r="CUI514" s="69"/>
      <c r="CUJ514" s="69"/>
      <c r="CUK514" s="2513"/>
      <c r="CUL514" s="1761"/>
      <c r="CUM514" s="1762"/>
      <c r="CUN514" s="1762"/>
      <c r="CUO514" s="1763"/>
      <c r="CUP514" s="385"/>
      <c r="CUQ514" s="69"/>
      <c r="CUR514" s="69"/>
      <c r="CUS514" s="2513"/>
      <c r="CUT514" s="1761"/>
      <c r="CUU514" s="1762"/>
      <c r="CUV514" s="1762"/>
      <c r="CUW514" s="1763"/>
      <c r="CUX514" s="385"/>
      <c r="CUY514" s="69"/>
      <c r="CUZ514" s="69"/>
      <c r="CVA514" s="2513"/>
      <c r="CVB514" s="1761"/>
      <c r="CVC514" s="1762"/>
      <c r="CVD514" s="1762"/>
      <c r="CVE514" s="1763"/>
      <c r="CVF514" s="385"/>
      <c r="CVG514" s="69"/>
      <c r="CVH514" s="69"/>
      <c r="CVI514" s="2513"/>
      <c r="CVJ514" s="1761"/>
      <c r="CVK514" s="1762"/>
      <c r="CVL514" s="1762"/>
      <c r="CVM514" s="1763"/>
      <c r="CVN514" s="385"/>
      <c r="CVO514" s="69"/>
      <c r="CVP514" s="69"/>
      <c r="CVQ514" s="2513"/>
      <c r="CVR514" s="1761"/>
      <c r="CVS514" s="1762"/>
      <c r="CVT514" s="1762"/>
      <c r="CVU514" s="1763"/>
      <c r="CVV514" s="385"/>
      <c r="CVW514" s="69"/>
      <c r="CVX514" s="69"/>
      <c r="CVY514" s="2513"/>
      <c r="CVZ514" s="1761"/>
      <c r="CWA514" s="1762"/>
      <c r="CWB514" s="1762"/>
      <c r="CWC514" s="1763"/>
      <c r="CWD514" s="385"/>
      <c r="CWE514" s="69"/>
      <c r="CWF514" s="69"/>
      <c r="CWG514" s="2513"/>
      <c r="CWH514" s="1761"/>
      <c r="CWI514" s="1762"/>
      <c r="CWJ514" s="1762"/>
      <c r="CWK514" s="1763"/>
      <c r="CWL514" s="385"/>
      <c r="CWM514" s="69"/>
      <c r="CWN514" s="69"/>
      <c r="CWO514" s="2513"/>
      <c r="CWP514" s="1761"/>
      <c r="CWQ514" s="1762"/>
      <c r="CWR514" s="1762"/>
      <c r="CWS514" s="1763"/>
      <c r="CWT514" s="385"/>
      <c r="CWU514" s="69"/>
      <c r="CWV514" s="69"/>
      <c r="CWW514" s="2513"/>
      <c r="CWX514" s="1761"/>
      <c r="CWY514" s="1762"/>
      <c r="CWZ514" s="1762"/>
      <c r="CXA514" s="1763"/>
      <c r="CXB514" s="385"/>
      <c r="CXC514" s="69"/>
      <c r="CXD514" s="69"/>
      <c r="CXE514" s="2513"/>
      <c r="CXF514" s="1761"/>
      <c r="CXG514" s="1762"/>
      <c r="CXH514" s="1762"/>
      <c r="CXI514" s="1763"/>
      <c r="CXJ514" s="385"/>
      <c r="CXK514" s="69"/>
      <c r="CXL514" s="69"/>
      <c r="CXM514" s="2513"/>
      <c r="CXN514" s="1761"/>
      <c r="CXO514" s="1762"/>
      <c r="CXP514" s="1762"/>
      <c r="CXQ514" s="1763"/>
      <c r="CXR514" s="385"/>
      <c r="CXS514" s="69"/>
      <c r="CXT514" s="69"/>
      <c r="CXU514" s="2513"/>
      <c r="CXV514" s="1761"/>
      <c r="CXW514" s="1762"/>
      <c r="CXX514" s="1762"/>
      <c r="CXY514" s="1763"/>
      <c r="CXZ514" s="385"/>
      <c r="CYA514" s="69"/>
      <c r="CYB514" s="69"/>
      <c r="CYC514" s="2513"/>
      <c r="CYD514" s="1761"/>
      <c r="CYE514" s="1762"/>
      <c r="CYF514" s="1762"/>
      <c r="CYG514" s="1763"/>
      <c r="CYH514" s="385"/>
      <c r="CYI514" s="69"/>
      <c r="CYJ514" s="69"/>
      <c r="CYK514" s="2513"/>
      <c r="CYL514" s="1761"/>
      <c r="CYM514" s="1762"/>
      <c r="CYN514" s="1762"/>
      <c r="CYO514" s="1763"/>
      <c r="CYP514" s="385"/>
      <c r="CYQ514" s="69"/>
      <c r="CYR514" s="69"/>
      <c r="CYS514" s="2513"/>
      <c r="CYT514" s="1761"/>
      <c r="CYU514" s="1762"/>
      <c r="CYV514" s="1762"/>
      <c r="CYW514" s="1763"/>
      <c r="CYX514" s="385"/>
      <c r="CYY514" s="69"/>
      <c r="CYZ514" s="69"/>
      <c r="CZA514" s="2513"/>
      <c r="CZB514" s="1761"/>
      <c r="CZC514" s="1762"/>
      <c r="CZD514" s="1762"/>
      <c r="CZE514" s="1763"/>
      <c r="CZF514" s="385"/>
      <c r="CZG514" s="69"/>
      <c r="CZH514" s="69"/>
      <c r="CZI514" s="2513"/>
      <c r="CZJ514" s="1761"/>
      <c r="CZK514" s="1762"/>
      <c r="CZL514" s="1762"/>
      <c r="CZM514" s="1763"/>
      <c r="CZN514" s="385"/>
      <c r="CZO514" s="69"/>
      <c r="CZP514" s="69"/>
      <c r="CZQ514" s="2513"/>
      <c r="CZR514" s="1761"/>
      <c r="CZS514" s="1762"/>
      <c r="CZT514" s="1762"/>
      <c r="CZU514" s="1763"/>
      <c r="CZV514" s="385"/>
      <c r="CZW514" s="69"/>
      <c r="CZX514" s="69"/>
      <c r="CZY514" s="2513"/>
      <c r="CZZ514" s="1761"/>
      <c r="DAA514" s="1762"/>
      <c r="DAB514" s="1762"/>
      <c r="DAC514" s="1763"/>
      <c r="DAD514" s="385"/>
      <c r="DAE514" s="69"/>
      <c r="DAF514" s="69"/>
      <c r="DAG514" s="2513"/>
      <c r="DAH514" s="1761"/>
      <c r="DAI514" s="1762"/>
      <c r="DAJ514" s="1762"/>
      <c r="DAK514" s="1763"/>
      <c r="DAL514" s="385"/>
      <c r="DAM514" s="69"/>
      <c r="DAN514" s="69"/>
      <c r="DAO514" s="2513"/>
      <c r="DAP514" s="1761"/>
      <c r="DAQ514" s="1762"/>
      <c r="DAR514" s="1762"/>
      <c r="DAS514" s="1763"/>
      <c r="DAT514" s="385"/>
      <c r="DAU514" s="69"/>
      <c r="DAV514" s="69"/>
      <c r="DAW514" s="2513"/>
      <c r="DAX514" s="1761"/>
      <c r="DAY514" s="1762"/>
      <c r="DAZ514" s="1762"/>
      <c r="DBA514" s="1763"/>
      <c r="DBB514" s="385"/>
      <c r="DBC514" s="69"/>
      <c r="DBD514" s="69"/>
      <c r="DBE514" s="2513"/>
      <c r="DBF514" s="1761"/>
      <c r="DBG514" s="1762"/>
      <c r="DBH514" s="1762"/>
      <c r="DBI514" s="1763"/>
      <c r="DBJ514" s="385"/>
      <c r="DBK514" s="69"/>
      <c r="DBL514" s="69"/>
      <c r="DBM514" s="2513"/>
      <c r="DBN514" s="1761"/>
      <c r="DBO514" s="1762"/>
      <c r="DBP514" s="1762"/>
      <c r="DBQ514" s="1763"/>
      <c r="DBR514" s="385"/>
      <c r="DBS514" s="69"/>
      <c r="DBT514" s="69"/>
      <c r="DBU514" s="2513"/>
      <c r="DBV514" s="1761"/>
      <c r="DBW514" s="1762"/>
      <c r="DBX514" s="1762"/>
      <c r="DBY514" s="1763"/>
      <c r="DBZ514" s="385"/>
      <c r="DCA514" s="69"/>
      <c r="DCB514" s="69"/>
      <c r="DCC514" s="2513"/>
      <c r="DCD514" s="1761"/>
      <c r="DCE514" s="1762"/>
      <c r="DCF514" s="1762"/>
      <c r="DCG514" s="1763"/>
      <c r="DCH514" s="385"/>
      <c r="DCI514" s="69"/>
      <c r="DCJ514" s="69"/>
      <c r="DCK514" s="2513"/>
      <c r="DCL514" s="1761"/>
      <c r="DCM514" s="1762"/>
      <c r="DCN514" s="1762"/>
      <c r="DCO514" s="1763"/>
      <c r="DCP514" s="385"/>
      <c r="DCQ514" s="69"/>
      <c r="DCR514" s="69"/>
      <c r="DCS514" s="2513"/>
      <c r="DCT514" s="1761"/>
      <c r="DCU514" s="1762"/>
      <c r="DCV514" s="1762"/>
      <c r="DCW514" s="1763"/>
      <c r="DCX514" s="385"/>
      <c r="DCY514" s="69"/>
      <c r="DCZ514" s="69"/>
      <c r="DDA514" s="2513"/>
      <c r="DDB514" s="1761"/>
      <c r="DDC514" s="1762"/>
      <c r="DDD514" s="1762"/>
      <c r="DDE514" s="1763"/>
      <c r="DDF514" s="385"/>
      <c r="DDG514" s="69"/>
      <c r="DDH514" s="69"/>
      <c r="DDI514" s="2513"/>
      <c r="DDJ514" s="1761"/>
      <c r="DDK514" s="1762"/>
      <c r="DDL514" s="1762"/>
      <c r="DDM514" s="1763"/>
      <c r="DDN514" s="385"/>
      <c r="DDO514" s="69"/>
      <c r="DDP514" s="69"/>
      <c r="DDQ514" s="2513"/>
      <c r="DDR514" s="1761"/>
      <c r="DDS514" s="1762"/>
      <c r="DDT514" s="1762"/>
      <c r="DDU514" s="1763"/>
      <c r="DDV514" s="385"/>
      <c r="DDW514" s="69"/>
      <c r="DDX514" s="69"/>
      <c r="DDY514" s="2513"/>
      <c r="DDZ514" s="1761"/>
      <c r="DEA514" s="1762"/>
      <c r="DEB514" s="1762"/>
      <c r="DEC514" s="1763"/>
      <c r="DED514" s="385"/>
      <c r="DEE514" s="69"/>
      <c r="DEF514" s="69"/>
      <c r="DEG514" s="2513"/>
      <c r="DEH514" s="1761"/>
      <c r="DEI514" s="1762"/>
      <c r="DEJ514" s="1762"/>
      <c r="DEK514" s="1763"/>
      <c r="DEL514" s="385"/>
      <c r="DEM514" s="69"/>
      <c r="DEN514" s="69"/>
      <c r="DEO514" s="2513"/>
      <c r="DEP514" s="1761"/>
      <c r="DEQ514" s="1762"/>
      <c r="DER514" s="1762"/>
      <c r="DES514" s="1763"/>
      <c r="DET514" s="385"/>
      <c r="DEU514" s="69"/>
      <c r="DEV514" s="69"/>
      <c r="DEW514" s="2513"/>
      <c r="DEX514" s="1761"/>
      <c r="DEY514" s="1762"/>
      <c r="DEZ514" s="1762"/>
      <c r="DFA514" s="1763"/>
      <c r="DFB514" s="385"/>
      <c r="DFC514" s="69"/>
      <c r="DFD514" s="69"/>
      <c r="DFE514" s="2513"/>
      <c r="DFF514" s="1761"/>
      <c r="DFG514" s="1762"/>
      <c r="DFH514" s="1762"/>
      <c r="DFI514" s="1763"/>
      <c r="DFJ514" s="385"/>
      <c r="DFK514" s="69"/>
      <c r="DFL514" s="69"/>
      <c r="DFM514" s="2513"/>
      <c r="DFN514" s="1761"/>
      <c r="DFO514" s="1762"/>
      <c r="DFP514" s="1762"/>
      <c r="DFQ514" s="1763"/>
      <c r="DFR514" s="385"/>
      <c r="DFS514" s="69"/>
      <c r="DFT514" s="69"/>
      <c r="DFU514" s="2513"/>
      <c r="DFV514" s="1761"/>
      <c r="DFW514" s="1762"/>
      <c r="DFX514" s="1762"/>
      <c r="DFY514" s="1763"/>
      <c r="DFZ514" s="385"/>
      <c r="DGA514" s="69"/>
      <c r="DGB514" s="69"/>
      <c r="DGC514" s="2513"/>
      <c r="DGD514" s="1761"/>
      <c r="DGE514" s="1762"/>
      <c r="DGF514" s="1762"/>
      <c r="DGG514" s="1763"/>
      <c r="DGH514" s="385"/>
      <c r="DGI514" s="69"/>
      <c r="DGJ514" s="69"/>
      <c r="DGK514" s="2513"/>
      <c r="DGL514" s="1761"/>
      <c r="DGM514" s="1762"/>
      <c r="DGN514" s="1762"/>
      <c r="DGO514" s="1763"/>
      <c r="DGP514" s="385"/>
      <c r="DGQ514" s="69"/>
      <c r="DGR514" s="69"/>
      <c r="DGS514" s="2513"/>
      <c r="DGT514" s="1761"/>
      <c r="DGU514" s="1762"/>
      <c r="DGV514" s="1762"/>
      <c r="DGW514" s="1763"/>
      <c r="DGX514" s="385"/>
      <c r="DGY514" s="69"/>
      <c r="DGZ514" s="69"/>
      <c r="DHA514" s="2513"/>
      <c r="DHB514" s="1761"/>
      <c r="DHC514" s="1762"/>
      <c r="DHD514" s="1762"/>
      <c r="DHE514" s="1763"/>
      <c r="DHF514" s="385"/>
      <c r="DHG514" s="69"/>
      <c r="DHH514" s="69"/>
      <c r="DHI514" s="2513"/>
      <c r="DHJ514" s="1761"/>
      <c r="DHK514" s="1762"/>
      <c r="DHL514" s="1762"/>
      <c r="DHM514" s="1763"/>
      <c r="DHN514" s="385"/>
      <c r="DHO514" s="69"/>
      <c r="DHP514" s="69"/>
      <c r="DHQ514" s="2513"/>
      <c r="DHR514" s="1761"/>
      <c r="DHS514" s="1762"/>
      <c r="DHT514" s="1762"/>
      <c r="DHU514" s="1763"/>
      <c r="DHV514" s="385"/>
      <c r="DHW514" s="69"/>
      <c r="DHX514" s="69"/>
      <c r="DHY514" s="2513"/>
      <c r="DHZ514" s="1761"/>
      <c r="DIA514" s="1762"/>
      <c r="DIB514" s="1762"/>
      <c r="DIC514" s="1763"/>
      <c r="DID514" s="385"/>
      <c r="DIE514" s="69"/>
      <c r="DIF514" s="69"/>
      <c r="DIG514" s="2513"/>
      <c r="DIH514" s="1761"/>
      <c r="DII514" s="1762"/>
      <c r="DIJ514" s="1762"/>
      <c r="DIK514" s="1763"/>
      <c r="DIL514" s="385"/>
      <c r="DIM514" s="69"/>
      <c r="DIN514" s="69"/>
      <c r="DIO514" s="2513"/>
      <c r="DIP514" s="1761"/>
      <c r="DIQ514" s="1762"/>
      <c r="DIR514" s="1762"/>
      <c r="DIS514" s="1763"/>
      <c r="DIT514" s="385"/>
      <c r="DIU514" s="69"/>
      <c r="DIV514" s="69"/>
      <c r="DIW514" s="2513"/>
      <c r="DIX514" s="1761"/>
      <c r="DIY514" s="1762"/>
      <c r="DIZ514" s="1762"/>
      <c r="DJA514" s="1763"/>
      <c r="DJB514" s="385"/>
      <c r="DJC514" s="69"/>
      <c r="DJD514" s="69"/>
      <c r="DJE514" s="2513"/>
      <c r="DJF514" s="1761"/>
      <c r="DJG514" s="1762"/>
      <c r="DJH514" s="1762"/>
      <c r="DJI514" s="1763"/>
      <c r="DJJ514" s="385"/>
      <c r="DJK514" s="69"/>
      <c r="DJL514" s="69"/>
      <c r="DJM514" s="2513"/>
      <c r="DJN514" s="1761"/>
      <c r="DJO514" s="1762"/>
      <c r="DJP514" s="1762"/>
      <c r="DJQ514" s="1763"/>
      <c r="DJR514" s="385"/>
      <c r="DJS514" s="69"/>
      <c r="DJT514" s="69"/>
      <c r="DJU514" s="2513"/>
      <c r="DJV514" s="1761"/>
      <c r="DJW514" s="1762"/>
      <c r="DJX514" s="1762"/>
      <c r="DJY514" s="1763"/>
      <c r="DJZ514" s="385"/>
      <c r="DKA514" s="69"/>
      <c r="DKB514" s="69"/>
      <c r="DKC514" s="2513"/>
      <c r="DKD514" s="1761"/>
      <c r="DKE514" s="1762"/>
      <c r="DKF514" s="1762"/>
      <c r="DKG514" s="1763"/>
      <c r="DKH514" s="385"/>
      <c r="DKI514" s="69"/>
      <c r="DKJ514" s="69"/>
      <c r="DKK514" s="2513"/>
      <c r="DKL514" s="1761"/>
      <c r="DKM514" s="1762"/>
      <c r="DKN514" s="1762"/>
      <c r="DKO514" s="1763"/>
      <c r="DKP514" s="385"/>
      <c r="DKQ514" s="69"/>
      <c r="DKR514" s="69"/>
      <c r="DKS514" s="2513"/>
      <c r="DKT514" s="1761"/>
      <c r="DKU514" s="1762"/>
      <c r="DKV514" s="1762"/>
      <c r="DKW514" s="1763"/>
      <c r="DKX514" s="385"/>
      <c r="DKY514" s="69"/>
      <c r="DKZ514" s="69"/>
      <c r="DLA514" s="2513"/>
      <c r="DLB514" s="1761"/>
      <c r="DLC514" s="1762"/>
      <c r="DLD514" s="1762"/>
      <c r="DLE514" s="1763"/>
      <c r="DLF514" s="385"/>
      <c r="DLG514" s="69"/>
      <c r="DLH514" s="69"/>
      <c r="DLI514" s="2513"/>
      <c r="DLJ514" s="1761"/>
      <c r="DLK514" s="1762"/>
      <c r="DLL514" s="1762"/>
      <c r="DLM514" s="1763"/>
      <c r="DLN514" s="385"/>
      <c r="DLO514" s="69"/>
      <c r="DLP514" s="69"/>
      <c r="DLQ514" s="2513"/>
      <c r="DLR514" s="1761"/>
      <c r="DLS514" s="1762"/>
      <c r="DLT514" s="1762"/>
      <c r="DLU514" s="1763"/>
      <c r="DLV514" s="385"/>
      <c r="DLW514" s="69"/>
      <c r="DLX514" s="69"/>
      <c r="DLY514" s="2513"/>
      <c r="DLZ514" s="1761"/>
      <c r="DMA514" s="1762"/>
      <c r="DMB514" s="1762"/>
      <c r="DMC514" s="1763"/>
      <c r="DMD514" s="385"/>
      <c r="DME514" s="69"/>
      <c r="DMF514" s="69"/>
      <c r="DMG514" s="2513"/>
      <c r="DMH514" s="1761"/>
      <c r="DMI514" s="1762"/>
      <c r="DMJ514" s="1762"/>
      <c r="DMK514" s="1763"/>
      <c r="DML514" s="385"/>
      <c r="DMM514" s="69"/>
      <c r="DMN514" s="69"/>
      <c r="DMO514" s="2513"/>
      <c r="DMP514" s="1761"/>
      <c r="DMQ514" s="1762"/>
      <c r="DMR514" s="1762"/>
      <c r="DMS514" s="1763"/>
      <c r="DMT514" s="385"/>
      <c r="DMU514" s="69"/>
      <c r="DMV514" s="69"/>
      <c r="DMW514" s="2513"/>
      <c r="DMX514" s="1761"/>
      <c r="DMY514" s="1762"/>
      <c r="DMZ514" s="1762"/>
      <c r="DNA514" s="1763"/>
      <c r="DNB514" s="385"/>
      <c r="DNC514" s="69"/>
      <c r="DND514" s="69"/>
      <c r="DNE514" s="2513"/>
      <c r="DNF514" s="1761"/>
      <c r="DNG514" s="1762"/>
      <c r="DNH514" s="1762"/>
      <c r="DNI514" s="1763"/>
      <c r="DNJ514" s="385"/>
      <c r="DNK514" s="69"/>
      <c r="DNL514" s="69"/>
      <c r="DNM514" s="2513"/>
      <c r="DNN514" s="1761"/>
      <c r="DNO514" s="1762"/>
      <c r="DNP514" s="1762"/>
      <c r="DNQ514" s="1763"/>
      <c r="DNR514" s="385"/>
      <c r="DNS514" s="69"/>
      <c r="DNT514" s="69"/>
      <c r="DNU514" s="2513"/>
      <c r="DNV514" s="1761"/>
      <c r="DNW514" s="1762"/>
      <c r="DNX514" s="1762"/>
      <c r="DNY514" s="1763"/>
      <c r="DNZ514" s="385"/>
      <c r="DOA514" s="69"/>
      <c r="DOB514" s="69"/>
      <c r="DOC514" s="2513"/>
      <c r="DOD514" s="1761"/>
      <c r="DOE514" s="1762"/>
      <c r="DOF514" s="1762"/>
      <c r="DOG514" s="1763"/>
      <c r="DOH514" s="385"/>
      <c r="DOI514" s="69"/>
      <c r="DOJ514" s="69"/>
      <c r="DOK514" s="2513"/>
      <c r="DOL514" s="1761"/>
      <c r="DOM514" s="1762"/>
      <c r="DON514" s="1762"/>
      <c r="DOO514" s="1763"/>
      <c r="DOP514" s="385"/>
      <c r="DOQ514" s="69"/>
      <c r="DOR514" s="69"/>
      <c r="DOS514" s="2513"/>
      <c r="DOT514" s="1761"/>
      <c r="DOU514" s="1762"/>
      <c r="DOV514" s="1762"/>
      <c r="DOW514" s="1763"/>
      <c r="DOX514" s="385"/>
      <c r="DOY514" s="69"/>
      <c r="DOZ514" s="69"/>
      <c r="DPA514" s="2513"/>
      <c r="DPB514" s="1761"/>
      <c r="DPC514" s="1762"/>
      <c r="DPD514" s="1762"/>
      <c r="DPE514" s="1763"/>
      <c r="DPF514" s="385"/>
      <c r="DPG514" s="69"/>
      <c r="DPH514" s="69"/>
      <c r="DPI514" s="2513"/>
      <c r="DPJ514" s="1761"/>
      <c r="DPK514" s="1762"/>
      <c r="DPL514" s="1762"/>
      <c r="DPM514" s="1763"/>
      <c r="DPN514" s="385"/>
      <c r="DPO514" s="69"/>
      <c r="DPP514" s="69"/>
      <c r="DPQ514" s="2513"/>
      <c r="DPR514" s="1761"/>
      <c r="DPS514" s="1762"/>
      <c r="DPT514" s="1762"/>
      <c r="DPU514" s="1763"/>
      <c r="DPV514" s="385"/>
      <c r="DPW514" s="69"/>
      <c r="DPX514" s="69"/>
      <c r="DPY514" s="2513"/>
      <c r="DPZ514" s="1761"/>
      <c r="DQA514" s="1762"/>
      <c r="DQB514" s="1762"/>
      <c r="DQC514" s="1763"/>
      <c r="DQD514" s="385"/>
      <c r="DQE514" s="69"/>
      <c r="DQF514" s="69"/>
      <c r="DQG514" s="2513"/>
      <c r="DQH514" s="1761"/>
      <c r="DQI514" s="1762"/>
      <c r="DQJ514" s="1762"/>
      <c r="DQK514" s="1763"/>
      <c r="DQL514" s="385"/>
      <c r="DQM514" s="69"/>
      <c r="DQN514" s="69"/>
      <c r="DQO514" s="2513"/>
      <c r="DQP514" s="1761"/>
      <c r="DQQ514" s="1762"/>
      <c r="DQR514" s="1762"/>
      <c r="DQS514" s="1763"/>
      <c r="DQT514" s="385"/>
      <c r="DQU514" s="69"/>
      <c r="DQV514" s="69"/>
      <c r="DQW514" s="2513"/>
      <c r="DQX514" s="1761"/>
      <c r="DQY514" s="1762"/>
      <c r="DQZ514" s="1762"/>
      <c r="DRA514" s="1763"/>
      <c r="DRB514" s="385"/>
      <c r="DRC514" s="69"/>
      <c r="DRD514" s="69"/>
      <c r="DRE514" s="2513"/>
      <c r="DRF514" s="1761"/>
      <c r="DRG514" s="1762"/>
      <c r="DRH514" s="1762"/>
      <c r="DRI514" s="1763"/>
      <c r="DRJ514" s="385"/>
      <c r="DRK514" s="69"/>
      <c r="DRL514" s="69"/>
      <c r="DRM514" s="2513"/>
      <c r="DRN514" s="1761"/>
      <c r="DRO514" s="1762"/>
      <c r="DRP514" s="1762"/>
      <c r="DRQ514" s="1763"/>
      <c r="DRR514" s="385"/>
      <c r="DRS514" s="69"/>
      <c r="DRT514" s="69"/>
      <c r="DRU514" s="2513"/>
      <c r="DRV514" s="1761"/>
      <c r="DRW514" s="1762"/>
      <c r="DRX514" s="1762"/>
      <c r="DRY514" s="1763"/>
      <c r="DRZ514" s="385"/>
      <c r="DSA514" s="69"/>
      <c r="DSB514" s="69"/>
      <c r="DSC514" s="2513"/>
      <c r="DSD514" s="1761"/>
      <c r="DSE514" s="1762"/>
      <c r="DSF514" s="1762"/>
      <c r="DSG514" s="1763"/>
      <c r="DSH514" s="385"/>
      <c r="DSI514" s="69"/>
      <c r="DSJ514" s="69"/>
      <c r="DSK514" s="2513"/>
      <c r="DSL514" s="1761"/>
      <c r="DSM514" s="1762"/>
      <c r="DSN514" s="1762"/>
      <c r="DSO514" s="1763"/>
      <c r="DSP514" s="385"/>
      <c r="DSQ514" s="69"/>
      <c r="DSR514" s="69"/>
      <c r="DSS514" s="2513"/>
      <c r="DST514" s="1761"/>
      <c r="DSU514" s="1762"/>
      <c r="DSV514" s="1762"/>
      <c r="DSW514" s="1763"/>
      <c r="DSX514" s="385"/>
      <c r="DSY514" s="69"/>
      <c r="DSZ514" s="69"/>
      <c r="DTA514" s="2513"/>
      <c r="DTB514" s="1761"/>
      <c r="DTC514" s="1762"/>
      <c r="DTD514" s="1762"/>
      <c r="DTE514" s="1763"/>
      <c r="DTF514" s="385"/>
      <c r="DTG514" s="69"/>
      <c r="DTH514" s="69"/>
      <c r="DTI514" s="2513"/>
      <c r="DTJ514" s="1761"/>
      <c r="DTK514" s="1762"/>
      <c r="DTL514" s="1762"/>
      <c r="DTM514" s="1763"/>
      <c r="DTN514" s="385"/>
      <c r="DTO514" s="69"/>
      <c r="DTP514" s="69"/>
      <c r="DTQ514" s="2513"/>
      <c r="DTR514" s="1761"/>
      <c r="DTS514" s="1762"/>
      <c r="DTT514" s="1762"/>
      <c r="DTU514" s="1763"/>
      <c r="DTV514" s="385"/>
      <c r="DTW514" s="69"/>
      <c r="DTX514" s="69"/>
      <c r="DTY514" s="2513"/>
      <c r="DTZ514" s="1761"/>
      <c r="DUA514" s="1762"/>
      <c r="DUB514" s="1762"/>
      <c r="DUC514" s="1763"/>
      <c r="DUD514" s="385"/>
      <c r="DUE514" s="69"/>
      <c r="DUF514" s="69"/>
      <c r="DUG514" s="2513"/>
      <c r="DUH514" s="1761"/>
      <c r="DUI514" s="1762"/>
      <c r="DUJ514" s="1762"/>
      <c r="DUK514" s="1763"/>
      <c r="DUL514" s="385"/>
      <c r="DUM514" s="69"/>
      <c r="DUN514" s="69"/>
      <c r="DUO514" s="2513"/>
      <c r="DUP514" s="1761"/>
      <c r="DUQ514" s="1762"/>
      <c r="DUR514" s="1762"/>
      <c r="DUS514" s="1763"/>
      <c r="DUT514" s="385"/>
      <c r="DUU514" s="69"/>
      <c r="DUV514" s="69"/>
      <c r="DUW514" s="2513"/>
      <c r="DUX514" s="1761"/>
      <c r="DUY514" s="1762"/>
      <c r="DUZ514" s="1762"/>
      <c r="DVA514" s="1763"/>
      <c r="DVB514" s="385"/>
      <c r="DVC514" s="69"/>
      <c r="DVD514" s="69"/>
      <c r="DVE514" s="2513"/>
      <c r="DVF514" s="1761"/>
      <c r="DVG514" s="1762"/>
      <c r="DVH514" s="1762"/>
      <c r="DVI514" s="1763"/>
      <c r="DVJ514" s="385"/>
      <c r="DVK514" s="69"/>
      <c r="DVL514" s="69"/>
      <c r="DVM514" s="2513"/>
      <c r="DVN514" s="1761"/>
      <c r="DVO514" s="1762"/>
      <c r="DVP514" s="1762"/>
      <c r="DVQ514" s="1763"/>
      <c r="DVR514" s="385"/>
      <c r="DVS514" s="69"/>
      <c r="DVT514" s="69"/>
      <c r="DVU514" s="2513"/>
      <c r="DVV514" s="1761"/>
      <c r="DVW514" s="1762"/>
      <c r="DVX514" s="1762"/>
      <c r="DVY514" s="1763"/>
      <c r="DVZ514" s="385"/>
      <c r="DWA514" s="69"/>
      <c r="DWB514" s="69"/>
      <c r="DWC514" s="2513"/>
      <c r="DWD514" s="1761"/>
      <c r="DWE514" s="1762"/>
      <c r="DWF514" s="1762"/>
      <c r="DWG514" s="1763"/>
      <c r="DWH514" s="385"/>
      <c r="DWI514" s="69"/>
      <c r="DWJ514" s="69"/>
      <c r="DWK514" s="2513"/>
      <c r="DWL514" s="1761"/>
      <c r="DWM514" s="1762"/>
      <c r="DWN514" s="1762"/>
      <c r="DWO514" s="1763"/>
      <c r="DWP514" s="385"/>
      <c r="DWQ514" s="69"/>
      <c r="DWR514" s="69"/>
      <c r="DWS514" s="2513"/>
      <c r="DWT514" s="1761"/>
      <c r="DWU514" s="1762"/>
      <c r="DWV514" s="1762"/>
      <c r="DWW514" s="1763"/>
      <c r="DWX514" s="385"/>
      <c r="DWY514" s="69"/>
      <c r="DWZ514" s="69"/>
      <c r="DXA514" s="2513"/>
      <c r="DXB514" s="1761"/>
      <c r="DXC514" s="1762"/>
      <c r="DXD514" s="1762"/>
      <c r="DXE514" s="1763"/>
      <c r="DXF514" s="385"/>
      <c r="DXG514" s="69"/>
      <c r="DXH514" s="69"/>
      <c r="DXI514" s="2513"/>
      <c r="DXJ514" s="1761"/>
      <c r="DXK514" s="1762"/>
      <c r="DXL514" s="1762"/>
      <c r="DXM514" s="1763"/>
      <c r="DXN514" s="385"/>
      <c r="DXO514" s="69"/>
      <c r="DXP514" s="69"/>
      <c r="DXQ514" s="2513"/>
      <c r="DXR514" s="1761"/>
      <c r="DXS514" s="1762"/>
      <c r="DXT514" s="1762"/>
      <c r="DXU514" s="1763"/>
      <c r="DXV514" s="385"/>
      <c r="DXW514" s="69"/>
      <c r="DXX514" s="69"/>
      <c r="DXY514" s="2513"/>
      <c r="DXZ514" s="1761"/>
      <c r="DYA514" s="1762"/>
      <c r="DYB514" s="1762"/>
      <c r="DYC514" s="1763"/>
      <c r="DYD514" s="385"/>
      <c r="DYE514" s="69"/>
      <c r="DYF514" s="69"/>
      <c r="DYG514" s="2513"/>
      <c r="DYH514" s="1761"/>
      <c r="DYI514" s="1762"/>
      <c r="DYJ514" s="1762"/>
      <c r="DYK514" s="1763"/>
      <c r="DYL514" s="385"/>
      <c r="DYM514" s="69"/>
      <c r="DYN514" s="69"/>
      <c r="DYO514" s="2513"/>
      <c r="DYP514" s="1761"/>
      <c r="DYQ514" s="1762"/>
      <c r="DYR514" s="1762"/>
      <c r="DYS514" s="1763"/>
      <c r="DYT514" s="385"/>
      <c r="DYU514" s="69"/>
      <c r="DYV514" s="69"/>
      <c r="DYW514" s="2513"/>
      <c r="DYX514" s="1761"/>
      <c r="DYY514" s="1762"/>
      <c r="DYZ514" s="1762"/>
      <c r="DZA514" s="1763"/>
      <c r="DZB514" s="385"/>
      <c r="DZC514" s="69"/>
      <c r="DZD514" s="69"/>
      <c r="DZE514" s="2513"/>
      <c r="DZF514" s="1761"/>
      <c r="DZG514" s="1762"/>
      <c r="DZH514" s="1762"/>
      <c r="DZI514" s="1763"/>
      <c r="DZJ514" s="385"/>
      <c r="DZK514" s="69"/>
      <c r="DZL514" s="69"/>
      <c r="DZM514" s="2513"/>
      <c r="DZN514" s="1761"/>
      <c r="DZO514" s="1762"/>
      <c r="DZP514" s="1762"/>
      <c r="DZQ514" s="1763"/>
      <c r="DZR514" s="385"/>
      <c r="DZS514" s="69"/>
      <c r="DZT514" s="69"/>
      <c r="DZU514" s="2513"/>
      <c r="DZV514" s="1761"/>
      <c r="DZW514" s="1762"/>
      <c r="DZX514" s="1762"/>
      <c r="DZY514" s="1763"/>
      <c r="DZZ514" s="385"/>
      <c r="EAA514" s="69"/>
      <c r="EAB514" s="69"/>
      <c r="EAC514" s="2513"/>
      <c r="EAD514" s="1761"/>
      <c r="EAE514" s="1762"/>
      <c r="EAF514" s="1762"/>
      <c r="EAG514" s="1763"/>
      <c r="EAH514" s="385"/>
      <c r="EAI514" s="69"/>
      <c r="EAJ514" s="69"/>
      <c r="EAK514" s="2513"/>
      <c r="EAL514" s="1761"/>
      <c r="EAM514" s="1762"/>
      <c r="EAN514" s="1762"/>
      <c r="EAO514" s="1763"/>
      <c r="EAP514" s="385"/>
      <c r="EAQ514" s="69"/>
      <c r="EAR514" s="69"/>
      <c r="EAS514" s="2513"/>
      <c r="EAT514" s="1761"/>
      <c r="EAU514" s="1762"/>
      <c r="EAV514" s="1762"/>
      <c r="EAW514" s="1763"/>
      <c r="EAX514" s="385"/>
      <c r="EAY514" s="69"/>
      <c r="EAZ514" s="69"/>
      <c r="EBA514" s="2513"/>
      <c r="EBB514" s="1761"/>
      <c r="EBC514" s="1762"/>
      <c r="EBD514" s="1762"/>
      <c r="EBE514" s="1763"/>
      <c r="EBF514" s="385"/>
      <c r="EBG514" s="69"/>
      <c r="EBH514" s="69"/>
      <c r="EBI514" s="2513"/>
      <c r="EBJ514" s="1761"/>
      <c r="EBK514" s="1762"/>
      <c r="EBL514" s="1762"/>
      <c r="EBM514" s="1763"/>
      <c r="EBN514" s="385"/>
      <c r="EBO514" s="69"/>
      <c r="EBP514" s="69"/>
      <c r="EBQ514" s="2513"/>
      <c r="EBR514" s="1761"/>
      <c r="EBS514" s="1762"/>
      <c r="EBT514" s="1762"/>
      <c r="EBU514" s="1763"/>
      <c r="EBV514" s="385"/>
      <c r="EBW514" s="69"/>
      <c r="EBX514" s="69"/>
      <c r="EBY514" s="2513"/>
      <c r="EBZ514" s="1761"/>
      <c r="ECA514" s="1762"/>
      <c r="ECB514" s="1762"/>
      <c r="ECC514" s="1763"/>
      <c r="ECD514" s="385"/>
      <c r="ECE514" s="69"/>
      <c r="ECF514" s="69"/>
      <c r="ECG514" s="2513"/>
      <c r="ECH514" s="1761"/>
      <c r="ECI514" s="1762"/>
      <c r="ECJ514" s="1762"/>
      <c r="ECK514" s="1763"/>
      <c r="ECL514" s="385"/>
      <c r="ECM514" s="69"/>
      <c r="ECN514" s="69"/>
      <c r="ECO514" s="2513"/>
      <c r="ECP514" s="1761"/>
      <c r="ECQ514" s="1762"/>
      <c r="ECR514" s="1762"/>
      <c r="ECS514" s="1763"/>
      <c r="ECT514" s="385"/>
      <c r="ECU514" s="69"/>
      <c r="ECV514" s="69"/>
      <c r="ECW514" s="2513"/>
      <c r="ECX514" s="1761"/>
      <c r="ECY514" s="1762"/>
      <c r="ECZ514" s="1762"/>
      <c r="EDA514" s="1763"/>
      <c r="EDB514" s="385"/>
      <c r="EDC514" s="69"/>
      <c r="EDD514" s="69"/>
      <c r="EDE514" s="2513"/>
      <c r="EDF514" s="1761"/>
      <c r="EDG514" s="1762"/>
      <c r="EDH514" s="1762"/>
      <c r="EDI514" s="1763"/>
      <c r="EDJ514" s="385"/>
      <c r="EDK514" s="69"/>
      <c r="EDL514" s="69"/>
      <c r="EDM514" s="2513"/>
      <c r="EDN514" s="1761"/>
      <c r="EDO514" s="1762"/>
      <c r="EDP514" s="1762"/>
      <c r="EDQ514" s="1763"/>
      <c r="EDR514" s="385"/>
      <c r="EDS514" s="69"/>
      <c r="EDT514" s="69"/>
      <c r="EDU514" s="2513"/>
      <c r="EDV514" s="1761"/>
      <c r="EDW514" s="1762"/>
      <c r="EDX514" s="1762"/>
      <c r="EDY514" s="1763"/>
      <c r="EDZ514" s="385"/>
      <c r="EEA514" s="69"/>
      <c r="EEB514" s="69"/>
      <c r="EEC514" s="2513"/>
      <c r="EED514" s="1761"/>
      <c r="EEE514" s="1762"/>
      <c r="EEF514" s="1762"/>
      <c r="EEG514" s="1763"/>
      <c r="EEH514" s="385"/>
      <c r="EEI514" s="69"/>
      <c r="EEJ514" s="69"/>
      <c r="EEK514" s="2513"/>
      <c r="EEL514" s="1761"/>
      <c r="EEM514" s="1762"/>
      <c r="EEN514" s="1762"/>
      <c r="EEO514" s="1763"/>
      <c r="EEP514" s="385"/>
      <c r="EEQ514" s="69"/>
      <c r="EER514" s="69"/>
      <c r="EES514" s="2513"/>
      <c r="EET514" s="1761"/>
      <c r="EEU514" s="1762"/>
      <c r="EEV514" s="1762"/>
      <c r="EEW514" s="1763"/>
      <c r="EEX514" s="385"/>
      <c r="EEY514" s="69"/>
      <c r="EEZ514" s="69"/>
      <c r="EFA514" s="2513"/>
      <c r="EFB514" s="1761"/>
      <c r="EFC514" s="1762"/>
      <c r="EFD514" s="1762"/>
      <c r="EFE514" s="1763"/>
      <c r="EFF514" s="385"/>
      <c r="EFG514" s="69"/>
      <c r="EFH514" s="69"/>
      <c r="EFI514" s="2513"/>
      <c r="EFJ514" s="1761"/>
      <c r="EFK514" s="1762"/>
      <c r="EFL514" s="1762"/>
      <c r="EFM514" s="1763"/>
      <c r="EFN514" s="385"/>
      <c r="EFO514" s="69"/>
      <c r="EFP514" s="69"/>
      <c r="EFQ514" s="2513"/>
      <c r="EFR514" s="1761"/>
      <c r="EFS514" s="1762"/>
      <c r="EFT514" s="1762"/>
      <c r="EFU514" s="1763"/>
      <c r="EFV514" s="385"/>
      <c r="EFW514" s="69"/>
      <c r="EFX514" s="69"/>
      <c r="EFY514" s="2513"/>
      <c r="EFZ514" s="1761"/>
      <c r="EGA514" s="1762"/>
      <c r="EGB514" s="1762"/>
      <c r="EGC514" s="1763"/>
      <c r="EGD514" s="385"/>
      <c r="EGE514" s="69"/>
      <c r="EGF514" s="69"/>
      <c r="EGG514" s="2513"/>
      <c r="EGH514" s="1761"/>
      <c r="EGI514" s="1762"/>
      <c r="EGJ514" s="1762"/>
      <c r="EGK514" s="1763"/>
      <c r="EGL514" s="385"/>
      <c r="EGM514" s="69"/>
      <c r="EGN514" s="69"/>
      <c r="EGO514" s="2513"/>
      <c r="EGP514" s="1761"/>
      <c r="EGQ514" s="1762"/>
      <c r="EGR514" s="1762"/>
      <c r="EGS514" s="1763"/>
      <c r="EGT514" s="385"/>
      <c r="EGU514" s="69"/>
      <c r="EGV514" s="69"/>
      <c r="EGW514" s="2513"/>
      <c r="EGX514" s="1761"/>
      <c r="EGY514" s="1762"/>
      <c r="EGZ514" s="1762"/>
      <c r="EHA514" s="1763"/>
      <c r="EHB514" s="385"/>
      <c r="EHC514" s="69"/>
      <c r="EHD514" s="69"/>
      <c r="EHE514" s="2513"/>
      <c r="EHF514" s="1761"/>
      <c r="EHG514" s="1762"/>
      <c r="EHH514" s="1762"/>
      <c r="EHI514" s="1763"/>
      <c r="EHJ514" s="385"/>
      <c r="EHK514" s="69"/>
      <c r="EHL514" s="69"/>
      <c r="EHM514" s="2513"/>
      <c r="EHN514" s="1761"/>
      <c r="EHO514" s="1762"/>
      <c r="EHP514" s="1762"/>
      <c r="EHQ514" s="1763"/>
      <c r="EHR514" s="385"/>
      <c r="EHS514" s="69"/>
      <c r="EHT514" s="69"/>
      <c r="EHU514" s="2513"/>
      <c r="EHV514" s="1761"/>
      <c r="EHW514" s="1762"/>
      <c r="EHX514" s="1762"/>
      <c r="EHY514" s="1763"/>
      <c r="EHZ514" s="385"/>
      <c r="EIA514" s="69"/>
      <c r="EIB514" s="69"/>
      <c r="EIC514" s="2513"/>
      <c r="EID514" s="1761"/>
      <c r="EIE514" s="1762"/>
      <c r="EIF514" s="1762"/>
      <c r="EIG514" s="1763"/>
      <c r="EIH514" s="385"/>
      <c r="EII514" s="69"/>
      <c r="EIJ514" s="69"/>
      <c r="EIK514" s="2513"/>
      <c r="EIL514" s="1761"/>
      <c r="EIM514" s="1762"/>
      <c r="EIN514" s="1762"/>
      <c r="EIO514" s="1763"/>
      <c r="EIP514" s="385"/>
      <c r="EIQ514" s="69"/>
      <c r="EIR514" s="69"/>
      <c r="EIS514" s="2513"/>
      <c r="EIT514" s="1761"/>
      <c r="EIU514" s="1762"/>
      <c r="EIV514" s="1762"/>
      <c r="EIW514" s="1763"/>
      <c r="EIX514" s="385"/>
      <c r="EIY514" s="69"/>
      <c r="EIZ514" s="69"/>
      <c r="EJA514" s="2513"/>
      <c r="EJB514" s="1761"/>
      <c r="EJC514" s="1762"/>
      <c r="EJD514" s="1762"/>
      <c r="EJE514" s="1763"/>
      <c r="EJF514" s="385"/>
      <c r="EJG514" s="69"/>
      <c r="EJH514" s="69"/>
      <c r="EJI514" s="2513"/>
      <c r="EJJ514" s="1761"/>
      <c r="EJK514" s="1762"/>
      <c r="EJL514" s="1762"/>
      <c r="EJM514" s="1763"/>
      <c r="EJN514" s="385"/>
      <c r="EJO514" s="69"/>
      <c r="EJP514" s="69"/>
      <c r="EJQ514" s="2513"/>
      <c r="EJR514" s="1761"/>
      <c r="EJS514" s="1762"/>
      <c r="EJT514" s="1762"/>
      <c r="EJU514" s="1763"/>
      <c r="EJV514" s="385"/>
      <c r="EJW514" s="69"/>
      <c r="EJX514" s="69"/>
      <c r="EJY514" s="2513"/>
      <c r="EJZ514" s="1761"/>
      <c r="EKA514" s="1762"/>
      <c r="EKB514" s="1762"/>
      <c r="EKC514" s="1763"/>
      <c r="EKD514" s="385"/>
      <c r="EKE514" s="69"/>
      <c r="EKF514" s="69"/>
      <c r="EKG514" s="2513"/>
      <c r="EKH514" s="1761"/>
      <c r="EKI514" s="1762"/>
      <c r="EKJ514" s="1762"/>
      <c r="EKK514" s="1763"/>
      <c r="EKL514" s="385"/>
      <c r="EKM514" s="69"/>
      <c r="EKN514" s="69"/>
      <c r="EKO514" s="2513"/>
      <c r="EKP514" s="1761"/>
      <c r="EKQ514" s="1762"/>
      <c r="EKR514" s="1762"/>
      <c r="EKS514" s="1763"/>
      <c r="EKT514" s="385"/>
      <c r="EKU514" s="69"/>
      <c r="EKV514" s="69"/>
      <c r="EKW514" s="2513"/>
      <c r="EKX514" s="1761"/>
      <c r="EKY514" s="1762"/>
      <c r="EKZ514" s="1762"/>
      <c r="ELA514" s="1763"/>
      <c r="ELB514" s="385"/>
      <c r="ELC514" s="69"/>
      <c r="ELD514" s="69"/>
      <c r="ELE514" s="2513"/>
      <c r="ELF514" s="1761"/>
      <c r="ELG514" s="1762"/>
      <c r="ELH514" s="1762"/>
      <c r="ELI514" s="1763"/>
      <c r="ELJ514" s="385"/>
      <c r="ELK514" s="69"/>
      <c r="ELL514" s="69"/>
      <c r="ELM514" s="2513"/>
      <c r="ELN514" s="1761"/>
      <c r="ELO514" s="1762"/>
      <c r="ELP514" s="1762"/>
      <c r="ELQ514" s="1763"/>
      <c r="ELR514" s="385"/>
      <c r="ELS514" s="69"/>
      <c r="ELT514" s="69"/>
      <c r="ELU514" s="2513"/>
      <c r="ELV514" s="1761"/>
      <c r="ELW514" s="1762"/>
      <c r="ELX514" s="1762"/>
      <c r="ELY514" s="1763"/>
      <c r="ELZ514" s="385"/>
      <c r="EMA514" s="69"/>
      <c r="EMB514" s="69"/>
      <c r="EMC514" s="2513"/>
      <c r="EMD514" s="1761"/>
      <c r="EME514" s="1762"/>
      <c r="EMF514" s="1762"/>
      <c r="EMG514" s="1763"/>
      <c r="EMH514" s="385"/>
      <c r="EMI514" s="69"/>
      <c r="EMJ514" s="69"/>
      <c r="EMK514" s="2513"/>
      <c r="EML514" s="1761"/>
      <c r="EMM514" s="1762"/>
      <c r="EMN514" s="1762"/>
      <c r="EMO514" s="1763"/>
      <c r="EMP514" s="385"/>
      <c r="EMQ514" s="69"/>
      <c r="EMR514" s="69"/>
      <c r="EMS514" s="2513"/>
      <c r="EMT514" s="1761"/>
      <c r="EMU514" s="1762"/>
      <c r="EMV514" s="1762"/>
      <c r="EMW514" s="1763"/>
      <c r="EMX514" s="385"/>
      <c r="EMY514" s="69"/>
      <c r="EMZ514" s="69"/>
      <c r="ENA514" s="2513"/>
      <c r="ENB514" s="1761"/>
      <c r="ENC514" s="1762"/>
      <c r="END514" s="1762"/>
      <c r="ENE514" s="1763"/>
      <c r="ENF514" s="385"/>
      <c r="ENG514" s="69"/>
      <c r="ENH514" s="69"/>
      <c r="ENI514" s="2513"/>
      <c r="ENJ514" s="1761"/>
      <c r="ENK514" s="1762"/>
      <c r="ENL514" s="1762"/>
      <c r="ENM514" s="1763"/>
      <c r="ENN514" s="385"/>
      <c r="ENO514" s="69"/>
      <c r="ENP514" s="69"/>
      <c r="ENQ514" s="2513"/>
      <c r="ENR514" s="1761"/>
      <c r="ENS514" s="1762"/>
      <c r="ENT514" s="1762"/>
      <c r="ENU514" s="1763"/>
      <c r="ENV514" s="385"/>
      <c r="ENW514" s="69"/>
      <c r="ENX514" s="69"/>
      <c r="ENY514" s="2513"/>
      <c r="ENZ514" s="1761"/>
      <c r="EOA514" s="1762"/>
      <c r="EOB514" s="1762"/>
      <c r="EOC514" s="1763"/>
      <c r="EOD514" s="385"/>
      <c r="EOE514" s="69"/>
      <c r="EOF514" s="69"/>
      <c r="EOG514" s="2513"/>
      <c r="EOH514" s="1761"/>
      <c r="EOI514" s="1762"/>
      <c r="EOJ514" s="1762"/>
      <c r="EOK514" s="1763"/>
      <c r="EOL514" s="385"/>
      <c r="EOM514" s="69"/>
      <c r="EON514" s="69"/>
      <c r="EOO514" s="2513"/>
      <c r="EOP514" s="1761"/>
      <c r="EOQ514" s="1762"/>
      <c r="EOR514" s="1762"/>
      <c r="EOS514" s="1763"/>
      <c r="EOT514" s="385"/>
      <c r="EOU514" s="69"/>
      <c r="EOV514" s="69"/>
      <c r="EOW514" s="2513"/>
      <c r="EOX514" s="1761"/>
      <c r="EOY514" s="1762"/>
      <c r="EOZ514" s="1762"/>
      <c r="EPA514" s="1763"/>
      <c r="EPB514" s="385"/>
      <c r="EPC514" s="69"/>
      <c r="EPD514" s="69"/>
      <c r="EPE514" s="2513"/>
      <c r="EPF514" s="1761"/>
      <c r="EPG514" s="1762"/>
      <c r="EPH514" s="1762"/>
      <c r="EPI514" s="1763"/>
      <c r="EPJ514" s="385"/>
      <c r="EPK514" s="69"/>
      <c r="EPL514" s="69"/>
      <c r="EPM514" s="2513"/>
      <c r="EPN514" s="1761"/>
      <c r="EPO514" s="1762"/>
      <c r="EPP514" s="1762"/>
      <c r="EPQ514" s="1763"/>
      <c r="EPR514" s="385"/>
      <c r="EPS514" s="69"/>
      <c r="EPT514" s="69"/>
      <c r="EPU514" s="2513"/>
      <c r="EPV514" s="1761"/>
      <c r="EPW514" s="1762"/>
      <c r="EPX514" s="1762"/>
      <c r="EPY514" s="1763"/>
      <c r="EPZ514" s="385"/>
      <c r="EQA514" s="69"/>
      <c r="EQB514" s="69"/>
      <c r="EQC514" s="2513"/>
      <c r="EQD514" s="1761"/>
      <c r="EQE514" s="1762"/>
      <c r="EQF514" s="1762"/>
      <c r="EQG514" s="1763"/>
      <c r="EQH514" s="385"/>
      <c r="EQI514" s="69"/>
      <c r="EQJ514" s="69"/>
      <c r="EQK514" s="2513"/>
      <c r="EQL514" s="1761"/>
      <c r="EQM514" s="1762"/>
      <c r="EQN514" s="1762"/>
      <c r="EQO514" s="1763"/>
      <c r="EQP514" s="385"/>
      <c r="EQQ514" s="69"/>
      <c r="EQR514" s="69"/>
      <c r="EQS514" s="2513"/>
      <c r="EQT514" s="1761"/>
      <c r="EQU514" s="1762"/>
      <c r="EQV514" s="1762"/>
      <c r="EQW514" s="1763"/>
      <c r="EQX514" s="385"/>
      <c r="EQY514" s="69"/>
      <c r="EQZ514" s="69"/>
      <c r="ERA514" s="2513"/>
      <c r="ERB514" s="1761"/>
      <c r="ERC514" s="1762"/>
      <c r="ERD514" s="1762"/>
      <c r="ERE514" s="1763"/>
      <c r="ERF514" s="385"/>
      <c r="ERG514" s="69"/>
      <c r="ERH514" s="69"/>
      <c r="ERI514" s="2513"/>
      <c r="ERJ514" s="1761"/>
      <c r="ERK514" s="1762"/>
      <c r="ERL514" s="1762"/>
      <c r="ERM514" s="1763"/>
      <c r="ERN514" s="385"/>
      <c r="ERO514" s="69"/>
      <c r="ERP514" s="69"/>
      <c r="ERQ514" s="2513"/>
      <c r="ERR514" s="1761"/>
      <c r="ERS514" s="1762"/>
      <c r="ERT514" s="1762"/>
      <c r="ERU514" s="1763"/>
      <c r="ERV514" s="385"/>
      <c r="ERW514" s="69"/>
      <c r="ERX514" s="69"/>
      <c r="ERY514" s="2513"/>
      <c r="ERZ514" s="1761"/>
      <c r="ESA514" s="1762"/>
      <c r="ESB514" s="1762"/>
      <c r="ESC514" s="1763"/>
      <c r="ESD514" s="385"/>
      <c r="ESE514" s="69"/>
      <c r="ESF514" s="69"/>
      <c r="ESG514" s="2513"/>
      <c r="ESH514" s="1761"/>
      <c r="ESI514" s="1762"/>
      <c r="ESJ514" s="1762"/>
      <c r="ESK514" s="1763"/>
      <c r="ESL514" s="385"/>
      <c r="ESM514" s="69"/>
      <c r="ESN514" s="69"/>
      <c r="ESO514" s="2513"/>
      <c r="ESP514" s="1761"/>
      <c r="ESQ514" s="1762"/>
      <c r="ESR514" s="1762"/>
      <c r="ESS514" s="1763"/>
      <c r="EST514" s="385"/>
      <c r="ESU514" s="69"/>
      <c r="ESV514" s="69"/>
      <c r="ESW514" s="2513"/>
      <c r="ESX514" s="1761"/>
      <c r="ESY514" s="1762"/>
      <c r="ESZ514" s="1762"/>
      <c r="ETA514" s="1763"/>
      <c r="ETB514" s="385"/>
      <c r="ETC514" s="69"/>
      <c r="ETD514" s="69"/>
      <c r="ETE514" s="2513"/>
      <c r="ETF514" s="1761"/>
      <c r="ETG514" s="1762"/>
      <c r="ETH514" s="1762"/>
      <c r="ETI514" s="1763"/>
      <c r="ETJ514" s="385"/>
      <c r="ETK514" s="69"/>
      <c r="ETL514" s="69"/>
      <c r="ETM514" s="2513"/>
      <c r="ETN514" s="1761"/>
      <c r="ETO514" s="1762"/>
      <c r="ETP514" s="1762"/>
      <c r="ETQ514" s="1763"/>
      <c r="ETR514" s="385"/>
      <c r="ETS514" s="69"/>
      <c r="ETT514" s="69"/>
      <c r="ETU514" s="2513"/>
      <c r="ETV514" s="1761"/>
      <c r="ETW514" s="1762"/>
      <c r="ETX514" s="1762"/>
      <c r="ETY514" s="1763"/>
      <c r="ETZ514" s="385"/>
      <c r="EUA514" s="69"/>
      <c r="EUB514" s="69"/>
      <c r="EUC514" s="2513"/>
      <c r="EUD514" s="1761"/>
      <c r="EUE514" s="1762"/>
      <c r="EUF514" s="1762"/>
      <c r="EUG514" s="1763"/>
      <c r="EUH514" s="385"/>
      <c r="EUI514" s="69"/>
      <c r="EUJ514" s="69"/>
      <c r="EUK514" s="2513"/>
      <c r="EUL514" s="1761"/>
      <c r="EUM514" s="1762"/>
      <c r="EUN514" s="1762"/>
      <c r="EUO514" s="1763"/>
      <c r="EUP514" s="385"/>
      <c r="EUQ514" s="69"/>
      <c r="EUR514" s="69"/>
      <c r="EUS514" s="2513"/>
      <c r="EUT514" s="1761"/>
      <c r="EUU514" s="1762"/>
      <c r="EUV514" s="1762"/>
      <c r="EUW514" s="1763"/>
      <c r="EUX514" s="385"/>
      <c r="EUY514" s="69"/>
      <c r="EUZ514" s="69"/>
      <c r="EVA514" s="2513"/>
      <c r="EVB514" s="1761"/>
      <c r="EVC514" s="1762"/>
      <c r="EVD514" s="1762"/>
      <c r="EVE514" s="1763"/>
      <c r="EVF514" s="385"/>
      <c r="EVG514" s="69"/>
      <c r="EVH514" s="69"/>
      <c r="EVI514" s="2513"/>
      <c r="EVJ514" s="1761"/>
      <c r="EVK514" s="1762"/>
      <c r="EVL514" s="1762"/>
      <c r="EVM514" s="1763"/>
      <c r="EVN514" s="385"/>
      <c r="EVO514" s="69"/>
      <c r="EVP514" s="69"/>
      <c r="EVQ514" s="2513"/>
      <c r="EVR514" s="1761"/>
      <c r="EVS514" s="1762"/>
      <c r="EVT514" s="1762"/>
      <c r="EVU514" s="1763"/>
      <c r="EVV514" s="385"/>
      <c r="EVW514" s="69"/>
      <c r="EVX514" s="69"/>
      <c r="EVY514" s="2513"/>
      <c r="EVZ514" s="1761"/>
      <c r="EWA514" s="1762"/>
      <c r="EWB514" s="1762"/>
      <c r="EWC514" s="1763"/>
      <c r="EWD514" s="385"/>
      <c r="EWE514" s="69"/>
      <c r="EWF514" s="69"/>
      <c r="EWG514" s="2513"/>
      <c r="EWH514" s="1761"/>
      <c r="EWI514" s="1762"/>
      <c r="EWJ514" s="1762"/>
      <c r="EWK514" s="1763"/>
      <c r="EWL514" s="385"/>
      <c r="EWM514" s="69"/>
      <c r="EWN514" s="69"/>
      <c r="EWO514" s="2513"/>
      <c r="EWP514" s="1761"/>
      <c r="EWQ514" s="1762"/>
      <c r="EWR514" s="1762"/>
      <c r="EWS514" s="1763"/>
      <c r="EWT514" s="385"/>
      <c r="EWU514" s="69"/>
      <c r="EWV514" s="69"/>
      <c r="EWW514" s="2513"/>
      <c r="EWX514" s="1761"/>
      <c r="EWY514" s="1762"/>
      <c r="EWZ514" s="1762"/>
      <c r="EXA514" s="1763"/>
      <c r="EXB514" s="385"/>
      <c r="EXC514" s="69"/>
      <c r="EXD514" s="69"/>
      <c r="EXE514" s="2513"/>
      <c r="EXF514" s="1761"/>
      <c r="EXG514" s="1762"/>
      <c r="EXH514" s="1762"/>
      <c r="EXI514" s="1763"/>
      <c r="EXJ514" s="385"/>
      <c r="EXK514" s="69"/>
      <c r="EXL514" s="69"/>
      <c r="EXM514" s="2513"/>
      <c r="EXN514" s="1761"/>
      <c r="EXO514" s="1762"/>
      <c r="EXP514" s="1762"/>
      <c r="EXQ514" s="1763"/>
      <c r="EXR514" s="385"/>
      <c r="EXS514" s="69"/>
      <c r="EXT514" s="69"/>
      <c r="EXU514" s="2513"/>
      <c r="EXV514" s="1761"/>
      <c r="EXW514" s="1762"/>
      <c r="EXX514" s="1762"/>
      <c r="EXY514" s="1763"/>
      <c r="EXZ514" s="385"/>
      <c r="EYA514" s="69"/>
      <c r="EYB514" s="69"/>
      <c r="EYC514" s="2513"/>
      <c r="EYD514" s="1761"/>
      <c r="EYE514" s="1762"/>
      <c r="EYF514" s="1762"/>
      <c r="EYG514" s="1763"/>
      <c r="EYH514" s="385"/>
      <c r="EYI514" s="69"/>
      <c r="EYJ514" s="69"/>
      <c r="EYK514" s="2513"/>
      <c r="EYL514" s="1761"/>
      <c r="EYM514" s="1762"/>
      <c r="EYN514" s="1762"/>
      <c r="EYO514" s="1763"/>
      <c r="EYP514" s="385"/>
      <c r="EYQ514" s="69"/>
      <c r="EYR514" s="69"/>
      <c r="EYS514" s="2513"/>
      <c r="EYT514" s="1761"/>
      <c r="EYU514" s="1762"/>
      <c r="EYV514" s="1762"/>
      <c r="EYW514" s="1763"/>
      <c r="EYX514" s="385"/>
      <c r="EYY514" s="69"/>
      <c r="EYZ514" s="69"/>
      <c r="EZA514" s="2513"/>
      <c r="EZB514" s="1761"/>
      <c r="EZC514" s="1762"/>
      <c r="EZD514" s="1762"/>
      <c r="EZE514" s="1763"/>
      <c r="EZF514" s="385"/>
      <c r="EZG514" s="69"/>
      <c r="EZH514" s="69"/>
      <c r="EZI514" s="2513"/>
      <c r="EZJ514" s="1761"/>
      <c r="EZK514" s="1762"/>
      <c r="EZL514" s="1762"/>
      <c r="EZM514" s="1763"/>
      <c r="EZN514" s="385"/>
      <c r="EZO514" s="69"/>
      <c r="EZP514" s="69"/>
      <c r="EZQ514" s="2513"/>
      <c r="EZR514" s="1761"/>
      <c r="EZS514" s="1762"/>
      <c r="EZT514" s="1762"/>
      <c r="EZU514" s="1763"/>
      <c r="EZV514" s="385"/>
      <c r="EZW514" s="69"/>
      <c r="EZX514" s="69"/>
      <c r="EZY514" s="2513"/>
      <c r="EZZ514" s="1761"/>
      <c r="FAA514" s="1762"/>
      <c r="FAB514" s="1762"/>
      <c r="FAC514" s="1763"/>
      <c r="FAD514" s="385"/>
      <c r="FAE514" s="69"/>
      <c r="FAF514" s="69"/>
      <c r="FAG514" s="2513"/>
      <c r="FAH514" s="1761"/>
      <c r="FAI514" s="1762"/>
      <c r="FAJ514" s="1762"/>
      <c r="FAK514" s="1763"/>
      <c r="FAL514" s="385"/>
      <c r="FAM514" s="69"/>
      <c r="FAN514" s="69"/>
      <c r="FAO514" s="2513"/>
      <c r="FAP514" s="1761"/>
      <c r="FAQ514" s="1762"/>
      <c r="FAR514" s="1762"/>
      <c r="FAS514" s="1763"/>
      <c r="FAT514" s="385"/>
      <c r="FAU514" s="69"/>
      <c r="FAV514" s="69"/>
      <c r="FAW514" s="2513"/>
      <c r="FAX514" s="1761"/>
      <c r="FAY514" s="1762"/>
      <c r="FAZ514" s="1762"/>
      <c r="FBA514" s="1763"/>
      <c r="FBB514" s="385"/>
      <c r="FBC514" s="69"/>
      <c r="FBD514" s="69"/>
      <c r="FBE514" s="2513"/>
      <c r="FBF514" s="1761"/>
      <c r="FBG514" s="1762"/>
      <c r="FBH514" s="1762"/>
      <c r="FBI514" s="1763"/>
      <c r="FBJ514" s="385"/>
      <c r="FBK514" s="69"/>
      <c r="FBL514" s="69"/>
      <c r="FBM514" s="2513"/>
      <c r="FBN514" s="1761"/>
      <c r="FBO514" s="1762"/>
      <c r="FBP514" s="1762"/>
      <c r="FBQ514" s="1763"/>
      <c r="FBR514" s="385"/>
      <c r="FBS514" s="69"/>
      <c r="FBT514" s="69"/>
      <c r="FBU514" s="2513"/>
      <c r="FBV514" s="1761"/>
      <c r="FBW514" s="1762"/>
      <c r="FBX514" s="1762"/>
      <c r="FBY514" s="1763"/>
      <c r="FBZ514" s="385"/>
      <c r="FCA514" s="69"/>
      <c r="FCB514" s="69"/>
      <c r="FCC514" s="2513"/>
      <c r="FCD514" s="1761"/>
      <c r="FCE514" s="1762"/>
      <c r="FCF514" s="1762"/>
      <c r="FCG514" s="1763"/>
      <c r="FCH514" s="385"/>
      <c r="FCI514" s="69"/>
      <c r="FCJ514" s="69"/>
      <c r="FCK514" s="2513"/>
      <c r="FCL514" s="1761"/>
      <c r="FCM514" s="1762"/>
      <c r="FCN514" s="1762"/>
      <c r="FCO514" s="1763"/>
      <c r="FCP514" s="385"/>
      <c r="FCQ514" s="69"/>
      <c r="FCR514" s="69"/>
      <c r="FCS514" s="2513"/>
      <c r="FCT514" s="1761"/>
      <c r="FCU514" s="1762"/>
      <c r="FCV514" s="1762"/>
      <c r="FCW514" s="1763"/>
      <c r="FCX514" s="385"/>
      <c r="FCY514" s="69"/>
      <c r="FCZ514" s="69"/>
      <c r="FDA514" s="2513"/>
      <c r="FDB514" s="1761"/>
      <c r="FDC514" s="1762"/>
      <c r="FDD514" s="1762"/>
      <c r="FDE514" s="1763"/>
      <c r="FDF514" s="385"/>
      <c r="FDG514" s="69"/>
      <c r="FDH514" s="69"/>
      <c r="FDI514" s="2513"/>
      <c r="FDJ514" s="1761"/>
      <c r="FDK514" s="1762"/>
      <c r="FDL514" s="1762"/>
      <c r="FDM514" s="1763"/>
      <c r="FDN514" s="385"/>
      <c r="FDO514" s="69"/>
      <c r="FDP514" s="69"/>
      <c r="FDQ514" s="2513"/>
      <c r="FDR514" s="1761"/>
      <c r="FDS514" s="1762"/>
      <c r="FDT514" s="1762"/>
      <c r="FDU514" s="1763"/>
      <c r="FDV514" s="385"/>
      <c r="FDW514" s="69"/>
      <c r="FDX514" s="69"/>
      <c r="FDY514" s="2513"/>
      <c r="FDZ514" s="1761"/>
      <c r="FEA514" s="1762"/>
      <c r="FEB514" s="1762"/>
      <c r="FEC514" s="1763"/>
      <c r="FED514" s="385"/>
      <c r="FEE514" s="69"/>
      <c r="FEF514" s="69"/>
      <c r="FEG514" s="2513"/>
      <c r="FEH514" s="1761"/>
      <c r="FEI514" s="1762"/>
      <c r="FEJ514" s="1762"/>
      <c r="FEK514" s="1763"/>
      <c r="FEL514" s="385"/>
      <c r="FEM514" s="69"/>
      <c r="FEN514" s="69"/>
      <c r="FEO514" s="2513"/>
      <c r="FEP514" s="1761"/>
      <c r="FEQ514" s="1762"/>
      <c r="FER514" s="1762"/>
      <c r="FES514" s="1763"/>
      <c r="FET514" s="385"/>
      <c r="FEU514" s="69"/>
      <c r="FEV514" s="69"/>
      <c r="FEW514" s="2513"/>
      <c r="FEX514" s="1761"/>
      <c r="FEY514" s="1762"/>
      <c r="FEZ514" s="1762"/>
      <c r="FFA514" s="1763"/>
      <c r="FFB514" s="385"/>
      <c r="FFC514" s="69"/>
      <c r="FFD514" s="69"/>
      <c r="FFE514" s="2513"/>
      <c r="FFF514" s="1761"/>
      <c r="FFG514" s="1762"/>
      <c r="FFH514" s="1762"/>
      <c r="FFI514" s="1763"/>
      <c r="FFJ514" s="385"/>
      <c r="FFK514" s="69"/>
      <c r="FFL514" s="69"/>
      <c r="FFM514" s="2513"/>
      <c r="FFN514" s="1761"/>
      <c r="FFO514" s="1762"/>
      <c r="FFP514" s="1762"/>
      <c r="FFQ514" s="1763"/>
      <c r="FFR514" s="385"/>
      <c r="FFS514" s="69"/>
      <c r="FFT514" s="69"/>
      <c r="FFU514" s="2513"/>
      <c r="FFV514" s="1761"/>
      <c r="FFW514" s="1762"/>
      <c r="FFX514" s="1762"/>
      <c r="FFY514" s="1763"/>
      <c r="FFZ514" s="385"/>
      <c r="FGA514" s="69"/>
      <c r="FGB514" s="69"/>
      <c r="FGC514" s="2513"/>
      <c r="FGD514" s="1761"/>
      <c r="FGE514" s="1762"/>
      <c r="FGF514" s="1762"/>
      <c r="FGG514" s="1763"/>
      <c r="FGH514" s="385"/>
      <c r="FGI514" s="69"/>
      <c r="FGJ514" s="69"/>
      <c r="FGK514" s="2513"/>
      <c r="FGL514" s="1761"/>
      <c r="FGM514" s="1762"/>
      <c r="FGN514" s="1762"/>
      <c r="FGO514" s="1763"/>
      <c r="FGP514" s="385"/>
      <c r="FGQ514" s="69"/>
      <c r="FGR514" s="69"/>
      <c r="FGS514" s="2513"/>
      <c r="FGT514" s="1761"/>
      <c r="FGU514" s="1762"/>
      <c r="FGV514" s="1762"/>
      <c r="FGW514" s="1763"/>
      <c r="FGX514" s="385"/>
      <c r="FGY514" s="69"/>
      <c r="FGZ514" s="69"/>
      <c r="FHA514" s="2513"/>
      <c r="FHB514" s="1761"/>
      <c r="FHC514" s="1762"/>
      <c r="FHD514" s="1762"/>
      <c r="FHE514" s="1763"/>
      <c r="FHF514" s="385"/>
      <c r="FHG514" s="69"/>
      <c r="FHH514" s="69"/>
      <c r="FHI514" s="2513"/>
      <c r="FHJ514" s="1761"/>
      <c r="FHK514" s="1762"/>
      <c r="FHL514" s="1762"/>
      <c r="FHM514" s="1763"/>
      <c r="FHN514" s="385"/>
      <c r="FHO514" s="69"/>
      <c r="FHP514" s="69"/>
      <c r="FHQ514" s="2513"/>
      <c r="FHR514" s="1761"/>
      <c r="FHS514" s="1762"/>
      <c r="FHT514" s="1762"/>
      <c r="FHU514" s="1763"/>
      <c r="FHV514" s="385"/>
      <c r="FHW514" s="69"/>
      <c r="FHX514" s="69"/>
      <c r="FHY514" s="2513"/>
      <c r="FHZ514" s="1761"/>
      <c r="FIA514" s="1762"/>
      <c r="FIB514" s="1762"/>
      <c r="FIC514" s="1763"/>
      <c r="FID514" s="385"/>
      <c r="FIE514" s="69"/>
      <c r="FIF514" s="69"/>
      <c r="FIG514" s="2513"/>
      <c r="FIH514" s="1761"/>
      <c r="FII514" s="1762"/>
      <c r="FIJ514" s="1762"/>
      <c r="FIK514" s="1763"/>
      <c r="FIL514" s="385"/>
      <c r="FIM514" s="69"/>
      <c r="FIN514" s="69"/>
      <c r="FIO514" s="2513"/>
      <c r="FIP514" s="1761"/>
      <c r="FIQ514" s="1762"/>
      <c r="FIR514" s="1762"/>
      <c r="FIS514" s="1763"/>
      <c r="FIT514" s="385"/>
      <c r="FIU514" s="69"/>
      <c r="FIV514" s="69"/>
      <c r="FIW514" s="2513"/>
      <c r="FIX514" s="1761"/>
      <c r="FIY514" s="1762"/>
      <c r="FIZ514" s="1762"/>
      <c r="FJA514" s="1763"/>
      <c r="FJB514" s="385"/>
      <c r="FJC514" s="69"/>
      <c r="FJD514" s="69"/>
      <c r="FJE514" s="2513"/>
      <c r="FJF514" s="1761"/>
      <c r="FJG514" s="1762"/>
      <c r="FJH514" s="1762"/>
      <c r="FJI514" s="1763"/>
      <c r="FJJ514" s="385"/>
      <c r="FJK514" s="69"/>
      <c r="FJL514" s="69"/>
      <c r="FJM514" s="2513"/>
      <c r="FJN514" s="1761"/>
      <c r="FJO514" s="1762"/>
      <c r="FJP514" s="1762"/>
      <c r="FJQ514" s="1763"/>
      <c r="FJR514" s="385"/>
      <c r="FJS514" s="69"/>
      <c r="FJT514" s="69"/>
      <c r="FJU514" s="2513"/>
      <c r="FJV514" s="1761"/>
      <c r="FJW514" s="1762"/>
      <c r="FJX514" s="1762"/>
      <c r="FJY514" s="1763"/>
      <c r="FJZ514" s="385"/>
      <c r="FKA514" s="69"/>
      <c r="FKB514" s="69"/>
      <c r="FKC514" s="2513"/>
      <c r="FKD514" s="1761"/>
      <c r="FKE514" s="1762"/>
      <c r="FKF514" s="1762"/>
      <c r="FKG514" s="1763"/>
      <c r="FKH514" s="385"/>
      <c r="FKI514" s="69"/>
      <c r="FKJ514" s="69"/>
      <c r="FKK514" s="2513"/>
      <c r="FKL514" s="1761"/>
      <c r="FKM514" s="1762"/>
      <c r="FKN514" s="1762"/>
      <c r="FKO514" s="1763"/>
      <c r="FKP514" s="385"/>
      <c r="FKQ514" s="69"/>
      <c r="FKR514" s="69"/>
      <c r="FKS514" s="2513"/>
      <c r="FKT514" s="1761"/>
      <c r="FKU514" s="1762"/>
      <c r="FKV514" s="1762"/>
      <c r="FKW514" s="1763"/>
      <c r="FKX514" s="385"/>
      <c r="FKY514" s="69"/>
      <c r="FKZ514" s="69"/>
      <c r="FLA514" s="2513"/>
      <c r="FLB514" s="1761"/>
      <c r="FLC514" s="1762"/>
      <c r="FLD514" s="1762"/>
      <c r="FLE514" s="1763"/>
      <c r="FLF514" s="385"/>
      <c r="FLG514" s="69"/>
      <c r="FLH514" s="69"/>
      <c r="FLI514" s="2513"/>
      <c r="FLJ514" s="1761"/>
      <c r="FLK514" s="1762"/>
      <c r="FLL514" s="1762"/>
      <c r="FLM514" s="1763"/>
      <c r="FLN514" s="385"/>
      <c r="FLO514" s="69"/>
      <c r="FLP514" s="69"/>
      <c r="FLQ514" s="2513"/>
      <c r="FLR514" s="1761"/>
      <c r="FLS514" s="1762"/>
      <c r="FLT514" s="1762"/>
      <c r="FLU514" s="1763"/>
      <c r="FLV514" s="385"/>
      <c r="FLW514" s="69"/>
      <c r="FLX514" s="69"/>
      <c r="FLY514" s="2513"/>
      <c r="FLZ514" s="1761"/>
      <c r="FMA514" s="1762"/>
      <c r="FMB514" s="1762"/>
      <c r="FMC514" s="1763"/>
      <c r="FMD514" s="385"/>
      <c r="FME514" s="69"/>
      <c r="FMF514" s="69"/>
      <c r="FMG514" s="2513"/>
      <c r="FMH514" s="1761"/>
      <c r="FMI514" s="1762"/>
      <c r="FMJ514" s="1762"/>
      <c r="FMK514" s="1763"/>
      <c r="FML514" s="385"/>
      <c r="FMM514" s="69"/>
      <c r="FMN514" s="69"/>
      <c r="FMO514" s="2513"/>
      <c r="FMP514" s="1761"/>
      <c r="FMQ514" s="1762"/>
      <c r="FMR514" s="1762"/>
      <c r="FMS514" s="1763"/>
      <c r="FMT514" s="385"/>
      <c r="FMU514" s="69"/>
      <c r="FMV514" s="69"/>
      <c r="FMW514" s="2513"/>
      <c r="FMX514" s="1761"/>
      <c r="FMY514" s="1762"/>
      <c r="FMZ514" s="1762"/>
      <c r="FNA514" s="1763"/>
      <c r="FNB514" s="385"/>
      <c r="FNC514" s="69"/>
      <c r="FND514" s="69"/>
      <c r="FNE514" s="2513"/>
      <c r="FNF514" s="1761"/>
      <c r="FNG514" s="1762"/>
      <c r="FNH514" s="1762"/>
      <c r="FNI514" s="1763"/>
      <c r="FNJ514" s="385"/>
      <c r="FNK514" s="69"/>
      <c r="FNL514" s="69"/>
      <c r="FNM514" s="2513"/>
      <c r="FNN514" s="1761"/>
      <c r="FNO514" s="1762"/>
      <c r="FNP514" s="1762"/>
      <c r="FNQ514" s="1763"/>
      <c r="FNR514" s="385"/>
      <c r="FNS514" s="69"/>
      <c r="FNT514" s="69"/>
      <c r="FNU514" s="2513"/>
      <c r="FNV514" s="1761"/>
      <c r="FNW514" s="1762"/>
      <c r="FNX514" s="1762"/>
      <c r="FNY514" s="1763"/>
      <c r="FNZ514" s="385"/>
      <c r="FOA514" s="69"/>
      <c r="FOB514" s="69"/>
      <c r="FOC514" s="2513"/>
      <c r="FOD514" s="1761"/>
      <c r="FOE514" s="1762"/>
      <c r="FOF514" s="1762"/>
      <c r="FOG514" s="1763"/>
      <c r="FOH514" s="385"/>
      <c r="FOI514" s="69"/>
      <c r="FOJ514" s="69"/>
      <c r="FOK514" s="2513"/>
      <c r="FOL514" s="1761"/>
      <c r="FOM514" s="1762"/>
      <c r="FON514" s="1762"/>
      <c r="FOO514" s="1763"/>
      <c r="FOP514" s="385"/>
      <c r="FOQ514" s="69"/>
      <c r="FOR514" s="69"/>
      <c r="FOS514" s="2513"/>
      <c r="FOT514" s="1761"/>
      <c r="FOU514" s="1762"/>
      <c r="FOV514" s="1762"/>
      <c r="FOW514" s="1763"/>
      <c r="FOX514" s="385"/>
      <c r="FOY514" s="69"/>
      <c r="FOZ514" s="69"/>
      <c r="FPA514" s="2513"/>
      <c r="FPB514" s="1761"/>
      <c r="FPC514" s="1762"/>
      <c r="FPD514" s="1762"/>
      <c r="FPE514" s="1763"/>
      <c r="FPF514" s="385"/>
      <c r="FPG514" s="69"/>
      <c r="FPH514" s="69"/>
      <c r="FPI514" s="2513"/>
      <c r="FPJ514" s="1761"/>
      <c r="FPK514" s="1762"/>
      <c r="FPL514" s="1762"/>
      <c r="FPM514" s="1763"/>
      <c r="FPN514" s="385"/>
      <c r="FPO514" s="69"/>
      <c r="FPP514" s="69"/>
      <c r="FPQ514" s="2513"/>
      <c r="FPR514" s="1761"/>
      <c r="FPS514" s="1762"/>
      <c r="FPT514" s="1762"/>
      <c r="FPU514" s="1763"/>
      <c r="FPV514" s="385"/>
      <c r="FPW514" s="69"/>
      <c r="FPX514" s="69"/>
      <c r="FPY514" s="2513"/>
      <c r="FPZ514" s="1761"/>
      <c r="FQA514" s="1762"/>
      <c r="FQB514" s="1762"/>
      <c r="FQC514" s="1763"/>
      <c r="FQD514" s="385"/>
      <c r="FQE514" s="69"/>
      <c r="FQF514" s="69"/>
      <c r="FQG514" s="2513"/>
      <c r="FQH514" s="1761"/>
      <c r="FQI514" s="1762"/>
      <c r="FQJ514" s="1762"/>
      <c r="FQK514" s="1763"/>
      <c r="FQL514" s="385"/>
      <c r="FQM514" s="69"/>
      <c r="FQN514" s="69"/>
      <c r="FQO514" s="2513"/>
      <c r="FQP514" s="1761"/>
      <c r="FQQ514" s="1762"/>
      <c r="FQR514" s="1762"/>
      <c r="FQS514" s="1763"/>
      <c r="FQT514" s="385"/>
      <c r="FQU514" s="69"/>
      <c r="FQV514" s="69"/>
      <c r="FQW514" s="2513"/>
      <c r="FQX514" s="1761"/>
      <c r="FQY514" s="1762"/>
      <c r="FQZ514" s="1762"/>
      <c r="FRA514" s="1763"/>
      <c r="FRB514" s="385"/>
      <c r="FRC514" s="69"/>
      <c r="FRD514" s="69"/>
      <c r="FRE514" s="2513"/>
      <c r="FRF514" s="1761"/>
      <c r="FRG514" s="1762"/>
      <c r="FRH514" s="1762"/>
      <c r="FRI514" s="1763"/>
      <c r="FRJ514" s="385"/>
      <c r="FRK514" s="69"/>
      <c r="FRL514" s="69"/>
      <c r="FRM514" s="2513"/>
      <c r="FRN514" s="1761"/>
      <c r="FRO514" s="1762"/>
      <c r="FRP514" s="1762"/>
      <c r="FRQ514" s="1763"/>
      <c r="FRR514" s="385"/>
      <c r="FRS514" s="69"/>
      <c r="FRT514" s="69"/>
      <c r="FRU514" s="2513"/>
      <c r="FRV514" s="1761"/>
      <c r="FRW514" s="1762"/>
      <c r="FRX514" s="1762"/>
      <c r="FRY514" s="1763"/>
      <c r="FRZ514" s="385"/>
      <c r="FSA514" s="69"/>
      <c r="FSB514" s="69"/>
      <c r="FSC514" s="2513"/>
      <c r="FSD514" s="1761"/>
      <c r="FSE514" s="1762"/>
      <c r="FSF514" s="1762"/>
      <c r="FSG514" s="1763"/>
      <c r="FSH514" s="385"/>
      <c r="FSI514" s="69"/>
      <c r="FSJ514" s="69"/>
      <c r="FSK514" s="2513"/>
      <c r="FSL514" s="1761"/>
      <c r="FSM514" s="1762"/>
      <c r="FSN514" s="1762"/>
      <c r="FSO514" s="1763"/>
      <c r="FSP514" s="385"/>
      <c r="FSQ514" s="69"/>
      <c r="FSR514" s="69"/>
      <c r="FSS514" s="2513"/>
      <c r="FST514" s="1761"/>
      <c r="FSU514" s="1762"/>
      <c r="FSV514" s="1762"/>
      <c r="FSW514" s="1763"/>
      <c r="FSX514" s="385"/>
      <c r="FSY514" s="69"/>
      <c r="FSZ514" s="69"/>
      <c r="FTA514" s="2513"/>
      <c r="FTB514" s="1761"/>
      <c r="FTC514" s="1762"/>
      <c r="FTD514" s="1762"/>
      <c r="FTE514" s="1763"/>
      <c r="FTF514" s="385"/>
      <c r="FTG514" s="69"/>
      <c r="FTH514" s="69"/>
      <c r="FTI514" s="2513"/>
      <c r="FTJ514" s="1761"/>
      <c r="FTK514" s="1762"/>
      <c r="FTL514" s="1762"/>
      <c r="FTM514" s="1763"/>
      <c r="FTN514" s="385"/>
      <c r="FTO514" s="69"/>
      <c r="FTP514" s="69"/>
      <c r="FTQ514" s="2513"/>
      <c r="FTR514" s="1761"/>
      <c r="FTS514" s="1762"/>
      <c r="FTT514" s="1762"/>
      <c r="FTU514" s="1763"/>
      <c r="FTV514" s="385"/>
      <c r="FTW514" s="69"/>
      <c r="FTX514" s="69"/>
      <c r="FTY514" s="2513"/>
      <c r="FTZ514" s="1761"/>
      <c r="FUA514" s="1762"/>
      <c r="FUB514" s="1762"/>
      <c r="FUC514" s="1763"/>
      <c r="FUD514" s="385"/>
      <c r="FUE514" s="69"/>
      <c r="FUF514" s="69"/>
      <c r="FUG514" s="2513"/>
      <c r="FUH514" s="1761"/>
      <c r="FUI514" s="1762"/>
      <c r="FUJ514" s="1762"/>
      <c r="FUK514" s="1763"/>
      <c r="FUL514" s="385"/>
      <c r="FUM514" s="69"/>
      <c r="FUN514" s="69"/>
      <c r="FUO514" s="2513"/>
      <c r="FUP514" s="1761"/>
      <c r="FUQ514" s="1762"/>
      <c r="FUR514" s="1762"/>
      <c r="FUS514" s="1763"/>
      <c r="FUT514" s="385"/>
      <c r="FUU514" s="69"/>
      <c r="FUV514" s="69"/>
      <c r="FUW514" s="2513"/>
      <c r="FUX514" s="1761"/>
      <c r="FUY514" s="1762"/>
      <c r="FUZ514" s="1762"/>
      <c r="FVA514" s="1763"/>
      <c r="FVB514" s="385"/>
      <c r="FVC514" s="69"/>
      <c r="FVD514" s="69"/>
      <c r="FVE514" s="2513"/>
      <c r="FVF514" s="1761"/>
      <c r="FVG514" s="1762"/>
      <c r="FVH514" s="1762"/>
      <c r="FVI514" s="1763"/>
      <c r="FVJ514" s="385"/>
      <c r="FVK514" s="69"/>
      <c r="FVL514" s="69"/>
      <c r="FVM514" s="2513"/>
      <c r="FVN514" s="1761"/>
      <c r="FVO514" s="1762"/>
      <c r="FVP514" s="1762"/>
      <c r="FVQ514" s="1763"/>
      <c r="FVR514" s="385"/>
      <c r="FVS514" s="69"/>
      <c r="FVT514" s="69"/>
      <c r="FVU514" s="2513"/>
      <c r="FVV514" s="1761"/>
      <c r="FVW514" s="1762"/>
      <c r="FVX514" s="1762"/>
      <c r="FVY514" s="1763"/>
      <c r="FVZ514" s="385"/>
      <c r="FWA514" s="69"/>
      <c r="FWB514" s="69"/>
      <c r="FWC514" s="2513"/>
      <c r="FWD514" s="1761"/>
      <c r="FWE514" s="1762"/>
      <c r="FWF514" s="1762"/>
      <c r="FWG514" s="1763"/>
      <c r="FWH514" s="385"/>
      <c r="FWI514" s="69"/>
      <c r="FWJ514" s="69"/>
      <c r="FWK514" s="2513"/>
      <c r="FWL514" s="1761"/>
      <c r="FWM514" s="1762"/>
      <c r="FWN514" s="1762"/>
      <c r="FWO514" s="1763"/>
      <c r="FWP514" s="385"/>
      <c r="FWQ514" s="69"/>
      <c r="FWR514" s="69"/>
      <c r="FWS514" s="2513"/>
      <c r="FWT514" s="1761"/>
      <c r="FWU514" s="1762"/>
      <c r="FWV514" s="1762"/>
      <c r="FWW514" s="1763"/>
      <c r="FWX514" s="385"/>
      <c r="FWY514" s="69"/>
      <c r="FWZ514" s="69"/>
      <c r="FXA514" s="2513"/>
      <c r="FXB514" s="1761"/>
      <c r="FXC514" s="1762"/>
      <c r="FXD514" s="1762"/>
      <c r="FXE514" s="1763"/>
      <c r="FXF514" s="385"/>
      <c r="FXG514" s="69"/>
      <c r="FXH514" s="69"/>
      <c r="FXI514" s="2513"/>
      <c r="FXJ514" s="1761"/>
      <c r="FXK514" s="1762"/>
      <c r="FXL514" s="1762"/>
      <c r="FXM514" s="1763"/>
      <c r="FXN514" s="385"/>
      <c r="FXO514" s="69"/>
      <c r="FXP514" s="69"/>
      <c r="FXQ514" s="2513"/>
      <c r="FXR514" s="1761"/>
      <c r="FXS514" s="1762"/>
      <c r="FXT514" s="1762"/>
      <c r="FXU514" s="1763"/>
      <c r="FXV514" s="385"/>
      <c r="FXW514" s="69"/>
      <c r="FXX514" s="69"/>
      <c r="FXY514" s="2513"/>
      <c r="FXZ514" s="1761"/>
      <c r="FYA514" s="1762"/>
      <c r="FYB514" s="1762"/>
      <c r="FYC514" s="1763"/>
      <c r="FYD514" s="385"/>
      <c r="FYE514" s="69"/>
      <c r="FYF514" s="69"/>
      <c r="FYG514" s="2513"/>
      <c r="FYH514" s="1761"/>
      <c r="FYI514" s="1762"/>
      <c r="FYJ514" s="1762"/>
      <c r="FYK514" s="1763"/>
      <c r="FYL514" s="385"/>
      <c r="FYM514" s="69"/>
      <c r="FYN514" s="69"/>
      <c r="FYO514" s="2513"/>
      <c r="FYP514" s="1761"/>
      <c r="FYQ514" s="1762"/>
      <c r="FYR514" s="1762"/>
      <c r="FYS514" s="1763"/>
      <c r="FYT514" s="385"/>
      <c r="FYU514" s="69"/>
      <c r="FYV514" s="69"/>
      <c r="FYW514" s="2513"/>
      <c r="FYX514" s="1761"/>
      <c r="FYY514" s="1762"/>
      <c r="FYZ514" s="1762"/>
      <c r="FZA514" s="1763"/>
      <c r="FZB514" s="385"/>
      <c r="FZC514" s="69"/>
      <c r="FZD514" s="69"/>
      <c r="FZE514" s="2513"/>
      <c r="FZF514" s="1761"/>
      <c r="FZG514" s="1762"/>
      <c r="FZH514" s="1762"/>
      <c r="FZI514" s="1763"/>
      <c r="FZJ514" s="385"/>
      <c r="FZK514" s="69"/>
      <c r="FZL514" s="69"/>
      <c r="FZM514" s="2513"/>
      <c r="FZN514" s="1761"/>
      <c r="FZO514" s="1762"/>
      <c r="FZP514" s="1762"/>
      <c r="FZQ514" s="1763"/>
      <c r="FZR514" s="385"/>
      <c r="FZS514" s="69"/>
      <c r="FZT514" s="69"/>
      <c r="FZU514" s="2513"/>
      <c r="FZV514" s="1761"/>
      <c r="FZW514" s="1762"/>
      <c r="FZX514" s="1762"/>
      <c r="FZY514" s="1763"/>
      <c r="FZZ514" s="385"/>
      <c r="GAA514" s="69"/>
      <c r="GAB514" s="69"/>
      <c r="GAC514" s="2513"/>
      <c r="GAD514" s="1761"/>
      <c r="GAE514" s="1762"/>
      <c r="GAF514" s="1762"/>
      <c r="GAG514" s="1763"/>
      <c r="GAH514" s="385"/>
      <c r="GAI514" s="69"/>
      <c r="GAJ514" s="69"/>
      <c r="GAK514" s="2513"/>
      <c r="GAL514" s="1761"/>
      <c r="GAM514" s="1762"/>
      <c r="GAN514" s="1762"/>
      <c r="GAO514" s="1763"/>
      <c r="GAP514" s="385"/>
      <c r="GAQ514" s="69"/>
      <c r="GAR514" s="69"/>
      <c r="GAS514" s="2513"/>
      <c r="GAT514" s="1761"/>
      <c r="GAU514" s="1762"/>
      <c r="GAV514" s="1762"/>
      <c r="GAW514" s="1763"/>
      <c r="GAX514" s="385"/>
      <c r="GAY514" s="69"/>
      <c r="GAZ514" s="69"/>
      <c r="GBA514" s="2513"/>
      <c r="GBB514" s="1761"/>
      <c r="GBC514" s="1762"/>
      <c r="GBD514" s="1762"/>
      <c r="GBE514" s="1763"/>
      <c r="GBF514" s="385"/>
      <c r="GBG514" s="69"/>
      <c r="GBH514" s="69"/>
      <c r="GBI514" s="2513"/>
      <c r="GBJ514" s="1761"/>
      <c r="GBK514" s="1762"/>
      <c r="GBL514" s="1762"/>
      <c r="GBM514" s="1763"/>
      <c r="GBN514" s="385"/>
      <c r="GBO514" s="69"/>
      <c r="GBP514" s="69"/>
      <c r="GBQ514" s="2513"/>
      <c r="GBR514" s="1761"/>
      <c r="GBS514" s="1762"/>
      <c r="GBT514" s="1762"/>
      <c r="GBU514" s="1763"/>
      <c r="GBV514" s="385"/>
      <c r="GBW514" s="69"/>
      <c r="GBX514" s="69"/>
      <c r="GBY514" s="2513"/>
      <c r="GBZ514" s="1761"/>
      <c r="GCA514" s="1762"/>
      <c r="GCB514" s="1762"/>
      <c r="GCC514" s="1763"/>
      <c r="GCD514" s="385"/>
      <c r="GCE514" s="69"/>
      <c r="GCF514" s="69"/>
      <c r="GCG514" s="2513"/>
      <c r="GCH514" s="1761"/>
      <c r="GCI514" s="1762"/>
      <c r="GCJ514" s="1762"/>
      <c r="GCK514" s="1763"/>
      <c r="GCL514" s="385"/>
      <c r="GCM514" s="69"/>
      <c r="GCN514" s="69"/>
      <c r="GCO514" s="2513"/>
      <c r="GCP514" s="1761"/>
      <c r="GCQ514" s="1762"/>
      <c r="GCR514" s="1762"/>
      <c r="GCS514" s="1763"/>
      <c r="GCT514" s="385"/>
      <c r="GCU514" s="69"/>
      <c r="GCV514" s="69"/>
      <c r="GCW514" s="2513"/>
      <c r="GCX514" s="1761"/>
      <c r="GCY514" s="1762"/>
      <c r="GCZ514" s="1762"/>
      <c r="GDA514" s="1763"/>
      <c r="GDB514" s="385"/>
      <c r="GDC514" s="69"/>
      <c r="GDD514" s="69"/>
      <c r="GDE514" s="2513"/>
      <c r="GDF514" s="1761"/>
      <c r="GDG514" s="1762"/>
      <c r="GDH514" s="1762"/>
      <c r="GDI514" s="1763"/>
      <c r="GDJ514" s="385"/>
      <c r="GDK514" s="69"/>
      <c r="GDL514" s="69"/>
      <c r="GDM514" s="2513"/>
      <c r="GDN514" s="1761"/>
      <c r="GDO514" s="1762"/>
      <c r="GDP514" s="1762"/>
      <c r="GDQ514" s="1763"/>
      <c r="GDR514" s="385"/>
      <c r="GDS514" s="69"/>
      <c r="GDT514" s="69"/>
      <c r="GDU514" s="2513"/>
      <c r="GDV514" s="1761"/>
      <c r="GDW514" s="1762"/>
      <c r="GDX514" s="1762"/>
      <c r="GDY514" s="1763"/>
      <c r="GDZ514" s="385"/>
      <c r="GEA514" s="69"/>
      <c r="GEB514" s="69"/>
      <c r="GEC514" s="2513"/>
      <c r="GED514" s="1761"/>
      <c r="GEE514" s="1762"/>
      <c r="GEF514" s="1762"/>
      <c r="GEG514" s="1763"/>
      <c r="GEH514" s="385"/>
      <c r="GEI514" s="69"/>
      <c r="GEJ514" s="69"/>
      <c r="GEK514" s="2513"/>
      <c r="GEL514" s="1761"/>
      <c r="GEM514" s="1762"/>
      <c r="GEN514" s="1762"/>
      <c r="GEO514" s="1763"/>
      <c r="GEP514" s="385"/>
      <c r="GEQ514" s="69"/>
      <c r="GER514" s="69"/>
      <c r="GES514" s="2513"/>
      <c r="GET514" s="1761"/>
      <c r="GEU514" s="1762"/>
      <c r="GEV514" s="1762"/>
      <c r="GEW514" s="1763"/>
      <c r="GEX514" s="385"/>
      <c r="GEY514" s="69"/>
      <c r="GEZ514" s="69"/>
      <c r="GFA514" s="2513"/>
      <c r="GFB514" s="1761"/>
      <c r="GFC514" s="1762"/>
      <c r="GFD514" s="1762"/>
      <c r="GFE514" s="1763"/>
      <c r="GFF514" s="385"/>
      <c r="GFG514" s="69"/>
      <c r="GFH514" s="69"/>
      <c r="GFI514" s="2513"/>
      <c r="GFJ514" s="1761"/>
      <c r="GFK514" s="1762"/>
      <c r="GFL514" s="1762"/>
      <c r="GFM514" s="1763"/>
      <c r="GFN514" s="385"/>
      <c r="GFO514" s="69"/>
      <c r="GFP514" s="69"/>
      <c r="GFQ514" s="2513"/>
      <c r="GFR514" s="1761"/>
      <c r="GFS514" s="1762"/>
      <c r="GFT514" s="1762"/>
      <c r="GFU514" s="1763"/>
      <c r="GFV514" s="385"/>
      <c r="GFW514" s="69"/>
      <c r="GFX514" s="69"/>
      <c r="GFY514" s="2513"/>
      <c r="GFZ514" s="1761"/>
      <c r="GGA514" s="1762"/>
      <c r="GGB514" s="1762"/>
      <c r="GGC514" s="1763"/>
      <c r="GGD514" s="385"/>
      <c r="GGE514" s="69"/>
      <c r="GGF514" s="69"/>
      <c r="GGG514" s="2513"/>
      <c r="GGH514" s="1761"/>
      <c r="GGI514" s="1762"/>
      <c r="GGJ514" s="1762"/>
      <c r="GGK514" s="1763"/>
      <c r="GGL514" s="385"/>
      <c r="GGM514" s="69"/>
      <c r="GGN514" s="69"/>
      <c r="GGO514" s="2513"/>
      <c r="GGP514" s="1761"/>
      <c r="GGQ514" s="1762"/>
      <c r="GGR514" s="1762"/>
      <c r="GGS514" s="1763"/>
      <c r="GGT514" s="385"/>
      <c r="GGU514" s="69"/>
      <c r="GGV514" s="69"/>
      <c r="GGW514" s="2513"/>
      <c r="GGX514" s="1761"/>
      <c r="GGY514" s="1762"/>
      <c r="GGZ514" s="1762"/>
      <c r="GHA514" s="1763"/>
      <c r="GHB514" s="385"/>
      <c r="GHC514" s="69"/>
      <c r="GHD514" s="69"/>
      <c r="GHE514" s="2513"/>
      <c r="GHF514" s="1761"/>
      <c r="GHG514" s="1762"/>
      <c r="GHH514" s="1762"/>
      <c r="GHI514" s="1763"/>
      <c r="GHJ514" s="385"/>
      <c r="GHK514" s="69"/>
      <c r="GHL514" s="69"/>
      <c r="GHM514" s="2513"/>
      <c r="GHN514" s="1761"/>
      <c r="GHO514" s="1762"/>
      <c r="GHP514" s="1762"/>
      <c r="GHQ514" s="1763"/>
      <c r="GHR514" s="385"/>
      <c r="GHS514" s="69"/>
      <c r="GHT514" s="69"/>
      <c r="GHU514" s="2513"/>
      <c r="GHV514" s="1761"/>
      <c r="GHW514" s="1762"/>
      <c r="GHX514" s="1762"/>
      <c r="GHY514" s="1763"/>
      <c r="GHZ514" s="385"/>
      <c r="GIA514" s="69"/>
      <c r="GIB514" s="69"/>
      <c r="GIC514" s="2513"/>
      <c r="GID514" s="1761"/>
      <c r="GIE514" s="1762"/>
      <c r="GIF514" s="1762"/>
      <c r="GIG514" s="1763"/>
      <c r="GIH514" s="385"/>
      <c r="GII514" s="69"/>
      <c r="GIJ514" s="69"/>
      <c r="GIK514" s="2513"/>
      <c r="GIL514" s="1761"/>
      <c r="GIM514" s="1762"/>
      <c r="GIN514" s="1762"/>
      <c r="GIO514" s="1763"/>
      <c r="GIP514" s="385"/>
      <c r="GIQ514" s="69"/>
      <c r="GIR514" s="69"/>
      <c r="GIS514" s="2513"/>
      <c r="GIT514" s="1761"/>
      <c r="GIU514" s="1762"/>
      <c r="GIV514" s="1762"/>
      <c r="GIW514" s="1763"/>
      <c r="GIX514" s="385"/>
      <c r="GIY514" s="69"/>
      <c r="GIZ514" s="69"/>
      <c r="GJA514" s="2513"/>
      <c r="GJB514" s="1761"/>
      <c r="GJC514" s="1762"/>
      <c r="GJD514" s="1762"/>
      <c r="GJE514" s="1763"/>
      <c r="GJF514" s="385"/>
      <c r="GJG514" s="69"/>
      <c r="GJH514" s="69"/>
      <c r="GJI514" s="2513"/>
      <c r="GJJ514" s="1761"/>
      <c r="GJK514" s="1762"/>
      <c r="GJL514" s="1762"/>
      <c r="GJM514" s="1763"/>
      <c r="GJN514" s="385"/>
      <c r="GJO514" s="69"/>
      <c r="GJP514" s="69"/>
      <c r="GJQ514" s="2513"/>
      <c r="GJR514" s="1761"/>
      <c r="GJS514" s="1762"/>
      <c r="GJT514" s="1762"/>
      <c r="GJU514" s="1763"/>
      <c r="GJV514" s="385"/>
      <c r="GJW514" s="69"/>
      <c r="GJX514" s="69"/>
      <c r="GJY514" s="2513"/>
      <c r="GJZ514" s="1761"/>
      <c r="GKA514" s="1762"/>
      <c r="GKB514" s="1762"/>
      <c r="GKC514" s="1763"/>
      <c r="GKD514" s="385"/>
      <c r="GKE514" s="69"/>
      <c r="GKF514" s="69"/>
      <c r="GKG514" s="2513"/>
      <c r="GKH514" s="1761"/>
      <c r="GKI514" s="1762"/>
      <c r="GKJ514" s="1762"/>
      <c r="GKK514" s="1763"/>
      <c r="GKL514" s="385"/>
      <c r="GKM514" s="69"/>
      <c r="GKN514" s="69"/>
      <c r="GKO514" s="2513"/>
      <c r="GKP514" s="1761"/>
      <c r="GKQ514" s="1762"/>
      <c r="GKR514" s="1762"/>
      <c r="GKS514" s="1763"/>
      <c r="GKT514" s="385"/>
      <c r="GKU514" s="69"/>
      <c r="GKV514" s="69"/>
      <c r="GKW514" s="2513"/>
      <c r="GKX514" s="1761"/>
      <c r="GKY514" s="1762"/>
      <c r="GKZ514" s="1762"/>
      <c r="GLA514" s="1763"/>
      <c r="GLB514" s="385"/>
      <c r="GLC514" s="69"/>
      <c r="GLD514" s="69"/>
      <c r="GLE514" s="2513"/>
      <c r="GLF514" s="1761"/>
      <c r="GLG514" s="1762"/>
      <c r="GLH514" s="1762"/>
      <c r="GLI514" s="1763"/>
      <c r="GLJ514" s="385"/>
      <c r="GLK514" s="69"/>
      <c r="GLL514" s="69"/>
      <c r="GLM514" s="2513"/>
      <c r="GLN514" s="1761"/>
      <c r="GLO514" s="1762"/>
      <c r="GLP514" s="1762"/>
      <c r="GLQ514" s="1763"/>
      <c r="GLR514" s="385"/>
      <c r="GLS514" s="69"/>
      <c r="GLT514" s="69"/>
      <c r="GLU514" s="2513"/>
      <c r="GLV514" s="1761"/>
      <c r="GLW514" s="1762"/>
      <c r="GLX514" s="1762"/>
      <c r="GLY514" s="1763"/>
      <c r="GLZ514" s="385"/>
      <c r="GMA514" s="69"/>
      <c r="GMB514" s="69"/>
      <c r="GMC514" s="2513"/>
      <c r="GMD514" s="1761"/>
      <c r="GME514" s="1762"/>
      <c r="GMF514" s="1762"/>
      <c r="GMG514" s="1763"/>
      <c r="GMH514" s="385"/>
      <c r="GMI514" s="69"/>
      <c r="GMJ514" s="69"/>
      <c r="GMK514" s="2513"/>
      <c r="GML514" s="1761"/>
      <c r="GMM514" s="1762"/>
      <c r="GMN514" s="1762"/>
      <c r="GMO514" s="1763"/>
      <c r="GMP514" s="385"/>
      <c r="GMQ514" s="69"/>
      <c r="GMR514" s="69"/>
      <c r="GMS514" s="2513"/>
      <c r="GMT514" s="1761"/>
      <c r="GMU514" s="1762"/>
      <c r="GMV514" s="1762"/>
      <c r="GMW514" s="1763"/>
      <c r="GMX514" s="385"/>
      <c r="GMY514" s="69"/>
      <c r="GMZ514" s="69"/>
      <c r="GNA514" s="2513"/>
      <c r="GNB514" s="1761"/>
      <c r="GNC514" s="1762"/>
      <c r="GND514" s="1762"/>
      <c r="GNE514" s="1763"/>
      <c r="GNF514" s="385"/>
      <c r="GNG514" s="69"/>
      <c r="GNH514" s="69"/>
      <c r="GNI514" s="2513"/>
      <c r="GNJ514" s="1761"/>
      <c r="GNK514" s="1762"/>
      <c r="GNL514" s="1762"/>
      <c r="GNM514" s="1763"/>
      <c r="GNN514" s="385"/>
      <c r="GNO514" s="69"/>
      <c r="GNP514" s="69"/>
      <c r="GNQ514" s="2513"/>
      <c r="GNR514" s="1761"/>
      <c r="GNS514" s="1762"/>
      <c r="GNT514" s="1762"/>
      <c r="GNU514" s="1763"/>
      <c r="GNV514" s="385"/>
      <c r="GNW514" s="69"/>
      <c r="GNX514" s="69"/>
      <c r="GNY514" s="2513"/>
      <c r="GNZ514" s="1761"/>
      <c r="GOA514" s="1762"/>
      <c r="GOB514" s="1762"/>
      <c r="GOC514" s="1763"/>
      <c r="GOD514" s="385"/>
      <c r="GOE514" s="69"/>
      <c r="GOF514" s="69"/>
      <c r="GOG514" s="2513"/>
      <c r="GOH514" s="1761"/>
      <c r="GOI514" s="1762"/>
      <c r="GOJ514" s="1762"/>
      <c r="GOK514" s="1763"/>
      <c r="GOL514" s="385"/>
      <c r="GOM514" s="69"/>
      <c r="GON514" s="69"/>
      <c r="GOO514" s="2513"/>
      <c r="GOP514" s="1761"/>
      <c r="GOQ514" s="1762"/>
      <c r="GOR514" s="1762"/>
      <c r="GOS514" s="1763"/>
      <c r="GOT514" s="385"/>
      <c r="GOU514" s="69"/>
      <c r="GOV514" s="69"/>
      <c r="GOW514" s="2513"/>
      <c r="GOX514" s="1761"/>
      <c r="GOY514" s="1762"/>
      <c r="GOZ514" s="1762"/>
      <c r="GPA514" s="1763"/>
      <c r="GPB514" s="385"/>
      <c r="GPC514" s="69"/>
      <c r="GPD514" s="69"/>
      <c r="GPE514" s="2513"/>
      <c r="GPF514" s="1761"/>
      <c r="GPG514" s="1762"/>
      <c r="GPH514" s="1762"/>
      <c r="GPI514" s="1763"/>
      <c r="GPJ514" s="385"/>
      <c r="GPK514" s="69"/>
      <c r="GPL514" s="69"/>
      <c r="GPM514" s="2513"/>
      <c r="GPN514" s="1761"/>
      <c r="GPO514" s="1762"/>
      <c r="GPP514" s="1762"/>
      <c r="GPQ514" s="1763"/>
      <c r="GPR514" s="385"/>
      <c r="GPS514" s="69"/>
      <c r="GPT514" s="69"/>
      <c r="GPU514" s="2513"/>
      <c r="GPV514" s="1761"/>
      <c r="GPW514" s="1762"/>
      <c r="GPX514" s="1762"/>
      <c r="GPY514" s="1763"/>
      <c r="GPZ514" s="385"/>
      <c r="GQA514" s="69"/>
      <c r="GQB514" s="69"/>
      <c r="GQC514" s="2513"/>
      <c r="GQD514" s="1761"/>
      <c r="GQE514" s="1762"/>
      <c r="GQF514" s="1762"/>
      <c r="GQG514" s="1763"/>
      <c r="GQH514" s="385"/>
      <c r="GQI514" s="69"/>
      <c r="GQJ514" s="69"/>
      <c r="GQK514" s="2513"/>
      <c r="GQL514" s="1761"/>
      <c r="GQM514" s="1762"/>
      <c r="GQN514" s="1762"/>
      <c r="GQO514" s="1763"/>
      <c r="GQP514" s="385"/>
      <c r="GQQ514" s="69"/>
      <c r="GQR514" s="69"/>
      <c r="GQS514" s="2513"/>
      <c r="GQT514" s="1761"/>
      <c r="GQU514" s="1762"/>
      <c r="GQV514" s="1762"/>
      <c r="GQW514" s="1763"/>
      <c r="GQX514" s="385"/>
      <c r="GQY514" s="69"/>
      <c r="GQZ514" s="69"/>
      <c r="GRA514" s="2513"/>
      <c r="GRB514" s="1761"/>
      <c r="GRC514" s="1762"/>
      <c r="GRD514" s="1762"/>
      <c r="GRE514" s="1763"/>
      <c r="GRF514" s="385"/>
      <c r="GRG514" s="69"/>
      <c r="GRH514" s="69"/>
      <c r="GRI514" s="2513"/>
      <c r="GRJ514" s="1761"/>
      <c r="GRK514" s="1762"/>
      <c r="GRL514" s="1762"/>
      <c r="GRM514" s="1763"/>
      <c r="GRN514" s="385"/>
      <c r="GRO514" s="69"/>
      <c r="GRP514" s="69"/>
      <c r="GRQ514" s="2513"/>
      <c r="GRR514" s="1761"/>
      <c r="GRS514" s="1762"/>
      <c r="GRT514" s="1762"/>
      <c r="GRU514" s="1763"/>
      <c r="GRV514" s="385"/>
      <c r="GRW514" s="69"/>
      <c r="GRX514" s="69"/>
      <c r="GRY514" s="2513"/>
      <c r="GRZ514" s="1761"/>
      <c r="GSA514" s="1762"/>
      <c r="GSB514" s="1762"/>
      <c r="GSC514" s="1763"/>
      <c r="GSD514" s="385"/>
      <c r="GSE514" s="69"/>
      <c r="GSF514" s="69"/>
      <c r="GSG514" s="2513"/>
      <c r="GSH514" s="1761"/>
      <c r="GSI514" s="1762"/>
      <c r="GSJ514" s="1762"/>
      <c r="GSK514" s="1763"/>
      <c r="GSL514" s="385"/>
      <c r="GSM514" s="69"/>
      <c r="GSN514" s="69"/>
      <c r="GSO514" s="2513"/>
      <c r="GSP514" s="1761"/>
      <c r="GSQ514" s="1762"/>
      <c r="GSR514" s="1762"/>
      <c r="GSS514" s="1763"/>
      <c r="GST514" s="385"/>
      <c r="GSU514" s="69"/>
      <c r="GSV514" s="69"/>
      <c r="GSW514" s="2513"/>
      <c r="GSX514" s="1761"/>
      <c r="GSY514" s="1762"/>
      <c r="GSZ514" s="1762"/>
      <c r="GTA514" s="1763"/>
      <c r="GTB514" s="385"/>
      <c r="GTC514" s="69"/>
      <c r="GTD514" s="69"/>
      <c r="GTE514" s="2513"/>
      <c r="GTF514" s="1761"/>
      <c r="GTG514" s="1762"/>
      <c r="GTH514" s="1762"/>
      <c r="GTI514" s="1763"/>
      <c r="GTJ514" s="385"/>
      <c r="GTK514" s="69"/>
      <c r="GTL514" s="69"/>
      <c r="GTM514" s="2513"/>
      <c r="GTN514" s="1761"/>
      <c r="GTO514" s="1762"/>
      <c r="GTP514" s="1762"/>
      <c r="GTQ514" s="1763"/>
      <c r="GTR514" s="385"/>
      <c r="GTS514" s="69"/>
      <c r="GTT514" s="69"/>
      <c r="GTU514" s="2513"/>
      <c r="GTV514" s="1761"/>
      <c r="GTW514" s="1762"/>
      <c r="GTX514" s="1762"/>
      <c r="GTY514" s="1763"/>
      <c r="GTZ514" s="385"/>
      <c r="GUA514" s="69"/>
      <c r="GUB514" s="69"/>
      <c r="GUC514" s="2513"/>
      <c r="GUD514" s="1761"/>
      <c r="GUE514" s="1762"/>
      <c r="GUF514" s="1762"/>
      <c r="GUG514" s="1763"/>
      <c r="GUH514" s="385"/>
      <c r="GUI514" s="69"/>
      <c r="GUJ514" s="69"/>
      <c r="GUK514" s="2513"/>
      <c r="GUL514" s="1761"/>
      <c r="GUM514" s="1762"/>
      <c r="GUN514" s="1762"/>
      <c r="GUO514" s="1763"/>
      <c r="GUP514" s="385"/>
      <c r="GUQ514" s="69"/>
      <c r="GUR514" s="69"/>
      <c r="GUS514" s="2513"/>
      <c r="GUT514" s="1761"/>
      <c r="GUU514" s="1762"/>
      <c r="GUV514" s="1762"/>
      <c r="GUW514" s="1763"/>
      <c r="GUX514" s="385"/>
      <c r="GUY514" s="69"/>
      <c r="GUZ514" s="69"/>
      <c r="GVA514" s="2513"/>
      <c r="GVB514" s="1761"/>
      <c r="GVC514" s="1762"/>
      <c r="GVD514" s="1762"/>
      <c r="GVE514" s="1763"/>
      <c r="GVF514" s="385"/>
      <c r="GVG514" s="69"/>
      <c r="GVH514" s="69"/>
      <c r="GVI514" s="2513"/>
      <c r="GVJ514" s="1761"/>
      <c r="GVK514" s="1762"/>
      <c r="GVL514" s="1762"/>
      <c r="GVM514" s="1763"/>
      <c r="GVN514" s="385"/>
      <c r="GVO514" s="69"/>
      <c r="GVP514" s="69"/>
      <c r="GVQ514" s="2513"/>
      <c r="GVR514" s="1761"/>
      <c r="GVS514" s="1762"/>
      <c r="GVT514" s="1762"/>
      <c r="GVU514" s="1763"/>
      <c r="GVV514" s="385"/>
      <c r="GVW514" s="69"/>
      <c r="GVX514" s="69"/>
      <c r="GVY514" s="2513"/>
      <c r="GVZ514" s="1761"/>
      <c r="GWA514" s="1762"/>
      <c r="GWB514" s="1762"/>
      <c r="GWC514" s="1763"/>
      <c r="GWD514" s="385"/>
      <c r="GWE514" s="69"/>
      <c r="GWF514" s="69"/>
      <c r="GWG514" s="2513"/>
      <c r="GWH514" s="1761"/>
      <c r="GWI514" s="1762"/>
      <c r="GWJ514" s="1762"/>
      <c r="GWK514" s="1763"/>
      <c r="GWL514" s="385"/>
      <c r="GWM514" s="69"/>
      <c r="GWN514" s="69"/>
      <c r="GWO514" s="2513"/>
      <c r="GWP514" s="1761"/>
      <c r="GWQ514" s="1762"/>
      <c r="GWR514" s="1762"/>
      <c r="GWS514" s="1763"/>
      <c r="GWT514" s="385"/>
      <c r="GWU514" s="69"/>
      <c r="GWV514" s="69"/>
      <c r="GWW514" s="2513"/>
      <c r="GWX514" s="1761"/>
      <c r="GWY514" s="1762"/>
      <c r="GWZ514" s="1762"/>
      <c r="GXA514" s="1763"/>
      <c r="GXB514" s="385"/>
      <c r="GXC514" s="69"/>
      <c r="GXD514" s="69"/>
      <c r="GXE514" s="2513"/>
      <c r="GXF514" s="1761"/>
      <c r="GXG514" s="1762"/>
      <c r="GXH514" s="1762"/>
      <c r="GXI514" s="1763"/>
      <c r="GXJ514" s="385"/>
      <c r="GXK514" s="69"/>
      <c r="GXL514" s="69"/>
      <c r="GXM514" s="2513"/>
      <c r="GXN514" s="1761"/>
      <c r="GXO514" s="1762"/>
      <c r="GXP514" s="1762"/>
      <c r="GXQ514" s="1763"/>
      <c r="GXR514" s="385"/>
      <c r="GXS514" s="69"/>
      <c r="GXT514" s="69"/>
      <c r="GXU514" s="2513"/>
      <c r="GXV514" s="1761"/>
      <c r="GXW514" s="1762"/>
      <c r="GXX514" s="1762"/>
      <c r="GXY514" s="1763"/>
      <c r="GXZ514" s="385"/>
      <c r="GYA514" s="69"/>
      <c r="GYB514" s="69"/>
      <c r="GYC514" s="2513"/>
      <c r="GYD514" s="1761"/>
      <c r="GYE514" s="1762"/>
      <c r="GYF514" s="1762"/>
      <c r="GYG514" s="1763"/>
      <c r="GYH514" s="385"/>
      <c r="GYI514" s="69"/>
      <c r="GYJ514" s="69"/>
      <c r="GYK514" s="2513"/>
      <c r="GYL514" s="1761"/>
      <c r="GYM514" s="1762"/>
      <c r="GYN514" s="1762"/>
      <c r="GYO514" s="1763"/>
      <c r="GYP514" s="385"/>
      <c r="GYQ514" s="69"/>
      <c r="GYR514" s="69"/>
      <c r="GYS514" s="2513"/>
      <c r="GYT514" s="1761"/>
      <c r="GYU514" s="1762"/>
      <c r="GYV514" s="1762"/>
      <c r="GYW514" s="1763"/>
      <c r="GYX514" s="385"/>
      <c r="GYY514" s="69"/>
      <c r="GYZ514" s="69"/>
      <c r="GZA514" s="2513"/>
      <c r="GZB514" s="1761"/>
      <c r="GZC514" s="1762"/>
      <c r="GZD514" s="1762"/>
      <c r="GZE514" s="1763"/>
      <c r="GZF514" s="385"/>
      <c r="GZG514" s="69"/>
      <c r="GZH514" s="69"/>
      <c r="GZI514" s="2513"/>
      <c r="GZJ514" s="1761"/>
      <c r="GZK514" s="1762"/>
      <c r="GZL514" s="1762"/>
      <c r="GZM514" s="1763"/>
      <c r="GZN514" s="385"/>
      <c r="GZO514" s="69"/>
      <c r="GZP514" s="69"/>
      <c r="GZQ514" s="2513"/>
      <c r="GZR514" s="1761"/>
      <c r="GZS514" s="1762"/>
      <c r="GZT514" s="1762"/>
      <c r="GZU514" s="1763"/>
      <c r="GZV514" s="385"/>
      <c r="GZW514" s="69"/>
      <c r="GZX514" s="69"/>
      <c r="GZY514" s="2513"/>
      <c r="GZZ514" s="1761"/>
      <c r="HAA514" s="1762"/>
      <c r="HAB514" s="1762"/>
      <c r="HAC514" s="1763"/>
      <c r="HAD514" s="385"/>
      <c r="HAE514" s="69"/>
      <c r="HAF514" s="69"/>
      <c r="HAG514" s="2513"/>
      <c r="HAH514" s="1761"/>
      <c r="HAI514" s="1762"/>
      <c r="HAJ514" s="1762"/>
      <c r="HAK514" s="1763"/>
      <c r="HAL514" s="385"/>
      <c r="HAM514" s="69"/>
      <c r="HAN514" s="69"/>
      <c r="HAO514" s="2513"/>
      <c r="HAP514" s="1761"/>
      <c r="HAQ514" s="1762"/>
      <c r="HAR514" s="1762"/>
      <c r="HAS514" s="1763"/>
      <c r="HAT514" s="385"/>
      <c r="HAU514" s="69"/>
      <c r="HAV514" s="69"/>
      <c r="HAW514" s="2513"/>
      <c r="HAX514" s="1761"/>
      <c r="HAY514" s="1762"/>
      <c r="HAZ514" s="1762"/>
      <c r="HBA514" s="1763"/>
      <c r="HBB514" s="385"/>
      <c r="HBC514" s="69"/>
      <c r="HBD514" s="69"/>
      <c r="HBE514" s="2513"/>
      <c r="HBF514" s="1761"/>
      <c r="HBG514" s="1762"/>
      <c r="HBH514" s="1762"/>
      <c r="HBI514" s="1763"/>
      <c r="HBJ514" s="385"/>
      <c r="HBK514" s="69"/>
      <c r="HBL514" s="69"/>
      <c r="HBM514" s="2513"/>
      <c r="HBN514" s="1761"/>
      <c r="HBO514" s="1762"/>
      <c r="HBP514" s="1762"/>
      <c r="HBQ514" s="1763"/>
      <c r="HBR514" s="385"/>
      <c r="HBS514" s="69"/>
      <c r="HBT514" s="69"/>
      <c r="HBU514" s="2513"/>
      <c r="HBV514" s="1761"/>
      <c r="HBW514" s="1762"/>
      <c r="HBX514" s="1762"/>
      <c r="HBY514" s="1763"/>
      <c r="HBZ514" s="385"/>
      <c r="HCA514" s="69"/>
      <c r="HCB514" s="69"/>
      <c r="HCC514" s="2513"/>
      <c r="HCD514" s="1761"/>
      <c r="HCE514" s="1762"/>
      <c r="HCF514" s="1762"/>
      <c r="HCG514" s="1763"/>
      <c r="HCH514" s="385"/>
      <c r="HCI514" s="69"/>
      <c r="HCJ514" s="69"/>
      <c r="HCK514" s="2513"/>
      <c r="HCL514" s="1761"/>
      <c r="HCM514" s="1762"/>
      <c r="HCN514" s="1762"/>
      <c r="HCO514" s="1763"/>
      <c r="HCP514" s="385"/>
      <c r="HCQ514" s="69"/>
      <c r="HCR514" s="69"/>
      <c r="HCS514" s="2513"/>
      <c r="HCT514" s="1761"/>
      <c r="HCU514" s="1762"/>
      <c r="HCV514" s="1762"/>
      <c r="HCW514" s="1763"/>
      <c r="HCX514" s="385"/>
      <c r="HCY514" s="69"/>
      <c r="HCZ514" s="69"/>
      <c r="HDA514" s="2513"/>
      <c r="HDB514" s="1761"/>
      <c r="HDC514" s="1762"/>
      <c r="HDD514" s="1762"/>
      <c r="HDE514" s="1763"/>
      <c r="HDF514" s="385"/>
      <c r="HDG514" s="69"/>
      <c r="HDH514" s="69"/>
      <c r="HDI514" s="2513"/>
      <c r="HDJ514" s="1761"/>
      <c r="HDK514" s="1762"/>
      <c r="HDL514" s="1762"/>
      <c r="HDM514" s="1763"/>
      <c r="HDN514" s="385"/>
      <c r="HDO514" s="69"/>
      <c r="HDP514" s="69"/>
      <c r="HDQ514" s="2513"/>
      <c r="HDR514" s="1761"/>
      <c r="HDS514" s="1762"/>
      <c r="HDT514" s="1762"/>
      <c r="HDU514" s="1763"/>
      <c r="HDV514" s="385"/>
      <c r="HDW514" s="69"/>
      <c r="HDX514" s="69"/>
      <c r="HDY514" s="2513"/>
      <c r="HDZ514" s="1761"/>
      <c r="HEA514" s="1762"/>
      <c r="HEB514" s="1762"/>
      <c r="HEC514" s="1763"/>
      <c r="HED514" s="385"/>
      <c r="HEE514" s="69"/>
      <c r="HEF514" s="69"/>
      <c r="HEG514" s="2513"/>
      <c r="HEH514" s="1761"/>
      <c r="HEI514" s="1762"/>
      <c r="HEJ514" s="1762"/>
      <c r="HEK514" s="1763"/>
      <c r="HEL514" s="385"/>
      <c r="HEM514" s="69"/>
      <c r="HEN514" s="69"/>
      <c r="HEO514" s="2513"/>
      <c r="HEP514" s="1761"/>
      <c r="HEQ514" s="1762"/>
      <c r="HER514" s="1762"/>
      <c r="HES514" s="1763"/>
      <c r="HET514" s="385"/>
      <c r="HEU514" s="69"/>
      <c r="HEV514" s="69"/>
      <c r="HEW514" s="2513"/>
      <c r="HEX514" s="1761"/>
      <c r="HEY514" s="1762"/>
      <c r="HEZ514" s="1762"/>
      <c r="HFA514" s="1763"/>
      <c r="HFB514" s="385"/>
      <c r="HFC514" s="69"/>
      <c r="HFD514" s="69"/>
      <c r="HFE514" s="2513"/>
      <c r="HFF514" s="1761"/>
      <c r="HFG514" s="1762"/>
      <c r="HFH514" s="1762"/>
      <c r="HFI514" s="1763"/>
      <c r="HFJ514" s="385"/>
      <c r="HFK514" s="69"/>
      <c r="HFL514" s="69"/>
      <c r="HFM514" s="2513"/>
      <c r="HFN514" s="1761"/>
      <c r="HFO514" s="1762"/>
      <c r="HFP514" s="1762"/>
      <c r="HFQ514" s="1763"/>
      <c r="HFR514" s="385"/>
      <c r="HFS514" s="69"/>
      <c r="HFT514" s="69"/>
      <c r="HFU514" s="2513"/>
      <c r="HFV514" s="1761"/>
      <c r="HFW514" s="1762"/>
      <c r="HFX514" s="1762"/>
      <c r="HFY514" s="1763"/>
      <c r="HFZ514" s="385"/>
      <c r="HGA514" s="69"/>
      <c r="HGB514" s="69"/>
      <c r="HGC514" s="2513"/>
      <c r="HGD514" s="1761"/>
      <c r="HGE514" s="1762"/>
      <c r="HGF514" s="1762"/>
      <c r="HGG514" s="1763"/>
      <c r="HGH514" s="385"/>
      <c r="HGI514" s="69"/>
      <c r="HGJ514" s="69"/>
      <c r="HGK514" s="2513"/>
      <c r="HGL514" s="1761"/>
      <c r="HGM514" s="1762"/>
      <c r="HGN514" s="1762"/>
      <c r="HGO514" s="1763"/>
      <c r="HGP514" s="385"/>
      <c r="HGQ514" s="69"/>
      <c r="HGR514" s="69"/>
      <c r="HGS514" s="2513"/>
      <c r="HGT514" s="1761"/>
      <c r="HGU514" s="1762"/>
      <c r="HGV514" s="1762"/>
      <c r="HGW514" s="1763"/>
      <c r="HGX514" s="385"/>
      <c r="HGY514" s="69"/>
      <c r="HGZ514" s="69"/>
      <c r="HHA514" s="2513"/>
      <c r="HHB514" s="1761"/>
      <c r="HHC514" s="1762"/>
      <c r="HHD514" s="1762"/>
      <c r="HHE514" s="1763"/>
      <c r="HHF514" s="385"/>
      <c r="HHG514" s="69"/>
      <c r="HHH514" s="69"/>
      <c r="HHI514" s="2513"/>
      <c r="HHJ514" s="1761"/>
      <c r="HHK514" s="1762"/>
      <c r="HHL514" s="1762"/>
      <c r="HHM514" s="1763"/>
      <c r="HHN514" s="385"/>
      <c r="HHO514" s="69"/>
      <c r="HHP514" s="69"/>
      <c r="HHQ514" s="2513"/>
      <c r="HHR514" s="1761"/>
      <c r="HHS514" s="1762"/>
      <c r="HHT514" s="1762"/>
      <c r="HHU514" s="1763"/>
      <c r="HHV514" s="385"/>
      <c r="HHW514" s="69"/>
      <c r="HHX514" s="69"/>
      <c r="HHY514" s="2513"/>
      <c r="HHZ514" s="1761"/>
      <c r="HIA514" s="1762"/>
      <c r="HIB514" s="1762"/>
      <c r="HIC514" s="1763"/>
      <c r="HID514" s="385"/>
      <c r="HIE514" s="69"/>
      <c r="HIF514" s="69"/>
      <c r="HIG514" s="2513"/>
      <c r="HIH514" s="1761"/>
      <c r="HII514" s="1762"/>
      <c r="HIJ514" s="1762"/>
      <c r="HIK514" s="1763"/>
      <c r="HIL514" s="385"/>
      <c r="HIM514" s="69"/>
      <c r="HIN514" s="69"/>
      <c r="HIO514" s="2513"/>
      <c r="HIP514" s="1761"/>
      <c r="HIQ514" s="1762"/>
      <c r="HIR514" s="1762"/>
      <c r="HIS514" s="1763"/>
      <c r="HIT514" s="385"/>
      <c r="HIU514" s="69"/>
      <c r="HIV514" s="69"/>
      <c r="HIW514" s="2513"/>
      <c r="HIX514" s="1761"/>
      <c r="HIY514" s="1762"/>
      <c r="HIZ514" s="1762"/>
      <c r="HJA514" s="1763"/>
      <c r="HJB514" s="385"/>
      <c r="HJC514" s="69"/>
      <c r="HJD514" s="69"/>
      <c r="HJE514" s="2513"/>
      <c r="HJF514" s="1761"/>
      <c r="HJG514" s="1762"/>
      <c r="HJH514" s="1762"/>
      <c r="HJI514" s="1763"/>
      <c r="HJJ514" s="385"/>
      <c r="HJK514" s="69"/>
      <c r="HJL514" s="69"/>
      <c r="HJM514" s="2513"/>
      <c r="HJN514" s="1761"/>
      <c r="HJO514" s="1762"/>
      <c r="HJP514" s="1762"/>
      <c r="HJQ514" s="1763"/>
      <c r="HJR514" s="385"/>
      <c r="HJS514" s="69"/>
      <c r="HJT514" s="69"/>
      <c r="HJU514" s="2513"/>
      <c r="HJV514" s="1761"/>
      <c r="HJW514" s="1762"/>
      <c r="HJX514" s="1762"/>
      <c r="HJY514" s="1763"/>
      <c r="HJZ514" s="385"/>
      <c r="HKA514" s="69"/>
      <c r="HKB514" s="69"/>
      <c r="HKC514" s="2513"/>
      <c r="HKD514" s="1761"/>
      <c r="HKE514" s="1762"/>
      <c r="HKF514" s="1762"/>
      <c r="HKG514" s="1763"/>
      <c r="HKH514" s="385"/>
      <c r="HKI514" s="69"/>
      <c r="HKJ514" s="69"/>
      <c r="HKK514" s="2513"/>
      <c r="HKL514" s="1761"/>
      <c r="HKM514" s="1762"/>
      <c r="HKN514" s="1762"/>
      <c r="HKO514" s="1763"/>
      <c r="HKP514" s="385"/>
      <c r="HKQ514" s="69"/>
      <c r="HKR514" s="69"/>
      <c r="HKS514" s="2513"/>
      <c r="HKT514" s="1761"/>
      <c r="HKU514" s="1762"/>
      <c r="HKV514" s="1762"/>
      <c r="HKW514" s="1763"/>
      <c r="HKX514" s="385"/>
      <c r="HKY514" s="69"/>
      <c r="HKZ514" s="69"/>
      <c r="HLA514" s="2513"/>
      <c r="HLB514" s="1761"/>
      <c r="HLC514" s="1762"/>
      <c r="HLD514" s="1762"/>
      <c r="HLE514" s="1763"/>
      <c r="HLF514" s="385"/>
      <c r="HLG514" s="69"/>
      <c r="HLH514" s="69"/>
      <c r="HLI514" s="2513"/>
      <c r="HLJ514" s="1761"/>
      <c r="HLK514" s="1762"/>
      <c r="HLL514" s="1762"/>
      <c r="HLM514" s="1763"/>
      <c r="HLN514" s="385"/>
      <c r="HLO514" s="69"/>
      <c r="HLP514" s="69"/>
      <c r="HLQ514" s="2513"/>
      <c r="HLR514" s="1761"/>
      <c r="HLS514" s="1762"/>
      <c r="HLT514" s="1762"/>
      <c r="HLU514" s="1763"/>
      <c r="HLV514" s="385"/>
      <c r="HLW514" s="69"/>
      <c r="HLX514" s="69"/>
      <c r="HLY514" s="2513"/>
      <c r="HLZ514" s="1761"/>
      <c r="HMA514" s="1762"/>
      <c r="HMB514" s="1762"/>
      <c r="HMC514" s="1763"/>
      <c r="HMD514" s="385"/>
      <c r="HME514" s="69"/>
      <c r="HMF514" s="69"/>
      <c r="HMG514" s="2513"/>
      <c r="HMH514" s="1761"/>
      <c r="HMI514" s="1762"/>
      <c r="HMJ514" s="1762"/>
      <c r="HMK514" s="1763"/>
      <c r="HML514" s="385"/>
      <c r="HMM514" s="69"/>
      <c r="HMN514" s="69"/>
      <c r="HMO514" s="2513"/>
      <c r="HMP514" s="1761"/>
      <c r="HMQ514" s="1762"/>
      <c r="HMR514" s="1762"/>
      <c r="HMS514" s="1763"/>
      <c r="HMT514" s="385"/>
      <c r="HMU514" s="69"/>
      <c r="HMV514" s="69"/>
      <c r="HMW514" s="2513"/>
      <c r="HMX514" s="1761"/>
      <c r="HMY514" s="1762"/>
      <c r="HMZ514" s="1762"/>
      <c r="HNA514" s="1763"/>
      <c r="HNB514" s="385"/>
      <c r="HNC514" s="69"/>
      <c r="HND514" s="69"/>
      <c r="HNE514" s="2513"/>
      <c r="HNF514" s="1761"/>
      <c r="HNG514" s="1762"/>
      <c r="HNH514" s="1762"/>
      <c r="HNI514" s="1763"/>
      <c r="HNJ514" s="385"/>
      <c r="HNK514" s="69"/>
      <c r="HNL514" s="69"/>
      <c r="HNM514" s="2513"/>
      <c r="HNN514" s="1761"/>
      <c r="HNO514" s="1762"/>
      <c r="HNP514" s="1762"/>
      <c r="HNQ514" s="1763"/>
      <c r="HNR514" s="385"/>
      <c r="HNS514" s="69"/>
      <c r="HNT514" s="69"/>
      <c r="HNU514" s="2513"/>
      <c r="HNV514" s="1761"/>
      <c r="HNW514" s="1762"/>
      <c r="HNX514" s="1762"/>
      <c r="HNY514" s="1763"/>
      <c r="HNZ514" s="385"/>
      <c r="HOA514" s="69"/>
      <c r="HOB514" s="69"/>
      <c r="HOC514" s="2513"/>
      <c r="HOD514" s="1761"/>
      <c r="HOE514" s="1762"/>
      <c r="HOF514" s="1762"/>
      <c r="HOG514" s="1763"/>
      <c r="HOH514" s="385"/>
      <c r="HOI514" s="69"/>
      <c r="HOJ514" s="69"/>
      <c r="HOK514" s="2513"/>
      <c r="HOL514" s="1761"/>
      <c r="HOM514" s="1762"/>
      <c r="HON514" s="1762"/>
      <c r="HOO514" s="1763"/>
      <c r="HOP514" s="385"/>
      <c r="HOQ514" s="69"/>
      <c r="HOR514" s="69"/>
      <c r="HOS514" s="2513"/>
      <c r="HOT514" s="1761"/>
      <c r="HOU514" s="1762"/>
      <c r="HOV514" s="1762"/>
      <c r="HOW514" s="1763"/>
      <c r="HOX514" s="385"/>
      <c r="HOY514" s="69"/>
      <c r="HOZ514" s="69"/>
      <c r="HPA514" s="2513"/>
      <c r="HPB514" s="1761"/>
      <c r="HPC514" s="1762"/>
      <c r="HPD514" s="1762"/>
      <c r="HPE514" s="1763"/>
      <c r="HPF514" s="385"/>
      <c r="HPG514" s="69"/>
      <c r="HPH514" s="69"/>
      <c r="HPI514" s="2513"/>
      <c r="HPJ514" s="1761"/>
      <c r="HPK514" s="1762"/>
      <c r="HPL514" s="1762"/>
      <c r="HPM514" s="1763"/>
      <c r="HPN514" s="385"/>
      <c r="HPO514" s="69"/>
      <c r="HPP514" s="69"/>
      <c r="HPQ514" s="2513"/>
      <c r="HPR514" s="1761"/>
      <c r="HPS514" s="1762"/>
      <c r="HPT514" s="1762"/>
      <c r="HPU514" s="1763"/>
      <c r="HPV514" s="385"/>
      <c r="HPW514" s="69"/>
      <c r="HPX514" s="69"/>
      <c r="HPY514" s="2513"/>
      <c r="HPZ514" s="1761"/>
      <c r="HQA514" s="1762"/>
      <c r="HQB514" s="1762"/>
      <c r="HQC514" s="1763"/>
      <c r="HQD514" s="385"/>
      <c r="HQE514" s="69"/>
      <c r="HQF514" s="69"/>
      <c r="HQG514" s="2513"/>
      <c r="HQH514" s="1761"/>
      <c r="HQI514" s="1762"/>
      <c r="HQJ514" s="1762"/>
      <c r="HQK514" s="1763"/>
      <c r="HQL514" s="385"/>
      <c r="HQM514" s="69"/>
      <c r="HQN514" s="69"/>
      <c r="HQO514" s="2513"/>
      <c r="HQP514" s="1761"/>
      <c r="HQQ514" s="1762"/>
      <c r="HQR514" s="1762"/>
      <c r="HQS514" s="1763"/>
      <c r="HQT514" s="385"/>
      <c r="HQU514" s="69"/>
      <c r="HQV514" s="69"/>
      <c r="HQW514" s="2513"/>
      <c r="HQX514" s="1761"/>
      <c r="HQY514" s="1762"/>
      <c r="HQZ514" s="1762"/>
      <c r="HRA514" s="1763"/>
      <c r="HRB514" s="385"/>
      <c r="HRC514" s="69"/>
      <c r="HRD514" s="69"/>
      <c r="HRE514" s="2513"/>
      <c r="HRF514" s="1761"/>
      <c r="HRG514" s="1762"/>
      <c r="HRH514" s="1762"/>
      <c r="HRI514" s="1763"/>
      <c r="HRJ514" s="385"/>
      <c r="HRK514" s="69"/>
      <c r="HRL514" s="69"/>
      <c r="HRM514" s="2513"/>
      <c r="HRN514" s="1761"/>
      <c r="HRO514" s="1762"/>
      <c r="HRP514" s="1762"/>
      <c r="HRQ514" s="1763"/>
      <c r="HRR514" s="385"/>
      <c r="HRS514" s="69"/>
      <c r="HRT514" s="69"/>
      <c r="HRU514" s="2513"/>
      <c r="HRV514" s="1761"/>
      <c r="HRW514" s="1762"/>
      <c r="HRX514" s="1762"/>
      <c r="HRY514" s="1763"/>
      <c r="HRZ514" s="385"/>
      <c r="HSA514" s="69"/>
      <c r="HSB514" s="69"/>
      <c r="HSC514" s="2513"/>
      <c r="HSD514" s="1761"/>
      <c r="HSE514" s="1762"/>
      <c r="HSF514" s="1762"/>
      <c r="HSG514" s="1763"/>
      <c r="HSH514" s="385"/>
      <c r="HSI514" s="69"/>
      <c r="HSJ514" s="69"/>
      <c r="HSK514" s="2513"/>
      <c r="HSL514" s="1761"/>
      <c r="HSM514" s="1762"/>
      <c r="HSN514" s="1762"/>
      <c r="HSO514" s="1763"/>
      <c r="HSP514" s="385"/>
      <c r="HSQ514" s="69"/>
      <c r="HSR514" s="69"/>
      <c r="HSS514" s="2513"/>
      <c r="HST514" s="1761"/>
      <c r="HSU514" s="1762"/>
      <c r="HSV514" s="1762"/>
      <c r="HSW514" s="1763"/>
      <c r="HSX514" s="385"/>
      <c r="HSY514" s="69"/>
      <c r="HSZ514" s="69"/>
      <c r="HTA514" s="2513"/>
      <c r="HTB514" s="1761"/>
      <c r="HTC514" s="1762"/>
      <c r="HTD514" s="1762"/>
      <c r="HTE514" s="1763"/>
      <c r="HTF514" s="385"/>
      <c r="HTG514" s="69"/>
      <c r="HTH514" s="69"/>
      <c r="HTI514" s="2513"/>
      <c r="HTJ514" s="1761"/>
      <c r="HTK514" s="1762"/>
      <c r="HTL514" s="1762"/>
      <c r="HTM514" s="1763"/>
      <c r="HTN514" s="385"/>
      <c r="HTO514" s="69"/>
      <c r="HTP514" s="69"/>
      <c r="HTQ514" s="2513"/>
      <c r="HTR514" s="1761"/>
      <c r="HTS514" s="1762"/>
      <c r="HTT514" s="1762"/>
      <c r="HTU514" s="1763"/>
      <c r="HTV514" s="385"/>
      <c r="HTW514" s="69"/>
      <c r="HTX514" s="69"/>
      <c r="HTY514" s="2513"/>
      <c r="HTZ514" s="1761"/>
      <c r="HUA514" s="1762"/>
      <c r="HUB514" s="1762"/>
      <c r="HUC514" s="1763"/>
      <c r="HUD514" s="385"/>
      <c r="HUE514" s="69"/>
      <c r="HUF514" s="69"/>
      <c r="HUG514" s="2513"/>
      <c r="HUH514" s="1761"/>
      <c r="HUI514" s="1762"/>
      <c r="HUJ514" s="1762"/>
      <c r="HUK514" s="1763"/>
      <c r="HUL514" s="385"/>
      <c r="HUM514" s="69"/>
      <c r="HUN514" s="69"/>
      <c r="HUO514" s="2513"/>
      <c r="HUP514" s="1761"/>
      <c r="HUQ514" s="1762"/>
      <c r="HUR514" s="1762"/>
      <c r="HUS514" s="1763"/>
      <c r="HUT514" s="385"/>
      <c r="HUU514" s="69"/>
      <c r="HUV514" s="69"/>
      <c r="HUW514" s="2513"/>
      <c r="HUX514" s="1761"/>
      <c r="HUY514" s="1762"/>
      <c r="HUZ514" s="1762"/>
      <c r="HVA514" s="1763"/>
      <c r="HVB514" s="385"/>
      <c r="HVC514" s="69"/>
      <c r="HVD514" s="69"/>
      <c r="HVE514" s="2513"/>
      <c r="HVF514" s="1761"/>
      <c r="HVG514" s="1762"/>
      <c r="HVH514" s="1762"/>
      <c r="HVI514" s="1763"/>
      <c r="HVJ514" s="385"/>
      <c r="HVK514" s="69"/>
      <c r="HVL514" s="69"/>
      <c r="HVM514" s="2513"/>
      <c r="HVN514" s="1761"/>
      <c r="HVO514" s="1762"/>
      <c r="HVP514" s="1762"/>
      <c r="HVQ514" s="1763"/>
      <c r="HVR514" s="385"/>
      <c r="HVS514" s="69"/>
      <c r="HVT514" s="69"/>
      <c r="HVU514" s="2513"/>
      <c r="HVV514" s="1761"/>
      <c r="HVW514" s="1762"/>
      <c r="HVX514" s="1762"/>
      <c r="HVY514" s="1763"/>
      <c r="HVZ514" s="385"/>
      <c r="HWA514" s="69"/>
      <c r="HWB514" s="69"/>
      <c r="HWC514" s="2513"/>
      <c r="HWD514" s="1761"/>
      <c r="HWE514" s="1762"/>
      <c r="HWF514" s="1762"/>
      <c r="HWG514" s="1763"/>
      <c r="HWH514" s="385"/>
      <c r="HWI514" s="69"/>
      <c r="HWJ514" s="69"/>
      <c r="HWK514" s="2513"/>
      <c r="HWL514" s="1761"/>
      <c r="HWM514" s="1762"/>
      <c r="HWN514" s="1762"/>
      <c r="HWO514" s="1763"/>
      <c r="HWP514" s="385"/>
      <c r="HWQ514" s="69"/>
      <c r="HWR514" s="69"/>
      <c r="HWS514" s="2513"/>
      <c r="HWT514" s="1761"/>
      <c r="HWU514" s="1762"/>
      <c r="HWV514" s="1762"/>
      <c r="HWW514" s="1763"/>
      <c r="HWX514" s="385"/>
      <c r="HWY514" s="69"/>
      <c r="HWZ514" s="69"/>
      <c r="HXA514" s="2513"/>
      <c r="HXB514" s="1761"/>
      <c r="HXC514" s="1762"/>
      <c r="HXD514" s="1762"/>
      <c r="HXE514" s="1763"/>
      <c r="HXF514" s="385"/>
      <c r="HXG514" s="69"/>
      <c r="HXH514" s="69"/>
      <c r="HXI514" s="2513"/>
      <c r="HXJ514" s="1761"/>
      <c r="HXK514" s="1762"/>
      <c r="HXL514" s="1762"/>
      <c r="HXM514" s="1763"/>
      <c r="HXN514" s="385"/>
      <c r="HXO514" s="69"/>
      <c r="HXP514" s="69"/>
      <c r="HXQ514" s="2513"/>
      <c r="HXR514" s="1761"/>
      <c r="HXS514" s="1762"/>
      <c r="HXT514" s="1762"/>
      <c r="HXU514" s="1763"/>
      <c r="HXV514" s="385"/>
      <c r="HXW514" s="69"/>
      <c r="HXX514" s="69"/>
      <c r="HXY514" s="2513"/>
      <c r="HXZ514" s="1761"/>
      <c r="HYA514" s="1762"/>
      <c r="HYB514" s="1762"/>
      <c r="HYC514" s="1763"/>
      <c r="HYD514" s="385"/>
      <c r="HYE514" s="69"/>
      <c r="HYF514" s="69"/>
      <c r="HYG514" s="2513"/>
      <c r="HYH514" s="1761"/>
      <c r="HYI514" s="1762"/>
      <c r="HYJ514" s="1762"/>
      <c r="HYK514" s="1763"/>
      <c r="HYL514" s="385"/>
      <c r="HYM514" s="69"/>
      <c r="HYN514" s="69"/>
      <c r="HYO514" s="2513"/>
      <c r="HYP514" s="1761"/>
      <c r="HYQ514" s="1762"/>
      <c r="HYR514" s="1762"/>
      <c r="HYS514" s="1763"/>
      <c r="HYT514" s="385"/>
      <c r="HYU514" s="69"/>
      <c r="HYV514" s="69"/>
      <c r="HYW514" s="2513"/>
      <c r="HYX514" s="1761"/>
      <c r="HYY514" s="1762"/>
      <c r="HYZ514" s="1762"/>
      <c r="HZA514" s="1763"/>
      <c r="HZB514" s="385"/>
      <c r="HZC514" s="69"/>
      <c r="HZD514" s="69"/>
      <c r="HZE514" s="2513"/>
      <c r="HZF514" s="1761"/>
      <c r="HZG514" s="1762"/>
      <c r="HZH514" s="1762"/>
      <c r="HZI514" s="1763"/>
      <c r="HZJ514" s="385"/>
      <c r="HZK514" s="69"/>
      <c r="HZL514" s="69"/>
      <c r="HZM514" s="2513"/>
      <c r="HZN514" s="1761"/>
      <c r="HZO514" s="1762"/>
      <c r="HZP514" s="1762"/>
      <c r="HZQ514" s="1763"/>
      <c r="HZR514" s="385"/>
      <c r="HZS514" s="69"/>
      <c r="HZT514" s="69"/>
      <c r="HZU514" s="2513"/>
      <c r="HZV514" s="1761"/>
      <c r="HZW514" s="1762"/>
      <c r="HZX514" s="1762"/>
      <c r="HZY514" s="1763"/>
      <c r="HZZ514" s="385"/>
      <c r="IAA514" s="69"/>
      <c r="IAB514" s="69"/>
      <c r="IAC514" s="2513"/>
      <c r="IAD514" s="1761"/>
      <c r="IAE514" s="1762"/>
      <c r="IAF514" s="1762"/>
      <c r="IAG514" s="1763"/>
      <c r="IAH514" s="385"/>
      <c r="IAI514" s="69"/>
      <c r="IAJ514" s="69"/>
      <c r="IAK514" s="2513"/>
      <c r="IAL514" s="1761"/>
      <c r="IAM514" s="1762"/>
      <c r="IAN514" s="1762"/>
      <c r="IAO514" s="1763"/>
      <c r="IAP514" s="385"/>
      <c r="IAQ514" s="69"/>
      <c r="IAR514" s="69"/>
      <c r="IAS514" s="2513"/>
      <c r="IAT514" s="1761"/>
      <c r="IAU514" s="1762"/>
      <c r="IAV514" s="1762"/>
      <c r="IAW514" s="1763"/>
      <c r="IAX514" s="385"/>
      <c r="IAY514" s="69"/>
      <c r="IAZ514" s="69"/>
      <c r="IBA514" s="2513"/>
      <c r="IBB514" s="1761"/>
      <c r="IBC514" s="1762"/>
      <c r="IBD514" s="1762"/>
      <c r="IBE514" s="1763"/>
      <c r="IBF514" s="385"/>
      <c r="IBG514" s="69"/>
      <c r="IBH514" s="69"/>
      <c r="IBI514" s="2513"/>
      <c r="IBJ514" s="1761"/>
      <c r="IBK514" s="1762"/>
      <c r="IBL514" s="1762"/>
      <c r="IBM514" s="1763"/>
      <c r="IBN514" s="385"/>
      <c r="IBO514" s="69"/>
      <c r="IBP514" s="69"/>
      <c r="IBQ514" s="2513"/>
      <c r="IBR514" s="1761"/>
      <c r="IBS514" s="1762"/>
      <c r="IBT514" s="1762"/>
      <c r="IBU514" s="1763"/>
      <c r="IBV514" s="385"/>
      <c r="IBW514" s="69"/>
      <c r="IBX514" s="69"/>
      <c r="IBY514" s="2513"/>
      <c r="IBZ514" s="1761"/>
      <c r="ICA514" s="1762"/>
      <c r="ICB514" s="1762"/>
      <c r="ICC514" s="1763"/>
      <c r="ICD514" s="385"/>
      <c r="ICE514" s="69"/>
      <c r="ICF514" s="69"/>
      <c r="ICG514" s="2513"/>
      <c r="ICH514" s="1761"/>
      <c r="ICI514" s="1762"/>
      <c r="ICJ514" s="1762"/>
      <c r="ICK514" s="1763"/>
      <c r="ICL514" s="385"/>
      <c r="ICM514" s="69"/>
      <c r="ICN514" s="69"/>
      <c r="ICO514" s="2513"/>
      <c r="ICP514" s="1761"/>
      <c r="ICQ514" s="1762"/>
      <c r="ICR514" s="1762"/>
      <c r="ICS514" s="1763"/>
      <c r="ICT514" s="385"/>
      <c r="ICU514" s="69"/>
      <c r="ICV514" s="69"/>
      <c r="ICW514" s="2513"/>
      <c r="ICX514" s="1761"/>
      <c r="ICY514" s="1762"/>
      <c r="ICZ514" s="1762"/>
      <c r="IDA514" s="1763"/>
      <c r="IDB514" s="385"/>
      <c r="IDC514" s="69"/>
      <c r="IDD514" s="69"/>
      <c r="IDE514" s="2513"/>
      <c r="IDF514" s="1761"/>
      <c r="IDG514" s="1762"/>
      <c r="IDH514" s="1762"/>
      <c r="IDI514" s="1763"/>
      <c r="IDJ514" s="385"/>
      <c r="IDK514" s="69"/>
      <c r="IDL514" s="69"/>
      <c r="IDM514" s="2513"/>
      <c r="IDN514" s="1761"/>
      <c r="IDO514" s="1762"/>
      <c r="IDP514" s="1762"/>
      <c r="IDQ514" s="1763"/>
      <c r="IDR514" s="385"/>
      <c r="IDS514" s="69"/>
      <c r="IDT514" s="69"/>
      <c r="IDU514" s="2513"/>
      <c r="IDV514" s="1761"/>
      <c r="IDW514" s="1762"/>
      <c r="IDX514" s="1762"/>
      <c r="IDY514" s="1763"/>
      <c r="IDZ514" s="385"/>
      <c r="IEA514" s="69"/>
      <c r="IEB514" s="69"/>
      <c r="IEC514" s="2513"/>
      <c r="IED514" s="1761"/>
      <c r="IEE514" s="1762"/>
      <c r="IEF514" s="1762"/>
      <c r="IEG514" s="1763"/>
      <c r="IEH514" s="385"/>
      <c r="IEI514" s="69"/>
      <c r="IEJ514" s="69"/>
      <c r="IEK514" s="2513"/>
      <c r="IEL514" s="1761"/>
      <c r="IEM514" s="1762"/>
      <c r="IEN514" s="1762"/>
      <c r="IEO514" s="1763"/>
      <c r="IEP514" s="385"/>
      <c r="IEQ514" s="69"/>
      <c r="IER514" s="69"/>
      <c r="IES514" s="2513"/>
      <c r="IET514" s="1761"/>
      <c r="IEU514" s="1762"/>
      <c r="IEV514" s="1762"/>
      <c r="IEW514" s="1763"/>
      <c r="IEX514" s="385"/>
      <c r="IEY514" s="69"/>
      <c r="IEZ514" s="69"/>
      <c r="IFA514" s="2513"/>
      <c r="IFB514" s="1761"/>
      <c r="IFC514" s="1762"/>
      <c r="IFD514" s="1762"/>
      <c r="IFE514" s="1763"/>
      <c r="IFF514" s="385"/>
      <c r="IFG514" s="69"/>
      <c r="IFH514" s="69"/>
      <c r="IFI514" s="2513"/>
      <c r="IFJ514" s="1761"/>
      <c r="IFK514" s="1762"/>
      <c r="IFL514" s="1762"/>
      <c r="IFM514" s="1763"/>
      <c r="IFN514" s="385"/>
      <c r="IFO514" s="69"/>
      <c r="IFP514" s="69"/>
      <c r="IFQ514" s="2513"/>
      <c r="IFR514" s="1761"/>
      <c r="IFS514" s="1762"/>
      <c r="IFT514" s="1762"/>
      <c r="IFU514" s="1763"/>
      <c r="IFV514" s="385"/>
      <c r="IFW514" s="69"/>
      <c r="IFX514" s="69"/>
      <c r="IFY514" s="2513"/>
      <c r="IFZ514" s="1761"/>
      <c r="IGA514" s="1762"/>
      <c r="IGB514" s="1762"/>
      <c r="IGC514" s="1763"/>
      <c r="IGD514" s="385"/>
      <c r="IGE514" s="69"/>
      <c r="IGF514" s="69"/>
      <c r="IGG514" s="2513"/>
      <c r="IGH514" s="1761"/>
      <c r="IGI514" s="1762"/>
      <c r="IGJ514" s="1762"/>
      <c r="IGK514" s="1763"/>
      <c r="IGL514" s="385"/>
      <c r="IGM514" s="69"/>
      <c r="IGN514" s="69"/>
      <c r="IGO514" s="2513"/>
      <c r="IGP514" s="1761"/>
      <c r="IGQ514" s="1762"/>
      <c r="IGR514" s="1762"/>
      <c r="IGS514" s="1763"/>
      <c r="IGT514" s="385"/>
      <c r="IGU514" s="69"/>
      <c r="IGV514" s="69"/>
      <c r="IGW514" s="2513"/>
      <c r="IGX514" s="1761"/>
      <c r="IGY514" s="1762"/>
      <c r="IGZ514" s="1762"/>
      <c r="IHA514" s="1763"/>
      <c r="IHB514" s="385"/>
      <c r="IHC514" s="69"/>
      <c r="IHD514" s="69"/>
      <c r="IHE514" s="2513"/>
      <c r="IHF514" s="1761"/>
      <c r="IHG514" s="1762"/>
      <c r="IHH514" s="1762"/>
      <c r="IHI514" s="1763"/>
      <c r="IHJ514" s="385"/>
      <c r="IHK514" s="69"/>
      <c r="IHL514" s="69"/>
      <c r="IHM514" s="2513"/>
      <c r="IHN514" s="1761"/>
      <c r="IHO514" s="1762"/>
      <c r="IHP514" s="1762"/>
      <c r="IHQ514" s="1763"/>
      <c r="IHR514" s="385"/>
      <c r="IHS514" s="69"/>
      <c r="IHT514" s="69"/>
      <c r="IHU514" s="2513"/>
      <c r="IHV514" s="1761"/>
      <c r="IHW514" s="1762"/>
      <c r="IHX514" s="1762"/>
      <c r="IHY514" s="1763"/>
      <c r="IHZ514" s="385"/>
      <c r="IIA514" s="69"/>
      <c r="IIB514" s="69"/>
      <c r="IIC514" s="2513"/>
      <c r="IID514" s="1761"/>
      <c r="IIE514" s="1762"/>
      <c r="IIF514" s="1762"/>
      <c r="IIG514" s="1763"/>
      <c r="IIH514" s="385"/>
      <c r="III514" s="69"/>
      <c r="IIJ514" s="69"/>
      <c r="IIK514" s="2513"/>
      <c r="IIL514" s="1761"/>
      <c r="IIM514" s="1762"/>
      <c r="IIN514" s="1762"/>
      <c r="IIO514" s="1763"/>
      <c r="IIP514" s="385"/>
      <c r="IIQ514" s="69"/>
      <c r="IIR514" s="69"/>
      <c r="IIS514" s="2513"/>
      <c r="IIT514" s="1761"/>
      <c r="IIU514" s="1762"/>
      <c r="IIV514" s="1762"/>
      <c r="IIW514" s="1763"/>
      <c r="IIX514" s="385"/>
      <c r="IIY514" s="69"/>
      <c r="IIZ514" s="69"/>
      <c r="IJA514" s="2513"/>
      <c r="IJB514" s="1761"/>
      <c r="IJC514" s="1762"/>
      <c r="IJD514" s="1762"/>
      <c r="IJE514" s="1763"/>
      <c r="IJF514" s="385"/>
      <c r="IJG514" s="69"/>
      <c r="IJH514" s="69"/>
      <c r="IJI514" s="2513"/>
      <c r="IJJ514" s="1761"/>
      <c r="IJK514" s="1762"/>
      <c r="IJL514" s="1762"/>
      <c r="IJM514" s="1763"/>
      <c r="IJN514" s="385"/>
      <c r="IJO514" s="69"/>
      <c r="IJP514" s="69"/>
      <c r="IJQ514" s="2513"/>
      <c r="IJR514" s="1761"/>
      <c r="IJS514" s="1762"/>
      <c r="IJT514" s="1762"/>
      <c r="IJU514" s="1763"/>
      <c r="IJV514" s="385"/>
      <c r="IJW514" s="69"/>
      <c r="IJX514" s="69"/>
      <c r="IJY514" s="2513"/>
      <c r="IJZ514" s="1761"/>
      <c r="IKA514" s="1762"/>
      <c r="IKB514" s="1762"/>
      <c r="IKC514" s="1763"/>
      <c r="IKD514" s="385"/>
      <c r="IKE514" s="69"/>
      <c r="IKF514" s="69"/>
      <c r="IKG514" s="2513"/>
      <c r="IKH514" s="1761"/>
      <c r="IKI514" s="1762"/>
      <c r="IKJ514" s="1762"/>
      <c r="IKK514" s="1763"/>
      <c r="IKL514" s="385"/>
      <c r="IKM514" s="69"/>
      <c r="IKN514" s="69"/>
      <c r="IKO514" s="2513"/>
      <c r="IKP514" s="1761"/>
      <c r="IKQ514" s="1762"/>
      <c r="IKR514" s="1762"/>
      <c r="IKS514" s="1763"/>
      <c r="IKT514" s="385"/>
      <c r="IKU514" s="69"/>
      <c r="IKV514" s="69"/>
      <c r="IKW514" s="2513"/>
      <c r="IKX514" s="1761"/>
      <c r="IKY514" s="1762"/>
      <c r="IKZ514" s="1762"/>
      <c r="ILA514" s="1763"/>
      <c r="ILB514" s="385"/>
      <c r="ILC514" s="69"/>
      <c r="ILD514" s="69"/>
      <c r="ILE514" s="2513"/>
      <c r="ILF514" s="1761"/>
      <c r="ILG514" s="1762"/>
      <c r="ILH514" s="1762"/>
      <c r="ILI514" s="1763"/>
      <c r="ILJ514" s="385"/>
      <c r="ILK514" s="69"/>
      <c r="ILL514" s="69"/>
      <c r="ILM514" s="2513"/>
      <c r="ILN514" s="1761"/>
      <c r="ILO514" s="1762"/>
      <c r="ILP514" s="1762"/>
      <c r="ILQ514" s="1763"/>
      <c r="ILR514" s="385"/>
      <c r="ILS514" s="69"/>
      <c r="ILT514" s="69"/>
      <c r="ILU514" s="2513"/>
      <c r="ILV514" s="1761"/>
      <c r="ILW514" s="1762"/>
      <c r="ILX514" s="1762"/>
      <c r="ILY514" s="1763"/>
      <c r="ILZ514" s="385"/>
      <c r="IMA514" s="69"/>
      <c r="IMB514" s="69"/>
      <c r="IMC514" s="2513"/>
      <c r="IMD514" s="1761"/>
      <c r="IME514" s="1762"/>
      <c r="IMF514" s="1762"/>
      <c r="IMG514" s="1763"/>
      <c r="IMH514" s="385"/>
      <c r="IMI514" s="69"/>
      <c r="IMJ514" s="69"/>
      <c r="IMK514" s="2513"/>
      <c r="IML514" s="1761"/>
      <c r="IMM514" s="1762"/>
      <c r="IMN514" s="1762"/>
      <c r="IMO514" s="1763"/>
      <c r="IMP514" s="385"/>
      <c r="IMQ514" s="69"/>
      <c r="IMR514" s="69"/>
      <c r="IMS514" s="2513"/>
      <c r="IMT514" s="1761"/>
      <c r="IMU514" s="1762"/>
      <c r="IMV514" s="1762"/>
      <c r="IMW514" s="1763"/>
      <c r="IMX514" s="385"/>
      <c r="IMY514" s="69"/>
      <c r="IMZ514" s="69"/>
      <c r="INA514" s="2513"/>
      <c r="INB514" s="1761"/>
      <c r="INC514" s="1762"/>
      <c r="IND514" s="1762"/>
      <c r="INE514" s="1763"/>
      <c r="INF514" s="385"/>
      <c r="ING514" s="69"/>
      <c r="INH514" s="69"/>
      <c r="INI514" s="2513"/>
      <c r="INJ514" s="1761"/>
      <c r="INK514" s="1762"/>
      <c r="INL514" s="1762"/>
      <c r="INM514" s="1763"/>
      <c r="INN514" s="385"/>
      <c r="INO514" s="69"/>
      <c r="INP514" s="69"/>
      <c r="INQ514" s="2513"/>
      <c r="INR514" s="1761"/>
      <c r="INS514" s="1762"/>
      <c r="INT514" s="1762"/>
      <c r="INU514" s="1763"/>
      <c r="INV514" s="385"/>
      <c r="INW514" s="69"/>
      <c r="INX514" s="69"/>
      <c r="INY514" s="2513"/>
      <c r="INZ514" s="1761"/>
      <c r="IOA514" s="1762"/>
      <c r="IOB514" s="1762"/>
      <c r="IOC514" s="1763"/>
      <c r="IOD514" s="385"/>
      <c r="IOE514" s="69"/>
      <c r="IOF514" s="69"/>
      <c r="IOG514" s="2513"/>
      <c r="IOH514" s="1761"/>
      <c r="IOI514" s="1762"/>
      <c r="IOJ514" s="1762"/>
      <c r="IOK514" s="1763"/>
      <c r="IOL514" s="385"/>
      <c r="IOM514" s="69"/>
      <c r="ION514" s="69"/>
      <c r="IOO514" s="2513"/>
      <c r="IOP514" s="1761"/>
      <c r="IOQ514" s="1762"/>
      <c r="IOR514" s="1762"/>
      <c r="IOS514" s="1763"/>
      <c r="IOT514" s="385"/>
      <c r="IOU514" s="69"/>
      <c r="IOV514" s="69"/>
      <c r="IOW514" s="2513"/>
      <c r="IOX514" s="1761"/>
      <c r="IOY514" s="1762"/>
      <c r="IOZ514" s="1762"/>
      <c r="IPA514" s="1763"/>
      <c r="IPB514" s="385"/>
      <c r="IPC514" s="69"/>
      <c r="IPD514" s="69"/>
      <c r="IPE514" s="2513"/>
      <c r="IPF514" s="1761"/>
      <c r="IPG514" s="1762"/>
      <c r="IPH514" s="1762"/>
      <c r="IPI514" s="1763"/>
      <c r="IPJ514" s="385"/>
      <c r="IPK514" s="69"/>
      <c r="IPL514" s="69"/>
      <c r="IPM514" s="2513"/>
      <c r="IPN514" s="1761"/>
      <c r="IPO514" s="1762"/>
      <c r="IPP514" s="1762"/>
      <c r="IPQ514" s="1763"/>
      <c r="IPR514" s="385"/>
      <c r="IPS514" s="69"/>
      <c r="IPT514" s="69"/>
      <c r="IPU514" s="2513"/>
      <c r="IPV514" s="1761"/>
      <c r="IPW514" s="1762"/>
      <c r="IPX514" s="1762"/>
      <c r="IPY514" s="1763"/>
      <c r="IPZ514" s="385"/>
      <c r="IQA514" s="69"/>
      <c r="IQB514" s="69"/>
      <c r="IQC514" s="2513"/>
      <c r="IQD514" s="1761"/>
      <c r="IQE514" s="1762"/>
      <c r="IQF514" s="1762"/>
      <c r="IQG514" s="1763"/>
      <c r="IQH514" s="385"/>
      <c r="IQI514" s="69"/>
      <c r="IQJ514" s="69"/>
      <c r="IQK514" s="2513"/>
      <c r="IQL514" s="1761"/>
      <c r="IQM514" s="1762"/>
      <c r="IQN514" s="1762"/>
      <c r="IQO514" s="1763"/>
      <c r="IQP514" s="385"/>
      <c r="IQQ514" s="69"/>
      <c r="IQR514" s="69"/>
      <c r="IQS514" s="2513"/>
      <c r="IQT514" s="1761"/>
      <c r="IQU514" s="1762"/>
      <c r="IQV514" s="1762"/>
      <c r="IQW514" s="1763"/>
      <c r="IQX514" s="385"/>
      <c r="IQY514" s="69"/>
      <c r="IQZ514" s="69"/>
      <c r="IRA514" s="2513"/>
      <c r="IRB514" s="1761"/>
      <c r="IRC514" s="1762"/>
      <c r="IRD514" s="1762"/>
      <c r="IRE514" s="1763"/>
      <c r="IRF514" s="385"/>
      <c r="IRG514" s="69"/>
      <c r="IRH514" s="69"/>
      <c r="IRI514" s="2513"/>
      <c r="IRJ514" s="1761"/>
      <c r="IRK514" s="1762"/>
      <c r="IRL514" s="1762"/>
      <c r="IRM514" s="1763"/>
      <c r="IRN514" s="385"/>
      <c r="IRO514" s="69"/>
      <c r="IRP514" s="69"/>
      <c r="IRQ514" s="2513"/>
      <c r="IRR514" s="1761"/>
      <c r="IRS514" s="1762"/>
      <c r="IRT514" s="1762"/>
      <c r="IRU514" s="1763"/>
      <c r="IRV514" s="385"/>
      <c r="IRW514" s="69"/>
      <c r="IRX514" s="69"/>
      <c r="IRY514" s="2513"/>
      <c r="IRZ514" s="1761"/>
      <c r="ISA514" s="1762"/>
      <c r="ISB514" s="1762"/>
      <c r="ISC514" s="1763"/>
      <c r="ISD514" s="385"/>
      <c r="ISE514" s="69"/>
      <c r="ISF514" s="69"/>
      <c r="ISG514" s="2513"/>
      <c r="ISH514" s="1761"/>
      <c r="ISI514" s="1762"/>
      <c r="ISJ514" s="1762"/>
      <c r="ISK514" s="1763"/>
      <c r="ISL514" s="385"/>
      <c r="ISM514" s="69"/>
      <c r="ISN514" s="69"/>
      <c r="ISO514" s="2513"/>
      <c r="ISP514" s="1761"/>
      <c r="ISQ514" s="1762"/>
      <c r="ISR514" s="1762"/>
      <c r="ISS514" s="1763"/>
      <c r="IST514" s="385"/>
      <c r="ISU514" s="69"/>
      <c r="ISV514" s="69"/>
      <c r="ISW514" s="2513"/>
      <c r="ISX514" s="1761"/>
      <c r="ISY514" s="1762"/>
      <c r="ISZ514" s="1762"/>
      <c r="ITA514" s="1763"/>
      <c r="ITB514" s="385"/>
      <c r="ITC514" s="69"/>
      <c r="ITD514" s="69"/>
      <c r="ITE514" s="2513"/>
      <c r="ITF514" s="1761"/>
      <c r="ITG514" s="1762"/>
      <c r="ITH514" s="1762"/>
      <c r="ITI514" s="1763"/>
      <c r="ITJ514" s="385"/>
      <c r="ITK514" s="69"/>
      <c r="ITL514" s="69"/>
      <c r="ITM514" s="2513"/>
      <c r="ITN514" s="1761"/>
      <c r="ITO514" s="1762"/>
      <c r="ITP514" s="1762"/>
      <c r="ITQ514" s="1763"/>
      <c r="ITR514" s="385"/>
      <c r="ITS514" s="69"/>
      <c r="ITT514" s="69"/>
      <c r="ITU514" s="2513"/>
      <c r="ITV514" s="1761"/>
      <c r="ITW514" s="1762"/>
      <c r="ITX514" s="1762"/>
      <c r="ITY514" s="1763"/>
      <c r="ITZ514" s="385"/>
      <c r="IUA514" s="69"/>
      <c r="IUB514" s="69"/>
      <c r="IUC514" s="2513"/>
      <c r="IUD514" s="1761"/>
      <c r="IUE514" s="1762"/>
      <c r="IUF514" s="1762"/>
      <c r="IUG514" s="1763"/>
      <c r="IUH514" s="385"/>
      <c r="IUI514" s="69"/>
      <c r="IUJ514" s="69"/>
      <c r="IUK514" s="2513"/>
      <c r="IUL514" s="1761"/>
      <c r="IUM514" s="1762"/>
      <c r="IUN514" s="1762"/>
      <c r="IUO514" s="1763"/>
      <c r="IUP514" s="385"/>
      <c r="IUQ514" s="69"/>
      <c r="IUR514" s="69"/>
      <c r="IUS514" s="2513"/>
      <c r="IUT514" s="1761"/>
      <c r="IUU514" s="1762"/>
      <c r="IUV514" s="1762"/>
      <c r="IUW514" s="1763"/>
      <c r="IUX514" s="385"/>
      <c r="IUY514" s="69"/>
      <c r="IUZ514" s="69"/>
      <c r="IVA514" s="2513"/>
      <c r="IVB514" s="1761"/>
      <c r="IVC514" s="1762"/>
      <c r="IVD514" s="1762"/>
      <c r="IVE514" s="1763"/>
      <c r="IVF514" s="385"/>
      <c r="IVG514" s="69"/>
      <c r="IVH514" s="69"/>
      <c r="IVI514" s="2513"/>
      <c r="IVJ514" s="1761"/>
      <c r="IVK514" s="1762"/>
      <c r="IVL514" s="1762"/>
      <c r="IVM514" s="1763"/>
      <c r="IVN514" s="385"/>
      <c r="IVO514" s="69"/>
      <c r="IVP514" s="69"/>
      <c r="IVQ514" s="2513"/>
      <c r="IVR514" s="1761"/>
      <c r="IVS514" s="1762"/>
      <c r="IVT514" s="1762"/>
      <c r="IVU514" s="1763"/>
      <c r="IVV514" s="385"/>
      <c r="IVW514" s="69"/>
      <c r="IVX514" s="69"/>
      <c r="IVY514" s="2513"/>
      <c r="IVZ514" s="1761"/>
      <c r="IWA514" s="1762"/>
      <c r="IWB514" s="1762"/>
      <c r="IWC514" s="1763"/>
      <c r="IWD514" s="385"/>
      <c r="IWE514" s="69"/>
      <c r="IWF514" s="69"/>
      <c r="IWG514" s="2513"/>
      <c r="IWH514" s="1761"/>
      <c r="IWI514" s="1762"/>
      <c r="IWJ514" s="1762"/>
      <c r="IWK514" s="1763"/>
      <c r="IWL514" s="385"/>
      <c r="IWM514" s="69"/>
      <c r="IWN514" s="69"/>
      <c r="IWO514" s="2513"/>
      <c r="IWP514" s="1761"/>
      <c r="IWQ514" s="1762"/>
      <c r="IWR514" s="1762"/>
      <c r="IWS514" s="1763"/>
      <c r="IWT514" s="385"/>
      <c r="IWU514" s="69"/>
      <c r="IWV514" s="69"/>
      <c r="IWW514" s="2513"/>
      <c r="IWX514" s="1761"/>
      <c r="IWY514" s="1762"/>
      <c r="IWZ514" s="1762"/>
      <c r="IXA514" s="1763"/>
      <c r="IXB514" s="385"/>
      <c r="IXC514" s="69"/>
      <c r="IXD514" s="69"/>
      <c r="IXE514" s="2513"/>
      <c r="IXF514" s="1761"/>
      <c r="IXG514" s="1762"/>
      <c r="IXH514" s="1762"/>
      <c r="IXI514" s="1763"/>
      <c r="IXJ514" s="385"/>
      <c r="IXK514" s="69"/>
      <c r="IXL514" s="69"/>
      <c r="IXM514" s="2513"/>
      <c r="IXN514" s="1761"/>
      <c r="IXO514" s="1762"/>
      <c r="IXP514" s="1762"/>
      <c r="IXQ514" s="1763"/>
      <c r="IXR514" s="385"/>
      <c r="IXS514" s="69"/>
      <c r="IXT514" s="69"/>
      <c r="IXU514" s="2513"/>
      <c r="IXV514" s="1761"/>
      <c r="IXW514" s="1762"/>
      <c r="IXX514" s="1762"/>
      <c r="IXY514" s="1763"/>
      <c r="IXZ514" s="385"/>
      <c r="IYA514" s="69"/>
      <c r="IYB514" s="69"/>
      <c r="IYC514" s="2513"/>
      <c r="IYD514" s="1761"/>
      <c r="IYE514" s="1762"/>
      <c r="IYF514" s="1762"/>
      <c r="IYG514" s="1763"/>
      <c r="IYH514" s="385"/>
      <c r="IYI514" s="69"/>
      <c r="IYJ514" s="69"/>
      <c r="IYK514" s="2513"/>
      <c r="IYL514" s="1761"/>
      <c r="IYM514" s="1762"/>
      <c r="IYN514" s="1762"/>
      <c r="IYO514" s="1763"/>
      <c r="IYP514" s="385"/>
      <c r="IYQ514" s="69"/>
      <c r="IYR514" s="69"/>
      <c r="IYS514" s="2513"/>
      <c r="IYT514" s="1761"/>
      <c r="IYU514" s="1762"/>
      <c r="IYV514" s="1762"/>
      <c r="IYW514" s="1763"/>
      <c r="IYX514" s="385"/>
      <c r="IYY514" s="69"/>
      <c r="IYZ514" s="69"/>
      <c r="IZA514" s="2513"/>
      <c r="IZB514" s="1761"/>
      <c r="IZC514" s="1762"/>
      <c r="IZD514" s="1762"/>
      <c r="IZE514" s="1763"/>
      <c r="IZF514" s="385"/>
      <c r="IZG514" s="69"/>
      <c r="IZH514" s="69"/>
      <c r="IZI514" s="2513"/>
      <c r="IZJ514" s="1761"/>
      <c r="IZK514" s="1762"/>
      <c r="IZL514" s="1762"/>
      <c r="IZM514" s="1763"/>
      <c r="IZN514" s="385"/>
      <c r="IZO514" s="69"/>
      <c r="IZP514" s="69"/>
      <c r="IZQ514" s="2513"/>
      <c r="IZR514" s="1761"/>
      <c r="IZS514" s="1762"/>
      <c r="IZT514" s="1762"/>
      <c r="IZU514" s="1763"/>
      <c r="IZV514" s="385"/>
      <c r="IZW514" s="69"/>
      <c r="IZX514" s="69"/>
      <c r="IZY514" s="2513"/>
      <c r="IZZ514" s="1761"/>
      <c r="JAA514" s="1762"/>
      <c r="JAB514" s="1762"/>
      <c r="JAC514" s="1763"/>
      <c r="JAD514" s="385"/>
      <c r="JAE514" s="69"/>
      <c r="JAF514" s="69"/>
      <c r="JAG514" s="2513"/>
      <c r="JAH514" s="1761"/>
      <c r="JAI514" s="1762"/>
      <c r="JAJ514" s="1762"/>
      <c r="JAK514" s="1763"/>
      <c r="JAL514" s="385"/>
      <c r="JAM514" s="69"/>
      <c r="JAN514" s="69"/>
      <c r="JAO514" s="2513"/>
      <c r="JAP514" s="1761"/>
      <c r="JAQ514" s="1762"/>
      <c r="JAR514" s="1762"/>
      <c r="JAS514" s="1763"/>
      <c r="JAT514" s="385"/>
      <c r="JAU514" s="69"/>
      <c r="JAV514" s="69"/>
      <c r="JAW514" s="2513"/>
      <c r="JAX514" s="1761"/>
      <c r="JAY514" s="1762"/>
      <c r="JAZ514" s="1762"/>
      <c r="JBA514" s="1763"/>
      <c r="JBB514" s="385"/>
      <c r="JBC514" s="69"/>
      <c r="JBD514" s="69"/>
      <c r="JBE514" s="2513"/>
      <c r="JBF514" s="1761"/>
      <c r="JBG514" s="1762"/>
      <c r="JBH514" s="1762"/>
      <c r="JBI514" s="1763"/>
      <c r="JBJ514" s="385"/>
      <c r="JBK514" s="69"/>
      <c r="JBL514" s="69"/>
      <c r="JBM514" s="2513"/>
      <c r="JBN514" s="1761"/>
      <c r="JBO514" s="1762"/>
      <c r="JBP514" s="1762"/>
      <c r="JBQ514" s="1763"/>
      <c r="JBR514" s="385"/>
      <c r="JBS514" s="69"/>
      <c r="JBT514" s="69"/>
      <c r="JBU514" s="2513"/>
      <c r="JBV514" s="1761"/>
      <c r="JBW514" s="1762"/>
      <c r="JBX514" s="1762"/>
      <c r="JBY514" s="1763"/>
      <c r="JBZ514" s="385"/>
      <c r="JCA514" s="69"/>
      <c r="JCB514" s="69"/>
      <c r="JCC514" s="2513"/>
      <c r="JCD514" s="1761"/>
      <c r="JCE514" s="1762"/>
      <c r="JCF514" s="1762"/>
      <c r="JCG514" s="1763"/>
      <c r="JCH514" s="385"/>
      <c r="JCI514" s="69"/>
      <c r="JCJ514" s="69"/>
      <c r="JCK514" s="2513"/>
      <c r="JCL514" s="1761"/>
      <c r="JCM514" s="1762"/>
      <c r="JCN514" s="1762"/>
      <c r="JCO514" s="1763"/>
      <c r="JCP514" s="385"/>
      <c r="JCQ514" s="69"/>
      <c r="JCR514" s="69"/>
      <c r="JCS514" s="2513"/>
      <c r="JCT514" s="1761"/>
      <c r="JCU514" s="1762"/>
      <c r="JCV514" s="1762"/>
      <c r="JCW514" s="1763"/>
      <c r="JCX514" s="385"/>
      <c r="JCY514" s="69"/>
      <c r="JCZ514" s="69"/>
      <c r="JDA514" s="2513"/>
      <c r="JDB514" s="1761"/>
      <c r="JDC514" s="1762"/>
      <c r="JDD514" s="1762"/>
      <c r="JDE514" s="1763"/>
      <c r="JDF514" s="385"/>
      <c r="JDG514" s="69"/>
      <c r="JDH514" s="69"/>
      <c r="JDI514" s="2513"/>
      <c r="JDJ514" s="1761"/>
      <c r="JDK514" s="1762"/>
      <c r="JDL514" s="1762"/>
      <c r="JDM514" s="1763"/>
      <c r="JDN514" s="385"/>
      <c r="JDO514" s="69"/>
      <c r="JDP514" s="69"/>
      <c r="JDQ514" s="2513"/>
      <c r="JDR514" s="1761"/>
      <c r="JDS514" s="1762"/>
      <c r="JDT514" s="1762"/>
      <c r="JDU514" s="1763"/>
      <c r="JDV514" s="385"/>
      <c r="JDW514" s="69"/>
      <c r="JDX514" s="69"/>
      <c r="JDY514" s="2513"/>
      <c r="JDZ514" s="1761"/>
      <c r="JEA514" s="1762"/>
      <c r="JEB514" s="1762"/>
      <c r="JEC514" s="1763"/>
      <c r="JED514" s="385"/>
      <c r="JEE514" s="69"/>
      <c r="JEF514" s="69"/>
      <c r="JEG514" s="2513"/>
      <c r="JEH514" s="1761"/>
      <c r="JEI514" s="1762"/>
      <c r="JEJ514" s="1762"/>
      <c r="JEK514" s="1763"/>
      <c r="JEL514" s="385"/>
      <c r="JEM514" s="69"/>
      <c r="JEN514" s="69"/>
      <c r="JEO514" s="2513"/>
      <c r="JEP514" s="1761"/>
      <c r="JEQ514" s="1762"/>
      <c r="JER514" s="1762"/>
      <c r="JES514" s="1763"/>
      <c r="JET514" s="385"/>
      <c r="JEU514" s="69"/>
      <c r="JEV514" s="69"/>
      <c r="JEW514" s="2513"/>
      <c r="JEX514" s="1761"/>
      <c r="JEY514" s="1762"/>
      <c r="JEZ514" s="1762"/>
      <c r="JFA514" s="1763"/>
      <c r="JFB514" s="385"/>
      <c r="JFC514" s="69"/>
      <c r="JFD514" s="69"/>
      <c r="JFE514" s="2513"/>
      <c r="JFF514" s="1761"/>
      <c r="JFG514" s="1762"/>
      <c r="JFH514" s="1762"/>
      <c r="JFI514" s="1763"/>
      <c r="JFJ514" s="385"/>
      <c r="JFK514" s="69"/>
      <c r="JFL514" s="69"/>
      <c r="JFM514" s="2513"/>
      <c r="JFN514" s="1761"/>
      <c r="JFO514" s="1762"/>
      <c r="JFP514" s="1762"/>
      <c r="JFQ514" s="1763"/>
      <c r="JFR514" s="385"/>
      <c r="JFS514" s="69"/>
      <c r="JFT514" s="69"/>
      <c r="JFU514" s="2513"/>
      <c r="JFV514" s="1761"/>
      <c r="JFW514" s="1762"/>
      <c r="JFX514" s="1762"/>
      <c r="JFY514" s="1763"/>
      <c r="JFZ514" s="385"/>
      <c r="JGA514" s="69"/>
      <c r="JGB514" s="69"/>
      <c r="JGC514" s="2513"/>
      <c r="JGD514" s="1761"/>
      <c r="JGE514" s="1762"/>
      <c r="JGF514" s="1762"/>
      <c r="JGG514" s="1763"/>
      <c r="JGH514" s="385"/>
      <c r="JGI514" s="69"/>
      <c r="JGJ514" s="69"/>
      <c r="JGK514" s="2513"/>
      <c r="JGL514" s="1761"/>
      <c r="JGM514" s="1762"/>
      <c r="JGN514" s="1762"/>
      <c r="JGO514" s="1763"/>
      <c r="JGP514" s="385"/>
      <c r="JGQ514" s="69"/>
      <c r="JGR514" s="69"/>
      <c r="JGS514" s="2513"/>
      <c r="JGT514" s="1761"/>
      <c r="JGU514" s="1762"/>
      <c r="JGV514" s="1762"/>
      <c r="JGW514" s="1763"/>
      <c r="JGX514" s="385"/>
      <c r="JGY514" s="69"/>
      <c r="JGZ514" s="69"/>
      <c r="JHA514" s="2513"/>
      <c r="JHB514" s="1761"/>
      <c r="JHC514" s="1762"/>
      <c r="JHD514" s="1762"/>
      <c r="JHE514" s="1763"/>
      <c r="JHF514" s="385"/>
      <c r="JHG514" s="69"/>
      <c r="JHH514" s="69"/>
      <c r="JHI514" s="2513"/>
      <c r="JHJ514" s="1761"/>
      <c r="JHK514" s="1762"/>
      <c r="JHL514" s="1762"/>
      <c r="JHM514" s="1763"/>
      <c r="JHN514" s="385"/>
      <c r="JHO514" s="69"/>
      <c r="JHP514" s="69"/>
      <c r="JHQ514" s="2513"/>
      <c r="JHR514" s="1761"/>
      <c r="JHS514" s="1762"/>
      <c r="JHT514" s="1762"/>
      <c r="JHU514" s="1763"/>
      <c r="JHV514" s="385"/>
      <c r="JHW514" s="69"/>
      <c r="JHX514" s="69"/>
      <c r="JHY514" s="2513"/>
      <c r="JHZ514" s="1761"/>
      <c r="JIA514" s="1762"/>
      <c r="JIB514" s="1762"/>
      <c r="JIC514" s="1763"/>
      <c r="JID514" s="385"/>
      <c r="JIE514" s="69"/>
      <c r="JIF514" s="69"/>
      <c r="JIG514" s="2513"/>
      <c r="JIH514" s="1761"/>
      <c r="JII514" s="1762"/>
      <c r="JIJ514" s="1762"/>
      <c r="JIK514" s="1763"/>
      <c r="JIL514" s="385"/>
      <c r="JIM514" s="69"/>
      <c r="JIN514" s="69"/>
      <c r="JIO514" s="2513"/>
      <c r="JIP514" s="1761"/>
      <c r="JIQ514" s="1762"/>
      <c r="JIR514" s="1762"/>
      <c r="JIS514" s="1763"/>
      <c r="JIT514" s="385"/>
      <c r="JIU514" s="69"/>
      <c r="JIV514" s="69"/>
      <c r="JIW514" s="2513"/>
      <c r="JIX514" s="1761"/>
      <c r="JIY514" s="1762"/>
      <c r="JIZ514" s="1762"/>
      <c r="JJA514" s="1763"/>
      <c r="JJB514" s="385"/>
      <c r="JJC514" s="69"/>
      <c r="JJD514" s="69"/>
      <c r="JJE514" s="2513"/>
      <c r="JJF514" s="1761"/>
      <c r="JJG514" s="1762"/>
      <c r="JJH514" s="1762"/>
      <c r="JJI514" s="1763"/>
      <c r="JJJ514" s="385"/>
      <c r="JJK514" s="69"/>
      <c r="JJL514" s="69"/>
      <c r="JJM514" s="2513"/>
      <c r="JJN514" s="1761"/>
      <c r="JJO514" s="1762"/>
      <c r="JJP514" s="1762"/>
      <c r="JJQ514" s="1763"/>
      <c r="JJR514" s="385"/>
      <c r="JJS514" s="69"/>
      <c r="JJT514" s="69"/>
      <c r="JJU514" s="2513"/>
      <c r="JJV514" s="1761"/>
      <c r="JJW514" s="1762"/>
      <c r="JJX514" s="1762"/>
      <c r="JJY514" s="1763"/>
      <c r="JJZ514" s="385"/>
      <c r="JKA514" s="69"/>
      <c r="JKB514" s="69"/>
      <c r="JKC514" s="2513"/>
      <c r="JKD514" s="1761"/>
      <c r="JKE514" s="1762"/>
      <c r="JKF514" s="1762"/>
      <c r="JKG514" s="1763"/>
      <c r="JKH514" s="385"/>
      <c r="JKI514" s="69"/>
      <c r="JKJ514" s="69"/>
      <c r="JKK514" s="2513"/>
      <c r="JKL514" s="1761"/>
      <c r="JKM514" s="1762"/>
      <c r="JKN514" s="1762"/>
      <c r="JKO514" s="1763"/>
      <c r="JKP514" s="385"/>
      <c r="JKQ514" s="69"/>
      <c r="JKR514" s="69"/>
      <c r="JKS514" s="2513"/>
      <c r="JKT514" s="1761"/>
      <c r="JKU514" s="1762"/>
      <c r="JKV514" s="1762"/>
      <c r="JKW514" s="1763"/>
      <c r="JKX514" s="385"/>
      <c r="JKY514" s="69"/>
      <c r="JKZ514" s="69"/>
      <c r="JLA514" s="2513"/>
      <c r="JLB514" s="1761"/>
      <c r="JLC514" s="1762"/>
      <c r="JLD514" s="1762"/>
      <c r="JLE514" s="1763"/>
      <c r="JLF514" s="385"/>
      <c r="JLG514" s="69"/>
      <c r="JLH514" s="69"/>
      <c r="JLI514" s="2513"/>
      <c r="JLJ514" s="1761"/>
      <c r="JLK514" s="1762"/>
      <c r="JLL514" s="1762"/>
      <c r="JLM514" s="1763"/>
      <c r="JLN514" s="385"/>
      <c r="JLO514" s="69"/>
      <c r="JLP514" s="69"/>
      <c r="JLQ514" s="2513"/>
      <c r="JLR514" s="1761"/>
      <c r="JLS514" s="1762"/>
      <c r="JLT514" s="1762"/>
      <c r="JLU514" s="1763"/>
      <c r="JLV514" s="385"/>
      <c r="JLW514" s="69"/>
      <c r="JLX514" s="69"/>
      <c r="JLY514" s="2513"/>
      <c r="JLZ514" s="1761"/>
      <c r="JMA514" s="1762"/>
      <c r="JMB514" s="1762"/>
      <c r="JMC514" s="1763"/>
      <c r="JMD514" s="385"/>
      <c r="JME514" s="69"/>
      <c r="JMF514" s="69"/>
      <c r="JMG514" s="2513"/>
      <c r="JMH514" s="1761"/>
      <c r="JMI514" s="1762"/>
      <c r="JMJ514" s="1762"/>
      <c r="JMK514" s="1763"/>
      <c r="JML514" s="385"/>
      <c r="JMM514" s="69"/>
      <c r="JMN514" s="69"/>
      <c r="JMO514" s="2513"/>
      <c r="JMP514" s="1761"/>
      <c r="JMQ514" s="1762"/>
      <c r="JMR514" s="1762"/>
      <c r="JMS514" s="1763"/>
      <c r="JMT514" s="385"/>
      <c r="JMU514" s="69"/>
      <c r="JMV514" s="69"/>
      <c r="JMW514" s="2513"/>
      <c r="JMX514" s="1761"/>
      <c r="JMY514" s="1762"/>
      <c r="JMZ514" s="1762"/>
      <c r="JNA514" s="1763"/>
      <c r="JNB514" s="385"/>
      <c r="JNC514" s="69"/>
      <c r="JND514" s="69"/>
      <c r="JNE514" s="2513"/>
      <c r="JNF514" s="1761"/>
      <c r="JNG514" s="1762"/>
      <c r="JNH514" s="1762"/>
      <c r="JNI514" s="1763"/>
      <c r="JNJ514" s="385"/>
      <c r="JNK514" s="69"/>
      <c r="JNL514" s="69"/>
      <c r="JNM514" s="2513"/>
      <c r="JNN514" s="1761"/>
      <c r="JNO514" s="1762"/>
      <c r="JNP514" s="1762"/>
      <c r="JNQ514" s="1763"/>
      <c r="JNR514" s="385"/>
      <c r="JNS514" s="69"/>
      <c r="JNT514" s="69"/>
      <c r="JNU514" s="2513"/>
      <c r="JNV514" s="1761"/>
      <c r="JNW514" s="1762"/>
      <c r="JNX514" s="1762"/>
      <c r="JNY514" s="1763"/>
      <c r="JNZ514" s="385"/>
      <c r="JOA514" s="69"/>
      <c r="JOB514" s="69"/>
      <c r="JOC514" s="2513"/>
      <c r="JOD514" s="1761"/>
      <c r="JOE514" s="1762"/>
      <c r="JOF514" s="1762"/>
      <c r="JOG514" s="1763"/>
      <c r="JOH514" s="385"/>
      <c r="JOI514" s="69"/>
      <c r="JOJ514" s="69"/>
      <c r="JOK514" s="2513"/>
      <c r="JOL514" s="1761"/>
      <c r="JOM514" s="1762"/>
      <c r="JON514" s="1762"/>
      <c r="JOO514" s="1763"/>
      <c r="JOP514" s="385"/>
      <c r="JOQ514" s="69"/>
      <c r="JOR514" s="69"/>
      <c r="JOS514" s="2513"/>
      <c r="JOT514" s="1761"/>
      <c r="JOU514" s="1762"/>
      <c r="JOV514" s="1762"/>
      <c r="JOW514" s="1763"/>
      <c r="JOX514" s="385"/>
      <c r="JOY514" s="69"/>
      <c r="JOZ514" s="69"/>
      <c r="JPA514" s="2513"/>
      <c r="JPB514" s="1761"/>
      <c r="JPC514" s="1762"/>
      <c r="JPD514" s="1762"/>
      <c r="JPE514" s="1763"/>
      <c r="JPF514" s="385"/>
      <c r="JPG514" s="69"/>
      <c r="JPH514" s="69"/>
      <c r="JPI514" s="2513"/>
      <c r="JPJ514" s="1761"/>
      <c r="JPK514" s="1762"/>
      <c r="JPL514" s="1762"/>
      <c r="JPM514" s="1763"/>
      <c r="JPN514" s="385"/>
      <c r="JPO514" s="69"/>
      <c r="JPP514" s="69"/>
      <c r="JPQ514" s="2513"/>
      <c r="JPR514" s="1761"/>
      <c r="JPS514" s="1762"/>
      <c r="JPT514" s="1762"/>
      <c r="JPU514" s="1763"/>
      <c r="JPV514" s="385"/>
      <c r="JPW514" s="69"/>
      <c r="JPX514" s="69"/>
      <c r="JPY514" s="2513"/>
      <c r="JPZ514" s="1761"/>
      <c r="JQA514" s="1762"/>
      <c r="JQB514" s="1762"/>
      <c r="JQC514" s="1763"/>
      <c r="JQD514" s="385"/>
      <c r="JQE514" s="69"/>
      <c r="JQF514" s="69"/>
      <c r="JQG514" s="2513"/>
      <c r="JQH514" s="1761"/>
      <c r="JQI514" s="1762"/>
      <c r="JQJ514" s="1762"/>
      <c r="JQK514" s="1763"/>
      <c r="JQL514" s="385"/>
      <c r="JQM514" s="69"/>
      <c r="JQN514" s="69"/>
      <c r="JQO514" s="2513"/>
      <c r="JQP514" s="1761"/>
      <c r="JQQ514" s="1762"/>
      <c r="JQR514" s="1762"/>
      <c r="JQS514" s="1763"/>
      <c r="JQT514" s="385"/>
      <c r="JQU514" s="69"/>
      <c r="JQV514" s="69"/>
      <c r="JQW514" s="2513"/>
      <c r="JQX514" s="1761"/>
      <c r="JQY514" s="1762"/>
      <c r="JQZ514" s="1762"/>
      <c r="JRA514" s="1763"/>
      <c r="JRB514" s="385"/>
      <c r="JRC514" s="69"/>
      <c r="JRD514" s="69"/>
      <c r="JRE514" s="2513"/>
      <c r="JRF514" s="1761"/>
      <c r="JRG514" s="1762"/>
      <c r="JRH514" s="1762"/>
      <c r="JRI514" s="1763"/>
      <c r="JRJ514" s="385"/>
      <c r="JRK514" s="69"/>
      <c r="JRL514" s="69"/>
      <c r="JRM514" s="2513"/>
      <c r="JRN514" s="1761"/>
      <c r="JRO514" s="1762"/>
      <c r="JRP514" s="1762"/>
      <c r="JRQ514" s="1763"/>
      <c r="JRR514" s="385"/>
      <c r="JRS514" s="69"/>
      <c r="JRT514" s="69"/>
      <c r="JRU514" s="2513"/>
      <c r="JRV514" s="1761"/>
      <c r="JRW514" s="1762"/>
      <c r="JRX514" s="1762"/>
      <c r="JRY514" s="1763"/>
      <c r="JRZ514" s="385"/>
      <c r="JSA514" s="69"/>
      <c r="JSB514" s="69"/>
      <c r="JSC514" s="2513"/>
      <c r="JSD514" s="1761"/>
      <c r="JSE514" s="1762"/>
      <c r="JSF514" s="1762"/>
      <c r="JSG514" s="1763"/>
      <c r="JSH514" s="385"/>
      <c r="JSI514" s="69"/>
      <c r="JSJ514" s="69"/>
      <c r="JSK514" s="2513"/>
      <c r="JSL514" s="1761"/>
      <c r="JSM514" s="1762"/>
      <c r="JSN514" s="1762"/>
      <c r="JSO514" s="1763"/>
      <c r="JSP514" s="385"/>
      <c r="JSQ514" s="69"/>
      <c r="JSR514" s="69"/>
      <c r="JSS514" s="2513"/>
      <c r="JST514" s="1761"/>
      <c r="JSU514" s="1762"/>
      <c r="JSV514" s="1762"/>
      <c r="JSW514" s="1763"/>
      <c r="JSX514" s="385"/>
      <c r="JSY514" s="69"/>
      <c r="JSZ514" s="69"/>
      <c r="JTA514" s="2513"/>
      <c r="JTB514" s="1761"/>
      <c r="JTC514" s="1762"/>
      <c r="JTD514" s="1762"/>
      <c r="JTE514" s="1763"/>
      <c r="JTF514" s="385"/>
      <c r="JTG514" s="69"/>
      <c r="JTH514" s="69"/>
      <c r="JTI514" s="2513"/>
      <c r="JTJ514" s="1761"/>
      <c r="JTK514" s="1762"/>
      <c r="JTL514" s="1762"/>
      <c r="JTM514" s="1763"/>
      <c r="JTN514" s="385"/>
      <c r="JTO514" s="69"/>
      <c r="JTP514" s="69"/>
      <c r="JTQ514" s="2513"/>
      <c r="JTR514" s="1761"/>
      <c r="JTS514" s="1762"/>
      <c r="JTT514" s="1762"/>
      <c r="JTU514" s="1763"/>
      <c r="JTV514" s="385"/>
      <c r="JTW514" s="69"/>
      <c r="JTX514" s="69"/>
      <c r="JTY514" s="2513"/>
      <c r="JTZ514" s="1761"/>
      <c r="JUA514" s="1762"/>
      <c r="JUB514" s="1762"/>
      <c r="JUC514" s="1763"/>
      <c r="JUD514" s="385"/>
      <c r="JUE514" s="69"/>
      <c r="JUF514" s="69"/>
      <c r="JUG514" s="2513"/>
      <c r="JUH514" s="1761"/>
      <c r="JUI514" s="1762"/>
      <c r="JUJ514" s="1762"/>
      <c r="JUK514" s="1763"/>
      <c r="JUL514" s="385"/>
      <c r="JUM514" s="69"/>
      <c r="JUN514" s="69"/>
      <c r="JUO514" s="2513"/>
      <c r="JUP514" s="1761"/>
      <c r="JUQ514" s="1762"/>
      <c r="JUR514" s="1762"/>
      <c r="JUS514" s="1763"/>
      <c r="JUT514" s="385"/>
      <c r="JUU514" s="69"/>
      <c r="JUV514" s="69"/>
      <c r="JUW514" s="2513"/>
      <c r="JUX514" s="1761"/>
      <c r="JUY514" s="1762"/>
      <c r="JUZ514" s="1762"/>
      <c r="JVA514" s="1763"/>
      <c r="JVB514" s="385"/>
      <c r="JVC514" s="69"/>
      <c r="JVD514" s="69"/>
      <c r="JVE514" s="2513"/>
      <c r="JVF514" s="1761"/>
      <c r="JVG514" s="1762"/>
      <c r="JVH514" s="1762"/>
      <c r="JVI514" s="1763"/>
      <c r="JVJ514" s="385"/>
      <c r="JVK514" s="69"/>
      <c r="JVL514" s="69"/>
      <c r="JVM514" s="2513"/>
      <c r="JVN514" s="1761"/>
      <c r="JVO514" s="1762"/>
      <c r="JVP514" s="1762"/>
      <c r="JVQ514" s="1763"/>
      <c r="JVR514" s="385"/>
      <c r="JVS514" s="69"/>
      <c r="JVT514" s="69"/>
      <c r="JVU514" s="2513"/>
      <c r="JVV514" s="1761"/>
      <c r="JVW514" s="1762"/>
      <c r="JVX514" s="1762"/>
      <c r="JVY514" s="1763"/>
      <c r="JVZ514" s="385"/>
      <c r="JWA514" s="69"/>
      <c r="JWB514" s="69"/>
      <c r="JWC514" s="2513"/>
      <c r="JWD514" s="1761"/>
      <c r="JWE514" s="1762"/>
      <c r="JWF514" s="1762"/>
      <c r="JWG514" s="1763"/>
      <c r="JWH514" s="385"/>
      <c r="JWI514" s="69"/>
      <c r="JWJ514" s="69"/>
      <c r="JWK514" s="2513"/>
      <c r="JWL514" s="1761"/>
      <c r="JWM514" s="1762"/>
      <c r="JWN514" s="1762"/>
      <c r="JWO514" s="1763"/>
      <c r="JWP514" s="385"/>
      <c r="JWQ514" s="69"/>
      <c r="JWR514" s="69"/>
      <c r="JWS514" s="2513"/>
      <c r="JWT514" s="1761"/>
      <c r="JWU514" s="1762"/>
      <c r="JWV514" s="1762"/>
      <c r="JWW514" s="1763"/>
      <c r="JWX514" s="385"/>
      <c r="JWY514" s="69"/>
      <c r="JWZ514" s="69"/>
      <c r="JXA514" s="2513"/>
      <c r="JXB514" s="1761"/>
      <c r="JXC514" s="1762"/>
      <c r="JXD514" s="1762"/>
      <c r="JXE514" s="1763"/>
      <c r="JXF514" s="385"/>
      <c r="JXG514" s="69"/>
      <c r="JXH514" s="69"/>
      <c r="JXI514" s="2513"/>
      <c r="JXJ514" s="1761"/>
      <c r="JXK514" s="1762"/>
      <c r="JXL514" s="1762"/>
      <c r="JXM514" s="1763"/>
      <c r="JXN514" s="385"/>
      <c r="JXO514" s="69"/>
      <c r="JXP514" s="69"/>
      <c r="JXQ514" s="2513"/>
      <c r="JXR514" s="1761"/>
      <c r="JXS514" s="1762"/>
      <c r="JXT514" s="1762"/>
      <c r="JXU514" s="1763"/>
      <c r="JXV514" s="385"/>
      <c r="JXW514" s="69"/>
      <c r="JXX514" s="69"/>
      <c r="JXY514" s="2513"/>
      <c r="JXZ514" s="1761"/>
      <c r="JYA514" s="1762"/>
      <c r="JYB514" s="1762"/>
      <c r="JYC514" s="1763"/>
      <c r="JYD514" s="385"/>
      <c r="JYE514" s="69"/>
      <c r="JYF514" s="69"/>
      <c r="JYG514" s="2513"/>
      <c r="JYH514" s="1761"/>
      <c r="JYI514" s="1762"/>
      <c r="JYJ514" s="1762"/>
      <c r="JYK514" s="1763"/>
      <c r="JYL514" s="385"/>
      <c r="JYM514" s="69"/>
      <c r="JYN514" s="69"/>
      <c r="JYO514" s="2513"/>
      <c r="JYP514" s="1761"/>
      <c r="JYQ514" s="1762"/>
      <c r="JYR514" s="1762"/>
      <c r="JYS514" s="1763"/>
      <c r="JYT514" s="385"/>
      <c r="JYU514" s="69"/>
      <c r="JYV514" s="69"/>
      <c r="JYW514" s="2513"/>
      <c r="JYX514" s="1761"/>
      <c r="JYY514" s="1762"/>
      <c r="JYZ514" s="1762"/>
      <c r="JZA514" s="1763"/>
      <c r="JZB514" s="385"/>
      <c r="JZC514" s="69"/>
      <c r="JZD514" s="69"/>
      <c r="JZE514" s="2513"/>
      <c r="JZF514" s="1761"/>
      <c r="JZG514" s="1762"/>
      <c r="JZH514" s="1762"/>
      <c r="JZI514" s="1763"/>
      <c r="JZJ514" s="385"/>
      <c r="JZK514" s="69"/>
      <c r="JZL514" s="69"/>
      <c r="JZM514" s="2513"/>
      <c r="JZN514" s="1761"/>
      <c r="JZO514" s="1762"/>
      <c r="JZP514" s="1762"/>
      <c r="JZQ514" s="1763"/>
      <c r="JZR514" s="385"/>
      <c r="JZS514" s="69"/>
      <c r="JZT514" s="69"/>
      <c r="JZU514" s="2513"/>
      <c r="JZV514" s="1761"/>
      <c r="JZW514" s="1762"/>
      <c r="JZX514" s="1762"/>
      <c r="JZY514" s="1763"/>
      <c r="JZZ514" s="385"/>
      <c r="KAA514" s="69"/>
      <c r="KAB514" s="69"/>
      <c r="KAC514" s="2513"/>
      <c r="KAD514" s="1761"/>
      <c r="KAE514" s="1762"/>
      <c r="KAF514" s="1762"/>
      <c r="KAG514" s="1763"/>
      <c r="KAH514" s="385"/>
      <c r="KAI514" s="69"/>
      <c r="KAJ514" s="69"/>
      <c r="KAK514" s="2513"/>
      <c r="KAL514" s="1761"/>
      <c r="KAM514" s="1762"/>
      <c r="KAN514" s="1762"/>
      <c r="KAO514" s="1763"/>
      <c r="KAP514" s="385"/>
      <c r="KAQ514" s="69"/>
      <c r="KAR514" s="69"/>
      <c r="KAS514" s="2513"/>
      <c r="KAT514" s="1761"/>
      <c r="KAU514" s="1762"/>
      <c r="KAV514" s="1762"/>
      <c r="KAW514" s="1763"/>
      <c r="KAX514" s="385"/>
      <c r="KAY514" s="69"/>
      <c r="KAZ514" s="69"/>
      <c r="KBA514" s="2513"/>
      <c r="KBB514" s="1761"/>
      <c r="KBC514" s="1762"/>
      <c r="KBD514" s="1762"/>
      <c r="KBE514" s="1763"/>
      <c r="KBF514" s="385"/>
      <c r="KBG514" s="69"/>
      <c r="KBH514" s="69"/>
      <c r="KBI514" s="2513"/>
      <c r="KBJ514" s="1761"/>
      <c r="KBK514" s="1762"/>
      <c r="KBL514" s="1762"/>
      <c r="KBM514" s="1763"/>
      <c r="KBN514" s="385"/>
      <c r="KBO514" s="69"/>
      <c r="KBP514" s="69"/>
      <c r="KBQ514" s="2513"/>
      <c r="KBR514" s="1761"/>
      <c r="KBS514" s="1762"/>
      <c r="KBT514" s="1762"/>
      <c r="KBU514" s="1763"/>
      <c r="KBV514" s="385"/>
      <c r="KBW514" s="69"/>
      <c r="KBX514" s="69"/>
      <c r="KBY514" s="2513"/>
      <c r="KBZ514" s="1761"/>
      <c r="KCA514" s="1762"/>
      <c r="KCB514" s="1762"/>
      <c r="KCC514" s="1763"/>
      <c r="KCD514" s="385"/>
      <c r="KCE514" s="69"/>
      <c r="KCF514" s="69"/>
      <c r="KCG514" s="2513"/>
      <c r="KCH514" s="1761"/>
      <c r="KCI514" s="1762"/>
      <c r="KCJ514" s="1762"/>
      <c r="KCK514" s="1763"/>
      <c r="KCL514" s="385"/>
      <c r="KCM514" s="69"/>
      <c r="KCN514" s="69"/>
      <c r="KCO514" s="2513"/>
      <c r="KCP514" s="1761"/>
      <c r="KCQ514" s="1762"/>
      <c r="KCR514" s="1762"/>
      <c r="KCS514" s="1763"/>
      <c r="KCT514" s="385"/>
      <c r="KCU514" s="69"/>
      <c r="KCV514" s="69"/>
      <c r="KCW514" s="2513"/>
      <c r="KCX514" s="1761"/>
      <c r="KCY514" s="1762"/>
      <c r="KCZ514" s="1762"/>
      <c r="KDA514" s="1763"/>
      <c r="KDB514" s="385"/>
      <c r="KDC514" s="69"/>
      <c r="KDD514" s="69"/>
      <c r="KDE514" s="2513"/>
      <c r="KDF514" s="1761"/>
      <c r="KDG514" s="1762"/>
      <c r="KDH514" s="1762"/>
      <c r="KDI514" s="1763"/>
      <c r="KDJ514" s="385"/>
      <c r="KDK514" s="69"/>
      <c r="KDL514" s="69"/>
      <c r="KDM514" s="2513"/>
      <c r="KDN514" s="1761"/>
      <c r="KDO514" s="1762"/>
      <c r="KDP514" s="1762"/>
      <c r="KDQ514" s="1763"/>
      <c r="KDR514" s="385"/>
      <c r="KDS514" s="69"/>
      <c r="KDT514" s="69"/>
      <c r="KDU514" s="2513"/>
      <c r="KDV514" s="1761"/>
      <c r="KDW514" s="1762"/>
      <c r="KDX514" s="1762"/>
      <c r="KDY514" s="1763"/>
      <c r="KDZ514" s="385"/>
      <c r="KEA514" s="69"/>
      <c r="KEB514" s="69"/>
      <c r="KEC514" s="2513"/>
      <c r="KED514" s="1761"/>
      <c r="KEE514" s="1762"/>
      <c r="KEF514" s="1762"/>
      <c r="KEG514" s="1763"/>
      <c r="KEH514" s="385"/>
      <c r="KEI514" s="69"/>
      <c r="KEJ514" s="69"/>
      <c r="KEK514" s="2513"/>
      <c r="KEL514" s="1761"/>
      <c r="KEM514" s="1762"/>
      <c r="KEN514" s="1762"/>
      <c r="KEO514" s="1763"/>
      <c r="KEP514" s="385"/>
      <c r="KEQ514" s="69"/>
      <c r="KER514" s="69"/>
      <c r="KES514" s="2513"/>
      <c r="KET514" s="1761"/>
      <c r="KEU514" s="1762"/>
      <c r="KEV514" s="1762"/>
      <c r="KEW514" s="1763"/>
      <c r="KEX514" s="385"/>
      <c r="KEY514" s="69"/>
      <c r="KEZ514" s="69"/>
      <c r="KFA514" s="2513"/>
      <c r="KFB514" s="1761"/>
      <c r="KFC514" s="1762"/>
      <c r="KFD514" s="1762"/>
      <c r="KFE514" s="1763"/>
      <c r="KFF514" s="385"/>
      <c r="KFG514" s="69"/>
      <c r="KFH514" s="69"/>
      <c r="KFI514" s="2513"/>
      <c r="KFJ514" s="1761"/>
      <c r="KFK514" s="1762"/>
      <c r="KFL514" s="1762"/>
      <c r="KFM514" s="1763"/>
      <c r="KFN514" s="385"/>
      <c r="KFO514" s="69"/>
      <c r="KFP514" s="69"/>
      <c r="KFQ514" s="2513"/>
      <c r="KFR514" s="1761"/>
      <c r="KFS514" s="1762"/>
      <c r="KFT514" s="1762"/>
      <c r="KFU514" s="1763"/>
      <c r="KFV514" s="385"/>
      <c r="KFW514" s="69"/>
      <c r="KFX514" s="69"/>
      <c r="KFY514" s="2513"/>
      <c r="KFZ514" s="1761"/>
      <c r="KGA514" s="1762"/>
      <c r="KGB514" s="1762"/>
      <c r="KGC514" s="1763"/>
      <c r="KGD514" s="385"/>
      <c r="KGE514" s="69"/>
      <c r="KGF514" s="69"/>
      <c r="KGG514" s="2513"/>
      <c r="KGH514" s="1761"/>
      <c r="KGI514" s="1762"/>
      <c r="KGJ514" s="1762"/>
      <c r="KGK514" s="1763"/>
      <c r="KGL514" s="385"/>
      <c r="KGM514" s="69"/>
      <c r="KGN514" s="69"/>
      <c r="KGO514" s="2513"/>
      <c r="KGP514" s="1761"/>
      <c r="KGQ514" s="1762"/>
      <c r="KGR514" s="1762"/>
      <c r="KGS514" s="1763"/>
      <c r="KGT514" s="385"/>
      <c r="KGU514" s="69"/>
      <c r="KGV514" s="69"/>
      <c r="KGW514" s="2513"/>
      <c r="KGX514" s="1761"/>
      <c r="KGY514" s="1762"/>
      <c r="KGZ514" s="1762"/>
      <c r="KHA514" s="1763"/>
      <c r="KHB514" s="385"/>
      <c r="KHC514" s="69"/>
      <c r="KHD514" s="69"/>
      <c r="KHE514" s="2513"/>
      <c r="KHF514" s="1761"/>
      <c r="KHG514" s="1762"/>
      <c r="KHH514" s="1762"/>
      <c r="KHI514" s="1763"/>
      <c r="KHJ514" s="385"/>
      <c r="KHK514" s="69"/>
      <c r="KHL514" s="69"/>
      <c r="KHM514" s="2513"/>
      <c r="KHN514" s="1761"/>
      <c r="KHO514" s="1762"/>
      <c r="KHP514" s="1762"/>
      <c r="KHQ514" s="1763"/>
      <c r="KHR514" s="385"/>
      <c r="KHS514" s="69"/>
      <c r="KHT514" s="69"/>
      <c r="KHU514" s="2513"/>
      <c r="KHV514" s="1761"/>
      <c r="KHW514" s="1762"/>
      <c r="KHX514" s="1762"/>
      <c r="KHY514" s="1763"/>
      <c r="KHZ514" s="385"/>
      <c r="KIA514" s="69"/>
      <c r="KIB514" s="69"/>
      <c r="KIC514" s="2513"/>
      <c r="KID514" s="1761"/>
      <c r="KIE514" s="1762"/>
      <c r="KIF514" s="1762"/>
      <c r="KIG514" s="1763"/>
      <c r="KIH514" s="385"/>
      <c r="KII514" s="69"/>
      <c r="KIJ514" s="69"/>
      <c r="KIK514" s="2513"/>
      <c r="KIL514" s="1761"/>
      <c r="KIM514" s="1762"/>
      <c r="KIN514" s="1762"/>
      <c r="KIO514" s="1763"/>
      <c r="KIP514" s="385"/>
      <c r="KIQ514" s="69"/>
      <c r="KIR514" s="69"/>
      <c r="KIS514" s="2513"/>
      <c r="KIT514" s="1761"/>
      <c r="KIU514" s="1762"/>
      <c r="KIV514" s="1762"/>
      <c r="KIW514" s="1763"/>
      <c r="KIX514" s="385"/>
      <c r="KIY514" s="69"/>
      <c r="KIZ514" s="69"/>
      <c r="KJA514" s="2513"/>
      <c r="KJB514" s="1761"/>
      <c r="KJC514" s="1762"/>
      <c r="KJD514" s="1762"/>
      <c r="KJE514" s="1763"/>
      <c r="KJF514" s="385"/>
      <c r="KJG514" s="69"/>
      <c r="KJH514" s="69"/>
      <c r="KJI514" s="2513"/>
      <c r="KJJ514" s="1761"/>
      <c r="KJK514" s="1762"/>
      <c r="KJL514" s="1762"/>
      <c r="KJM514" s="1763"/>
      <c r="KJN514" s="385"/>
      <c r="KJO514" s="69"/>
      <c r="KJP514" s="69"/>
      <c r="KJQ514" s="2513"/>
      <c r="KJR514" s="1761"/>
      <c r="KJS514" s="1762"/>
      <c r="KJT514" s="1762"/>
      <c r="KJU514" s="1763"/>
      <c r="KJV514" s="385"/>
      <c r="KJW514" s="69"/>
      <c r="KJX514" s="69"/>
      <c r="KJY514" s="2513"/>
      <c r="KJZ514" s="1761"/>
      <c r="KKA514" s="1762"/>
      <c r="KKB514" s="1762"/>
      <c r="KKC514" s="1763"/>
      <c r="KKD514" s="385"/>
      <c r="KKE514" s="69"/>
      <c r="KKF514" s="69"/>
      <c r="KKG514" s="2513"/>
      <c r="KKH514" s="1761"/>
      <c r="KKI514" s="1762"/>
      <c r="KKJ514" s="1762"/>
      <c r="KKK514" s="1763"/>
      <c r="KKL514" s="385"/>
      <c r="KKM514" s="69"/>
      <c r="KKN514" s="69"/>
      <c r="KKO514" s="2513"/>
      <c r="KKP514" s="1761"/>
      <c r="KKQ514" s="1762"/>
      <c r="KKR514" s="1762"/>
      <c r="KKS514" s="1763"/>
      <c r="KKT514" s="385"/>
      <c r="KKU514" s="69"/>
      <c r="KKV514" s="69"/>
      <c r="KKW514" s="2513"/>
      <c r="KKX514" s="1761"/>
      <c r="KKY514" s="1762"/>
      <c r="KKZ514" s="1762"/>
      <c r="KLA514" s="1763"/>
      <c r="KLB514" s="385"/>
      <c r="KLC514" s="69"/>
      <c r="KLD514" s="69"/>
      <c r="KLE514" s="2513"/>
      <c r="KLF514" s="1761"/>
      <c r="KLG514" s="1762"/>
      <c r="KLH514" s="1762"/>
      <c r="KLI514" s="1763"/>
      <c r="KLJ514" s="385"/>
      <c r="KLK514" s="69"/>
      <c r="KLL514" s="69"/>
      <c r="KLM514" s="2513"/>
      <c r="KLN514" s="1761"/>
      <c r="KLO514" s="1762"/>
      <c r="KLP514" s="1762"/>
      <c r="KLQ514" s="1763"/>
      <c r="KLR514" s="385"/>
      <c r="KLS514" s="69"/>
      <c r="KLT514" s="69"/>
      <c r="KLU514" s="2513"/>
      <c r="KLV514" s="1761"/>
      <c r="KLW514" s="1762"/>
      <c r="KLX514" s="1762"/>
      <c r="KLY514" s="1763"/>
      <c r="KLZ514" s="385"/>
      <c r="KMA514" s="69"/>
      <c r="KMB514" s="69"/>
      <c r="KMC514" s="2513"/>
      <c r="KMD514" s="1761"/>
      <c r="KME514" s="1762"/>
      <c r="KMF514" s="1762"/>
      <c r="KMG514" s="1763"/>
      <c r="KMH514" s="385"/>
      <c r="KMI514" s="69"/>
      <c r="KMJ514" s="69"/>
      <c r="KMK514" s="2513"/>
      <c r="KML514" s="1761"/>
      <c r="KMM514" s="1762"/>
      <c r="KMN514" s="1762"/>
      <c r="KMO514" s="1763"/>
      <c r="KMP514" s="385"/>
      <c r="KMQ514" s="69"/>
      <c r="KMR514" s="69"/>
      <c r="KMS514" s="2513"/>
      <c r="KMT514" s="1761"/>
      <c r="KMU514" s="1762"/>
      <c r="KMV514" s="1762"/>
      <c r="KMW514" s="1763"/>
      <c r="KMX514" s="385"/>
      <c r="KMY514" s="69"/>
      <c r="KMZ514" s="69"/>
      <c r="KNA514" s="2513"/>
      <c r="KNB514" s="1761"/>
      <c r="KNC514" s="1762"/>
      <c r="KND514" s="1762"/>
      <c r="KNE514" s="1763"/>
      <c r="KNF514" s="385"/>
      <c r="KNG514" s="69"/>
      <c r="KNH514" s="69"/>
      <c r="KNI514" s="2513"/>
      <c r="KNJ514" s="1761"/>
      <c r="KNK514" s="1762"/>
      <c r="KNL514" s="1762"/>
      <c r="KNM514" s="1763"/>
      <c r="KNN514" s="385"/>
      <c r="KNO514" s="69"/>
      <c r="KNP514" s="69"/>
      <c r="KNQ514" s="2513"/>
      <c r="KNR514" s="1761"/>
      <c r="KNS514" s="1762"/>
      <c r="KNT514" s="1762"/>
      <c r="KNU514" s="1763"/>
      <c r="KNV514" s="385"/>
      <c r="KNW514" s="69"/>
      <c r="KNX514" s="69"/>
      <c r="KNY514" s="2513"/>
      <c r="KNZ514" s="1761"/>
      <c r="KOA514" s="1762"/>
      <c r="KOB514" s="1762"/>
      <c r="KOC514" s="1763"/>
      <c r="KOD514" s="385"/>
      <c r="KOE514" s="69"/>
      <c r="KOF514" s="69"/>
      <c r="KOG514" s="2513"/>
      <c r="KOH514" s="1761"/>
      <c r="KOI514" s="1762"/>
      <c r="KOJ514" s="1762"/>
      <c r="KOK514" s="1763"/>
      <c r="KOL514" s="385"/>
      <c r="KOM514" s="69"/>
      <c r="KON514" s="69"/>
      <c r="KOO514" s="2513"/>
      <c r="KOP514" s="1761"/>
      <c r="KOQ514" s="1762"/>
      <c r="KOR514" s="1762"/>
      <c r="KOS514" s="1763"/>
      <c r="KOT514" s="385"/>
      <c r="KOU514" s="69"/>
      <c r="KOV514" s="69"/>
      <c r="KOW514" s="2513"/>
      <c r="KOX514" s="1761"/>
      <c r="KOY514" s="1762"/>
      <c r="KOZ514" s="1762"/>
      <c r="KPA514" s="1763"/>
      <c r="KPB514" s="385"/>
      <c r="KPC514" s="69"/>
      <c r="KPD514" s="69"/>
      <c r="KPE514" s="2513"/>
      <c r="KPF514" s="1761"/>
      <c r="KPG514" s="1762"/>
      <c r="KPH514" s="1762"/>
      <c r="KPI514" s="1763"/>
      <c r="KPJ514" s="385"/>
      <c r="KPK514" s="69"/>
      <c r="KPL514" s="69"/>
      <c r="KPM514" s="2513"/>
      <c r="KPN514" s="1761"/>
      <c r="KPO514" s="1762"/>
      <c r="KPP514" s="1762"/>
      <c r="KPQ514" s="1763"/>
      <c r="KPR514" s="385"/>
      <c r="KPS514" s="69"/>
      <c r="KPT514" s="69"/>
      <c r="KPU514" s="2513"/>
      <c r="KPV514" s="1761"/>
      <c r="KPW514" s="1762"/>
      <c r="KPX514" s="1762"/>
      <c r="KPY514" s="1763"/>
      <c r="KPZ514" s="385"/>
      <c r="KQA514" s="69"/>
      <c r="KQB514" s="69"/>
      <c r="KQC514" s="2513"/>
      <c r="KQD514" s="1761"/>
      <c r="KQE514" s="1762"/>
      <c r="KQF514" s="1762"/>
      <c r="KQG514" s="1763"/>
      <c r="KQH514" s="385"/>
      <c r="KQI514" s="69"/>
      <c r="KQJ514" s="69"/>
      <c r="KQK514" s="2513"/>
      <c r="KQL514" s="1761"/>
      <c r="KQM514" s="1762"/>
      <c r="KQN514" s="1762"/>
      <c r="KQO514" s="1763"/>
      <c r="KQP514" s="385"/>
      <c r="KQQ514" s="69"/>
      <c r="KQR514" s="69"/>
      <c r="KQS514" s="2513"/>
      <c r="KQT514" s="1761"/>
      <c r="KQU514" s="1762"/>
      <c r="KQV514" s="1762"/>
      <c r="KQW514" s="1763"/>
      <c r="KQX514" s="385"/>
      <c r="KQY514" s="69"/>
      <c r="KQZ514" s="69"/>
      <c r="KRA514" s="2513"/>
      <c r="KRB514" s="1761"/>
      <c r="KRC514" s="1762"/>
      <c r="KRD514" s="1762"/>
      <c r="KRE514" s="1763"/>
      <c r="KRF514" s="385"/>
      <c r="KRG514" s="69"/>
      <c r="KRH514" s="69"/>
      <c r="KRI514" s="2513"/>
      <c r="KRJ514" s="1761"/>
      <c r="KRK514" s="1762"/>
      <c r="KRL514" s="1762"/>
      <c r="KRM514" s="1763"/>
      <c r="KRN514" s="385"/>
      <c r="KRO514" s="69"/>
      <c r="KRP514" s="69"/>
      <c r="KRQ514" s="2513"/>
      <c r="KRR514" s="1761"/>
      <c r="KRS514" s="1762"/>
      <c r="KRT514" s="1762"/>
      <c r="KRU514" s="1763"/>
      <c r="KRV514" s="385"/>
      <c r="KRW514" s="69"/>
      <c r="KRX514" s="69"/>
      <c r="KRY514" s="2513"/>
      <c r="KRZ514" s="1761"/>
      <c r="KSA514" s="1762"/>
      <c r="KSB514" s="1762"/>
      <c r="KSC514" s="1763"/>
      <c r="KSD514" s="385"/>
      <c r="KSE514" s="69"/>
      <c r="KSF514" s="69"/>
      <c r="KSG514" s="2513"/>
      <c r="KSH514" s="1761"/>
      <c r="KSI514" s="1762"/>
      <c r="KSJ514" s="1762"/>
      <c r="KSK514" s="1763"/>
      <c r="KSL514" s="385"/>
      <c r="KSM514" s="69"/>
      <c r="KSN514" s="69"/>
      <c r="KSO514" s="2513"/>
      <c r="KSP514" s="1761"/>
      <c r="KSQ514" s="1762"/>
      <c r="KSR514" s="1762"/>
      <c r="KSS514" s="1763"/>
      <c r="KST514" s="385"/>
      <c r="KSU514" s="69"/>
      <c r="KSV514" s="69"/>
      <c r="KSW514" s="2513"/>
      <c r="KSX514" s="1761"/>
      <c r="KSY514" s="1762"/>
      <c r="KSZ514" s="1762"/>
      <c r="KTA514" s="1763"/>
      <c r="KTB514" s="385"/>
      <c r="KTC514" s="69"/>
      <c r="KTD514" s="69"/>
      <c r="KTE514" s="2513"/>
      <c r="KTF514" s="1761"/>
      <c r="KTG514" s="1762"/>
      <c r="KTH514" s="1762"/>
      <c r="KTI514" s="1763"/>
      <c r="KTJ514" s="385"/>
      <c r="KTK514" s="69"/>
      <c r="KTL514" s="69"/>
      <c r="KTM514" s="2513"/>
      <c r="KTN514" s="1761"/>
      <c r="KTO514" s="1762"/>
      <c r="KTP514" s="1762"/>
      <c r="KTQ514" s="1763"/>
      <c r="KTR514" s="385"/>
      <c r="KTS514" s="69"/>
      <c r="KTT514" s="69"/>
      <c r="KTU514" s="2513"/>
      <c r="KTV514" s="1761"/>
      <c r="KTW514" s="1762"/>
      <c r="KTX514" s="1762"/>
      <c r="KTY514" s="1763"/>
      <c r="KTZ514" s="385"/>
      <c r="KUA514" s="69"/>
      <c r="KUB514" s="69"/>
      <c r="KUC514" s="2513"/>
      <c r="KUD514" s="1761"/>
      <c r="KUE514" s="1762"/>
      <c r="KUF514" s="1762"/>
      <c r="KUG514" s="1763"/>
      <c r="KUH514" s="385"/>
      <c r="KUI514" s="69"/>
      <c r="KUJ514" s="69"/>
      <c r="KUK514" s="2513"/>
      <c r="KUL514" s="1761"/>
      <c r="KUM514" s="1762"/>
      <c r="KUN514" s="1762"/>
      <c r="KUO514" s="1763"/>
      <c r="KUP514" s="385"/>
      <c r="KUQ514" s="69"/>
      <c r="KUR514" s="69"/>
      <c r="KUS514" s="2513"/>
      <c r="KUT514" s="1761"/>
      <c r="KUU514" s="1762"/>
      <c r="KUV514" s="1762"/>
      <c r="KUW514" s="1763"/>
      <c r="KUX514" s="385"/>
      <c r="KUY514" s="69"/>
      <c r="KUZ514" s="69"/>
      <c r="KVA514" s="2513"/>
      <c r="KVB514" s="1761"/>
      <c r="KVC514" s="1762"/>
      <c r="KVD514" s="1762"/>
      <c r="KVE514" s="1763"/>
      <c r="KVF514" s="385"/>
      <c r="KVG514" s="69"/>
      <c r="KVH514" s="69"/>
      <c r="KVI514" s="2513"/>
      <c r="KVJ514" s="1761"/>
      <c r="KVK514" s="1762"/>
      <c r="KVL514" s="1762"/>
      <c r="KVM514" s="1763"/>
      <c r="KVN514" s="385"/>
      <c r="KVO514" s="69"/>
      <c r="KVP514" s="69"/>
      <c r="KVQ514" s="2513"/>
      <c r="KVR514" s="1761"/>
      <c r="KVS514" s="1762"/>
      <c r="KVT514" s="1762"/>
      <c r="KVU514" s="1763"/>
      <c r="KVV514" s="385"/>
      <c r="KVW514" s="69"/>
      <c r="KVX514" s="69"/>
      <c r="KVY514" s="2513"/>
      <c r="KVZ514" s="1761"/>
      <c r="KWA514" s="1762"/>
      <c r="KWB514" s="1762"/>
      <c r="KWC514" s="1763"/>
      <c r="KWD514" s="385"/>
      <c r="KWE514" s="69"/>
      <c r="KWF514" s="69"/>
      <c r="KWG514" s="2513"/>
      <c r="KWH514" s="1761"/>
      <c r="KWI514" s="1762"/>
      <c r="KWJ514" s="1762"/>
      <c r="KWK514" s="1763"/>
      <c r="KWL514" s="385"/>
      <c r="KWM514" s="69"/>
      <c r="KWN514" s="69"/>
      <c r="KWO514" s="2513"/>
      <c r="KWP514" s="1761"/>
      <c r="KWQ514" s="1762"/>
      <c r="KWR514" s="1762"/>
      <c r="KWS514" s="1763"/>
      <c r="KWT514" s="385"/>
      <c r="KWU514" s="69"/>
      <c r="KWV514" s="69"/>
      <c r="KWW514" s="2513"/>
      <c r="KWX514" s="1761"/>
      <c r="KWY514" s="1762"/>
      <c r="KWZ514" s="1762"/>
      <c r="KXA514" s="1763"/>
      <c r="KXB514" s="385"/>
      <c r="KXC514" s="69"/>
      <c r="KXD514" s="69"/>
      <c r="KXE514" s="2513"/>
      <c r="KXF514" s="1761"/>
      <c r="KXG514" s="1762"/>
      <c r="KXH514" s="1762"/>
      <c r="KXI514" s="1763"/>
      <c r="KXJ514" s="385"/>
      <c r="KXK514" s="69"/>
      <c r="KXL514" s="69"/>
      <c r="KXM514" s="2513"/>
      <c r="KXN514" s="1761"/>
      <c r="KXO514" s="1762"/>
      <c r="KXP514" s="1762"/>
      <c r="KXQ514" s="1763"/>
      <c r="KXR514" s="385"/>
      <c r="KXS514" s="69"/>
      <c r="KXT514" s="69"/>
      <c r="KXU514" s="2513"/>
      <c r="KXV514" s="1761"/>
      <c r="KXW514" s="1762"/>
      <c r="KXX514" s="1762"/>
      <c r="KXY514" s="1763"/>
      <c r="KXZ514" s="385"/>
      <c r="KYA514" s="69"/>
      <c r="KYB514" s="69"/>
      <c r="KYC514" s="2513"/>
      <c r="KYD514" s="1761"/>
      <c r="KYE514" s="1762"/>
      <c r="KYF514" s="1762"/>
      <c r="KYG514" s="1763"/>
      <c r="KYH514" s="385"/>
      <c r="KYI514" s="69"/>
      <c r="KYJ514" s="69"/>
      <c r="KYK514" s="2513"/>
      <c r="KYL514" s="1761"/>
      <c r="KYM514" s="1762"/>
      <c r="KYN514" s="1762"/>
      <c r="KYO514" s="1763"/>
      <c r="KYP514" s="385"/>
      <c r="KYQ514" s="69"/>
      <c r="KYR514" s="69"/>
      <c r="KYS514" s="2513"/>
      <c r="KYT514" s="1761"/>
      <c r="KYU514" s="1762"/>
      <c r="KYV514" s="1762"/>
      <c r="KYW514" s="1763"/>
      <c r="KYX514" s="385"/>
      <c r="KYY514" s="69"/>
      <c r="KYZ514" s="69"/>
      <c r="KZA514" s="2513"/>
      <c r="KZB514" s="1761"/>
      <c r="KZC514" s="1762"/>
      <c r="KZD514" s="1762"/>
      <c r="KZE514" s="1763"/>
      <c r="KZF514" s="385"/>
      <c r="KZG514" s="69"/>
      <c r="KZH514" s="69"/>
      <c r="KZI514" s="2513"/>
      <c r="KZJ514" s="1761"/>
      <c r="KZK514" s="1762"/>
      <c r="KZL514" s="1762"/>
      <c r="KZM514" s="1763"/>
      <c r="KZN514" s="385"/>
      <c r="KZO514" s="69"/>
      <c r="KZP514" s="69"/>
      <c r="KZQ514" s="2513"/>
      <c r="KZR514" s="1761"/>
      <c r="KZS514" s="1762"/>
      <c r="KZT514" s="1762"/>
      <c r="KZU514" s="1763"/>
      <c r="KZV514" s="385"/>
      <c r="KZW514" s="69"/>
      <c r="KZX514" s="69"/>
      <c r="KZY514" s="2513"/>
      <c r="KZZ514" s="1761"/>
      <c r="LAA514" s="1762"/>
      <c r="LAB514" s="1762"/>
      <c r="LAC514" s="1763"/>
      <c r="LAD514" s="385"/>
      <c r="LAE514" s="69"/>
      <c r="LAF514" s="69"/>
      <c r="LAG514" s="2513"/>
      <c r="LAH514" s="1761"/>
      <c r="LAI514" s="1762"/>
      <c r="LAJ514" s="1762"/>
      <c r="LAK514" s="1763"/>
      <c r="LAL514" s="385"/>
      <c r="LAM514" s="69"/>
      <c r="LAN514" s="69"/>
      <c r="LAO514" s="2513"/>
      <c r="LAP514" s="1761"/>
      <c r="LAQ514" s="1762"/>
      <c r="LAR514" s="1762"/>
      <c r="LAS514" s="1763"/>
      <c r="LAT514" s="385"/>
      <c r="LAU514" s="69"/>
      <c r="LAV514" s="69"/>
      <c r="LAW514" s="2513"/>
      <c r="LAX514" s="1761"/>
      <c r="LAY514" s="1762"/>
      <c r="LAZ514" s="1762"/>
      <c r="LBA514" s="1763"/>
      <c r="LBB514" s="385"/>
      <c r="LBC514" s="69"/>
      <c r="LBD514" s="69"/>
      <c r="LBE514" s="2513"/>
      <c r="LBF514" s="1761"/>
      <c r="LBG514" s="1762"/>
      <c r="LBH514" s="1762"/>
      <c r="LBI514" s="1763"/>
      <c r="LBJ514" s="385"/>
      <c r="LBK514" s="69"/>
      <c r="LBL514" s="69"/>
      <c r="LBM514" s="2513"/>
      <c r="LBN514" s="1761"/>
      <c r="LBO514" s="1762"/>
      <c r="LBP514" s="1762"/>
      <c r="LBQ514" s="1763"/>
      <c r="LBR514" s="385"/>
      <c r="LBS514" s="69"/>
      <c r="LBT514" s="69"/>
      <c r="LBU514" s="2513"/>
      <c r="LBV514" s="1761"/>
      <c r="LBW514" s="1762"/>
      <c r="LBX514" s="1762"/>
      <c r="LBY514" s="1763"/>
      <c r="LBZ514" s="385"/>
      <c r="LCA514" s="69"/>
      <c r="LCB514" s="69"/>
      <c r="LCC514" s="2513"/>
      <c r="LCD514" s="1761"/>
      <c r="LCE514" s="1762"/>
      <c r="LCF514" s="1762"/>
      <c r="LCG514" s="1763"/>
      <c r="LCH514" s="385"/>
      <c r="LCI514" s="69"/>
      <c r="LCJ514" s="69"/>
      <c r="LCK514" s="2513"/>
      <c r="LCL514" s="1761"/>
      <c r="LCM514" s="1762"/>
      <c r="LCN514" s="1762"/>
      <c r="LCO514" s="1763"/>
      <c r="LCP514" s="385"/>
      <c r="LCQ514" s="69"/>
      <c r="LCR514" s="69"/>
      <c r="LCS514" s="2513"/>
      <c r="LCT514" s="1761"/>
      <c r="LCU514" s="1762"/>
      <c r="LCV514" s="1762"/>
      <c r="LCW514" s="1763"/>
      <c r="LCX514" s="385"/>
      <c r="LCY514" s="69"/>
      <c r="LCZ514" s="69"/>
      <c r="LDA514" s="2513"/>
      <c r="LDB514" s="1761"/>
      <c r="LDC514" s="1762"/>
      <c r="LDD514" s="1762"/>
      <c r="LDE514" s="1763"/>
      <c r="LDF514" s="385"/>
      <c r="LDG514" s="69"/>
      <c r="LDH514" s="69"/>
      <c r="LDI514" s="2513"/>
      <c r="LDJ514" s="1761"/>
      <c r="LDK514" s="1762"/>
      <c r="LDL514" s="1762"/>
      <c r="LDM514" s="1763"/>
      <c r="LDN514" s="385"/>
      <c r="LDO514" s="69"/>
      <c r="LDP514" s="69"/>
      <c r="LDQ514" s="2513"/>
      <c r="LDR514" s="1761"/>
      <c r="LDS514" s="1762"/>
      <c r="LDT514" s="1762"/>
      <c r="LDU514" s="1763"/>
      <c r="LDV514" s="385"/>
      <c r="LDW514" s="69"/>
      <c r="LDX514" s="69"/>
      <c r="LDY514" s="2513"/>
      <c r="LDZ514" s="1761"/>
      <c r="LEA514" s="1762"/>
      <c r="LEB514" s="1762"/>
      <c r="LEC514" s="1763"/>
      <c r="LED514" s="385"/>
      <c r="LEE514" s="69"/>
      <c r="LEF514" s="69"/>
      <c r="LEG514" s="2513"/>
      <c r="LEH514" s="1761"/>
      <c r="LEI514" s="1762"/>
      <c r="LEJ514" s="1762"/>
      <c r="LEK514" s="1763"/>
      <c r="LEL514" s="385"/>
      <c r="LEM514" s="69"/>
      <c r="LEN514" s="69"/>
      <c r="LEO514" s="2513"/>
      <c r="LEP514" s="1761"/>
      <c r="LEQ514" s="1762"/>
      <c r="LER514" s="1762"/>
      <c r="LES514" s="1763"/>
      <c r="LET514" s="385"/>
      <c r="LEU514" s="69"/>
      <c r="LEV514" s="69"/>
      <c r="LEW514" s="2513"/>
      <c r="LEX514" s="1761"/>
      <c r="LEY514" s="1762"/>
      <c r="LEZ514" s="1762"/>
      <c r="LFA514" s="1763"/>
      <c r="LFB514" s="385"/>
      <c r="LFC514" s="69"/>
      <c r="LFD514" s="69"/>
      <c r="LFE514" s="2513"/>
      <c r="LFF514" s="1761"/>
      <c r="LFG514" s="1762"/>
      <c r="LFH514" s="1762"/>
      <c r="LFI514" s="1763"/>
      <c r="LFJ514" s="385"/>
      <c r="LFK514" s="69"/>
      <c r="LFL514" s="69"/>
      <c r="LFM514" s="2513"/>
      <c r="LFN514" s="1761"/>
      <c r="LFO514" s="1762"/>
      <c r="LFP514" s="1762"/>
      <c r="LFQ514" s="1763"/>
      <c r="LFR514" s="385"/>
      <c r="LFS514" s="69"/>
      <c r="LFT514" s="69"/>
      <c r="LFU514" s="2513"/>
      <c r="LFV514" s="1761"/>
      <c r="LFW514" s="1762"/>
      <c r="LFX514" s="1762"/>
      <c r="LFY514" s="1763"/>
      <c r="LFZ514" s="385"/>
      <c r="LGA514" s="69"/>
      <c r="LGB514" s="69"/>
      <c r="LGC514" s="2513"/>
      <c r="LGD514" s="1761"/>
      <c r="LGE514" s="1762"/>
      <c r="LGF514" s="1762"/>
      <c r="LGG514" s="1763"/>
      <c r="LGH514" s="385"/>
      <c r="LGI514" s="69"/>
      <c r="LGJ514" s="69"/>
      <c r="LGK514" s="2513"/>
      <c r="LGL514" s="1761"/>
      <c r="LGM514" s="1762"/>
      <c r="LGN514" s="1762"/>
      <c r="LGO514" s="1763"/>
      <c r="LGP514" s="385"/>
      <c r="LGQ514" s="69"/>
      <c r="LGR514" s="69"/>
      <c r="LGS514" s="2513"/>
      <c r="LGT514" s="1761"/>
      <c r="LGU514" s="1762"/>
      <c r="LGV514" s="1762"/>
      <c r="LGW514" s="1763"/>
      <c r="LGX514" s="385"/>
      <c r="LGY514" s="69"/>
      <c r="LGZ514" s="69"/>
      <c r="LHA514" s="2513"/>
      <c r="LHB514" s="1761"/>
      <c r="LHC514" s="1762"/>
      <c r="LHD514" s="1762"/>
      <c r="LHE514" s="1763"/>
      <c r="LHF514" s="385"/>
      <c r="LHG514" s="69"/>
      <c r="LHH514" s="69"/>
      <c r="LHI514" s="2513"/>
      <c r="LHJ514" s="1761"/>
      <c r="LHK514" s="1762"/>
      <c r="LHL514" s="1762"/>
      <c r="LHM514" s="1763"/>
      <c r="LHN514" s="385"/>
      <c r="LHO514" s="69"/>
      <c r="LHP514" s="69"/>
      <c r="LHQ514" s="2513"/>
      <c r="LHR514" s="1761"/>
      <c r="LHS514" s="1762"/>
      <c r="LHT514" s="1762"/>
      <c r="LHU514" s="1763"/>
      <c r="LHV514" s="385"/>
      <c r="LHW514" s="69"/>
      <c r="LHX514" s="69"/>
      <c r="LHY514" s="2513"/>
      <c r="LHZ514" s="1761"/>
      <c r="LIA514" s="1762"/>
      <c r="LIB514" s="1762"/>
      <c r="LIC514" s="1763"/>
      <c r="LID514" s="385"/>
      <c r="LIE514" s="69"/>
      <c r="LIF514" s="69"/>
      <c r="LIG514" s="2513"/>
      <c r="LIH514" s="1761"/>
      <c r="LII514" s="1762"/>
      <c r="LIJ514" s="1762"/>
      <c r="LIK514" s="1763"/>
      <c r="LIL514" s="385"/>
      <c r="LIM514" s="69"/>
      <c r="LIN514" s="69"/>
      <c r="LIO514" s="2513"/>
      <c r="LIP514" s="1761"/>
      <c r="LIQ514" s="1762"/>
      <c r="LIR514" s="1762"/>
      <c r="LIS514" s="1763"/>
      <c r="LIT514" s="385"/>
      <c r="LIU514" s="69"/>
      <c r="LIV514" s="69"/>
      <c r="LIW514" s="2513"/>
      <c r="LIX514" s="1761"/>
      <c r="LIY514" s="1762"/>
      <c r="LIZ514" s="1762"/>
      <c r="LJA514" s="1763"/>
      <c r="LJB514" s="385"/>
      <c r="LJC514" s="69"/>
      <c r="LJD514" s="69"/>
      <c r="LJE514" s="2513"/>
      <c r="LJF514" s="1761"/>
      <c r="LJG514" s="1762"/>
      <c r="LJH514" s="1762"/>
      <c r="LJI514" s="1763"/>
      <c r="LJJ514" s="385"/>
      <c r="LJK514" s="69"/>
      <c r="LJL514" s="69"/>
      <c r="LJM514" s="2513"/>
      <c r="LJN514" s="1761"/>
      <c r="LJO514" s="1762"/>
      <c r="LJP514" s="1762"/>
      <c r="LJQ514" s="1763"/>
      <c r="LJR514" s="385"/>
      <c r="LJS514" s="69"/>
      <c r="LJT514" s="69"/>
      <c r="LJU514" s="2513"/>
      <c r="LJV514" s="1761"/>
      <c r="LJW514" s="1762"/>
      <c r="LJX514" s="1762"/>
      <c r="LJY514" s="1763"/>
      <c r="LJZ514" s="385"/>
      <c r="LKA514" s="69"/>
      <c r="LKB514" s="69"/>
      <c r="LKC514" s="2513"/>
      <c r="LKD514" s="1761"/>
      <c r="LKE514" s="1762"/>
      <c r="LKF514" s="1762"/>
      <c r="LKG514" s="1763"/>
      <c r="LKH514" s="385"/>
      <c r="LKI514" s="69"/>
      <c r="LKJ514" s="69"/>
      <c r="LKK514" s="2513"/>
      <c r="LKL514" s="1761"/>
      <c r="LKM514" s="1762"/>
      <c r="LKN514" s="1762"/>
      <c r="LKO514" s="1763"/>
      <c r="LKP514" s="385"/>
      <c r="LKQ514" s="69"/>
      <c r="LKR514" s="69"/>
      <c r="LKS514" s="2513"/>
      <c r="LKT514" s="1761"/>
      <c r="LKU514" s="1762"/>
      <c r="LKV514" s="1762"/>
      <c r="LKW514" s="1763"/>
      <c r="LKX514" s="385"/>
      <c r="LKY514" s="69"/>
      <c r="LKZ514" s="69"/>
      <c r="LLA514" s="2513"/>
      <c r="LLB514" s="1761"/>
      <c r="LLC514" s="1762"/>
      <c r="LLD514" s="1762"/>
      <c r="LLE514" s="1763"/>
      <c r="LLF514" s="385"/>
      <c r="LLG514" s="69"/>
      <c r="LLH514" s="69"/>
      <c r="LLI514" s="2513"/>
      <c r="LLJ514" s="1761"/>
      <c r="LLK514" s="1762"/>
      <c r="LLL514" s="1762"/>
      <c r="LLM514" s="1763"/>
      <c r="LLN514" s="385"/>
      <c r="LLO514" s="69"/>
      <c r="LLP514" s="69"/>
      <c r="LLQ514" s="2513"/>
      <c r="LLR514" s="1761"/>
      <c r="LLS514" s="1762"/>
      <c r="LLT514" s="1762"/>
      <c r="LLU514" s="1763"/>
      <c r="LLV514" s="385"/>
      <c r="LLW514" s="69"/>
      <c r="LLX514" s="69"/>
      <c r="LLY514" s="2513"/>
      <c r="LLZ514" s="1761"/>
      <c r="LMA514" s="1762"/>
      <c r="LMB514" s="1762"/>
      <c r="LMC514" s="1763"/>
      <c r="LMD514" s="385"/>
      <c r="LME514" s="69"/>
      <c r="LMF514" s="69"/>
      <c r="LMG514" s="2513"/>
      <c r="LMH514" s="1761"/>
      <c r="LMI514" s="1762"/>
      <c r="LMJ514" s="1762"/>
      <c r="LMK514" s="1763"/>
      <c r="LML514" s="385"/>
      <c r="LMM514" s="69"/>
      <c r="LMN514" s="69"/>
      <c r="LMO514" s="2513"/>
      <c r="LMP514" s="1761"/>
      <c r="LMQ514" s="1762"/>
      <c r="LMR514" s="1762"/>
      <c r="LMS514" s="1763"/>
      <c r="LMT514" s="385"/>
      <c r="LMU514" s="69"/>
      <c r="LMV514" s="69"/>
      <c r="LMW514" s="2513"/>
      <c r="LMX514" s="1761"/>
      <c r="LMY514" s="1762"/>
      <c r="LMZ514" s="1762"/>
      <c r="LNA514" s="1763"/>
      <c r="LNB514" s="385"/>
      <c r="LNC514" s="69"/>
      <c r="LND514" s="69"/>
      <c r="LNE514" s="2513"/>
      <c r="LNF514" s="1761"/>
      <c r="LNG514" s="1762"/>
      <c r="LNH514" s="1762"/>
      <c r="LNI514" s="1763"/>
      <c r="LNJ514" s="385"/>
      <c r="LNK514" s="69"/>
      <c r="LNL514" s="69"/>
      <c r="LNM514" s="2513"/>
      <c r="LNN514" s="1761"/>
      <c r="LNO514" s="1762"/>
      <c r="LNP514" s="1762"/>
      <c r="LNQ514" s="1763"/>
      <c r="LNR514" s="385"/>
      <c r="LNS514" s="69"/>
      <c r="LNT514" s="69"/>
      <c r="LNU514" s="2513"/>
      <c r="LNV514" s="1761"/>
      <c r="LNW514" s="1762"/>
      <c r="LNX514" s="1762"/>
      <c r="LNY514" s="1763"/>
      <c r="LNZ514" s="385"/>
      <c r="LOA514" s="69"/>
      <c r="LOB514" s="69"/>
      <c r="LOC514" s="2513"/>
      <c r="LOD514" s="1761"/>
      <c r="LOE514" s="1762"/>
      <c r="LOF514" s="1762"/>
      <c r="LOG514" s="1763"/>
      <c r="LOH514" s="385"/>
      <c r="LOI514" s="69"/>
      <c r="LOJ514" s="69"/>
      <c r="LOK514" s="2513"/>
      <c r="LOL514" s="1761"/>
      <c r="LOM514" s="1762"/>
      <c r="LON514" s="1762"/>
      <c r="LOO514" s="1763"/>
      <c r="LOP514" s="385"/>
      <c r="LOQ514" s="69"/>
      <c r="LOR514" s="69"/>
      <c r="LOS514" s="2513"/>
      <c r="LOT514" s="1761"/>
      <c r="LOU514" s="1762"/>
      <c r="LOV514" s="1762"/>
      <c r="LOW514" s="1763"/>
      <c r="LOX514" s="385"/>
      <c r="LOY514" s="69"/>
      <c r="LOZ514" s="69"/>
      <c r="LPA514" s="2513"/>
      <c r="LPB514" s="1761"/>
      <c r="LPC514" s="1762"/>
      <c r="LPD514" s="1762"/>
      <c r="LPE514" s="1763"/>
      <c r="LPF514" s="385"/>
      <c r="LPG514" s="69"/>
      <c r="LPH514" s="69"/>
      <c r="LPI514" s="2513"/>
      <c r="LPJ514" s="1761"/>
      <c r="LPK514" s="1762"/>
      <c r="LPL514" s="1762"/>
      <c r="LPM514" s="1763"/>
      <c r="LPN514" s="385"/>
      <c r="LPO514" s="69"/>
      <c r="LPP514" s="69"/>
      <c r="LPQ514" s="2513"/>
      <c r="LPR514" s="1761"/>
      <c r="LPS514" s="1762"/>
      <c r="LPT514" s="1762"/>
      <c r="LPU514" s="1763"/>
      <c r="LPV514" s="385"/>
      <c r="LPW514" s="69"/>
      <c r="LPX514" s="69"/>
      <c r="LPY514" s="2513"/>
      <c r="LPZ514" s="1761"/>
      <c r="LQA514" s="1762"/>
      <c r="LQB514" s="1762"/>
      <c r="LQC514" s="1763"/>
      <c r="LQD514" s="385"/>
      <c r="LQE514" s="69"/>
      <c r="LQF514" s="69"/>
      <c r="LQG514" s="2513"/>
      <c r="LQH514" s="1761"/>
      <c r="LQI514" s="1762"/>
      <c r="LQJ514" s="1762"/>
      <c r="LQK514" s="1763"/>
      <c r="LQL514" s="385"/>
      <c r="LQM514" s="69"/>
      <c r="LQN514" s="69"/>
      <c r="LQO514" s="2513"/>
      <c r="LQP514" s="1761"/>
      <c r="LQQ514" s="1762"/>
      <c r="LQR514" s="1762"/>
      <c r="LQS514" s="1763"/>
      <c r="LQT514" s="385"/>
      <c r="LQU514" s="69"/>
      <c r="LQV514" s="69"/>
      <c r="LQW514" s="2513"/>
      <c r="LQX514" s="1761"/>
      <c r="LQY514" s="1762"/>
      <c r="LQZ514" s="1762"/>
      <c r="LRA514" s="1763"/>
      <c r="LRB514" s="385"/>
      <c r="LRC514" s="69"/>
      <c r="LRD514" s="69"/>
      <c r="LRE514" s="2513"/>
      <c r="LRF514" s="1761"/>
      <c r="LRG514" s="1762"/>
      <c r="LRH514" s="1762"/>
      <c r="LRI514" s="1763"/>
      <c r="LRJ514" s="385"/>
      <c r="LRK514" s="69"/>
      <c r="LRL514" s="69"/>
      <c r="LRM514" s="2513"/>
      <c r="LRN514" s="1761"/>
      <c r="LRO514" s="1762"/>
      <c r="LRP514" s="1762"/>
      <c r="LRQ514" s="1763"/>
      <c r="LRR514" s="385"/>
      <c r="LRS514" s="69"/>
      <c r="LRT514" s="69"/>
      <c r="LRU514" s="2513"/>
      <c r="LRV514" s="1761"/>
      <c r="LRW514" s="1762"/>
      <c r="LRX514" s="1762"/>
      <c r="LRY514" s="1763"/>
      <c r="LRZ514" s="385"/>
      <c r="LSA514" s="69"/>
      <c r="LSB514" s="69"/>
      <c r="LSC514" s="2513"/>
      <c r="LSD514" s="1761"/>
      <c r="LSE514" s="1762"/>
      <c r="LSF514" s="1762"/>
      <c r="LSG514" s="1763"/>
      <c r="LSH514" s="385"/>
      <c r="LSI514" s="69"/>
      <c r="LSJ514" s="69"/>
      <c r="LSK514" s="2513"/>
      <c r="LSL514" s="1761"/>
      <c r="LSM514" s="1762"/>
      <c r="LSN514" s="1762"/>
      <c r="LSO514" s="1763"/>
      <c r="LSP514" s="385"/>
      <c r="LSQ514" s="69"/>
      <c r="LSR514" s="69"/>
      <c r="LSS514" s="2513"/>
      <c r="LST514" s="1761"/>
      <c r="LSU514" s="1762"/>
      <c r="LSV514" s="1762"/>
      <c r="LSW514" s="1763"/>
      <c r="LSX514" s="385"/>
      <c r="LSY514" s="69"/>
      <c r="LSZ514" s="69"/>
      <c r="LTA514" s="2513"/>
      <c r="LTB514" s="1761"/>
      <c r="LTC514" s="1762"/>
      <c r="LTD514" s="1762"/>
      <c r="LTE514" s="1763"/>
      <c r="LTF514" s="385"/>
      <c r="LTG514" s="69"/>
      <c r="LTH514" s="69"/>
      <c r="LTI514" s="2513"/>
      <c r="LTJ514" s="1761"/>
      <c r="LTK514" s="1762"/>
      <c r="LTL514" s="1762"/>
      <c r="LTM514" s="1763"/>
      <c r="LTN514" s="385"/>
      <c r="LTO514" s="69"/>
      <c r="LTP514" s="69"/>
      <c r="LTQ514" s="2513"/>
      <c r="LTR514" s="1761"/>
      <c r="LTS514" s="1762"/>
      <c r="LTT514" s="1762"/>
      <c r="LTU514" s="1763"/>
      <c r="LTV514" s="385"/>
      <c r="LTW514" s="69"/>
      <c r="LTX514" s="69"/>
      <c r="LTY514" s="2513"/>
      <c r="LTZ514" s="1761"/>
      <c r="LUA514" s="1762"/>
      <c r="LUB514" s="1762"/>
      <c r="LUC514" s="1763"/>
      <c r="LUD514" s="385"/>
      <c r="LUE514" s="69"/>
      <c r="LUF514" s="69"/>
      <c r="LUG514" s="2513"/>
      <c r="LUH514" s="1761"/>
      <c r="LUI514" s="1762"/>
      <c r="LUJ514" s="1762"/>
      <c r="LUK514" s="1763"/>
      <c r="LUL514" s="385"/>
      <c r="LUM514" s="69"/>
      <c r="LUN514" s="69"/>
      <c r="LUO514" s="2513"/>
      <c r="LUP514" s="1761"/>
      <c r="LUQ514" s="1762"/>
      <c r="LUR514" s="1762"/>
      <c r="LUS514" s="1763"/>
      <c r="LUT514" s="385"/>
      <c r="LUU514" s="69"/>
      <c r="LUV514" s="69"/>
      <c r="LUW514" s="2513"/>
      <c r="LUX514" s="1761"/>
      <c r="LUY514" s="1762"/>
      <c r="LUZ514" s="1762"/>
      <c r="LVA514" s="1763"/>
      <c r="LVB514" s="385"/>
      <c r="LVC514" s="69"/>
      <c r="LVD514" s="69"/>
      <c r="LVE514" s="2513"/>
      <c r="LVF514" s="1761"/>
      <c r="LVG514" s="1762"/>
      <c r="LVH514" s="1762"/>
      <c r="LVI514" s="1763"/>
      <c r="LVJ514" s="385"/>
      <c r="LVK514" s="69"/>
      <c r="LVL514" s="69"/>
      <c r="LVM514" s="2513"/>
      <c r="LVN514" s="1761"/>
      <c r="LVO514" s="1762"/>
      <c r="LVP514" s="1762"/>
      <c r="LVQ514" s="1763"/>
      <c r="LVR514" s="385"/>
      <c r="LVS514" s="69"/>
      <c r="LVT514" s="69"/>
      <c r="LVU514" s="2513"/>
      <c r="LVV514" s="1761"/>
      <c r="LVW514" s="1762"/>
      <c r="LVX514" s="1762"/>
      <c r="LVY514" s="1763"/>
      <c r="LVZ514" s="385"/>
      <c r="LWA514" s="69"/>
      <c r="LWB514" s="69"/>
      <c r="LWC514" s="2513"/>
      <c r="LWD514" s="1761"/>
      <c r="LWE514" s="1762"/>
      <c r="LWF514" s="1762"/>
      <c r="LWG514" s="1763"/>
      <c r="LWH514" s="385"/>
      <c r="LWI514" s="69"/>
      <c r="LWJ514" s="69"/>
      <c r="LWK514" s="2513"/>
      <c r="LWL514" s="1761"/>
      <c r="LWM514" s="1762"/>
      <c r="LWN514" s="1762"/>
      <c r="LWO514" s="1763"/>
      <c r="LWP514" s="385"/>
      <c r="LWQ514" s="69"/>
      <c r="LWR514" s="69"/>
      <c r="LWS514" s="2513"/>
      <c r="LWT514" s="1761"/>
      <c r="LWU514" s="1762"/>
      <c r="LWV514" s="1762"/>
      <c r="LWW514" s="1763"/>
      <c r="LWX514" s="385"/>
      <c r="LWY514" s="69"/>
      <c r="LWZ514" s="69"/>
      <c r="LXA514" s="2513"/>
      <c r="LXB514" s="1761"/>
      <c r="LXC514" s="1762"/>
      <c r="LXD514" s="1762"/>
      <c r="LXE514" s="1763"/>
      <c r="LXF514" s="385"/>
      <c r="LXG514" s="69"/>
      <c r="LXH514" s="69"/>
      <c r="LXI514" s="2513"/>
      <c r="LXJ514" s="1761"/>
      <c r="LXK514" s="1762"/>
      <c r="LXL514" s="1762"/>
      <c r="LXM514" s="1763"/>
      <c r="LXN514" s="385"/>
      <c r="LXO514" s="69"/>
      <c r="LXP514" s="69"/>
      <c r="LXQ514" s="2513"/>
      <c r="LXR514" s="1761"/>
      <c r="LXS514" s="1762"/>
      <c r="LXT514" s="1762"/>
      <c r="LXU514" s="1763"/>
      <c r="LXV514" s="385"/>
      <c r="LXW514" s="69"/>
      <c r="LXX514" s="69"/>
      <c r="LXY514" s="2513"/>
      <c r="LXZ514" s="1761"/>
      <c r="LYA514" s="1762"/>
      <c r="LYB514" s="1762"/>
      <c r="LYC514" s="1763"/>
      <c r="LYD514" s="385"/>
      <c r="LYE514" s="69"/>
      <c r="LYF514" s="69"/>
      <c r="LYG514" s="2513"/>
      <c r="LYH514" s="1761"/>
      <c r="LYI514" s="1762"/>
      <c r="LYJ514" s="1762"/>
      <c r="LYK514" s="1763"/>
      <c r="LYL514" s="385"/>
      <c r="LYM514" s="69"/>
      <c r="LYN514" s="69"/>
      <c r="LYO514" s="2513"/>
      <c r="LYP514" s="1761"/>
      <c r="LYQ514" s="1762"/>
      <c r="LYR514" s="1762"/>
      <c r="LYS514" s="1763"/>
      <c r="LYT514" s="385"/>
      <c r="LYU514" s="69"/>
      <c r="LYV514" s="69"/>
      <c r="LYW514" s="2513"/>
      <c r="LYX514" s="1761"/>
      <c r="LYY514" s="1762"/>
      <c r="LYZ514" s="1762"/>
      <c r="LZA514" s="1763"/>
      <c r="LZB514" s="385"/>
      <c r="LZC514" s="69"/>
      <c r="LZD514" s="69"/>
      <c r="LZE514" s="2513"/>
      <c r="LZF514" s="1761"/>
      <c r="LZG514" s="1762"/>
      <c r="LZH514" s="1762"/>
      <c r="LZI514" s="1763"/>
      <c r="LZJ514" s="385"/>
      <c r="LZK514" s="69"/>
      <c r="LZL514" s="69"/>
      <c r="LZM514" s="2513"/>
      <c r="LZN514" s="1761"/>
      <c r="LZO514" s="1762"/>
      <c r="LZP514" s="1762"/>
      <c r="LZQ514" s="1763"/>
      <c r="LZR514" s="385"/>
      <c r="LZS514" s="69"/>
      <c r="LZT514" s="69"/>
      <c r="LZU514" s="2513"/>
      <c r="LZV514" s="1761"/>
      <c r="LZW514" s="1762"/>
      <c r="LZX514" s="1762"/>
      <c r="LZY514" s="1763"/>
      <c r="LZZ514" s="385"/>
      <c r="MAA514" s="69"/>
      <c r="MAB514" s="69"/>
      <c r="MAC514" s="2513"/>
      <c r="MAD514" s="1761"/>
      <c r="MAE514" s="1762"/>
      <c r="MAF514" s="1762"/>
      <c r="MAG514" s="1763"/>
      <c r="MAH514" s="385"/>
      <c r="MAI514" s="69"/>
      <c r="MAJ514" s="69"/>
      <c r="MAK514" s="2513"/>
      <c r="MAL514" s="1761"/>
      <c r="MAM514" s="1762"/>
      <c r="MAN514" s="1762"/>
      <c r="MAO514" s="1763"/>
      <c r="MAP514" s="385"/>
      <c r="MAQ514" s="69"/>
      <c r="MAR514" s="69"/>
      <c r="MAS514" s="2513"/>
      <c r="MAT514" s="1761"/>
      <c r="MAU514" s="1762"/>
      <c r="MAV514" s="1762"/>
      <c r="MAW514" s="1763"/>
      <c r="MAX514" s="385"/>
      <c r="MAY514" s="69"/>
      <c r="MAZ514" s="69"/>
      <c r="MBA514" s="2513"/>
      <c r="MBB514" s="1761"/>
      <c r="MBC514" s="1762"/>
      <c r="MBD514" s="1762"/>
      <c r="MBE514" s="1763"/>
      <c r="MBF514" s="385"/>
      <c r="MBG514" s="69"/>
      <c r="MBH514" s="69"/>
      <c r="MBI514" s="2513"/>
      <c r="MBJ514" s="1761"/>
      <c r="MBK514" s="1762"/>
      <c r="MBL514" s="1762"/>
      <c r="MBM514" s="1763"/>
      <c r="MBN514" s="385"/>
      <c r="MBO514" s="69"/>
      <c r="MBP514" s="69"/>
      <c r="MBQ514" s="2513"/>
      <c r="MBR514" s="1761"/>
      <c r="MBS514" s="1762"/>
      <c r="MBT514" s="1762"/>
      <c r="MBU514" s="1763"/>
      <c r="MBV514" s="385"/>
      <c r="MBW514" s="69"/>
      <c r="MBX514" s="69"/>
      <c r="MBY514" s="2513"/>
      <c r="MBZ514" s="1761"/>
      <c r="MCA514" s="1762"/>
      <c r="MCB514" s="1762"/>
      <c r="MCC514" s="1763"/>
      <c r="MCD514" s="385"/>
      <c r="MCE514" s="69"/>
      <c r="MCF514" s="69"/>
      <c r="MCG514" s="2513"/>
      <c r="MCH514" s="1761"/>
      <c r="MCI514" s="1762"/>
      <c r="MCJ514" s="1762"/>
      <c r="MCK514" s="1763"/>
      <c r="MCL514" s="385"/>
      <c r="MCM514" s="69"/>
      <c r="MCN514" s="69"/>
      <c r="MCO514" s="2513"/>
      <c r="MCP514" s="1761"/>
      <c r="MCQ514" s="1762"/>
      <c r="MCR514" s="1762"/>
      <c r="MCS514" s="1763"/>
      <c r="MCT514" s="385"/>
      <c r="MCU514" s="69"/>
      <c r="MCV514" s="69"/>
      <c r="MCW514" s="2513"/>
      <c r="MCX514" s="1761"/>
      <c r="MCY514" s="1762"/>
      <c r="MCZ514" s="1762"/>
      <c r="MDA514" s="1763"/>
      <c r="MDB514" s="385"/>
      <c r="MDC514" s="69"/>
      <c r="MDD514" s="69"/>
      <c r="MDE514" s="2513"/>
      <c r="MDF514" s="1761"/>
      <c r="MDG514" s="1762"/>
      <c r="MDH514" s="1762"/>
      <c r="MDI514" s="1763"/>
      <c r="MDJ514" s="385"/>
      <c r="MDK514" s="69"/>
      <c r="MDL514" s="69"/>
      <c r="MDM514" s="2513"/>
      <c r="MDN514" s="1761"/>
      <c r="MDO514" s="1762"/>
      <c r="MDP514" s="1762"/>
      <c r="MDQ514" s="1763"/>
      <c r="MDR514" s="385"/>
      <c r="MDS514" s="69"/>
      <c r="MDT514" s="69"/>
      <c r="MDU514" s="2513"/>
      <c r="MDV514" s="1761"/>
      <c r="MDW514" s="1762"/>
      <c r="MDX514" s="1762"/>
      <c r="MDY514" s="1763"/>
      <c r="MDZ514" s="385"/>
      <c r="MEA514" s="69"/>
      <c r="MEB514" s="69"/>
      <c r="MEC514" s="2513"/>
      <c r="MED514" s="1761"/>
      <c r="MEE514" s="1762"/>
      <c r="MEF514" s="1762"/>
      <c r="MEG514" s="1763"/>
      <c r="MEH514" s="385"/>
      <c r="MEI514" s="69"/>
      <c r="MEJ514" s="69"/>
      <c r="MEK514" s="2513"/>
      <c r="MEL514" s="1761"/>
      <c r="MEM514" s="1762"/>
      <c r="MEN514" s="1762"/>
      <c r="MEO514" s="1763"/>
      <c r="MEP514" s="385"/>
      <c r="MEQ514" s="69"/>
      <c r="MER514" s="69"/>
      <c r="MES514" s="2513"/>
      <c r="MET514" s="1761"/>
      <c r="MEU514" s="1762"/>
      <c r="MEV514" s="1762"/>
      <c r="MEW514" s="1763"/>
      <c r="MEX514" s="385"/>
      <c r="MEY514" s="69"/>
      <c r="MEZ514" s="69"/>
      <c r="MFA514" s="2513"/>
      <c r="MFB514" s="1761"/>
      <c r="MFC514" s="1762"/>
      <c r="MFD514" s="1762"/>
      <c r="MFE514" s="1763"/>
      <c r="MFF514" s="385"/>
      <c r="MFG514" s="69"/>
      <c r="MFH514" s="69"/>
      <c r="MFI514" s="2513"/>
      <c r="MFJ514" s="1761"/>
      <c r="MFK514" s="1762"/>
      <c r="MFL514" s="1762"/>
      <c r="MFM514" s="1763"/>
      <c r="MFN514" s="385"/>
      <c r="MFO514" s="69"/>
      <c r="MFP514" s="69"/>
      <c r="MFQ514" s="2513"/>
      <c r="MFR514" s="1761"/>
      <c r="MFS514" s="1762"/>
      <c r="MFT514" s="1762"/>
      <c r="MFU514" s="1763"/>
      <c r="MFV514" s="385"/>
      <c r="MFW514" s="69"/>
      <c r="MFX514" s="69"/>
      <c r="MFY514" s="2513"/>
      <c r="MFZ514" s="1761"/>
      <c r="MGA514" s="1762"/>
      <c r="MGB514" s="1762"/>
      <c r="MGC514" s="1763"/>
      <c r="MGD514" s="385"/>
      <c r="MGE514" s="69"/>
      <c r="MGF514" s="69"/>
      <c r="MGG514" s="2513"/>
      <c r="MGH514" s="1761"/>
      <c r="MGI514" s="1762"/>
      <c r="MGJ514" s="1762"/>
      <c r="MGK514" s="1763"/>
      <c r="MGL514" s="385"/>
      <c r="MGM514" s="69"/>
      <c r="MGN514" s="69"/>
      <c r="MGO514" s="2513"/>
      <c r="MGP514" s="1761"/>
      <c r="MGQ514" s="1762"/>
      <c r="MGR514" s="1762"/>
      <c r="MGS514" s="1763"/>
      <c r="MGT514" s="385"/>
      <c r="MGU514" s="69"/>
      <c r="MGV514" s="69"/>
      <c r="MGW514" s="2513"/>
      <c r="MGX514" s="1761"/>
      <c r="MGY514" s="1762"/>
      <c r="MGZ514" s="1762"/>
      <c r="MHA514" s="1763"/>
      <c r="MHB514" s="385"/>
      <c r="MHC514" s="69"/>
      <c r="MHD514" s="69"/>
      <c r="MHE514" s="2513"/>
      <c r="MHF514" s="1761"/>
      <c r="MHG514" s="1762"/>
      <c r="MHH514" s="1762"/>
      <c r="MHI514" s="1763"/>
      <c r="MHJ514" s="385"/>
      <c r="MHK514" s="69"/>
      <c r="MHL514" s="69"/>
      <c r="MHM514" s="2513"/>
      <c r="MHN514" s="1761"/>
      <c r="MHO514" s="1762"/>
      <c r="MHP514" s="1762"/>
      <c r="MHQ514" s="1763"/>
      <c r="MHR514" s="385"/>
      <c r="MHS514" s="69"/>
      <c r="MHT514" s="69"/>
      <c r="MHU514" s="2513"/>
      <c r="MHV514" s="1761"/>
      <c r="MHW514" s="1762"/>
      <c r="MHX514" s="1762"/>
      <c r="MHY514" s="1763"/>
      <c r="MHZ514" s="385"/>
      <c r="MIA514" s="69"/>
      <c r="MIB514" s="69"/>
      <c r="MIC514" s="2513"/>
      <c r="MID514" s="1761"/>
      <c r="MIE514" s="1762"/>
      <c r="MIF514" s="1762"/>
      <c r="MIG514" s="1763"/>
      <c r="MIH514" s="385"/>
      <c r="MII514" s="69"/>
      <c r="MIJ514" s="69"/>
      <c r="MIK514" s="2513"/>
      <c r="MIL514" s="1761"/>
      <c r="MIM514" s="1762"/>
      <c r="MIN514" s="1762"/>
      <c r="MIO514" s="1763"/>
      <c r="MIP514" s="385"/>
      <c r="MIQ514" s="69"/>
      <c r="MIR514" s="69"/>
      <c r="MIS514" s="2513"/>
      <c r="MIT514" s="1761"/>
      <c r="MIU514" s="1762"/>
      <c r="MIV514" s="1762"/>
      <c r="MIW514" s="1763"/>
      <c r="MIX514" s="385"/>
      <c r="MIY514" s="69"/>
      <c r="MIZ514" s="69"/>
      <c r="MJA514" s="2513"/>
      <c r="MJB514" s="1761"/>
      <c r="MJC514" s="1762"/>
      <c r="MJD514" s="1762"/>
      <c r="MJE514" s="1763"/>
      <c r="MJF514" s="385"/>
      <c r="MJG514" s="69"/>
      <c r="MJH514" s="69"/>
      <c r="MJI514" s="2513"/>
      <c r="MJJ514" s="1761"/>
      <c r="MJK514" s="1762"/>
      <c r="MJL514" s="1762"/>
      <c r="MJM514" s="1763"/>
      <c r="MJN514" s="385"/>
      <c r="MJO514" s="69"/>
      <c r="MJP514" s="69"/>
      <c r="MJQ514" s="2513"/>
      <c r="MJR514" s="1761"/>
      <c r="MJS514" s="1762"/>
      <c r="MJT514" s="1762"/>
      <c r="MJU514" s="1763"/>
      <c r="MJV514" s="385"/>
      <c r="MJW514" s="69"/>
      <c r="MJX514" s="69"/>
      <c r="MJY514" s="2513"/>
      <c r="MJZ514" s="1761"/>
      <c r="MKA514" s="1762"/>
      <c r="MKB514" s="1762"/>
      <c r="MKC514" s="1763"/>
      <c r="MKD514" s="385"/>
      <c r="MKE514" s="69"/>
      <c r="MKF514" s="69"/>
      <c r="MKG514" s="2513"/>
      <c r="MKH514" s="1761"/>
      <c r="MKI514" s="1762"/>
      <c r="MKJ514" s="1762"/>
      <c r="MKK514" s="1763"/>
      <c r="MKL514" s="385"/>
      <c r="MKM514" s="69"/>
      <c r="MKN514" s="69"/>
      <c r="MKO514" s="2513"/>
      <c r="MKP514" s="1761"/>
      <c r="MKQ514" s="1762"/>
      <c r="MKR514" s="1762"/>
      <c r="MKS514" s="1763"/>
      <c r="MKT514" s="385"/>
      <c r="MKU514" s="69"/>
      <c r="MKV514" s="69"/>
      <c r="MKW514" s="2513"/>
      <c r="MKX514" s="1761"/>
      <c r="MKY514" s="1762"/>
      <c r="MKZ514" s="1762"/>
      <c r="MLA514" s="1763"/>
      <c r="MLB514" s="385"/>
      <c r="MLC514" s="69"/>
      <c r="MLD514" s="69"/>
      <c r="MLE514" s="2513"/>
      <c r="MLF514" s="1761"/>
      <c r="MLG514" s="1762"/>
      <c r="MLH514" s="1762"/>
      <c r="MLI514" s="1763"/>
      <c r="MLJ514" s="385"/>
      <c r="MLK514" s="69"/>
      <c r="MLL514" s="69"/>
      <c r="MLM514" s="2513"/>
      <c r="MLN514" s="1761"/>
      <c r="MLO514" s="1762"/>
      <c r="MLP514" s="1762"/>
      <c r="MLQ514" s="1763"/>
      <c r="MLR514" s="385"/>
      <c r="MLS514" s="69"/>
      <c r="MLT514" s="69"/>
      <c r="MLU514" s="2513"/>
      <c r="MLV514" s="1761"/>
      <c r="MLW514" s="1762"/>
      <c r="MLX514" s="1762"/>
      <c r="MLY514" s="1763"/>
      <c r="MLZ514" s="385"/>
      <c r="MMA514" s="69"/>
      <c r="MMB514" s="69"/>
      <c r="MMC514" s="2513"/>
      <c r="MMD514" s="1761"/>
      <c r="MME514" s="1762"/>
      <c r="MMF514" s="1762"/>
      <c r="MMG514" s="1763"/>
      <c r="MMH514" s="385"/>
      <c r="MMI514" s="69"/>
      <c r="MMJ514" s="69"/>
      <c r="MMK514" s="2513"/>
      <c r="MML514" s="1761"/>
      <c r="MMM514" s="1762"/>
      <c r="MMN514" s="1762"/>
      <c r="MMO514" s="1763"/>
      <c r="MMP514" s="385"/>
      <c r="MMQ514" s="69"/>
      <c r="MMR514" s="69"/>
      <c r="MMS514" s="2513"/>
      <c r="MMT514" s="1761"/>
      <c r="MMU514" s="1762"/>
      <c r="MMV514" s="1762"/>
      <c r="MMW514" s="1763"/>
      <c r="MMX514" s="385"/>
      <c r="MMY514" s="69"/>
      <c r="MMZ514" s="69"/>
      <c r="MNA514" s="2513"/>
      <c r="MNB514" s="1761"/>
      <c r="MNC514" s="1762"/>
      <c r="MND514" s="1762"/>
      <c r="MNE514" s="1763"/>
      <c r="MNF514" s="385"/>
      <c r="MNG514" s="69"/>
      <c r="MNH514" s="69"/>
      <c r="MNI514" s="2513"/>
      <c r="MNJ514" s="1761"/>
      <c r="MNK514" s="1762"/>
      <c r="MNL514" s="1762"/>
      <c r="MNM514" s="1763"/>
      <c r="MNN514" s="385"/>
      <c r="MNO514" s="69"/>
      <c r="MNP514" s="69"/>
      <c r="MNQ514" s="2513"/>
      <c r="MNR514" s="1761"/>
      <c r="MNS514" s="1762"/>
      <c r="MNT514" s="1762"/>
      <c r="MNU514" s="1763"/>
      <c r="MNV514" s="385"/>
      <c r="MNW514" s="69"/>
      <c r="MNX514" s="69"/>
      <c r="MNY514" s="2513"/>
      <c r="MNZ514" s="1761"/>
      <c r="MOA514" s="1762"/>
      <c r="MOB514" s="1762"/>
      <c r="MOC514" s="1763"/>
      <c r="MOD514" s="385"/>
      <c r="MOE514" s="69"/>
      <c r="MOF514" s="69"/>
      <c r="MOG514" s="2513"/>
      <c r="MOH514" s="1761"/>
      <c r="MOI514" s="1762"/>
      <c r="MOJ514" s="1762"/>
      <c r="MOK514" s="1763"/>
      <c r="MOL514" s="385"/>
      <c r="MOM514" s="69"/>
      <c r="MON514" s="69"/>
      <c r="MOO514" s="2513"/>
      <c r="MOP514" s="1761"/>
      <c r="MOQ514" s="1762"/>
      <c r="MOR514" s="1762"/>
      <c r="MOS514" s="1763"/>
      <c r="MOT514" s="385"/>
      <c r="MOU514" s="69"/>
      <c r="MOV514" s="69"/>
      <c r="MOW514" s="2513"/>
      <c r="MOX514" s="1761"/>
      <c r="MOY514" s="1762"/>
      <c r="MOZ514" s="1762"/>
      <c r="MPA514" s="1763"/>
      <c r="MPB514" s="385"/>
      <c r="MPC514" s="69"/>
      <c r="MPD514" s="69"/>
      <c r="MPE514" s="2513"/>
      <c r="MPF514" s="1761"/>
      <c r="MPG514" s="1762"/>
      <c r="MPH514" s="1762"/>
      <c r="MPI514" s="1763"/>
      <c r="MPJ514" s="385"/>
      <c r="MPK514" s="69"/>
      <c r="MPL514" s="69"/>
      <c r="MPM514" s="2513"/>
      <c r="MPN514" s="1761"/>
      <c r="MPO514" s="1762"/>
      <c r="MPP514" s="1762"/>
      <c r="MPQ514" s="1763"/>
      <c r="MPR514" s="385"/>
      <c r="MPS514" s="69"/>
      <c r="MPT514" s="69"/>
      <c r="MPU514" s="2513"/>
      <c r="MPV514" s="1761"/>
      <c r="MPW514" s="1762"/>
      <c r="MPX514" s="1762"/>
      <c r="MPY514" s="1763"/>
      <c r="MPZ514" s="385"/>
      <c r="MQA514" s="69"/>
      <c r="MQB514" s="69"/>
      <c r="MQC514" s="2513"/>
      <c r="MQD514" s="1761"/>
      <c r="MQE514" s="1762"/>
      <c r="MQF514" s="1762"/>
      <c r="MQG514" s="1763"/>
      <c r="MQH514" s="385"/>
      <c r="MQI514" s="69"/>
      <c r="MQJ514" s="69"/>
      <c r="MQK514" s="2513"/>
      <c r="MQL514" s="1761"/>
      <c r="MQM514" s="1762"/>
      <c r="MQN514" s="1762"/>
      <c r="MQO514" s="1763"/>
      <c r="MQP514" s="385"/>
      <c r="MQQ514" s="69"/>
      <c r="MQR514" s="69"/>
      <c r="MQS514" s="2513"/>
      <c r="MQT514" s="1761"/>
      <c r="MQU514" s="1762"/>
      <c r="MQV514" s="1762"/>
      <c r="MQW514" s="1763"/>
      <c r="MQX514" s="385"/>
      <c r="MQY514" s="69"/>
      <c r="MQZ514" s="69"/>
      <c r="MRA514" s="2513"/>
      <c r="MRB514" s="1761"/>
      <c r="MRC514" s="1762"/>
      <c r="MRD514" s="1762"/>
      <c r="MRE514" s="1763"/>
      <c r="MRF514" s="385"/>
      <c r="MRG514" s="69"/>
      <c r="MRH514" s="69"/>
      <c r="MRI514" s="2513"/>
      <c r="MRJ514" s="1761"/>
      <c r="MRK514" s="1762"/>
      <c r="MRL514" s="1762"/>
      <c r="MRM514" s="1763"/>
      <c r="MRN514" s="385"/>
      <c r="MRO514" s="69"/>
      <c r="MRP514" s="69"/>
      <c r="MRQ514" s="2513"/>
      <c r="MRR514" s="1761"/>
      <c r="MRS514" s="1762"/>
      <c r="MRT514" s="1762"/>
      <c r="MRU514" s="1763"/>
      <c r="MRV514" s="385"/>
      <c r="MRW514" s="69"/>
      <c r="MRX514" s="69"/>
      <c r="MRY514" s="2513"/>
      <c r="MRZ514" s="1761"/>
      <c r="MSA514" s="1762"/>
      <c r="MSB514" s="1762"/>
      <c r="MSC514" s="1763"/>
      <c r="MSD514" s="385"/>
      <c r="MSE514" s="69"/>
      <c r="MSF514" s="69"/>
      <c r="MSG514" s="2513"/>
      <c r="MSH514" s="1761"/>
      <c r="MSI514" s="1762"/>
      <c r="MSJ514" s="1762"/>
      <c r="MSK514" s="1763"/>
      <c r="MSL514" s="385"/>
      <c r="MSM514" s="69"/>
      <c r="MSN514" s="69"/>
      <c r="MSO514" s="2513"/>
      <c r="MSP514" s="1761"/>
      <c r="MSQ514" s="1762"/>
      <c r="MSR514" s="1762"/>
      <c r="MSS514" s="1763"/>
      <c r="MST514" s="385"/>
      <c r="MSU514" s="69"/>
      <c r="MSV514" s="69"/>
      <c r="MSW514" s="2513"/>
      <c r="MSX514" s="1761"/>
      <c r="MSY514" s="1762"/>
      <c r="MSZ514" s="1762"/>
      <c r="MTA514" s="1763"/>
      <c r="MTB514" s="385"/>
      <c r="MTC514" s="69"/>
      <c r="MTD514" s="69"/>
      <c r="MTE514" s="2513"/>
      <c r="MTF514" s="1761"/>
      <c r="MTG514" s="1762"/>
      <c r="MTH514" s="1762"/>
      <c r="MTI514" s="1763"/>
      <c r="MTJ514" s="385"/>
      <c r="MTK514" s="69"/>
      <c r="MTL514" s="69"/>
      <c r="MTM514" s="2513"/>
      <c r="MTN514" s="1761"/>
      <c r="MTO514" s="1762"/>
      <c r="MTP514" s="1762"/>
      <c r="MTQ514" s="1763"/>
      <c r="MTR514" s="385"/>
      <c r="MTS514" s="69"/>
      <c r="MTT514" s="69"/>
      <c r="MTU514" s="2513"/>
      <c r="MTV514" s="1761"/>
      <c r="MTW514" s="1762"/>
      <c r="MTX514" s="1762"/>
      <c r="MTY514" s="1763"/>
      <c r="MTZ514" s="385"/>
      <c r="MUA514" s="69"/>
      <c r="MUB514" s="69"/>
      <c r="MUC514" s="2513"/>
      <c r="MUD514" s="1761"/>
      <c r="MUE514" s="1762"/>
      <c r="MUF514" s="1762"/>
      <c r="MUG514" s="1763"/>
      <c r="MUH514" s="385"/>
      <c r="MUI514" s="69"/>
      <c r="MUJ514" s="69"/>
      <c r="MUK514" s="2513"/>
      <c r="MUL514" s="1761"/>
      <c r="MUM514" s="1762"/>
      <c r="MUN514" s="1762"/>
      <c r="MUO514" s="1763"/>
      <c r="MUP514" s="385"/>
      <c r="MUQ514" s="69"/>
      <c r="MUR514" s="69"/>
      <c r="MUS514" s="2513"/>
      <c r="MUT514" s="1761"/>
      <c r="MUU514" s="1762"/>
      <c r="MUV514" s="1762"/>
      <c r="MUW514" s="1763"/>
      <c r="MUX514" s="385"/>
      <c r="MUY514" s="69"/>
      <c r="MUZ514" s="69"/>
      <c r="MVA514" s="2513"/>
      <c r="MVB514" s="1761"/>
      <c r="MVC514" s="1762"/>
      <c r="MVD514" s="1762"/>
      <c r="MVE514" s="1763"/>
      <c r="MVF514" s="385"/>
      <c r="MVG514" s="69"/>
      <c r="MVH514" s="69"/>
      <c r="MVI514" s="2513"/>
      <c r="MVJ514" s="1761"/>
      <c r="MVK514" s="1762"/>
      <c r="MVL514" s="1762"/>
      <c r="MVM514" s="1763"/>
      <c r="MVN514" s="385"/>
      <c r="MVO514" s="69"/>
      <c r="MVP514" s="69"/>
      <c r="MVQ514" s="2513"/>
      <c r="MVR514" s="1761"/>
      <c r="MVS514" s="1762"/>
      <c r="MVT514" s="1762"/>
      <c r="MVU514" s="1763"/>
      <c r="MVV514" s="385"/>
      <c r="MVW514" s="69"/>
      <c r="MVX514" s="69"/>
      <c r="MVY514" s="2513"/>
      <c r="MVZ514" s="1761"/>
      <c r="MWA514" s="1762"/>
      <c r="MWB514" s="1762"/>
      <c r="MWC514" s="1763"/>
      <c r="MWD514" s="385"/>
      <c r="MWE514" s="69"/>
      <c r="MWF514" s="69"/>
      <c r="MWG514" s="2513"/>
      <c r="MWH514" s="1761"/>
      <c r="MWI514" s="1762"/>
      <c r="MWJ514" s="1762"/>
      <c r="MWK514" s="1763"/>
      <c r="MWL514" s="385"/>
      <c r="MWM514" s="69"/>
      <c r="MWN514" s="69"/>
      <c r="MWO514" s="2513"/>
      <c r="MWP514" s="1761"/>
      <c r="MWQ514" s="1762"/>
      <c r="MWR514" s="1762"/>
      <c r="MWS514" s="1763"/>
      <c r="MWT514" s="385"/>
      <c r="MWU514" s="69"/>
      <c r="MWV514" s="69"/>
      <c r="MWW514" s="2513"/>
      <c r="MWX514" s="1761"/>
      <c r="MWY514" s="1762"/>
      <c r="MWZ514" s="1762"/>
      <c r="MXA514" s="1763"/>
      <c r="MXB514" s="385"/>
      <c r="MXC514" s="69"/>
      <c r="MXD514" s="69"/>
      <c r="MXE514" s="2513"/>
      <c r="MXF514" s="1761"/>
      <c r="MXG514" s="1762"/>
      <c r="MXH514" s="1762"/>
      <c r="MXI514" s="1763"/>
      <c r="MXJ514" s="385"/>
      <c r="MXK514" s="69"/>
      <c r="MXL514" s="69"/>
      <c r="MXM514" s="2513"/>
      <c r="MXN514" s="1761"/>
      <c r="MXO514" s="1762"/>
      <c r="MXP514" s="1762"/>
      <c r="MXQ514" s="1763"/>
      <c r="MXR514" s="385"/>
      <c r="MXS514" s="69"/>
      <c r="MXT514" s="69"/>
      <c r="MXU514" s="2513"/>
      <c r="MXV514" s="1761"/>
      <c r="MXW514" s="1762"/>
      <c r="MXX514" s="1762"/>
      <c r="MXY514" s="1763"/>
      <c r="MXZ514" s="385"/>
      <c r="MYA514" s="69"/>
      <c r="MYB514" s="69"/>
      <c r="MYC514" s="2513"/>
      <c r="MYD514" s="1761"/>
      <c r="MYE514" s="1762"/>
      <c r="MYF514" s="1762"/>
      <c r="MYG514" s="1763"/>
      <c r="MYH514" s="385"/>
      <c r="MYI514" s="69"/>
      <c r="MYJ514" s="69"/>
      <c r="MYK514" s="2513"/>
      <c r="MYL514" s="1761"/>
      <c r="MYM514" s="1762"/>
      <c r="MYN514" s="1762"/>
      <c r="MYO514" s="1763"/>
      <c r="MYP514" s="385"/>
      <c r="MYQ514" s="69"/>
      <c r="MYR514" s="69"/>
      <c r="MYS514" s="2513"/>
      <c r="MYT514" s="1761"/>
      <c r="MYU514" s="1762"/>
      <c r="MYV514" s="1762"/>
      <c r="MYW514" s="1763"/>
      <c r="MYX514" s="385"/>
      <c r="MYY514" s="69"/>
      <c r="MYZ514" s="69"/>
      <c r="MZA514" s="2513"/>
      <c r="MZB514" s="1761"/>
      <c r="MZC514" s="1762"/>
      <c r="MZD514" s="1762"/>
      <c r="MZE514" s="1763"/>
      <c r="MZF514" s="385"/>
      <c r="MZG514" s="69"/>
      <c r="MZH514" s="69"/>
      <c r="MZI514" s="2513"/>
      <c r="MZJ514" s="1761"/>
      <c r="MZK514" s="1762"/>
      <c r="MZL514" s="1762"/>
      <c r="MZM514" s="1763"/>
      <c r="MZN514" s="385"/>
      <c r="MZO514" s="69"/>
      <c r="MZP514" s="69"/>
      <c r="MZQ514" s="2513"/>
      <c r="MZR514" s="1761"/>
      <c r="MZS514" s="1762"/>
      <c r="MZT514" s="1762"/>
      <c r="MZU514" s="1763"/>
      <c r="MZV514" s="385"/>
      <c r="MZW514" s="69"/>
      <c r="MZX514" s="69"/>
      <c r="MZY514" s="2513"/>
      <c r="MZZ514" s="1761"/>
      <c r="NAA514" s="1762"/>
      <c r="NAB514" s="1762"/>
      <c r="NAC514" s="1763"/>
      <c r="NAD514" s="385"/>
      <c r="NAE514" s="69"/>
      <c r="NAF514" s="69"/>
      <c r="NAG514" s="2513"/>
      <c r="NAH514" s="1761"/>
      <c r="NAI514" s="1762"/>
      <c r="NAJ514" s="1762"/>
      <c r="NAK514" s="1763"/>
      <c r="NAL514" s="385"/>
      <c r="NAM514" s="69"/>
      <c r="NAN514" s="69"/>
      <c r="NAO514" s="2513"/>
      <c r="NAP514" s="1761"/>
      <c r="NAQ514" s="1762"/>
      <c r="NAR514" s="1762"/>
      <c r="NAS514" s="1763"/>
      <c r="NAT514" s="385"/>
      <c r="NAU514" s="69"/>
      <c r="NAV514" s="69"/>
      <c r="NAW514" s="2513"/>
      <c r="NAX514" s="1761"/>
      <c r="NAY514" s="1762"/>
      <c r="NAZ514" s="1762"/>
      <c r="NBA514" s="1763"/>
      <c r="NBB514" s="385"/>
      <c r="NBC514" s="69"/>
      <c r="NBD514" s="69"/>
      <c r="NBE514" s="2513"/>
      <c r="NBF514" s="1761"/>
      <c r="NBG514" s="1762"/>
      <c r="NBH514" s="1762"/>
      <c r="NBI514" s="1763"/>
      <c r="NBJ514" s="385"/>
      <c r="NBK514" s="69"/>
      <c r="NBL514" s="69"/>
      <c r="NBM514" s="2513"/>
      <c r="NBN514" s="1761"/>
      <c r="NBO514" s="1762"/>
      <c r="NBP514" s="1762"/>
      <c r="NBQ514" s="1763"/>
      <c r="NBR514" s="385"/>
      <c r="NBS514" s="69"/>
      <c r="NBT514" s="69"/>
      <c r="NBU514" s="2513"/>
      <c r="NBV514" s="1761"/>
      <c r="NBW514" s="1762"/>
      <c r="NBX514" s="1762"/>
      <c r="NBY514" s="1763"/>
      <c r="NBZ514" s="385"/>
      <c r="NCA514" s="69"/>
      <c r="NCB514" s="69"/>
      <c r="NCC514" s="2513"/>
      <c r="NCD514" s="1761"/>
      <c r="NCE514" s="1762"/>
      <c r="NCF514" s="1762"/>
      <c r="NCG514" s="1763"/>
      <c r="NCH514" s="385"/>
      <c r="NCI514" s="69"/>
      <c r="NCJ514" s="69"/>
      <c r="NCK514" s="2513"/>
      <c r="NCL514" s="1761"/>
      <c r="NCM514" s="1762"/>
      <c r="NCN514" s="1762"/>
      <c r="NCO514" s="1763"/>
      <c r="NCP514" s="385"/>
      <c r="NCQ514" s="69"/>
      <c r="NCR514" s="69"/>
      <c r="NCS514" s="2513"/>
      <c r="NCT514" s="1761"/>
      <c r="NCU514" s="1762"/>
      <c r="NCV514" s="1762"/>
      <c r="NCW514" s="1763"/>
      <c r="NCX514" s="385"/>
      <c r="NCY514" s="69"/>
      <c r="NCZ514" s="69"/>
      <c r="NDA514" s="2513"/>
      <c r="NDB514" s="1761"/>
      <c r="NDC514" s="1762"/>
      <c r="NDD514" s="1762"/>
      <c r="NDE514" s="1763"/>
      <c r="NDF514" s="385"/>
      <c r="NDG514" s="69"/>
      <c r="NDH514" s="69"/>
      <c r="NDI514" s="2513"/>
      <c r="NDJ514" s="1761"/>
      <c r="NDK514" s="1762"/>
      <c r="NDL514" s="1762"/>
      <c r="NDM514" s="1763"/>
      <c r="NDN514" s="385"/>
      <c r="NDO514" s="69"/>
      <c r="NDP514" s="69"/>
      <c r="NDQ514" s="2513"/>
      <c r="NDR514" s="1761"/>
      <c r="NDS514" s="1762"/>
      <c r="NDT514" s="1762"/>
      <c r="NDU514" s="1763"/>
      <c r="NDV514" s="385"/>
      <c r="NDW514" s="69"/>
      <c r="NDX514" s="69"/>
      <c r="NDY514" s="2513"/>
      <c r="NDZ514" s="1761"/>
      <c r="NEA514" s="1762"/>
      <c r="NEB514" s="1762"/>
      <c r="NEC514" s="1763"/>
      <c r="NED514" s="385"/>
      <c r="NEE514" s="69"/>
      <c r="NEF514" s="69"/>
      <c r="NEG514" s="2513"/>
      <c r="NEH514" s="1761"/>
      <c r="NEI514" s="1762"/>
      <c r="NEJ514" s="1762"/>
      <c r="NEK514" s="1763"/>
      <c r="NEL514" s="385"/>
      <c r="NEM514" s="69"/>
      <c r="NEN514" s="69"/>
      <c r="NEO514" s="2513"/>
      <c r="NEP514" s="1761"/>
      <c r="NEQ514" s="1762"/>
      <c r="NER514" s="1762"/>
      <c r="NES514" s="1763"/>
      <c r="NET514" s="385"/>
      <c r="NEU514" s="69"/>
      <c r="NEV514" s="69"/>
      <c r="NEW514" s="2513"/>
      <c r="NEX514" s="1761"/>
      <c r="NEY514" s="1762"/>
      <c r="NEZ514" s="1762"/>
      <c r="NFA514" s="1763"/>
      <c r="NFB514" s="385"/>
      <c r="NFC514" s="69"/>
      <c r="NFD514" s="69"/>
      <c r="NFE514" s="2513"/>
      <c r="NFF514" s="1761"/>
      <c r="NFG514" s="1762"/>
      <c r="NFH514" s="1762"/>
      <c r="NFI514" s="1763"/>
      <c r="NFJ514" s="385"/>
      <c r="NFK514" s="69"/>
      <c r="NFL514" s="69"/>
      <c r="NFM514" s="2513"/>
      <c r="NFN514" s="1761"/>
      <c r="NFO514" s="1762"/>
      <c r="NFP514" s="1762"/>
      <c r="NFQ514" s="1763"/>
      <c r="NFR514" s="385"/>
      <c r="NFS514" s="69"/>
      <c r="NFT514" s="69"/>
      <c r="NFU514" s="2513"/>
      <c r="NFV514" s="1761"/>
      <c r="NFW514" s="1762"/>
      <c r="NFX514" s="1762"/>
      <c r="NFY514" s="1763"/>
      <c r="NFZ514" s="385"/>
      <c r="NGA514" s="69"/>
      <c r="NGB514" s="69"/>
      <c r="NGC514" s="2513"/>
      <c r="NGD514" s="1761"/>
      <c r="NGE514" s="1762"/>
      <c r="NGF514" s="1762"/>
      <c r="NGG514" s="1763"/>
      <c r="NGH514" s="385"/>
      <c r="NGI514" s="69"/>
      <c r="NGJ514" s="69"/>
      <c r="NGK514" s="2513"/>
      <c r="NGL514" s="1761"/>
      <c r="NGM514" s="1762"/>
      <c r="NGN514" s="1762"/>
      <c r="NGO514" s="1763"/>
      <c r="NGP514" s="385"/>
      <c r="NGQ514" s="69"/>
      <c r="NGR514" s="69"/>
      <c r="NGS514" s="2513"/>
      <c r="NGT514" s="1761"/>
      <c r="NGU514" s="1762"/>
      <c r="NGV514" s="1762"/>
      <c r="NGW514" s="1763"/>
      <c r="NGX514" s="385"/>
      <c r="NGY514" s="69"/>
      <c r="NGZ514" s="69"/>
      <c r="NHA514" s="2513"/>
      <c r="NHB514" s="1761"/>
      <c r="NHC514" s="1762"/>
      <c r="NHD514" s="1762"/>
      <c r="NHE514" s="1763"/>
      <c r="NHF514" s="385"/>
      <c r="NHG514" s="69"/>
      <c r="NHH514" s="69"/>
      <c r="NHI514" s="2513"/>
      <c r="NHJ514" s="1761"/>
      <c r="NHK514" s="1762"/>
      <c r="NHL514" s="1762"/>
      <c r="NHM514" s="1763"/>
      <c r="NHN514" s="385"/>
      <c r="NHO514" s="69"/>
      <c r="NHP514" s="69"/>
      <c r="NHQ514" s="2513"/>
      <c r="NHR514" s="1761"/>
      <c r="NHS514" s="1762"/>
      <c r="NHT514" s="1762"/>
      <c r="NHU514" s="1763"/>
      <c r="NHV514" s="385"/>
      <c r="NHW514" s="69"/>
      <c r="NHX514" s="69"/>
      <c r="NHY514" s="2513"/>
      <c r="NHZ514" s="1761"/>
      <c r="NIA514" s="1762"/>
      <c r="NIB514" s="1762"/>
      <c r="NIC514" s="1763"/>
      <c r="NID514" s="385"/>
      <c r="NIE514" s="69"/>
      <c r="NIF514" s="69"/>
      <c r="NIG514" s="2513"/>
      <c r="NIH514" s="1761"/>
      <c r="NII514" s="1762"/>
      <c r="NIJ514" s="1762"/>
      <c r="NIK514" s="1763"/>
      <c r="NIL514" s="385"/>
      <c r="NIM514" s="69"/>
      <c r="NIN514" s="69"/>
      <c r="NIO514" s="2513"/>
      <c r="NIP514" s="1761"/>
      <c r="NIQ514" s="1762"/>
      <c r="NIR514" s="1762"/>
      <c r="NIS514" s="1763"/>
      <c r="NIT514" s="385"/>
      <c r="NIU514" s="69"/>
      <c r="NIV514" s="69"/>
      <c r="NIW514" s="2513"/>
      <c r="NIX514" s="1761"/>
      <c r="NIY514" s="1762"/>
      <c r="NIZ514" s="1762"/>
      <c r="NJA514" s="1763"/>
      <c r="NJB514" s="385"/>
      <c r="NJC514" s="69"/>
      <c r="NJD514" s="69"/>
      <c r="NJE514" s="2513"/>
      <c r="NJF514" s="1761"/>
      <c r="NJG514" s="1762"/>
      <c r="NJH514" s="1762"/>
      <c r="NJI514" s="1763"/>
      <c r="NJJ514" s="385"/>
      <c r="NJK514" s="69"/>
      <c r="NJL514" s="69"/>
      <c r="NJM514" s="2513"/>
      <c r="NJN514" s="1761"/>
      <c r="NJO514" s="1762"/>
      <c r="NJP514" s="1762"/>
      <c r="NJQ514" s="1763"/>
      <c r="NJR514" s="385"/>
      <c r="NJS514" s="69"/>
      <c r="NJT514" s="69"/>
      <c r="NJU514" s="2513"/>
      <c r="NJV514" s="1761"/>
      <c r="NJW514" s="1762"/>
      <c r="NJX514" s="1762"/>
      <c r="NJY514" s="1763"/>
      <c r="NJZ514" s="385"/>
      <c r="NKA514" s="69"/>
      <c r="NKB514" s="69"/>
      <c r="NKC514" s="2513"/>
      <c r="NKD514" s="1761"/>
      <c r="NKE514" s="1762"/>
      <c r="NKF514" s="1762"/>
      <c r="NKG514" s="1763"/>
      <c r="NKH514" s="385"/>
      <c r="NKI514" s="69"/>
      <c r="NKJ514" s="69"/>
      <c r="NKK514" s="2513"/>
      <c r="NKL514" s="1761"/>
      <c r="NKM514" s="1762"/>
      <c r="NKN514" s="1762"/>
      <c r="NKO514" s="1763"/>
      <c r="NKP514" s="385"/>
      <c r="NKQ514" s="69"/>
      <c r="NKR514" s="69"/>
      <c r="NKS514" s="2513"/>
      <c r="NKT514" s="1761"/>
      <c r="NKU514" s="1762"/>
      <c r="NKV514" s="1762"/>
      <c r="NKW514" s="1763"/>
      <c r="NKX514" s="385"/>
      <c r="NKY514" s="69"/>
      <c r="NKZ514" s="69"/>
      <c r="NLA514" s="2513"/>
      <c r="NLB514" s="1761"/>
      <c r="NLC514" s="1762"/>
      <c r="NLD514" s="1762"/>
      <c r="NLE514" s="1763"/>
      <c r="NLF514" s="385"/>
      <c r="NLG514" s="69"/>
      <c r="NLH514" s="69"/>
      <c r="NLI514" s="2513"/>
      <c r="NLJ514" s="1761"/>
      <c r="NLK514" s="1762"/>
      <c r="NLL514" s="1762"/>
      <c r="NLM514" s="1763"/>
      <c r="NLN514" s="385"/>
      <c r="NLO514" s="69"/>
      <c r="NLP514" s="69"/>
      <c r="NLQ514" s="2513"/>
      <c r="NLR514" s="1761"/>
      <c r="NLS514" s="1762"/>
      <c r="NLT514" s="1762"/>
      <c r="NLU514" s="1763"/>
      <c r="NLV514" s="385"/>
      <c r="NLW514" s="69"/>
      <c r="NLX514" s="69"/>
      <c r="NLY514" s="2513"/>
      <c r="NLZ514" s="1761"/>
      <c r="NMA514" s="1762"/>
      <c r="NMB514" s="1762"/>
      <c r="NMC514" s="1763"/>
      <c r="NMD514" s="385"/>
      <c r="NME514" s="69"/>
      <c r="NMF514" s="69"/>
      <c r="NMG514" s="2513"/>
      <c r="NMH514" s="1761"/>
      <c r="NMI514" s="1762"/>
      <c r="NMJ514" s="1762"/>
      <c r="NMK514" s="1763"/>
      <c r="NML514" s="385"/>
      <c r="NMM514" s="69"/>
      <c r="NMN514" s="69"/>
      <c r="NMO514" s="2513"/>
      <c r="NMP514" s="1761"/>
      <c r="NMQ514" s="1762"/>
      <c r="NMR514" s="1762"/>
      <c r="NMS514" s="1763"/>
      <c r="NMT514" s="385"/>
      <c r="NMU514" s="69"/>
      <c r="NMV514" s="69"/>
      <c r="NMW514" s="2513"/>
      <c r="NMX514" s="1761"/>
      <c r="NMY514" s="1762"/>
      <c r="NMZ514" s="1762"/>
      <c r="NNA514" s="1763"/>
      <c r="NNB514" s="385"/>
      <c r="NNC514" s="69"/>
      <c r="NND514" s="69"/>
      <c r="NNE514" s="2513"/>
      <c r="NNF514" s="1761"/>
      <c r="NNG514" s="1762"/>
      <c r="NNH514" s="1762"/>
      <c r="NNI514" s="1763"/>
      <c r="NNJ514" s="385"/>
      <c r="NNK514" s="69"/>
      <c r="NNL514" s="69"/>
      <c r="NNM514" s="2513"/>
      <c r="NNN514" s="1761"/>
      <c r="NNO514" s="1762"/>
      <c r="NNP514" s="1762"/>
      <c r="NNQ514" s="1763"/>
      <c r="NNR514" s="385"/>
      <c r="NNS514" s="69"/>
      <c r="NNT514" s="69"/>
      <c r="NNU514" s="2513"/>
      <c r="NNV514" s="1761"/>
      <c r="NNW514" s="1762"/>
      <c r="NNX514" s="1762"/>
      <c r="NNY514" s="1763"/>
      <c r="NNZ514" s="385"/>
      <c r="NOA514" s="69"/>
      <c r="NOB514" s="69"/>
      <c r="NOC514" s="2513"/>
      <c r="NOD514" s="1761"/>
      <c r="NOE514" s="1762"/>
      <c r="NOF514" s="1762"/>
      <c r="NOG514" s="1763"/>
      <c r="NOH514" s="385"/>
      <c r="NOI514" s="69"/>
      <c r="NOJ514" s="69"/>
      <c r="NOK514" s="2513"/>
      <c r="NOL514" s="1761"/>
      <c r="NOM514" s="1762"/>
      <c r="NON514" s="1762"/>
      <c r="NOO514" s="1763"/>
      <c r="NOP514" s="385"/>
      <c r="NOQ514" s="69"/>
      <c r="NOR514" s="69"/>
      <c r="NOS514" s="2513"/>
      <c r="NOT514" s="1761"/>
      <c r="NOU514" s="1762"/>
      <c r="NOV514" s="1762"/>
      <c r="NOW514" s="1763"/>
      <c r="NOX514" s="385"/>
      <c r="NOY514" s="69"/>
      <c r="NOZ514" s="69"/>
      <c r="NPA514" s="2513"/>
      <c r="NPB514" s="1761"/>
      <c r="NPC514" s="1762"/>
      <c r="NPD514" s="1762"/>
      <c r="NPE514" s="1763"/>
      <c r="NPF514" s="385"/>
      <c r="NPG514" s="69"/>
      <c r="NPH514" s="69"/>
      <c r="NPI514" s="2513"/>
      <c r="NPJ514" s="1761"/>
      <c r="NPK514" s="1762"/>
      <c r="NPL514" s="1762"/>
      <c r="NPM514" s="1763"/>
      <c r="NPN514" s="385"/>
      <c r="NPO514" s="69"/>
      <c r="NPP514" s="69"/>
      <c r="NPQ514" s="2513"/>
      <c r="NPR514" s="1761"/>
      <c r="NPS514" s="1762"/>
      <c r="NPT514" s="1762"/>
      <c r="NPU514" s="1763"/>
      <c r="NPV514" s="385"/>
      <c r="NPW514" s="69"/>
      <c r="NPX514" s="69"/>
      <c r="NPY514" s="2513"/>
      <c r="NPZ514" s="1761"/>
      <c r="NQA514" s="1762"/>
      <c r="NQB514" s="1762"/>
      <c r="NQC514" s="1763"/>
      <c r="NQD514" s="385"/>
      <c r="NQE514" s="69"/>
      <c r="NQF514" s="69"/>
      <c r="NQG514" s="2513"/>
      <c r="NQH514" s="1761"/>
      <c r="NQI514" s="1762"/>
      <c r="NQJ514" s="1762"/>
      <c r="NQK514" s="1763"/>
      <c r="NQL514" s="385"/>
      <c r="NQM514" s="69"/>
      <c r="NQN514" s="69"/>
      <c r="NQO514" s="2513"/>
      <c r="NQP514" s="1761"/>
      <c r="NQQ514" s="1762"/>
      <c r="NQR514" s="1762"/>
      <c r="NQS514" s="1763"/>
      <c r="NQT514" s="385"/>
      <c r="NQU514" s="69"/>
      <c r="NQV514" s="69"/>
      <c r="NQW514" s="2513"/>
      <c r="NQX514" s="1761"/>
      <c r="NQY514" s="1762"/>
      <c r="NQZ514" s="1762"/>
      <c r="NRA514" s="1763"/>
      <c r="NRB514" s="385"/>
      <c r="NRC514" s="69"/>
      <c r="NRD514" s="69"/>
      <c r="NRE514" s="2513"/>
      <c r="NRF514" s="1761"/>
      <c r="NRG514" s="1762"/>
      <c r="NRH514" s="1762"/>
      <c r="NRI514" s="1763"/>
      <c r="NRJ514" s="385"/>
      <c r="NRK514" s="69"/>
      <c r="NRL514" s="69"/>
      <c r="NRM514" s="2513"/>
      <c r="NRN514" s="1761"/>
      <c r="NRO514" s="1762"/>
      <c r="NRP514" s="1762"/>
      <c r="NRQ514" s="1763"/>
      <c r="NRR514" s="385"/>
      <c r="NRS514" s="69"/>
      <c r="NRT514" s="69"/>
      <c r="NRU514" s="2513"/>
      <c r="NRV514" s="1761"/>
      <c r="NRW514" s="1762"/>
      <c r="NRX514" s="1762"/>
      <c r="NRY514" s="1763"/>
      <c r="NRZ514" s="385"/>
      <c r="NSA514" s="69"/>
      <c r="NSB514" s="69"/>
      <c r="NSC514" s="2513"/>
      <c r="NSD514" s="1761"/>
      <c r="NSE514" s="1762"/>
      <c r="NSF514" s="1762"/>
      <c r="NSG514" s="1763"/>
      <c r="NSH514" s="385"/>
      <c r="NSI514" s="69"/>
      <c r="NSJ514" s="69"/>
      <c r="NSK514" s="2513"/>
      <c r="NSL514" s="1761"/>
      <c r="NSM514" s="1762"/>
      <c r="NSN514" s="1762"/>
      <c r="NSO514" s="1763"/>
      <c r="NSP514" s="385"/>
      <c r="NSQ514" s="69"/>
      <c r="NSR514" s="69"/>
      <c r="NSS514" s="2513"/>
      <c r="NST514" s="1761"/>
      <c r="NSU514" s="1762"/>
      <c r="NSV514" s="1762"/>
      <c r="NSW514" s="1763"/>
      <c r="NSX514" s="385"/>
      <c r="NSY514" s="69"/>
      <c r="NSZ514" s="69"/>
      <c r="NTA514" s="2513"/>
      <c r="NTB514" s="1761"/>
      <c r="NTC514" s="1762"/>
      <c r="NTD514" s="1762"/>
      <c r="NTE514" s="1763"/>
      <c r="NTF514" s="385"/>
      <c r="NTG514" s="69"/>
      <c r="NTH514" s="69"/>
      <c r="NTI514" s="2513"/>
      <c r="NTJ514" s="1761"/>
      <c r="NTK514" s="1762"/>
      <c r="NTL514" s="1762"/>
      <c r="NTM514" s="1763"/>
      <c r="NTN514" s="385"/>
      <c r="NTO514" s="69"/>
      <c r="NTP514" s="69"/>
      <c r="NTQ514" s="2513"/>
      <c r="NTR514" s="1761"/>
      <c r="NTS514" s="1762"/>
      <c r="NTT514" s="1762"/>
      <c r="NTU514" s="1763"/>
      <c r="NTV514" s="385"/>
      <c r="NTW514" s="69"/>
      <c r="NTX514" s="69"/>
      <c r="NTY514" s="2513"/>
      <c r="NTZ514" s="1761"/>
      <c r="NUA514" s="1762"/>
      <c r="NUB514" s="1762"/>
      <c r="NUC514" s="1763"/>
      <c r="NUD514" s="385"/>
      <c r="NUE514" s="69"/>
      <c r="NUF514" s="69"/>
      <c r="NUG514" s="2513"/>
      <c r="NUH514" s="1761"/>
      <c r="NUI514" s="1762"/>
      <c r="NUJ514" s="1762"/>
      <c r="NUK514" s="1763"/>
      <c r="NUL514" s="385"/>
      <c r="NUM514" s="69"/>
      <c r="NUN514" s="69"/>
      <c r="NUO514" s="2513"/>
      <c r="NUP514" s="1761"/>
      <c r="NUQ514" s="1762"/>
      <c r="NUR514" s="1762"/>
      <c r="NUS514" s="1763"/>
      <c r="NUT514" s="385"/>
      <c r="NUU514" s="69"/>
      <c r="NUV514" s="69"/>
      <c r="NUW514" s="2513"/>
      <c r="NUX514" s="1761"/>
      <c r="NUY514" s="1762"/>
      <c r="NUZ514" s="1762"/>
      <c r="NVA514" s="1763"/>
      <c r="NVB514" s="385"/>
      <c r="NVC514" s="69"/>
      <c r="NVD514" s="69"/>
      <c r="NVE514" s="2513"/>
      <c r="NVF514" s="1761"/>
      <c r="NVG514" s="1762"/>
      <c r="NVH514" s="1762"/>
      <c r="NVI514" s="1763"/>
      <c r="NVJ514" s="385"/>
      <c r="NVK514" s="69"/>
      <c r="NVL514" s="69"/>
      <c r="NVM514" s="2513"/>
      <c r="NVN514" s="1761"/>
      <c r="NVO514" s="1762"/>
      <c r="NVP514" s="1762"/>
      <c r="NVQ514" s="1763"/>
      <c r="NVR514" s="385"/>
      <c r="NVS514" s="69"/>
      <c r="NVT514" s="69"/>
      <c r="NVU514" s="2513"/>
      <c r="NVV514" s="1761"/>
      <c r="NVW514" s="1762"/>
      <c r="NVX514" s="1762"/>
      <c r="NVY514" s="1763"/>
      <c r="NVZ514" s="385"/>
      <c r="NWA514" s="69"/>
      <c r="NWB514" s="69"/>
      <c r="NWC514" s="2513"/>
      <c r="NWD514" s="1761"/>
      <c r="NWE514" s="1762"/>
      <c r="NWF514" s="1762"/>
      <c r="NWG514" s="1763"/>
      <c r="NWH514" s="385"/>
      <c r="NWI514" s="69"/>
      <c r="NWJ514" s="69"/>
      <c r="NWK514" s="2513"/>
      <c r="NWL514" s="1761"/>
      <c r="NWM514" s="1762"/>
      <c r="NWN514" s="1762"/>
      <c r="NWO514" s="1763"/>
      <c r="NWP514" s="385"/>
      <c r="NWQ514" s="69"/>
      <c r="NWR514" s="69"/>
      <c r="NWS514" s="2513"/>
      <c r="NWT514" s="1761"/>
      <c r="NWU514" s="1762"/>
      <c r="NWV514" s="1762"/>
      <c r="NWW514" s="1763"/>
      <c r="NWX514" s="385"/>
      <c r="NWY514" s="69"/>
      <c r="NWZ514" s="69"/>
      <c r="NXA514" s="2513"/>
      <c r="NXB514" s="1761"/>
      <c r="NXC514" s="1762"/>
      <c r="NXD514" s="1762"/>
      <c r="NXE514" s="1763"/>
      <c r="NXF514" s="385"/>
      <c r="NXG514" s="69"/>
      <c r="NXH514" s="69"/>
      <c r="NXI514" s="2513"/>
      <c r="NXJ514" s="1761"/>
      <c r="NXK514" s="1762"/>
      <c r="NXL514" s="1762"/>
      <c r="NXM514" s="1763"/>
      <c r="NXN514" s="385"/>
      <c r="NXO514" s="69"/>
      <c r="NXP514" s="69"/>
      <c r="NXQ514" s="2513"/>
      <c r="NXR514" s="1761"/>
      <c r="NXS514" s="1762"/>
      <c r="NXT514" s="1762"/>
      <c r="NXU514" s="1763"/>
      <c r="NXV514" s="385"/>
      <c r="NXW514" s="69"/>
      <c r="NXX514" s="69"/>
      <c r="NXY514" s="2513"/>
      <c r="NXZ514" s="1761"/>
      <c r="NYA514" s="1762"/>
      <c r="NYB514" s="1762"/>
      <c r="NYC514" s="1763"/>
      <c r="NYD514" s="385"/>
      <c r="NYE514" s="69"/>
      <c r="NYF514" s="69"/>
      <c r="NYG514" s="2513"/>
      <c r="NYH514" s="1761"/>
      <c r="NYI514" s="1762"/>
      <c r="NYJ514" s="1762"/>
      <c r="NYK514" s="1763"/>
      <c r="NYL514" s="385"/>
      <c r="NYM514" s="69"/>
      <c r="NYN514" s="69"/>
      <c r="NYO514" s="2513"/>
      <c r="NYP514" s="1761"/>
      <c r="NYQ514" s="1762"/>
      <c r="NYR514" s="1762"/>
      <c r="NYS514" s="1763"/>
      <c r="NYT514" s="385"/>
      <c r="NYU514" s="69"/>
      <c r="NYV514" s="69"/>
      <c r="NYW514" s="2513"/>
      <c r="NYX514" s="1761"/>
      <c r="NYY514" s="1762"/>
      <c r="NYZ514" s="1762"/>
      <c r="NZA514" s="1763"/>
      <c r="NZB514" s="385"/>
      <c r="NZC514" s="69"/>
      <c r="NZD514" s="69"/>
      <c r="NZE514" s="2513"/>
      <c r="NZF514" s="1761"/>
      <c r="NZG514" s="1762"/>
      <c r="NZH514" s="1762"/>
      <c r="NZI514" s="1763"/>
      <c r="NZJ514" s="385"/>
      <c r="NZK514" s="69"/>
      <c r="NZL514" s="69"/>
      <c r="NZM514" s="2513"/>
      <c r="NZN514" s="1761"/>
      <c r="NZO514" s="1762"/>
      <c r="NZP514" s="1762"/>
      <c r="NZQ514" s="1763"/>
      <c r="NZR514" s="385"/>
      <c r="NZS514" s="69"/>
      <c r="NZT514" s="69"/>
      <c r="NZU514" s="2513"/>
      <c r="NZV514" s="1761"/>
      <c r="NZW514" s="1762"/>
      <c r="NZX514" s="1762"/>
      <c r="NZY514" s="1763"/>
      <c r="NZZ514" s="385"/>
      <c r="OAA514" s="69"/>
      <c r="OAB514" s="69"/>
      <c r="OAC514" s="2513"/>
      <c r="OAD514" s="1761"/>
      <c r="OAE514" s="1762"/>
      <c r="OAF514" s="1762"/>
      <c r="OAG514" s="1763"/>
      <c r="OAH514" s="385"/>
      <c r="OAI514" s="69"/>
      <c r="OAJ514" s="69"/>
      <c r="OAK514" s="2513"/>
      <c r="OAL514" s="1761"/>
      <c r="OAM514" s="1762"/>
      <c r="OAN514" s="1762"/>
      <c r="OAO514" s="1763"/>
      <c r="OAP514" s="385"/>
      <c r="OAQ514" s="69"/>
      <c r="OAR514" s="69"/>
      <c r="OAS514" s="2513"/>
      <c r="OAT514" s="1761"/>
      <c r="OAU514" s="1762"/>
      <c r="OAV514" s="1762"/>
      <c r="OAW514" s="1763"/>
      <c r="OAX514" s="385"/>
      <c r="OAY514" s="69"/>
      <c r="OAZ514" s="69"/>
      <c r="OBA514" s="2513"/>
      <c r="OBB514" s="1761"/>
      <c r="OBC514" s="1762"/>
      <c r="OBD514" s="1762"/>
      <c r="OBE514" s="1763"/>
      <c r="OBF514" s="385"/>
      <c r="OBG514" s="69"/>
      <c r="OBH514" s="69"/>
      <c r="OBI514" s="2513"/>
      <c r="OBJ514" s="1761"/>
      <c r="OBK514" s="1762"/>
      <c r="OBL514" s="1762"/>
      <c r="OBM514" s="1763"/>
      <c r="OBN514" s="385"/>
      <c r="OBO514" s="69"/>
      <c r="OBP514" s="69"/>
      <c r="OBQ514" s="2513"/>
      <c r="OBR514" s="1761"/>
      <c r="OBS514" s="1762"/>
      <c r="OBT514" s="1762"/>
      <c r="OBU514" s="1763"/>
      <c r="OBV514" s="385"/>
      <c r="OBW514" s="69"/>
      <c r="OBX514" s="69"/>
      <c r="OBY514" s="2513"/>
      <c r="OBZ514" s="1761"/>
      <c r="OCA514" s="1762"/>
      <c r="OCB514" s="1762"/>
      <c r="OCC514" s="1763"/>
      <c r="OCD514" s="385"/>
      <c r="OCE514" s="69"/>
      <c r="OCF514" s="69"/>
      <c r="OCG514" s="2513"/>
      <c r="OCH514" s="1761"/>
      <c r="OCI514" s="1762"/>
      <c r="OCJ514" s="1762"/>
      <c r="OCK514" s="1763"/>
      <c r="OCL514" s="385"/>
      <c r="OCM514" s="69"/>
      <c r="OCN514" s="69"/>
      <c r="OCO514" s="2513"/>
      <c r="OCP514" s="1761"/>
      <c r="OCQ514" s="1762"/>
      <c r="OCR514" s="1762"/>
      <c r="OCS514" s="1763"/>
      <c r="OCT514" s="385"/>
      <c r="OCU514" s="69"/>
      <c r="OCV514" s="69"/>
      <c r="OCW514" s="2513"/>
      <c r="OCX514" s="1761"/>
      <c r="OCY514" s="1762"/>
      <c r="OCZ514" s="1762"/>
      <c r="ODA514" s="1763"/>
      <c r="ODB514" s="385"/>
      <c r="ODC514" s="69"/>
      <c r="ODD514" s="69"/>
      <c r="ODE514" s="2513"/>
      <c r="ODF514" s="1761"/>
      <c r="ODG514" s="1762"/>
      <c r="ODH514" s="1762"/>
      <c r="ODI514" s="1763"/>
      <c r="ODJ514" s="385"/>
      <c r="ODK514" s="69"/>
      <c r="ODL514" s="69"/>
      <c r="ODM514" s="2513"/>
      <c r="ODN514" s="1761"/>
      <c r="ODO514" s="1762"/>
      <c r="ODP514" s="1762"/>
      <c r="ODQ514" s="1763"/>
      <c r="ODR514" s="385"/>
      <c r="ODS514" s="69"/>
      <c r="ODT514" s="69"/>
      <c r="ODU514" s="2513"/>
      <c r="ODV514" s="1761"/>
      <c r="ODW514" s="1762"/>
      <c r="ODX514" s="1762"/>
      <c r="ODY514" s="1763"/>
      <c r="ODZ514" s="385"/>
      <c r="OEA514" s="69"/>
      <c r="OEB514" s="69"/>
      <c r="OEC514" s="2513"/>
      <c r="OED514" s="1761"/>
      <c r="OEE514" s="1762"/>
      <c r="OEF514" s="1762"/>
      <c r="OEG514" s="1763"/>
      <c r="OEH514" s="385"/>
      <c r="OEI514" s="69"/>
      <c r="OEJ514" s="69"/>
      <c r="OEK514" s="2513"/>
      <c r="OEL514" s="1761"/>
      <c r="OEM514" s="1762"/>
      <c r="OEN514" s="1762"/>
      <c r="OEO514" s="1763"/>
      <c r="OEP514" s="385"/>
      <c r="OEQ514" s="69"/>
      <c r="OER514" s="69"/>
      <c r="OES514" s="2513"/>
      <c r="OET514" s="1761"/>
      <c r="OEU514" s="1762"/>
      <c r="OEV514" s="1762"/>
      <c r="OEW514" s="1763"/>
      <c r="OEX514" s="385"/>
      <c r="OEY514" s="69"/>
      <c r="OEZ514" s="69"/>
      <c r="OFA514" s="2513"/>
      <c r="OFB514" s="1761"/>
      <c r="OFC514" s="1762"/>
      <c r="OFD514" s="1762"/>
      <c r="OFE514" s="1763"/>
      <c r="OFF514" s="385"/>
      <c r="OFG514" s="69"/>
      <c r="OFH514" s="69"/>
      <c r="OFI514" s="2513"/>
      <c r="OFJ514" s="1761"/>
      <c r="OFK514" s="1762"/>
      <c r="OFL514" s="1762"/>
      <c r="OFM514" s="1763"/>
      <c r="OFN514" s="385"/>
      <c r="OFO514" s="69"/>
      <c r="OFP514" s="69"/>
      <c r="OFQ514" s="2513"/>
      <c r="OFR514" s="1761"/>
      <c r="OFS514" s="1762"/>
      <c r="OFT514" s="1762"/>
      <c r="OFU514" s="1763"/>
      <c r="OFV514" s="385"/>
      <c r="OFW514" s="69"/>
      <c r="OFX514" s="69"/>
      <c r="OFY514" s="2513"/>
      <c r="OFZ514" s="1761"/>
      <c r="OGA514" s="1762"/>
      <c r="OGB514" s="1762"/>
      <c r="OGC514" s="1763"/>
      <c r="OGD514" s="385"/>
      <c r="OGE514" s="69"/>
      <c r="OGF514" s="69"/>
      <c r="OGG514" s="2513"/>
      <c r="OGH514" s="1761"/>
      <c r="OGI514" s="1762"/>
      <c r="OGJ514" s="1762"/>
      <c r="OGK514" s="1763"/>
      <c r="OGL514" s="385"/>
      <c r="OGM514" s="69"/>
      <c r="OGN514" s="69"/>
      <c r="OGO514" s="2513"/>
      <c r="OGP514" s="1761"/>
      <c r="OGQ514" s="1762"/>
      <c r="OGR514" s="1762"/>
      <c r="OGS514" s="1763"/>
      <c r="OGT514" s="385"/>
      <c r="OGU514" s="69"/>
      <c r="OGV514" s="69"/>
      <c r="OGW514" s="2513"/>
      <c r="OGX514" s="1761"/>
      <c r="OGY514" s="1762"/>
      <c r="OGZ514" s="1762"/>
      <c r="OHA514" s="1763"/>
      <c r="OHB514" s="385"/>
      <c r="OHC514" s="69"/>
      <c r="OHD514" s="69"/>
      <c r="OHE514" s="2513"/>
      <c r="OHF514" s="1761"/>
      <c r="OHG514" s="1762"/>
      <c r="OHH514" s="1762"/>
      <c r="OHI514" s="1763"/>
      <c r="OHJ514" s="385"/>
      <c r="OHK514" s="69"/>
      <c r="OHL514" s="69"/>
      <c r="OHM514" s="2513"/>
      <c r="OHN514" s="1761"/>
      <c r="OHO514" s="1762"/>
      <c r="OHP514" s="1762"/>
      <c r="OHQ514" s="1763"/>
      <c r="OHR514" s="385"/>
      <c r="OHS514" s="69"/>
      <c r="OHT514" s="69"/>
      <c r="OHU514" s="2513"/>
      <c r="OHV514" s="1761"/>
      <c r="OHW514" s="1762"/>
      <c r="OHX514" s="1762"/>
      <c r="OHY514" s="1763"/>
      <c r="OHZ514" s="385"/>
      <c r="OIA514" s="69"/>
      <c r="OIB514" s="69"/>
      <c r="OIC514" s="2513"/>
      <c r="OID514" s="1761"/>
      <c r="OIE514" s="1762"/>
      <c r="OIF514" s="1762"/>
      <c r="OIG514" s="1763"/>
      <c r="OIH514" s="385"/>
      <c r="OII514" s="69"/>
      <c r="OIJ514" s="69"/>
      <c r="OIK514" s="2513"/>
      <c r="OIL514" s="1761"/>
      <c r="OIM514" s="1762"/>
      <c r="OIN514" s="1762"/>
      <c r="OIO514" s="1763"/>
      <c r="OIP514" s="385"/>
      <c r="OIQ514" s="69"/>
      <c r="OIR514" s="69"/>
      <c r="OIS514" s="2513"/>
      <c r="OIT514" s="1761"/>
      <c r="OIU514" s="1762"/>
      <c r="OIV514" s="1762"/>
      <c r="OIW514" s="1763"/>
      <c r="OIX514" s="385"/>
      <c r="OIY514" s="69"/>
      <c r="OIZ514" s="69"/>
      <c r="OJA514" s="2513"/>
      <c r="OJB514" s="1761"/>
      <c r="OJC514" s="1762"/>
      <c r="OJD514" s="1762"/>
      <c r="OJE514" s="1763"/>
      <c r="OJF514" s="385"/>
      <c r="OJG514" s="69"/>
      <c r="OJH514" s="69"/>
      <c r="OJI514" s="2513"/>
      <c r="OJJ514" s="1761"/>
      <c r="OJK514" s="1762"/>
      <c r="OJL514" s="1762"/>
      <c r="OJM514" s="1763"/>
      <c r="OJN514" s="385"/>
      <c r="OJO514" s="69"/>
      <c r="OJP514" s="69"/>
      <c r="OJQ514" s="2513"/>
      <c r="OJR514" s="1761"/>
      <c r="OJS514" s="1762"/>
      <c r="OJT514" s="1762"/>
      <c r="OJU514" s="1763"/>
      <c r="OJV514" s="385"/>
      <c r="OJW514" s="69"/>
      <c r="OJX514" s="69"/>
      <c r="OJY514" s="2513"/>
      <c r="OJZ514" s="1761"/>
      <c r="OKA514" s="1762"/>
      <c r="OKB514" s="1762"/>
      <c r="OKC514" s="1763"/>
      <c r="OKD514" s="385"/>
      <c r="OKE514" s="69"/>
      <c r="OKF514" s="69"/>
      <c r="OKG514" s="2513"/>
      <c r="OKH514" s="1761"/>
      <c r="OKI514" s="1762"/>
      <c r="OKJ514" s="1762"/>
      <c r="OKK514" s="1763"/>
      <c r="OKL514" s="385"/>
      <c r="OKM514" s="69"/>
      <c r="OKN514" s="69"/>
      <c r="OKO514" s="2513"/>
      <c r="OKP514" s="1761"/>
      <c r="OKQ514" s="1762"/>
      <c r="OKR514" s="1762"/>
      <c r="OKS514" s="1763"/>
      <c r="OKT514" s="385"/>
      <c r="OKU514" s="69"/>
      <c r="OKV514" s="69"/>
      <c r="OKW514" s="2513"/>
      <c r="OKX514" s="1761"/>
      <c r="OKY514" s="1762"/>
      <c r="OKZ514" s="1762"/>
      <c r="OLA514" s="1763"/>
      <c r="OLB514" s="385"/>
      <c r="OLC514" s="69"/>
      <c r="OLD514" s="69"/>
      <c r="OLE514" s="2513"/>
      <c r="OLF514" s="1761"/>
      <c r="OLG514" s="1762"/>
      <c r="OLH514" s="1762"/>
      <c r="OLI514" s="1763"/>
      <c r="OLJ514" s="385"/>
      <c r="OLK514" s="69"/>
      <c r="OLL514" s="69"/>
      <c r="OLM514" s="2513"/>
      <c r="OLN514" s="1761"/>
      <c r="OLO514" s="1762"/>
      <c r="OLP514" s="1762"/>
      <c r="OLQ514" s="1763"/>
      <c r="OLR514" s="385"/>
      <c r="OLS514" s="69"/>
      <c r="OLT514" s="69"/>
      <c r="OLU514" s="2513"/>
      <c r="OLV514" s="1761"/>
      <c r="OLW514" s="1762"/>
      <c r="OLX514" s="1762"/>
      <c r="OLY514" s="1763"/>
      <c r="OLZ514" s="385"/>
      <c r="OMA514" s="69"/>
      <c r="OMB514" s="69"/>
      <c r="OMC514" s="2513"/>
      <c r="OMD514" s="1761"/>
      <c r="OME514" s="1762"/>
      <c r="OMF514" s="1762"/>
      <c r="OMG514" s="1763"/>
      <c r="OMH514" s="385"/>
      <c r="OMI514" s="69"/>
      <c r="OMJ514" s="69"/>
      <c r="OMK514" s="2513"/>
      <c r="OML514" s="1761"/>
      <c r="OMM514" s="1762"/>
      <c r="OMN514" s="1762"/>
      <c r="OMO514" s="1763"/>
      <c r="OMP514" s="385"/>
      <c r="OMQ514" s="69"/>
      <c r="OMR514" s="69"/>
      <c r="OMS514" s="2513"/>
      <c r="OMT514" s="1761"/>
      <c r="OMU514" s="1762"/>
      <c r="OMV514" s="1762"/>
      <c r="OMW514" s="1763"/>
      <c r="OMX514" s="385"/>
      <c r="OMY514" s="69"/>
      <c r="OMZ514" s="69"/>
      <c r="ONA514" s="2513"/>
      <c r="ONB514" s="1761"/>
      <c r="ONC514" s="1762"/>
      <c r="OND514" s="1762"/>
      <c r="ONE514" s="1763"/>
      <c r="ONF514" s="385"/>
      <c r="ONG514" s="69"/>
      <c r="ONH514" s="69"/>
      <c r="ONI514" s="2513"/>
      <c r="ONJ514" s="1761"/>
      <c r="ONK514" s="1762"/>
      <c r="ONL514" s="1762"/>
      <c r="ONM514" s="1763"/>
      <c r="ONN514" s="385"/>
      <c r="ONO514" s="69"/>
      <c r="ONP514" s="69"/>
      <c r="ONQ514" s="2513"/>
      <c r="ONR514" s="1761"/>
      <c r="ONS514" s="1762"/>
      <c r="ONT514" s="1762"/>
      <c r="ONU514" s="1763"/>
      <c r="ONV514" s="385"/>
      <c r="ONW514" s="69"/>
      <c r="ONX514" s="69"/>
      <c r="ONY514" s="2513"/>
      <c r="ONZ514" s="1761"/>
      <c r="OOA514" s="1762"/>
      <c r="OOB514" s="1762"/>
      <c r="OOC514" s="1763"/>
      <c r="OOD514" s="385"/>
      <c r="OOE514" s="69"/>
      <c r="OOF514" s="69"/>
      <c r="OOG514" s="2513"/>
      <c r="OOH514" s="1761"/>
      <c r="OOI514" s="1762"/>
      <c r="OOJ514" s="1762"/>
      <c r="OOK514" s="1763"/>
      <c r="OOL514" s="385"/>
      <c r="OOM514" s="69"/>
      <c r="OON514" s="69"/>
      <c r="OOO514" s="2513"/>
      <c r="OOP514" s="1761"/>
      <c r="OOQ514" s="1762"/>
      <c r="OOR514" s="1762"/>
      <c r="OOS514" s="1763"/>
      <c r="OOT514" s="385"/>
      <c r="OOU514" s="69"/>
      <c r="OOV514" s="69"/>
      <c r="OOW514" s="2513"/>
      <c r="OOX514" s="1761"/>
      <c r="OOY514" s="1762"/>
      <c r="OOZ514" s="1762"/>
      <c r="OPA514" s="1763"/>
      <c r="OPB514" s="385"/>
      <c r="OPC514" s="69"/>
      <c r="OPD514" s="69"/>
      <c r="OPE514" s="2513"/>
      <c r="OPF514" s="1761"/>
      <c r="OPG514" s="1762"/>
      <c r="OPH514" s="1762"/>
      <c r="OPI514" s="1763"/>
      <c r="OPJ514" s="385"/>
      <c r="OPK514" s="69"/>
      <c r="OPL514" s="69"/>
      <c r="OPM514" s="2513"/>
      <c r="OPN514" s="1761"/>
      <c r="OPO514" s="1762"/>
      <c r="OPP514" s="1762"/>
      <c r="OPQ514" s="1763"/>
      <c r="OPR514" s="385"/>
      <c r="OPS514" s="69"/>
      <c r="OPT514" s="69"/>
      <c r="OPU514" s="2513"/>
      <c r="OPV514" s="1761"/>
      <c r="OPW514" s="1762"/>
      <c r="OPX514" s="1762"/>
      <c r="OPY514" s="1763"/>
      <c r="OPZ514" s="385"/>
      <c r="OQA514" s="69"/>
      <c r="OQB514" s="69"/>
      <c r="OQC514" s="2513"/>
      <c r="OQD514" s="1761"/>
      <c r="OQE514" s="1762"/>
      <c r="OQF514" s="1762"/>
      <c r="OQG514" s="1763"/>
      <c r="OQH514" s="385"/>
      <c r="OQI514" s="69"/>
      <c r="OQJ514" s="69"/>
      <c r="OQK514" s="2513"/>
      <c r="OQL514" s="1761"/>
      <c r="OQM514" s="1762"/>
      <c r="OQN514" s="1762"/>
      <c r="OQO514" s="1763"/>
      <c r="OQP514" s="385"/>
      <c r="OQQ514" s="69"/>
      <c r="OQR514" s="69"/>
      <c r="OQS514" s="2513"/>
      <c r="OQT514" s="1761"/>
      <c r="OQU514" s="1762"/>
      <c r="OQV514" s="1762"/>
      <c r="OQW514" s="1763"/>
      <c r="OQX514" s="385"/>
      <c r="OQY514" s="69"/>
      <c r="OQZ514" s="69"/>
      <c r="ORA514" s="2513"/>
      <c r="ORB514" s="1761"/>
      <c r="ORC514" s="1762"/>
      <c r="ORD514" s="1762"/>
      <c r="ORE514" s="1763"/>
      <c r="ORF514" s="385"/>
      <c r="ORG514" s="69"/>
      <c r="ORH514" s="69"/>
      <c r="ORI514" s="2513"/>
      <c r="ORJ514" s="1761"/>
      <c r="ORK514" s="1762"/>
      <c r="ORL514" s="1762"/>
      <c r="ORM514" s="1763"/>
      <c r="ORN514" s="385"/>
      <c r="ORO514" s="69"/>
      <c r="ORP514" s="69"/>
      <c r="ORQ514" s="2513"/>
      <c r="ORR514" s="1761"/>
      <c r="ORS514" s="1762"/>
      <c r="ORT514" s="1762"/>
      <c r="ORU514" s="1763"/>
      <c r="ORV514" s="385"/>
      <c r="ORW514" s="69"/>
      <c r="ORX514" s="69"/>
      <c r="ORY514" s="2513"/>
      <c r="ORZ514" s="1761"/>
      <c r="OSA514" s="1762"/>
      <c r="OSB514" s="1762"/>
      <c r="OSC514" s="1763"/>
      <c r="OSD514" s="385"/>
      <c r="OSE514" s="69"/>
      <c r="OSF514" s="69"/>
      <c r="OSG514" s="2513"/>
      <c r="OSH514" s="1761"/>
      <c r="OSI514" s="1762"/>
      <c r="OSJ514" s="1762"/>
      <c r="OSK514" s="1763"/>
      <c r="OSL514" s="385"/>
      <c r="OSM514" s="69"/>
      <c r="OSN514" s="69"/>
      <c r="OSO514" s="2513"/>
      <c r="OSP514" s="1761"/>
      <c r="OSQ514" s="1762"/>
      <c r="OSR514" s="1762"/>
      <c r="OSS514" s="1763"/>
      <c r="OST514" s="385"/>
      <c r="OSU514" s="69"/>
      <c r="OSV514" s="69"/>
      <c r="OSW514" s="2513"/>
      <c r="OSX514" s="1761"/>
      <c r="OSY514" s="1762"/>
      <c r="OSZ514" s="1762"/>
      <c r="OTA514" s="1763"/>
      <c r="OTB514" s="385"/>
      <c r="OTC514" s="69"/>
      <c r="OTD514" s="69"/>
      <c r="OTE514" s="2513"/>
      <c r="OTF514" s="1761"/>
      <c r="OTG514" s="1762"/>
      <c r="OTH514" s="1762"/>
      <c r="OTI514" s="1763"/>
      <c r="OTJ514" s="385"/>
      <c r="OTK514" s="69"/>
      <c r="OTL514" s="69"/>
      <c r="OTM514" s="2513"/>
      <c r="OTN514" s="1761"/>
      <c r="OTO514" s="1762"/>
      <c r="OTP514" s="1762"/>
      <c r="OTQ514" s="1763"/>
      <c r="OTR514" s="385"/>
      <c r="OTS514" s="69"/>
      <c r="OTT514" s="69"/>
      <c r="OTU514" s="2513"/>
      <c r="OTV514" s="1761"/>
      <c r="OTW514" s="1762"/>
      <c r="OTX514" s="1762"/>
      <c r="OTY514" s="1763"/>
      <c r="OTZ514" s="385"/>
      <c r="OUA514" s="69"/>
      <c r="OUB514" s="69"/>
      <c r="OUC514" s="2513"/>
      <c r="OUD514" s="1761"/>
      <c r="OUE514" s="1762"/>
      <c r="OUF514" s="1762"/>
      <c r="OUG514" s="1763"/>
      <c r="OUH514" s="385"/>
      <c r="OUI514" s="69"/>
      <c r="OUJ514" s="69"/>
      <c r="OUK514" s="2513"/>
      <c r="OUL514" s="1761"/>
      <c r="OUM514" s="1762"/>
      <c r="OUN514" s="1762"/>
      <c r="OUO514" s="1763"/>
      <c r="OUP514" s="385"/>
      <c r="OUQ514" s="69"/>
      <c r="OUR514" s="69"/>
      <c r="OUS514" s="2513"/>
      <c r="OUT514" s="1761"/>
      <c r="OUU514" s="1762"/>
      <c r="OUV514" s="1762"/>
      <c r="OUW514" s="1763"/>
      <c r="OUX514" s="385"/>
      <c r="OUY514" s="69"/>
      <c r="OUZ514" s="69"/>
      <c r="OVA514" s="2513"/>
      <c r="OVB514" s="1761"/>
      <c r="OVC514" s="1762"/>
      <c r="OVD514" s="1762"/>
      <c r="OVE514" s="1763"/>
      <c r="OVF514" s="385"/>
      <c r="OVG514" s="69"/>
      <c r="OVH514" s="69"/>
      <c r="OVI514" s="2513"/>
      <c r="OVJ514" s="1761"/>
      <c r="OVK514" s="1762"/>
      <c r="OVL514" s="1762"/>
      <c r="OVM514" s="1763"/>
      <c r="OVN514" s="385"/>
      <c r="OVO514" s="69"/>
      <c r="OVP514" s="69"/>
      <c r="OVQ514" s="2513"/>
      <c r="OVR514" s="1761"/>
      <c r="OVS514" s="1762"/>
      <c r="OVT514" s="1762"/>
      <c r="OVU514" s="1763"/>
      <c r="OVV514" s="385"/>
      <c r="OVW514" s="69"/>
      <c r="OVX514" s="69"/>
      <c r="OVY514" s="2513"/>
      <c r="OVZ514" s="1761"/>
      <c r="OWA514" s="1762"/>
      <c r="OWB514" s="1762"/>
      <c r="OWC514" s="1763"/>
      <c r="OWD514" s="385"/>
      <c r="OWE514" s="69"/>
      <c r="OWF514" s="69"/>
      <c r="OWG514" s="2513"/>
      <c r="OWH514" s="1761"/>
      <c r="OWI514" s="1762"/>
      <c r="OWJ514" s="1762"/>
      <c r="OWK514" s="1763"/>
      <c r="OWL514" s="385"/>
      <c r="OWM514" s="69"/>
      <c r="OWN514" s="69"/>
      <c r="OWO514" s="2513"/>
      <c r="OWP514" s="1761"/>
      <c r="OWQ514" s="1762"/>
      <c r="OWR514" s="1762"/>
      <c r="OWS514" s="1763"/>
      <c r="OWT514" s="385"/>
      <c r="OWU514" s="69"/>
      <c r="OWV514" s="69"/>
      <c r="OWW514" s="2513"/>
      <c r="OWX514" s="1761"/>
      <c r="OWY514" s="1762"/>
      <c r="OWZ514" s="1762"/>
      <c r="OXA514" s="1763"/>
      <c r="OXB514" s="385"/>
      <c r="OXC514" s="69"/>
      <c r="OXD514" s="69"/>
      <c r="OXE514" s="2513"/>
      <c r="OXF514" s="1761"/>
      <c r="OXG514" s="1762"/>
      <c r="OXH514" s="1762"/>
      <c r="OXI514" s="1763"/>
      <c r="OXJ514" s="385"/>
      <c r="OXK514" s="69"/>
      <c r="OXL514" s="69"/>
      <c r="OXM514" s="2513"/>
      <c r="OXN514" s="1761"/>
      <c r="OXO514" s="1762"/>
      <c r="OXP514" s="1762"/>
      <c r="OXQ514" s="1763"/>
      <c r="OXR514" s="385"/>
      <c r="OXS514" s="69"/>
      <c r="OXT514" s="69"/>
      <c r="OXU514" s="2513"/>
      <c r="OXV514" s="1761"/>
      <c r="OXW514" s="1762"/>
      <c r="OXX514" s="1762"/>
      <c r="OXY514" s="1763"/>
      <c r="OXZ514" s="385"/>
      <c r="OYA514" s="69"/>
      <c r="OYB514" s="69"/>
      <c r="OYC514" s="2513"/>
      <c r="OYD514" s="1761"/>
      <c r="OYE514" s="1762"/>
      <c r="OYF514" s="1762"/>
      <c r="OYG514" s="1763"/>
      <c r="OYH514" s="385"/>
      <c r="OYI514" s="69"/>
      <c r="OYJ514" s="69"/>
      <c r="OYK514" s="2513"/>
      <c r="OYL514" s="1761"/>
      <c r="OYM514" s="1762"/>
      <c r="OYN514" s="1762"/>
      <c r="OYO514" s="1763"/>
      <c r="OYP514" s="385"/>
      <c r="OYQ514" s="69"/>
      <c r="OYR514" s="69"/>
      <c r="OYS514" s="2513"/>
      <c r="OYT514" s="1761"/>
      <c r="OYU514" s="1762"/>
      <c r="OYV514" s="1762"/>
      <c r="OYW514" s="1763"/>
      <c r="OYX514" s="385"/>
      <c r="OYY514" s="69"/>
      <c r="OYZ514" s="69"/>
      <c r="OZA514" s="2513"/>
      <c r="OZB514" s="1761"/>
      <c r="OZC514" s="1762"/>
      <c r="OZD514" s="1762"/>
      <c r="OZE514" s="1763"/>
      <c r="OZF514" s="385"/>
      <c r="OZG514" s="69"/>
      <c r="OZH514" s="69"/>
      <c r="OZI514" s="2513"/>
      <c r="OZJ514" s="1761"/>
      <c r="OZK514" s="1762"/>
      <c r="OZL514" s="1762"/>
      <c r="OZM514" s="1763"/>
      <c r="OZN514" s="385"/>
      <c r="OZO514" s="69"/>
      <c r="OZP514" s="69"/>
      <c r="OZQ514" s="2513"/>
      <c r="OZR514" s="1761"/>
      <c r="OZS514" s="1762"/>
      <c r="OZT514" s="1762"/>
      <c r="OZU514" s="1763"/>
      <c r="OZV514" s="385"/>
      <c r="OZW514" s="69"/>
      <c r="OZX514" s="69"/>
      <c r="OZY514" s="2513"/>
      <c r="OZZ514" s="1761"/>
      <c r="PAA514" s="1762"/>
      <c r="PAB514" s="1762"/>
      <c r="PAC514" s="1763"/>
      <c r="PAD514" s="385"/>
      <c r="PAE514" s="69"/>
      <c r="PAF514" s="69"/>
      <c r="PAG514" s="2513"/>
      <c r="PAH514" s="1761"/>
      <c r="PAI514" s="1762"/>
      <c r="PAJ514" s="1762"/>
      <c r="PAK514" s="1763"/>
      <c r="PAL514" s="385"/>
      <c r="PAM514" s="69"/>
      <c r="PAN514" s="69"/>
      <c r="PAO514" s="2513"/>
      <c r="PAP514" s="1761"/>
      <c r="PAQ514" s="1762"/>
      <c r="PAR514" s="1762"/>
      <c r="PAS514" s="1763"/>
      <c r="PAT514" s="385"/>
      <c r="PAU514" s="69"/>
      <c r="PAV514" s="69"/>
      <c r="PAW514" s="2513"/>
      <c r="PAX514" s="1761"/>
      <c r="PAY514" s="1762"/>
      <c r="PAZ514" s="1762"/>
      <c r="PBA514" s="1763"/>
      <c r="PBB514" s="385"/>
      <c r="PBC514" s="69"/>
      <c r="PBD514" s="69"/>
      <c r="PBE514" s="2513"/>
      <c r="PBF514" s="1761"/>
      <c r="PBG514" s="1762"/>
      <c r="PBH514" s="1762"/>
      <c r="PBI514" s="1763"/>
      <c r="PBJ514" s="385"/>
      <c r="PBK514" s="69"/>
      <c r="PBL514" s="69"/>
      <c r="PBM514" s="2513"/>
      <c r="PBN514" s="1761"/>
      <c r="PBO514" s="1762"/>
      <c r="PBP514" s="1762"/>
      <c r="PBQ514" s="1763"/>
      <c r="PBR514" s="385"/>
      <c r="PBS514" s="69"/>
      <c r="PBT514" s="69"/>
      <c r="PBU514" s="2513"/>
      <c r="PBV514" s="1761"/>
      <c r="PBW514" s="1762"/>
      <c r="PBX514" s="1762"/>
      <c r="PBY514" s="1763"/>
      <c r="PBZ514" s="385"/>
      <c r="PCA514" s="69"/>
      <c r="PCB514" s="69"/>
      <c r="PCC514" s="2513"/>
      <c r="PCD514" s="1761"/>
      <c r="PCE514" s="1762"/>
      <c r="PCF514" s="1762"/>
      <c r="PCG514" s="1763"/>
      <c r="PCH514" s="385"/>
      <c r="PCI514" s="69"/>
      <c r="PCJ514" s="69"/>
      <c r="PCK514" s="2513"/>
      <c r="PCL514" s="1761"/>
      <c r="PCM514" s="1762"/>
      <c r="PCN514" s="1762"/>
      <c r="PCO514" s="1763"/>
      <c r="PCP514" s="385"/>
      <c r="PCQ514" s="69"/>
      <c r="PCR514" s="69"/>
      <c r="PCS514" s="2513"/>
      <c r="PCT514" s="1761"/>
      <c r="PCU514" s="1762"/>
      <c r="PCV514" s="1762"/>
      <c r="PCW514" s="1763"/>
      <c r="PCX514" s="385"/>
      <c r="PCY514" s="69"/>
      <c r="PCZ514" s="69"/>
      <c r="PDA514" s="2513"/>
      <c r="PDB514" s="1761"/>
      <c r="PDC514" s="1762"/>
      <c r="PDD514" s="1762"/>
      <c r="PDE514" s="1763"/>
      <c r="PDF514" s="385"/>
      <c r="PDG514" s="69"/>
      <c r="PDH514" s="69"/>
      <c r="PDI514" s="2513"/>
      <c r="PDJ514" s="1761"/>
      <c r="PDK514" s="1762"/>
      <c r="PDL514" s="1762"/>
      <c r="PDM514" s="1763"/>
      <c r="PDN514" s="385"/>
      <c r="PDO514" s="69"/>
      <c r="PDP514" s="69"/>
      <c r="PDQ514" s="2513"/>
      <c r="PDR514" s="1761"/>
      <c r="PDS514" s="1762"/>
      <c r="PDT514" s="1762"/>
      <c r="PDU514" s="1763"/>
      <c r="PDV514" s="385"/>
      <c r="PDW514" s="69"/>
      <c r="PDX514" s="69"/>
      <c r="PDY514" s="2513"/>
      <c r="PDZ514" s="1761"/>
      <c r="PEA514" s="1762"/>
      <c r="PEB514" s="1762"/>
      <c r="PEC514" s="1763"/>
      <c r="PED514" s="385"/>
      <c r="PEE514" s="69"/>
      <c r="PEF514" s="69"/>
      <c r="PEG514" s="2513"/>
      <c r="PEH514" s="1761"/>
      <c r="PEI514" s="1762"/>
      <c r="PEJ514" s="1762"/>
      <c r="PEK514" s="1763"/>
      <c r="PEL514" s="385"/>
      <c r="PEM514" s="69"/>
      <c r="PEN514" s="69"/>
      <c r="PEO514" s="2513"/>
      <c r="PEP514" s="1761"/>
      <c r="PEQ514" s="1762"/>
      <c r="PER514" s="1762"/>
      <c r="PES514" s="1763"/>
      <c r="PET514" s="385"/>
      <c r="PEU514" s="69"/>
      <c r="PEV514" s="69"/>
      <c r="PEW514" s="2513"/>
      <c r="PEX514" s="1761"/>
      <c r="PEY514" s="1762"/>
      <c r="PEZ514" s="1762"/>
      <c r="PFA514" s="1763"/>
      <c r="PFB514" s="385"/>
      <c r="PFC514" s="69"/>
      <c r="PFD514" s="69"/>
      <c r="PFE514" s="2513"/>
      <c r="PFF514" s="1761"/>
      <c r="PFG514" s="1762"/>
      <c r="PFH514" s="1762"/>
      <c r="PFI514" s="1763"/>
      <c r="PFJ514" s="385"/>
      <c r="PFK514" s="69"/>
      <c r="PFL514" s="69"/>
      <c r="PFM514" s="2513"/>
      <c r="PFN514" s="1761"/>
      <c r="PFO514" s="1762"/>
      <c r="PFP514" s="1762"/>
      <c r="PFQ514" s="1763"/>
      <c r="PFR514" s="385"/>
      <c r="PFS514" s="69"/>
      <c r="PFT514" s="69"/>
      <c r="PFU514" s="2513"/>
      <c r="PFV514" s="1761"/>
      <c r="PFW514" s="1762"/>
      <c r="PFX514" s="1762"/>
      <c r="PFY514" s="1763"/>
      <c r="PFZ514" s="385"/>
      <c r="PGA514" s="69"/>
      <c r="PGB514" s="69"/>
      <c r="PGC514" s="2513"/>
      <c r="PGD514" s="1761"/>
      <c r="PGE514" s="1762"/>
      <c r="PGF514" s="1762"/>
      <c r="PGG514" s="1763"/>
      <c r="PGH514" s="385"/>
      <c r="PGI514" s="69"/>
      <c r="PGJ514" s="69"/>
      <c r="PGK514" s="2513"/>
      <c r="PGL514" s="1761"/>
      <c r="PGM514" s="1762"/>
      <c r="PGN514" s="1762"/>
      <c r="PGO514" s="1763"/>
      <c r="PGP514" s="385"/>
      <c r="PGQ514" s="69"/>
      <c r="PGR514" s="69"/>
      <c r="PGS514" s="2513"/>
      <c r="PGT514" s="1761"/>
      <c r="PGU514" s="1762"/>
      <c r="PGV514" s="1762"/>
      <c r="PGW514" s="1763"/>
      <c r="PGX514" s="385"/>
      <c r="PGY514" s="69"/>
      <c r="PGZ514" s="69"/>
      <c r="PHA514" s="2513"/>
      <c r="PHB514" s="1761"/>
      <c r="PHC514" s="1762"/>
      <c r="PHD514" s="1762"/>
      <c r="PHE514" s="1763"/>
      <c r="PHF514" s="385"/>
      <c r="PHG514" s="69"/>
      <c r="PHH514" s="69"/>
      <c r="PHI514" s="2513"/>
      <c r="PHJ514" s="1761"/>
      <c r="PHK514" s="1762"/>
      <c r="PHL514" s="1762"/>
      <c r="PHM514" s="1763"/>
      <c r="PHN514" s="385"/>
      <c r="PHO514" s="69"/>
      <c r="PHP514" s="69"/>
      <c r="PHQ514" s="2513"/>
      <c r="PHR514" s="1761"/>
      <c r="PHS514" s="1762"/>
      <c r="PHT514" s="1762"/>
      <c r="PHU514" s="1763"/>
      <c r="PHV514" s="385"/>
      <c r="PHW514" s="69"/>
      <c r="PHX514" s="69"/>
      <c r="PHY514" s="2513"/>
      <c r="PHZ514" s="1761"/>
      <c r="PIA514" s="1762"/>
      <c r="PIB514" s="1762"/>
      <c r="PIC514" s="1763"/>
      <c r="PID514" s="385"/>
      <c r="PIE514" s="69"/>
      <c r="PIF514" s="69"/>
      <c r="PIG514" s="2513"/>
      <c r="PIH514" s="1761"/>
      <c r="PII514" s="1762"/>
      <c r="PIJ514" s="1762"/>
      <c r="PIK514" s="1763"/>
      <c r="PIL514" s="385"/>
      <c r="PIM514" s="69"/>
      <c r="PIN514" s="69"/>
      <c r="PIO514" s="2513"/>
      <c r="PIP514" s="1761"/>
      <c r="PIQ514" s="1762"/>
      <c r="PIR514" s="1762"/>
      <c r="PIS514" s="1763"/>
      <c r="PIT514" s="385"/>
      <c r="PIU514" s="69"/>
      <c r="PIV514" s="69"/>
      <c r="PIW514" s="2513"/>
      <c r="PIX514" s="1761"/>
      <c r="PIY514" s="1762"/>
      <c r="PIZ514" s="1762"/>
      <c r="PJA514" s="1763"/>
      <c r="PJB514" s="385"/>
      <c r="PJC514" s="69"/>
      <c r="PJD514" s="69"/>
      <c r="PJE514" s="2513"/>
      <c r="PJF514" s="1761"/>
      <c r="PJG514" s="1762"/>
      <c r="PJH514" s="1762"/>
      <c r="PJI514" s="1763"/>
      <c r="PJJ514" s="385"/>
      <c r="PJK514" s="69"/>
      <c r="PJL514" s="69"/>
      <c r="PJM514" s="2513"/>
      <c r="PJN514" s="1761"/>
      <c r="PJO514" s="1762"/>
      <c r="PJP514" s="1762"/>
      <c r="PJQ514" s="1763"/>
      <c r="PJR514" s="385"/>
      <c r="PJS514" s="69"/>
      <c r="PJT514" s="69"/>
      <c r="PJU514" s="2513"/>
      <c r="PJV514" s="1761"/>
      <c r="PJW514" s="1762"/>
      <c r="PJX514" s="1762"/>
      <c r="PJY514" s="1763"/>
      <c r="PJZ514" s="385"/>
      <c r="PKA514" s="69"/>
      <c r="PKB514" s="69"/>
      <c r="PKC514" s="2513"/>
      <c r="PKD514" s="1761"/>
      <c r="PKE514" s="1762"/>
      <c r="PKF514" s="1762"/>
      <c r="PKG514" s="1763"/>
      <c r="PKH514" s="385"/>
      <c r="PKI514" s="69"/>
      <c r="PKJ514" s="69"/>
      <c r="PKK514" s="2513"/>
      <c r="PKL514" s="1761"/>
      <c r="PKM514" s="1762"/>
      <c r="PKN514" s="1762"/>
      <c r="PKO514" s="1763"/>
      <c r="PKP514" s="385"/>
      <c r="PKQ514" s="69"/>
      <c r="PKR514" s="69"/>
      <c r="PKS514" s="2513"/>
      <c r="PKT514" s="1761"/>
      <c r="PKU514" s="1762"/>
      <c r="PKV514" s="1762"/>
      <c r="PKW514" s="1763"/>
      <c r="PKX514" s="385"/>
      <c r="PKY514" s="69"/>
      <c r="PKZ514" s="69"/>
      <c r="PLA514" s="2513"/>
      <c r="PLB514" s="1761"/>
      <c r="PLC514" s="1762"/>
      <c r="PLD514" s="1762"/>
      <c r="PLE514" s="1763"/>
      <c r="PLF514" s="385"/>
      <c r="PLG514" s="69"/>
      <c r="PLH514" s="69"/>
      <c r="PLI514" s="2513"/>
      <c r="PLJ514" s="1761"/>
      <c r="PLK514" s="1762"/>
      <c r="PLL514" s="1762"/>
      <c r="PLM514" s="1763"/>
      <c r="PLN514" s="385"/>
      <c r="PLO514" s="69"/>
      <c r="PLP514" s="69"/>
      <c r="PLQ514" s="2513"/>
      <c r="PLR514" s="1761"/>
      <c r="PLS514" s="1762"/>
      <c r="PLT514" s="1762"/>
      <c r="PLU514" s="1763"/>
      <c r="PLV514" s="385"/>
      <c r="PLW514" s="69"/>
      <c r="PLX514" s="69"/>
      <c r="PLY514" s="2513"/>
      <c r="PLZ514" s="1761"/>
      <c r="PMA514" s="1762"/>
      <c r="PMB514" s="1762"/>
      <c r="PMC514" s="1763"/>
      <c r="PMD514" s="385"/>
      <c r="PME514" s="69"/>
      <c r="PMF514" s="69"/>
      <c r="PMG514" s="2513"/>
      <c r="PMH514" s="1761"/>
      <c r="PMI514" s="1762"/>
      <c r="PMJ514" s="1762"/>
      <c r="PMK514" s="1763"/>
      <c r="PML514" s="385"/>
      <c r="PMM514" s="69"/>
      <c r="PMN514" s="69"/>
      <c r="PMO514" s="2513"/>
      <c r="PMP514" s="1761"/>
      <c r="PMQ514" s="1762"/>
      <c r="PMR514" s="1762"/>
      <c r="PMS514" s="1763"/>
      <c r="PMT514" s="385"/>
      <c r="PMU514" s="69"/>
      <c r="PMV514" s="69"/>
      <c r="PMW514" s="2513"/>
      <c r="PMX514" s="1761"/>
      <c r="PMY514" s="1762"/>
      <c r="PMZ514" s="1762"/>
      <c r="PNA514" s="1763"/>
      <c r="PNB514" s="385"/>
      <c r="PNC514" s="69"/>
      <c r="PND514" s="69"/>
      <c r="PNE514" s="2513"/>
      <c r="PNF514" s="1761"/>
      <c r="PNG514" s="1762"/>
      <c r="PNH514" s="1762"/>
      <c r="PNI514" s="1763"/>
      <c r="PNJ514" s="385"/>
      <c r="PNK514" s="69"/>
      <c r="PNL514" s="69"/>
      <c r="PNM514" s="2513"/>
      <c r="PNN514" s="1761"/>
      <c r="PNO514" s="1762"/>
      <c r="PNP514" s="1762"/>
      <c r="PNQ514" s="1763"/>
      <c r="PNR514" s="385"/>
      <c r="PNS514" s="69"/>
      <c r="PNT514" s="69"/>
      <c r="PNU514" s="2513"/>
      <c r="PNV514" s="1761"/>
      <c r="PNW514" s="1762"/>
      <c r="PNX514" s="1762"/>
      <c r="PNY514" s="1763"/>
      <c r="PNZ514" s="385"/>
      <c r="POA514" s="69"/>
      <c r="POB514" s="69"/>
      <c r="POC514" s="2513"/>
      <c r="POD514" s="1761"/>
      <c r="POE514" s="1762"/>
      <c r="POF514" s="1762"/>
      <c r="POG514" s="1763"/>
      <c r="POH514" s="385"/>
      <c r="POI514" s="69"/>
      <c r="POJ514" s="69"/>
      <c r="POK514" s="2513"/>
      <c r="POL514" s="1761"/>
      <c r="POM514" s="1762"/>
      <c r="PON514" s="1762"/>
      <c r="POO514" s="1763"/>
      <c r="POP514" s="385"/>
      <c r="POQ514" s="69"/>
      <c r="POR514" s="69"/>
      <c r="POS514" s="2513"/>
      <c r="POT514" s="1761"/>
      <c r="POU514" s="1762"/>
      <c r="POV514" s="1762"/>
      <c r="POW514" s="1763"/>
      <c r="POX514" s="385"/>
      <c r="POY514" s="69"/>
      <c r="POZ514" s="69"/>
      <c r="PPA514" s="2513"/>
      <c r="PPB514" s="1761"/>
      <c r="PPC514" s="1762"/>
      <c r="PPD514" s="1762"/>
      <c r="PPE514" s="1763"/>
      <c r="PPF514" s="385"/>
      <c r="PPG514" s="69"/>
      <c r="PPH514" s="69"/>
      <c r="PPI514" s="2513"/>
      <c r="PPJ514" s="1761"/>
      <c r="PPK514" s="1762"/>
      <c r="PPL514" s="1762"/>
      <c r="PPM514" s="1763"/>
      <c r="PPN514" s="385"/>
      <c r="PPO514" s="69"/>
      <c r="PPP514" s="69"/>
      <c r="PPQ514" s="2513"/>
      <c r="PPR514" s="1761"/>
      <c r="PPS514" s="1762"/>
      <c r="PPT514" s="1762"/>
      <c r="PPU514" s="1763"/>
      <c r="PPV514" s="385"/>
      <c r="PPW514" s="69"/>
      <c r="PPX514" s="69"/>
      <c r="PPY514" s="2513"/>
      <c r="PPZ514" s="1761"/>
      <c r="PQA514" s="1762"/>
      <c r="PQB514" s="1762"/>
      <c r="PQC514" s="1763"/>
      <c r="PQD514" s="385"/>
      <c r="PQE514" s="69"/>
      <c r="PQF514" s="69"/>
      <c r="PQG514" s="2513"/>
      <c r="PQH514" s="1761"/>
      <c r="PQI514" s="1762"/>
      <c r="PQJ514" s="1762"/>
      <c r="PQK514" s="1763"/>
      <c r="PQL514" s="385"/>
      <c r="PQM514" s="69"/>
      <c r="PQN514" s="69"/>
      <c r="PQO514" s="2513"/>
      <c r="PQP514" s="1761"/>
      <c r="PQQ514" s="1762"/>
      <c r="PQR514" s="1762"/>
      <c r="PQS514" s="1763"/>
      <c r="PQT514" s="385"/>
      <c r="PQU514" s="69"/>
      <c r="PQV514" s="69"/>
      <c r="PQW514" s="2513"/>
      <c r="PQX514" s="1761"/>
      <c r="PQY514" s="1762"/>
      <c r="PQZ514" s="1762"/>
      <c r="PRA514" s="1763"/>
      <c r="PRB514" s="385"/>
      <c r="PRC514" s="69"/>
      <c r="PRD514" s="69"/>
      <c r="PRE514" s="2513"/>
      <c r="PRF514" s="1761"/>
      <c r="PRG514" s="1762"/>
      <c r="PRH514" s="1762"/>
      <c r="PRI514" s="1763"/>
      <c r="PRJ514" s="385"/>
      <c r="PRK514" s="69"/>
      <c r="PRL514" s="69"/>
      <c r="PRM514" s="2513"/>
      <c r="PRN514" s="1761"/>
      <c r="PRO514" s="1762"/>
      <c r="PRP514" s="1762"/>
      <c r="PRQ514" s="1763"/>
      <c r="PRR514" s="385"/>
      <c r="PRS514" s="69"/>
      <c r="PRT514" s="69"/>
      <c r="PRU514" s="2513"/>
      <c r="PRV514" s="1761"/>
      <c r="PRW514" s="1762"/>
      <c r="PRX514" s="1762"/>
      <c r="PRY514" s="1763"/>
      <c r="PRZ514" s="385"/>
      <c r="PSA514" s="69"/>
      <c r="PSB514" s="69"/>
      <c r="PSC514" s="2513"/>
      <c r="PSD514" s="1761"/>
      <c r="PSE514" s="1762"/>
      <c r="PSF514" s="1762"/>
      <c r="PSG514" s="1763"/>
      <c r="PSH514" s="385"/>
      <c r="PSI514" s="69"/>
      <c r="PSJ514" s="69"/>
      <c r="PSK514" s="2513"/>
      <c r="PSL514" s="1761"/>
      <c r="PSM514" s="1762"/>
      <c r="PSN514" s="1762"/>
      <c r="PSO514" s="1763"/>
      <c r="PSP514" s="385"/>
      <c r="PSQ514" s="69"/>
      <c r="PSR514" s="69"/>
      <c r="PSS514" s="2513"/>
      <c r="PST514" s="1761"/>
      <c r="PSU514" s="1762"/>
      <c r="PSV514" s="1762"/>
      <c r="PSW514" s="1763"/>
      <c r="PSX514" s="385"/>
      <c r="PSY514" s="69"/>
      <c r="PSZ514" s="69"/>
      <c r="PTA514" s="2513"/>
      <c r="PTB514" s="1761"/>
      <c r="PTC514" s="1762"/>
      <c r="PTD514" s="1762"/>
      <c r="PTE514" s="1763"/>
      <c r="PTF514" s="385"/>
      <c r="PTG514" s="69"/>
      <c r="PTH514" s="69"/>
      <c r="PTI514" s="2513"/>
      <c r="PTJ514" s="1761"/>
      <c r="PTK514" s="1762"/>
      <c r="PTL514" s="1762"/>
      <c r="PTM514" s="1763"/>
      <c r="PTN514" s="385"/>
      <c r="PTO514" s="69"/>
      <c r="PTP514" s="69"/>
      <c r="PTQ514" s="2513"/>
      <c r="PTR514" s="1761"/>
      <c r="PTS514" s="1762"/>
      <c r="PTT514" s="1762"/>
      <c r="PTU514" s="1763"/>
      <c r="PTV514" s="385"/>
      <c r="PTW514" s="69"/>
      <c r="PTX514" s="69"/>
      <c r="PTY514" s="2513"/>
      <c r="PTZ514" s="1761"/>
      <c r="PUA514" s="1762"/>
      <c r="PUB514" s="1762"/>
      <c r="PUC514" s="1763"/>
      <c r="PUD514" s="385"/>
      <c r="PUE514" s="69"/>
      <c r="PUF514" s="69"/>
      <c r="PUG514" s="2513"/>
      <c r="PUH514" s="1761"/>
      <c r="PUI514" s="1762"/>
      <c r="PUJ514" s="1762"/>
      <c r="PUK514" s="1763"/>
      <c r="PUL514" s="385"/>
      <c r="PUM514" s="69"/>
      <c r="PUN514" s="69"/>
      <c r="PUO514" s="2513"/>
      <c r="PUP514" s="1761"/>
      <c r="PUQ514" s="1762"/>
      <c r="PUR514" s="1762"/>
      <c r="PUS514" s="1763"/>
      <c r="PUT514" s="385"/>
      <c r="PUU514" s="69"/>
      <c r="PUV514" s="69"/>
      <c r="PUW514" s="2513"/>
      <c r="PUX514" s="1761"/>
      <c r="PUY514" s="1762"/>
      <c r="PUZ514" s="1762"/>
      <c r="PVA514" s="1763"/>
      <c r="PVB514" s="385"/>
      <c r="PVC514" s="69"/>
      <c r="PVD514" s="69"/>
      <c r="PVE514" s="2513"/>
      <c r="PVF514" s="1761"/>
      <c r="PVG514" s="1762"/>
      <c r="PVH514" s="1762"/>
      <c r="PVI514" s="1763"/>
      <c r="PVJ514" s="385"/>
      <c r="PVK514" s="69"/>
      <c r="PVL514" s="69"/>
      <c r="PVM514" s="2513"/>
      <c r="PVN514" s="1761"/>
      <c r="PVO514" s="1762"/>
      <c r="PVP514" s="1762"/>
      <c r="PVQ514" s="1763"/>
      <c r="PVR514" s="385"/>
      <c r="PVS514" s="69"/>
      <c r="PVT514" s="69"/>
      <c r="PVU514" s="2513"/>
      <c r="PVV514" s="1761"/>
      <c r="PVW514" s="1762"/>
      <c r="PVX514" s="1762"/>
      <c r="PVY514" s="1763"/>
      <c r="PVZ514" s="385"/>
      <c r="PWA514" s="69"/>
      <c r="PWB514" s="69"/>
      <c r="PWC514" s="2513"/>
      <c r="PWD514" s="1761"/>
      <c r="PWE514" s="1762"/>
      <c r="PWF514" s="1762"/>
      <c r="PWG514" s="1763"/>
      <c r="PWH514" s="385"/>
      <c r="PWI514" s="69"/>
      <c r="PWJ514" s="69"/>
      <c r="PWK514" s="2513"/>
      <c r="PWL514" s="1761"/>
      <c r="PWM514" s="1762"/>
      <c r="PWN514" s="1762"/>
      <c r="PWO514" s="1763"/>
      <c r="PWP514" s="385"/>
      <c r="PWQ514" s="69"/>
      <c r="PWR514" s="69"/>
      <c r="PWS514" s="2513"/>
      <c r="PWT514" s="1761"/>
      <c r="PWU514" s="1762"/>
      <c r="PWV514" s="1762"/>
      <c r="PWW514" s="1763"/>
      <c r="PWX514" s="385"/>
      <c r="PWY514" s="69"/>
      <c r="PWZ514" s="69"/>
      <c r="PXA514" s="2513"/>
      <c r="PXB514" s="1761"/>
      <c r="PXC514" s="1762"/>
      <c r="PXD514" s="1762"/>
      <c r="PXE514" s="1763"/>
      <c r="PXF514" s="385"/>
      <c r="PXG514" s="69"/>
      <c r="PXH514" s="69"/>
      <c r="PXI514" s="2513"/>
      <c r="PXJ514" s="1761"/>
      <c r="PXK514" s="1762"/>
      <c r="PXL514" s="1762"/>
      <c r="PXM514" s="1763"/>
      <c r="PXN514" s="385"/>
      <c r="PXO514" s="69"/>
      <c r="PXP514" s="69"/>
      <c r="PXQ514" s="2513"/>
      <c r="PXR514" s="1761"/>
      <c r="PXS514" s="1762"/>
      <c r="PXT514" s="1762"/>
      <c r="PXU514" s="1763"/>
      <c r="PXV514" s="385"/>
      <c r="PXW514" s="69"/>
      <c r="PXX514" s="69"/>
      <c r="PXY514" s="2513"/>
      <c r="PXZ514" s="1761"/>
      <c r="PYA514" s="1762"/>
      <c r="PYB514" s="1762"/>
      <c r="PYC514" s="1763"/>
      <c r="PYD514" s="385"/>
      <c r="PYE514" s="69"/>
      <c r="PYF514" s="69"/>
      <c r="PYG514" s="2513"/>
      <c r="PYH514" s="1761"/>
      <c r="PYI514" s="1762"/>
      <c r="PYJ514" s="1762"/>
      <c r="PYK514" s="1763"/>
      <c r="PYL514" s="385"/>
      <c r="PYM514" s="69"/>
      <c r="PYN514" s="69"/>
      <c r="PYO514" s="2513"/>
      <c r="PYP514" s="1761"/>
      <c r="PYQ514" s="1762"/>
      <c r="PYR514" s="1762"/>
      <c r="PYS514" s="1763"/>
      <c r="PYT514" s="385"/>
      <c r="PYU514" s="69"/>
      <c r="PYV514" s="69"/>
      <c r="PYW514" s="2513"/>
      <c r="PYX514" s="1761"/>
      <c r="PYY514" s="1762"/>
      <c r="PYZ514" s="1762"/>
      <c r="PZA514" s="1763"/>
      <c r="PZB514" s="385"/>
      <c r="PZC514" s="69"/>
      <c r="PZD514" s="69"/>
      <c r="PZE514" s="2513"/>
      <c r="PZF514" s="1761"/>
      <c r="PZG514" s="1762"/>
      <c r="PZH514" s="1762"/>
      <c r="PZI514" s="1763"/>
      <c r="PZJ514" s="385"/>
      <c r="PZK514" s="69"/>
      <c r="PZL514" s="69"/>
      <c r="PZM514" s="2513"/>
      <c r="PZN514" s="1761"/>
      <c r="PZO514" s="1762"/>
      <c r="PZP514" s="1762"/>
      <c r="PZQ514" s="1763"/>
      <c r="PZR514" s="385"/>
      <c r="PZS514" s="69"/>
      <c r="PZT514" s="69"/>
      <c r="PZU514" s="2513"/>
      <c r="PZV514" s="1761"/>
      <c r="PZW514" s="1762"/>
      <c r="PZX514" s="1762"/>
      <c r="PZY514" s="1763"/>
      <c r="PZZ514" s="385"/>
      <c r="QAA514" s="69"/>
      <c r="QAB514" s="69"/>
      <c r="QAC514" s="2513"/>
      <c r="QAD514" s="1761"/>
      <c r="QAE514" s="1762"/>
      <c r="QAF514" s="1762"/>
      <c r="QAG514" s="1763"/>
      <c r="QAH514" s="385"/>
      <c r="QAI514" s="69"/>
      <c r="QAJ514" s="69"/>
      <c r="QAK514" s="2513"/>
      <c r="QAL514" s="1761"/>
      <c r="QAM514" s="1762"/>
      <c r="QAN514" s="1762"/>
      <c r="QAO514" s="1763"/>
      <c r="QAP514" s="385"/>
      <c r="QAQ514" s="69"/>
      <c r="QAR514" s="69"/>
      <c r="QAS514" s="2513"/>
      <c r="QAT514" s="1761"/>
      <c r="QAU514" s="1762"/>
      <c r="QAV514" s="1762"/>
      <c r="QAW514" s="1763"/>
      <c r="QAX514" s="385"/>
      <c r="QAY514" s="69"/>
      <c r="QAZ514" s="69"/>
      <c r="QBA514" s="2513"/>
      <c r="QBB514" s="1761"/>
      <c r="QBC514" s="1762"/>
      <c r="QBD514" s="1762"/>
      <c r="QBE514" s="1763"/>
      <c r="QBF514" s="385"/>
      <c r="QBG514" s="69"/>
      <c r="QBH514" s="69"/>
      <c r="QBI514" s="2513"/>
      <c r="QBJ514" s="1761"/>
      <c r="QBK514" s="1762"/>
      <c r="QBL514" s="1762"/>
      <c r="QBM514" s="1763"/>
      <c r="QBN514" s="385"/>
      <c r="QBO514" s="69"/>
      <c r="QBP514" s="69"/>
      <c r="QBQ514" s="2513"/>
      <c r="QBR514" s="1761"/>
      <c r="QBS514" s="1762"/>
      <c r="QBT514" s="1762"/>
      <c r="QBU514" s="1763"/>
      <c r="QBV514" s="385"/>
      <c r="QBW514" s="69"/>
      <c r="QBX514" s="69"/>
      <c r="QBY514" s="2513"/>
      <c r="QBZ514" s="1761"/>
      <c r="QCA514" s="1762"/>
      <c r="QCB514" s="1762"/>
      <c r="QCC514" s="1763"/>
      <c r="QCD514" s="385"/>
      <c r="QCE514" s="69"/>
      <c r="QCF514" s="69"/>
      <c r="QCG514" s="2513"/>
      <c r="QCH514" s="1761"/>
      <c r="QCI514" s="1762"/>
      <c r="QCJ514" s="1762"/>
      <c r="QCK514" s="1763"/>
      <c r="QCL514" s="385"/>
      <c r="QCM514" s="69"/>
      <c r="QCN514" s="69"/>
      <c r="QCO514" s="2513"/>
      <c r="QCP514" s="1761"/>
      <c r="QCQ514" s="1762"/>
      <c r="QCR514" s="1762"/>
      <c r="QCS514" s="1763"/>
      <c r="QCT514" s="385"/>
      <c r="QCU514" s="69"/>
      <c r="QCV514" s="69"/>
      <c r="QCW514" s="2513"/>
      <c r="QCX514" s="1761"/>
      <c r="QCY514" s="1762"/>
      <c r="QCZ514" s="1762"/>
      <c r="QDA514" s="1763"/>
      <c r="QDB514" s="385"/>
      <c r="QDC514" s="69"/>
      <c r="QDD514" s="69"/>
      <c r="QDE514" s="2513"/>
      <c r="QDF514" s="1761"/>
      <c r="QDG514" s="1762"/>
      <c r="QDH514" s="1762"/>
      <c r="QDI514" s="1763"/>
      <c r="QDJ514" s="385"/>
      <c r="QDK514" s="69"/>
      <c r="QDL514" s="69"/>
      <c r="QDM514" s="2513"/>
      <c r="QDN514" s="1761"/>
      <c r="QDO514" s="1762"/>
      <c r="QDP514" s="1762"/>
      <c r="QDQ514" s="1763"/>
      <c r="QDR514" s="385"/>
      <c r="QDS514" s="69"/>
      <c r="QDT514" s="69"/>
      <c r="QDU514" s="2513"/>
      <c r="QDV514" s="1761"/>
      <c r="QDW514" s="1762"/>
      <c r="QDX514" s="1762"/>
      <c r="QDY514" s="1763"/>
      <c r="QDZ514" s="385"/>
      <c r="QEA514" s="69"/>
      <c r="QEB514" s="69"/>
      <c r="QEC514" s="2513"/>
      <c r="QED514" s="1761"/>
      <c r="QEE514" s="1762"/>
      <c r="QEF514" s="1762"/>
      <c r="QEG514" s="1763"/>
      <c r="QEH514" s="385"/>
      <c r="QEI514" s="69"/>
      <c r="QEJ514" s="69"/>
      <c r="QEK514" s="2513"/>
      <c r="QEL514" s="1761"/>
      <c r="QEM514" s="1762"/>
      <c r="QEN514" s="1762"/>
      <c r="QEO514" s="1763"/>
      <c r="QEP514" s="385"/>
      <c r="QEQ514" s="69"/>
      <c r="QER514" s="69"/>
      <c r="QES514" s="2513"/>
      <c r="QET514" s="1761"/>
      <c r="QEU514" s="1762"/>
      <c r="QEV514" s="1762"/>
      <c r="QEW514" s="1763"/>
      <c r="QEX514" s="385"/>
      <c r="QEY514" s="69"/>
      <c r="QEZ514" s="69"/>
      <c r="QFA514" s="2513"/>
      <c r="QFB514" s="1761"/>
      <c r="QFC514" s="1762"/>
      <c r="QFD514" s="1762"/>
      <c r="QFE514" s="1763"/>
      <c r="QFF514" s="385"/>
      <c r="QFG514" s="69"/>
      <c r="QFH514" s="69"/>
      <c r="QFI514" s="2513"/>
      <c r="QFJ514" s="1761"/>
      <c r="QFK514" s="1762"/>
      <c r="QFL514" s="1762"/>
      <c r="QFM514" s="1763"/>
      <c r="QFN514" s="385"/>
      <c r="QFO514" s="69"/>
      <c r="QFP514" s="69"/>
      <c r="QFQ514" s="2513"/>
      <c r="QFR514" s="1761"/>
      <c r="QFS514" s="1762"/>
      <c r="QFT514" s="1762"/>
      <c r="QFU514" s="1763"/>
      <c r="QFV514" s="385"/>
      <c r="QFW514" s="69"/>
      <c r="QFX514" s="69"/>
      <c r="QFY514" s="2513"/>
      <c r="QFZ514" s="1761"/>
      <c r="QGA514" s="1762"/>
      <c r="QGB514" s="1762"/>
      <c r="QGC514" s="1763"/>
      <c r="QGD514" s="385"/>
      <c r="QGE514" s="69"/>
      <c r="QGF514" s="69"/>
      <c r="QGG514" s="2513"/>
      <c r="QGH514" s="1761"/>
      <c r="QGI514" s="1762"/>
      <c r="QGJ514" s="1762"/>
      <c r="QGK514" s="1763"/>
      <c r="QGL514" s="385"/>
      <c r="QGM514" s="69"/>
      <c r="QGN514" s="69"/>
      <c r="QGO514" s="2513"/>
      <c r="QGP514" s="1761"/>
      <c r="QGQ514" s="1762"/>
      <c r="QGR514" s="1762"/>
      <c r="QGS514" s="1763"/>
      <c r="QGT514" s="385"/>
      <c r="QGU514" s="69"/>
      <c r="QGV514" s="69"/>
      <c r="QGW514" s="2513"/>
      <c r="QGX514" s="1761"/>
      <c r="QGY514" s="1762"/>
      <c r="QGZ514" s="1762"/>
      <c r="QHA514" s="1763"/>
      <c r="QHB514" s="385"/>
      <c r="QHC514" s="69"/>
      <c r="QHD514" s="69"/>
      <c r="QHE514" s="2513"/>
      <c r="QHF514" s="1761"/>
      <c r="QHG514" s="1762"/>
      <c r="QHH514" s="1762"/>
      <c r="QHI514" s="1763"/>
      <c r="QHJ514" s="385"/>
      <c r="QHK514" s="69"/>
      <c r="QHL514" s="69"/>
      <c r="QHM514" s="2513"/>
      <c r="QHN514" s="1761"/>
      <c r="QHO514" s="1762"/>
      <c r="QHP514" s="1762"/>
      <c r="QHQ514" s="1763"/>
      <c r="QHR514" s="385"/>
      <c r="QHS514" s="69"/>
      <c r="QHT514" s="69"/>
      <c r="QHU514" s="2513"/>
      <c r="QHV514" s="1761"/>
      <c r="QHW514" s="1762"/>
      <c r="QHX514" s="1762"/>
      <c r="QHY514" s="1763"/>
      <c r="QHZ514" s="385"/>
      <c r="QIA514" s="69"/>
      <c r="QIB514" s="69"/>
      <c r="QIC514" s="2513"/>
      <c r="QID514" s="1761"/>
      <c r="QIE514" s="1762"/>
      <c r="QIF514" s="1762"/>
      <c r="QIG514" s="1763"/>
      <c r="QIH514" s="385"/>
      <c r="QII514" s="69"/>
      <c r="QIJ514" s="69"/>
      <c r="QIK514" s="2513"/>
      <c r="QIL514" s="1761"/>
      <c r="QIM514" s="1762"/>
      <c r="QIN514" s="1762"/>
      <c r="QIO514" s="1763"/>
      <c r="QIP514" s="385"/>
      <c r="QIQ514" s="69"/>
      <c r="QIR514" s="69"/>
      <c r="QIS514" s="2513"/>
      <c r="QIT514" s="1761"/>
      <c r="QIU514" s="1762"/>
      <c r="QIV514" s="1762"/>
      <c r="QIW514" s="1763"/>
      <c r="QIX514" s="385"/>
      <c r="QIY514" s="69"/>
      <c r="QIZ514" s="69"/>
      <c r="QJA514" s="2513"/>
      <c r="QJB514" s="1761"/>
      <c r="QJC514" s="1762"/>
      <c r="QJD514" s="1762"/>
      <c r="QJE514" s="1763"/>
      <c r="QJF514" s="385"/>
      <c r="QJG514" s="69"/>
      <c r="QJH514" s="69"/>
      <c r="QJI514" s="2513"/>
      <c r="QJJ514" s="1761"/>
      <c r="QJK514" s="1762"/>
      <c r="QJL514" s="1762"/>
      <c r="QJM514" s="1763"/>
      <c r="QJN514" s="385"/>
      <c r="QJO514" s="69"/>
      <c r="QJP514" s="69"/>
      <c r="QJQ514" s="2513"/>
      <c r="QJR514" s="1761"/>
      <c r="QJS514" s="1762"/>
      <c r="QJT514" s="1762"/>
      <c r="QJU514" s="1763"/>
      <c r="QJV514" s="385"/>
      <c r="QJW514" s="69"/>
      <c r="QJX514" s="69"/>
      <c r="QJY514" s="2513"/>
      <c r="QJZ514" s="1761"/>
      <c r="QKA514" s="1762"/>
      <c r="QKB514" s="1762"/>
      <c r="QKC514" s="1763"/>
      <c r="QKD514" s="385"/>
      <c r="QKE514" s="69"/>
      <c r="QKF514" s="69"/>
      <c r="QKG514" s="2513"/>
      <c r="QKH514" s="1761"/>
      <c r="QKI514" s="1762"/>
      <c r="QKJ514" s="1762"/>
      <c r="QKK514" s="1763"/>
      <c r="QKL514" s="385"/>
      <c r="QKM514" s="69"/>
      <c r="QKN514" s="69"/>
      <c r="QKO514" s="2513"/>
      <c r="QKP514" s="1761"/>
      <c r="QKQ514" s="1762"/>
      <c r="QKR514" s="1762"/>
      <c r="QKS514" s="1763"/>
      <c r="QKT514" s="385"/>
      <c r="QKU514" s="69"/>
      <c r="QKV514" s="69"/>
      <c r="QKW514" s="2513"/>
      <c r="QKX514" s="1761"/>
      <c r="QKY514" s="1762"/>
      <c r="QKZ514" s="1762"/>
      <c r="QLA514" s="1763"/>
      <c r="QLB514" s="385"/>
      <c r="QLC514" s="69"/>
      <c r="QLD514" s="69"/>
      <c r="QLE514" s="2513"/>
      <c r="QLF514" s="1761"/>
      <c r="QLG514" s="1762"/>
      <c r="QLH514" s="1762"/>
      <c r="QLI514" s="1763"/>
      <c r="QLJ514" s="385"/>
      <c r="QLK514" s="69"/>
      <c r="QLL514" s="69"/>
      <c r="QLM514" s="2513"/>
      <c r="QLN514" s="1761"/>
      <c r="QLO514" s="1762"/>
      <c r="QLP514" s="1762"/>
      <c r="QLQ514" s="1763"/>
      <c r="QLR514" s="385"/>
      <c r="QLS514" s="69"/>
      <c r="QLT514" s="69"/>
      <c r="QLU514" s="2513"/>
      <c r="QLV514" s="1761"/>
      <c r="QLW514" s="1762"/>
      <c r="QLX514" s="1762"/>
      <c r="QLY514" s="1763"/>
      <c r="QLZ514" s="385"/>
      <c r="QMA514" s="69"/>
      <c r="QMB514" s="69"/>
      <c r="QMC514" s="2513"/>
      <c r="QMD514" s="1761"/>
      <c r="QME514" s="1762"/>
      <c r="QMF514" s="1762"/>
      <c r="QMG514" s="1763"/>
      <c r="QMH514" s="385"/>
      <c r="QMI514" s="69"/>
      <c r="QMJ514" s="69"/>
      <c r="QMK514" s="2513"/>
      <c r="QML514" s="1761"/>
      <c r="QMM514" s="1762"/>
      <c r="QMN514" s="1762"/>
      <c r="QMO514" s="1763"/>
      <c r="QMP514" s="385"/>
      <c r="QMQ514" s="69"/>
      <c r="QMR514" s="69"/>
      <c r="QMS514" s="2513"/>
      <c r="QMT514" s="1761"/>
      <c r="QMU514" s="1762"/>
      <c r="QMV514" s="1762"/>
      <c r="QMW514" s="1763"/>
      <c r="QMX514" s="385"/>
      <c r="QMY514" s="69"/>
      <c r="QMZ514" s="69"/>
      <c r="QNA514" s="2513"/>
      <c r="QNB514" s="1761"/>
      <c r="QNC514" s="1762"/>
      <c r="QND514" s="1762"/>
      <c r="QNE514" s="1763"/>
      <c r="QNF514" s="385"/>
      <c r="QNG514" s="69"/>
      <c r="QNH514" s="69"/>
      <c r="QNI514" s="2513"/>
      <c r="QNJ514" s="1761"/>
      <c r="QNK514" s="1762"/>
      <c r="QNL514" s="1762"/>
      <c r="QNM514" s="1763"/>
      <c r="QNN514" s="385"/>
      <c r="QNO514" s="69"/>
      <c r="QNP514" s="69"/>
      <c r="QNQ514" s="2513"/>
      <c r="QNR514" s="1761"/>
      <c r="QNS514" s="1762"/>
      <c r="QNT514" s="1762"/>
      <c r="QNU514" s="1763"/>
      <c r="QNV514" s="385"/>
      <c r="QNW514" s="69"/>
      <c r="QNX514" s="69"/>
      <c r="QNY514" s="2513"/>
      <c r="QNZ514" s="1761"/>
      <c r="QOA514" s="1762"/>
      <c r="QOB514" s="1762"/>
      <c r="QOC514" s="1763"/>
      <c r="QOD514" s="385"/>
      <c r="QOE514" s="69"/>
      <c r="QOF514" s="69"/>
      <c r="QOG514" s="2513"/>
      <c r="QOH514" s="1761"/>
      <c r="QOI514" s="1762"/>
      <c r="QOJ514" s="1762"/>
      <c r="QOK514" s="1763"/>
      <c r="QOL514" s="385"/>
      <c r="QOM514" s="69"/>
      <c r="QON514" s="69"/>
      <c r="QOO514" s="2513"/>
      <c r="QOP514" s="1761"/>
      <c r="QOQ514" s="1762"/>
      <c r="QOR514" s="1762"/>
      <c r="QOS514" s="1763"/>
      <c r="QOT514" s="385"/>
      <c r="QOU514" s="69"/>
      <c r="QOV514" s="69"/>
      <c r="QOW514" s="2513"/>
      <c r="QOX514" s="1761"/>
      <c r="QOY514" s="1762"/>
      <c r="QOZ514" s="1762"/>
      <c r="QPA514" s="1763"/>
      <c r="QPB514" s="385"/>
      <c r="QPC514" s="69"/>
      <c r="QPD514" s="69"/>
      <c r="QPE514" s="2513"/>
      <c r="QPF514" s="1761"/>
      <c r="QPG514" s="1762"/>
      <c r="QPH514" s="1762"/>
      <c r="QPI514" s="1763"/>
      <c r="QPJ514" s="385"/>
      <c r="QPK514" s="69"/>
      <c r="QPL514" s="69"/>
      <c r="QPM514" s="2513"/>
      <c r="QPN514" s="1761"/>
      <c r="QPO514" s="1762"/>
      <c r="QPP514" s="1762"/>
      <c r="QPQ514" s="1763"/>
      <c r="QPR514" s="385"/>
      <c r="QPS514" s="69"/>
      <c r="QPT514" s="69"/>
      <c r="QPU514" s="2513"/>
      <c r="QPV514" s="1761"/>
      <c r="QPW514" s="1762"/>
      <c r="QPX514" s="1762"/>
      <c r="QPY514" s="1763"/>
      <c r="QPZ514" s="385"/>
      <c r="QQA514" s="69"/>
      <c r="QQB514" s="69"/>
      <c r="QQC514" s="2513"/>
      <c r="QQD514" s="1761"/>
      <c r="QQE514" s="1762"/>
      <c r="QQF514" s="1762"/>
      <c r="QQG514" s="1763"/>
      <c r="QQH514" s="385"/>
      <c r="QQI514" s="69"/>
      <c r="QQJ514" s="69"/>
      <c r="QQK514" s="2513"/>
      <c r="QQL514" s="1761"/>
      <c r="QQM514" s="1762"/>
      <c r="QQN514" s="1762"/>
      <c r="QQO514" s="1763"/>
      <c r="QQP514" s="385"/>
      <c r="QQQ514" s="69"/>
      <c r="QQR514" s="69"/>
      <c r="QQS514" s="2513"/>
      <c r="QQT514" s="1761"/>
      <c r="QQU514" s="1762"/>
      <c r="QQV514" s="1762"/>
      <c r="QQW514" s="1763"/>
      <c r="QQX514" s="385"/>
      <c r="QQY514" s="69"/>
      <c r="QQZ514" s="69"/>
      <c r="QRA514" s="2513"/>
      <c r="QRB514" s="1761"/>
      <c r="QRC514" s="1762"/>
      <c r="QRD514" s="1762"/>
      <c r="QRE514" s="1763"/>
      <c r="QRF514" s="385"/>
      <c r="QRG514" s="69"/>
      <c r="QRH514" s="69"/>
      <c r="QRI514" s="2513"/>
      <c r="QRJ514" s="1761"/>
      <c r="QRK514" s="1762"/>
      <c r="QRL514" s="1762"/>
      <c r="QRM514" s="1763"/>
      <c r="QRN514" s="385"/>
      <c r="QRO514" s="69"/>
      <c r="QRP514" s="69"/>
      <c r="QRQ514" s="2513"/>
      <c r="QRR514" s="1761"/>
      <c r="QRS514" s="1762"/>
      <c r="QRT514" s="1762"/>
      <c r="QRU514" s="1763"/>
      <c r="QRV514" s="385"/>
      <c r="QRW514" s="69"/>
      <c r="QRX514" s="69"/>
      <c r="QRY514" s="2513"/>
      <c r="QRZ514" s="1761"/>
      <c r="QSA514" s="1762"/>
      <c r="QSB514" s="1762"/>
      <c r="QSC514" s="1763"/>
      <c r="QSD514" s="385"/>
      <c r="QSE514" s="69"/>
      <c r="QSF514" s="69"/>
      <c r="QSG514" s="2513"/>
      <c r="QSH514" s="1761"/>
      <c r="QSI514" s="1762"/>
      <c r="QSJ514" s="1762"/>
      <c r="QSK514" s="1763"/>
      <c r="QSL514" s="385"/>
      <c r="QSM514" s="69"/>
      <c r="QSN514" s="69"/>
      <c r="QSO514" s="2513"/>
      <c r="QSP514" s="1761"/>
      <c r="QSQ514" s="1762"/>
      <c r="QSR514" s="1762"/>
      <c r="QSS514" s="1763"/>
      <c r="QST514" s="385"/>
      <c r="QSU514" s="69"/>
      <c r="QSV514" s="69"/>
      <c r="QSW514" s="2513"/>
      <c r="QSX514" s="1761"/>
      <c r="QSY514" s="1762"/>
      <c r="QSZ514" s="1762"/>
      <c r="QTA514" s="1763"/>
      <c r="QTB514" s="385"/>
      <c r="QTC514" s="69"/>
      <c r="QTD514" s="69"/>
      <c r="QTE514" s="2513"/>
      <c r="QTF514" s="1761"/>
      <c r="QTG514" s="1762"/>
      <c r="QTH514" s="1762"/>
      <c r="QTI514" s="1763"/>
      <c r="QTJ514" s="385"/>
      <c r="QTK514" s="69"/>
      <c r="QTL514" s="69"/>
      <c r="QTM514" s="2513"/>
      <c r="QTN514" s="1761"/>
      <c r="QTO514" s="1762"/>
      <c r="QTP514" s="1762"/>
      <c r="QTQ514" s="1763"/>
      <c r="QTR514" s="385"/>
      <c r="QTS514" s="69"/>
      <c r="QTT514" s="69"/>
      <c r="QTU514" s="2513"/>
      <c r="QTV514" s="1761"/>
      <c r="QTW514" s="1762"/>
      <c r="QTX514" s="1762"/>
      <c r="QTY514" s="1763"/>
      <c r="QTZ514" s="385"/>
      <c r="QUA514" s="69"/>
      <c r="QUB514" s="69"/>
      <c r="QUC514" s="2513"/>
      <c r="QUD514" s="1761"/>
      <c r="QUE514" s="1762"/>
      <c r="QUF514" s="1762"/>
      <c r="QUG514" s="1763"/>
      <c r="QUH514" s="385"/>
      <c r="QUI514" s="69"/>
      <c r="QUJ514" s="69"/>
      <c r="QUK514" s="2513"/>
      <c r="QUL514" s="1761"/>
      <c r="QUM514" s="1762"/>
      <c r="QUN514" s="1762"/>
      <c r="QUO514" s="1763"/>
      <c r="QUP514" s="385"/>
      <c r="QUQ514" s="69"/>
      <c r="QUR514" s="69"/>
      <c r="QUS514" s="2513"/>
      <c r="QUT514" s="1761"/>
      <c r="QUU514" s="1762"/>
      <c r="QUV514" s="1762"/>
      <c r="QUW514" s="1763"/>
      <c r="QUX514" s="385"/>
      <c r="QUY514" s="69"/>
      <c r="QUZ514" s="69"/>
      <c r="QVA514" s="2513"/>
      <c r="QVB514" s="1761"/>
      <c r="QVC514" s="1762"/>
      <c r="QVD514" s="1762"/>
      <c r="QVE514" s="1763"/>
      <c r="QVF514" s="385"/>
      <c r="QVG514" s="69"/>
      <c r="QVH514" s="69"/>
      <c r="QVI514" s="2513"/>
      <c r="QVJ514" s="1761"/>
      <c r="QVK514" s="1762"/>
      <c r="QVL514" s="1762"/>
      <c r="QVM514" s="1763"/>
      <c r="QVN514" s="385"/>
      <c r="QVO514" s="69"/>
      <c r="QVP514" s="69"/>
      <c r="QVQ514" s="2513"/>
      <c r="QVR514" s="1761"/>
      <c r="QVS514" s="1762"/>
      <c r="QVT514" s="1762"/>
      <c r="QVU514" s="1763"/>
      <c r="QVV514" s="385"/>
      <c r="QVW514" s="69"/>
      <c r="QVX514" s="69"/>
      <c r="QVY514" s="2513"/>
      <c r="QVZ514" s="1761"/>
      <c r="QWA514" s="1762"/>
      <c r="QWB514" s="1762"/>
      <c r="QWC514" s="1763"/>
      <c r="QWD514" s="385"/>
      <c r="QWE514" s="69"/>
      <c r="QWF514" s="69"/>
      <c r="QWG514" s="2513"/>
      <c r="QWH514" s="1761"/>
      <c r="QWI514" s="1762"/>
      <c r="QWJ514" s="1762"/>
      <c r="QWK514" s="1763"/>
      <c r="QWL514" s="385"/>
      <c r="QWM514" s="69"/>
      <c r="QWN514" s="69"/>
      <c r="QWO514" s="2513"/>
      <c r="QWP514" s="1761"/>
      <c r="QWQ514" s="1762"/>
      <c r="QWR514" s="1762"/>
      <c r="QWS514" s="1763"/>
      <c r="QWT514" s="385"/>
      <c r="QWU514" s="69"/>
      <c r="QWV514" s="69"/>
      <c r="QWW514" s="2513"/>
      <c r="QWX514" s="1761"/>
      <c r="QWY514" s="1762"/>
      <c r="QWZ514" s="1762"/>
      <c r="QXA514" s="1763"/>
      <c r="QXB514" s="385"/>
      <c r="QXC514" s="69"/>
      <c r="QXD514" s="69"/>
      <c r="QXE514" s="2513"/>
      <c r="QXF514" s="1761"/>
      <c r="QXG514" s="1762"/>
      <c r="QXH514" s="1762"/>
      <c r="QXI514" s="1763"/>
      <c r="QXJ514" s="385"/>
      <c r="QXK514" s="69"/>
      <c r="QXL514" s="69"/>
      <c r="QXM514" s="2513"/>
      <c r="QXN514" s="1761"/>
      <c r="QXO514" s="1762"/>
      <c r="QXP514" s="1762"/>
      <c r="QXQ514" s="1763"/>
      <c r="QXR514" s="385"/>
      <c r="QXS514" s="69"/>
      <c r="QXT514" s="69"/>
      <c r="QXU514" s="2513"/>
      <c r="QXV514" s="1761"/>
      <c r="QXW514" s="1762"/>
      <c r="QXX514" s="1762"/>
      <c r="QXY514" s="1763"/>
      <c r="QXZ514" s="385"/>
      <c r="QYA514" s="69"/>
      <c r="QYB514" s="69"/>
      <c r="QYC514" s="2513"/>
      <c r="QYD514" s="1761"/>
      <c r="QYE514" s="1762"/>
      <c r="QYF514" s="1762"/>
      <c r="QYG514" s="1763"/>
      <c r="QYH514" s="385"/>
      <c r="QYI514" s="69"/>
      <c r="QYJ514" s="69"/>
      <c r="QYK514" s="2513"/>
      <c r="QYL514" s="1761"/>
      <c r="QYM514" s="1762"/>
      <c r="QYN514" s="1762"/>
      <c r="QYO514" s="1763"/>
      <c r="QYP514" s="385"/>
      <c r="QYQ514" s="69"/>
      <c r="QYR514" s="69"/>
      <c r="QYS514" s="2513"/>
      <c r="QYT514" s="1761"/>
      <c r="QYU514" s="1762"/>
      <c r="QYV514" s="1762"/>
      <c r="QYW514" s="1763"/>
      <c r="QYX514" s="385"/>
      <c r="QYY514" s="69"/>
      <c r="QYZ514" s="69"/>
      <c r="QZA514" s="2513"/>
      <c r="QZB514" s="1761"/>
      <c r="QZC514" s="1762"/>
      <c r="QZD514" s="1762"/>
      <c r="QZE514" s="1763"/>
      <c r="QZF514" s="385"/>
      <c r="QZG514" s="69"/>
      <c r="QZH514" s="69"/>
      <c r="QZI514" s="2513"/>
      <c r="QZJ514" s="1761"/>
      <c r="QZK514" s="1762"/>
      <c r="QZL514" s="1762"/>
      <c r="QZM514" s="1763"/>
      <c r="QZN514" s="385"/>
      <c r="QZO514" s="69"/>
      <c r="QZP514" s="69"/>
      <c r="QZQ514" s="2513"/>
      <c r="QZR514" s="1761"/>
      <c r="QZS514" s="1762"/>
      <c r="QZT514" s="1762"/>
      <c r="QZU514" s="1763"/>
      <c r="QZV514" s="385"/>
      <c r="QZW514" s="69"/>
      <c r="QZX514" s="69"/>
      <c r="QZY514" s="2513"/>
      <c r="QZZ514" s="1761"/>
      <c r="RAA514" s="1762"/>
      <c r="RAB514" s="1762"/>
      <c r="RAC514" s="1763"/>
      <c r="RAD514" s="385"/>
      <c r="RAE514" s="69"/>
      <c r="RAF514" s="69"/>
      <c r="RAG514" s="2513"/>
      <c r="RAH514" s="1761"/>
      <c r="RAI514" s="1762"/>
      <c r="RAJ514" s="1762"/>
      <c r="RAK514" s="1763"/>
      <c r="RAL514" s="385"/>
      <c r="RAM514" s="69"/>
      <c r="RAN514" s="69"/>
      <c r="RAO514" s="2513"/>
      <c r="RAP514" s="1761"/>
      <c r="RAQ514" s="1762"/>
      <c r="RAR514" s="1762"/>
      <c r="RAS514" s="1763"/>
      <c r="RAT514" s="385"/>
      <c r="RAU514" s="69"/>
      <c r="RAV514" s="69"/>
      <c r="RAW514" s="2513"/>
      <c r="RAX514" s="1761"/>
      <c r="RAY514" s="1762"/>
      <c r="RAZ514" s="1762"/>
      <c r="RBA514" s="1763"/>
      <c r="RBB514" s="385"/>
      <c r="RBC514" s="69"/>
      <c r="RBD514" s="69"/>
      <c r="RBE514" s="2513"/>
      <c r="RBF514" s="1761"/>
      <c r="RBG514" s="1762"/>
      <c r="RBH514" s="1762"/>
      <c r="RBI514" s="1763"/>
      <c r="RBJ514" s="385"/>
      <c r="RBK514" s="69"/>
      <c r="RBL514" s="69"/>
      <c r="RBM514" s="2513"/>
      <c r="RBN514" s="1761"/>
      <c r="RBO514" s="1762"/>
      <c r="RBP514" s="1762"/>
      <c r="RBQ514" s="1763"/>
      <c r="RBR514" s="385"/>
      <c r="RBS514" s="69"/>
      <c r="RBT514" s="69"/>
      <c r="RBU514" s="2513"/>
      <c r="RBV514" s="1761"/>
      <c r="RBW514" s="1762"/>
      <c r="RBX514" s="1762"/>
      <c r="RBY514" s="1763"/>
      <c r="RBZ514" s="385"/>
      <c r="RCA514" s="69"/>
      <c r="RCB514" s="69"/>
      <c r="RCC514" s="2513"/>
      <c r="RCD514" s="1761"/>
      <c r="RCE514" s="1762"/>
      <c r="RCF514" s="1762"/>
      <c r="RCG514" s="1763"/>
      <c r="RCH514" s="385"/>
      <c r="RCI514" s="69"/>
      <c r="RCJ514" s="69"/>
      <c r="RCK514" s="2513"/>
      <c r="RCL514" s="1761"/>
      <c r="RCM514" s="1762"/>
      <c r="RCN514" s="1762"/>
      <c r="RCO514" s="1763"/>
      <c r="RCP514" s="385"/>
      <c r="RCQ514" s="69"/>
      <c r="RCR514" s="69"/>
      <c r="RCS514" s="2513"/>
      <c r="RCT514" s="1761"/>
      <c r="RCU514" s="1762"/>
      <c r="RCV514" s="1762"/>
      <c r="RCW514" s="1763"/>
      <c r="RCX514" s="385"/>
      <c r="RCY514" s="69"/>
      <c r="RCZ514" s="69"/>
      <c r="RDA514" s="2513"/>
      <c r="RDB514" s="1761"/>
      <c r="RDC514" s="1762"/>
      <c r="RDD514" s="1762"/>
      <c r="RDE514" s="1763"/>
      <c r="RDF514" s="385"/>
      <c r="RDG514" s="69"/>
      <c r="RDH514" s="69"/>
      <c r="RDI514" s="2513"/>
      <c r="RDJ514" s="1761"/>
      <c r="RDK514" s="1762"/>
      <c r="RDL514" s="1762"/>
      <c r="RDM514" s="1763"/>
      <c r="RDN514" s="385"/>
      <c r="RDO514" s="69"/>
      <c r="RDP514" s="69"/>
      <c r="RDQ514" s="2513"/>
      <c r="RDR514" s="1761"/>
      <c r="RDS514" s="1762"/>
      <c r="RDT514" s="1762"/>
      <c r="RDU514" s="1763"/>
      <c r="RDV514" s="385"/>
      <c r="RDW514" s="69"/>
      <c r="RDX514" s="69"/>
      <c r="RDY514" s="2513"/>
      <c r="RDZ514" s="1761"/>
      <c r="REA514" s="1762"/>
      <c r="REB514" s="1762"/>
      <c r="REC514" s="1763"/>
      <c r="RED514" s="385"/>
      <c r="REE514" s="69"/>
      <c r="REF514" s="69"/>
      <c r="REG514" s="2513"/>
      <c r="REH514" s="1761"/>
      <c r="REI514" s="1762"/>
      <c r="REJ514" s="1762"/>
      <c r="REK514" s="1763"/>
      <c r="REL514" s="385"/>
      <c r="REM514" s="69"/>
      <c r="REN514" s="69"/>
      <c r="REO514" s="2513"/>
      <c r="REP514" s="1761"/>
      <c r="REQ514" s="1762"/>
      <c r="RER514" s="1762"/>
      <c r="RES514" s="1763"/>
      <c r="RET514" s="385"/>
      <c r="REU514" s="69"/>
      <c r="REV514" s="69"/>
      <c r="REW514" s="2513"/>
      <c r="REX514" s="1761"/>
      <c r="REY514" s="1762"/>
      <c r="REZ514" s="1762"/>
      <c r="RFA514" s="1763"/>
      <c r="RFB514" s="385"/>
      <c r="RFC514" s="69"/>
      <c r="RFD514" s="69"/>
      <c r="RFE514" s="2513"/>
      <c r="RFF514" s="1761"/>
      <c r="RFG514" s="1762"/>
      <c r="RFH514" s="1762"/>
      <c r="RFI514" s="1763"/>
      <c r="RFJ514" s="385"/>
      <c r="RFK514" s="69"/>
      <c r="RFL514" s="69"/>
      <c r="RFM514" s="2513"/>
      <c r="RFN514" s="1761"/>
      <c r="RFO514" s="1762"/>
      <c r="RFP514" s="1762"/>
      <c r="RFQ514" s="1763"/>
      <c r="RFR514" s="385"/>
      <c r="RFS514" s="69"/>
      <c r="RFT514" s="69"/>
      <c r="RFU514" s="2513"/>
      <c r="RFV514" s="1761"/>
      <c r="RFW514" s="1762"/>
      <c r="RFX514" s="1762"/>
      <c r="RFY514" s="1763"/>
      <c r="RFZ514" s="385"/>
      <c r="RGA514" s="69"/>
      <c r="RGB514" s="69"/>
      <c r="RGC514" s="2513"/>
      <c r="RGD514" s="1761"/>
      <c r="RGE514" s="1762"/>
      <c r="RGF514" s="1762"/>
      <c r="RGG514" s="1763"/>
      <c r="RGH514" s="385"/>
      <c r="RGI514" s="69"/>
      <c r="RGJ514" s="69"/>
      <c r="RGK514" s="2513"/>
      <c r="RGL514" s="1761"/>
      <c r="RGM514" s="1762"/>
      <c r="RGN514" s="1762"/>
      <c r="RGO514" s="1763"/>
      <c r="RGP514" s="385"/>
      <c r="RGQ514" s="69"/>
      <c r="RGR514" s="69"/>
      <c r="RGS514" s="2513"/>
      <c r="RGT514" s="1761"/>
      <c r="RGU514" s="1762"/>
      <c r="RGV514" s="1762"/>
      <c r="RGW514" s="1763"/>
      <c r="RGX514" s="385"/>
      <c r="RGY514" s="69"/>
      <c r="RGZ514" s="69"/>
      <c r="RHA514" s="2513"/>
      <c r="RHB514" s="1761"/>
      <c r="RHC514" s="1762"/>
      <c r="RHD514" s="1762"/>
      <c r="RHE514" s="1763"/>
      <c r="RHF514" s="385"/>
      <c r="RHG514" s="69"/>
      <c r="RHH514" s="69"/>
      <c r="RHI514" s="2513"/>
      <c r="RHJ514" s="1761"/>
      <c r="RHK514" s="1762"/>
      <c r="RHL514" s="1762"/>
      <c r="RHM514" s="1763"/>
      <c r="RHN514" s="385"/>
      <c r="RHO514" s="69"/>
      <c r="RHP514" s="69"/>
      <c r="RHQ514" s="2513"/>
      <c r="RHR514" s="1761"/>
      <c r="RHS514" s="1762"/>
      <c r="RHT514" s="1762"/>
      <c r="RHU514" s="1763"/>
      <c r="RHV514" s="385"/>
      <c r="RHW514" s="69"/>
      <c r="RHX514" s="69"/>
      <c r="RHY514" s="2513"/>
      <c r="RHZ514" s="1761"/>
      <c r="RIA514" s="1762"/>
      <c r="RIB514" s="1762"/>
      <c r="RIC514" s="1763"/>
      <c r="RID514" s="385"/>
      <c r="RIE514" s="69"/>
      <c r="RIF514" s="69"/>
      <c r="RIG514" s="2513"/>
      <c r="RIH514" s="1761"/>
      <c r="RII514" s="1762"/>
      <c r="RIJ514" s="1762"/>
      <c r="RIK514" s="1763"/>
      <c r="RIL514" s="385"/>
      <c r="RIM514" s="69"/>
      <c r="RIN514" s="69"/>
      <c r="RIO514" s="2513"/>
      <c r="RIP514" s="1761"/>
      <c r="RIQ514" s="1762"/>
      <c r="RIR514" s="1762"/>
      <c r="RIS514" s="1763"/>
      <c r="RIT514" s="385"/>
      <c r="RIU514" s="69"/>
      <c r="RIV514" s="69"/>
      <c r="RIW514" s="2513"/>
      <c r="RIX514" s="1761"/>
      <c r="RIY514" s="1762"/>
      <c r="RIZ514" s="1762"/>
      <c r="RJA514" s="1763"/>
      <c r="RJB514" s="385"/>
      <c r="RJC514" s="69"/>
      <c r="RJD514" s="69"/>
      <c r="RJE514" s="2513"/>
      <c r="RJF514" s="1761"/>
      <c r="RJG514" s="1762"/>
      <c r="RJH514" s="1762"/>
      <c r="RJI514" s="1763"/>
      <c r="RJJ514" s="385"/>
      <c r="RJK514" s="69"/>
      <c r="RJL514" s="69"/>
      <c r="RJM514" s="2513"/>
      <c r="RJN514" s="1761"/>
      <c r="RJO514" s="1762"/>
      <c r="RJP514" s="1762"/>
      <c r="RJQ514" s="1763"/>
      <c r="RJR514" s="385"/>
      <c r="RJS514" s="69"/>
      <c r="RJT514" s="69"/>
      <c r="RJU514" s="2513"/>
      <c r="RJV514" s="1761"/>
      <c r="RJW514" s="1762"/>
      <c r="RJX514" s="1762"/>
      <c r="RJY514" s="1763"/>
      <c r="RJZ514" s="385"/>
      <c r="RKA514" s="69"/>
      <c r="RKB514" s="69"/>
      <c r="RKC514" s="2513"/>
      <c r="RKD514" s="1761"/>
      <c r="RKE514" s="1762"/>
      <c r="RKF514" s="1762"/>
      <c r="RKG514" s="1763"/>
      <c r="RKH514" s="385"/>
      <c r="RKI514" s="69"/>
      <c r="RKJ514" s="69"/>
      <c r="RKK514" s="2513"/>
      <c r="RKL514" s="1761"/>
      <c r="RKM514" s="1762"/>
      <c r="RKN514" s="1762"/>
      <c r="RKO514" s="1763"/>
      <c r="RKP514" s="385"/>
      <c r="RKQ514" s="69"/>
      <c r="RKR514" s="69"/>
      <c r="RKS514" s="2513"/>
      <c r="RKT514" s="1761"/>
      <c r="RKU514" s="1762"/>
      <c r="RKV514" s="1762"/>
      <c r="RKW514" s="1763"/>
      <c r="RKX514" s="385"/>
      <c r="RKY514" s="69"/>
      <c r="RKZ514" s="69"/>
      <c r="RLA514" s="2513"/>
      <c r="RLB514" s="1761"/>
      <c r="RLC514" s="1762"/>
      <c r="RLD514" s="1762"/>
      <c r="RLE514" s="1763"/>
      <c r="RLF514" s="385"/>
      <c r="RLG514" s="69"/>
      <c r="RLH514" s="69"/>
      <c r="RLI514" s="2513"/>
      <c r="RLJ514" s="1761"/>
      <c r="RLK514" s="1762"/>
      <c r="RLL514" s="1762"/>
      <c r="RLM514" s="1763"/>
      <c r="RLN514" s="385"/>
      <c r="RLO514" s="69"/>
      <c r="RLP514" s="69"/>
      <c r="RLQ514" s="2513"/>
      <c r="RLR514" s="1761"/>
      <c r="RLS514" s="1762"/>
      <c r="RLT514" s="1762"/>
      <c r="RLU514" s="1763"/>
      <c r="RLV514" s="385"/>
      <c r="RLW514" s="69"/>
      <c r="RLX514" s="69"/>
      <c r="RLY514" s="2513"/>
      <c r="RLZ514" s="1761"/>
      <c r="RMA514" s="1762"/>
      <c r="RMB514" s="1762"/>
      <c r="RMC514" s="1763"/>
      <c r="RMD514" s="385"/>
      <c r="RME514" s="69"/>
      <c r="RMF514" s="69"/>
      <c r="RMG514" s="2513"/>
      <c r="RMH514" s="1761"/>
      <c r="RMI514" s="1762"/>
      <c r="RMJ514" s="1762"/>
      <c r="RMK514" s="1763"/>
      <c r="RML514" s="385"/>
      <c r="RMM514" s="69"/>
      <c r="RMN514" s="69"/>
      <c r="RMO514" s="2513"/>
      <c r="RMP514" s="1761"/>
      <c r="RMQ514" s="1762"/>
      <c r="RMR514" s="1762"/>
      <c r="RMS514" s="1763"/>
      <c r="RMT514" s="385"/>
      <c r="RMU514" s="69"/>
      <c r="RMV514" s="69"/>
      <c r="RMW514" s="2513"/>
      <c r="RMX514" s="1761"/>
      <c r="RMY514" s="1762"/>
      <c r="RMZ514" s="1762"/>
      <c r="RNA514" s="1763"/>
      <c r="RNB514" s="385"/>
      <c r="RNC514" s="69"/>
      <c r="RND514" s="69"/>
      <c r="RNE514" s="2513"/>
      <c r="RNF514" s="1761"/>
      <c r="RNG514" s="1762"/>
      <c r="RNH514" s="1762"/>
      <c r="RNI514" s="1763"/>
      <c r="RNJ514" s="385"/>
      <c r="RNK514" s="69"/>
      <c r="RNL514" s="69"/>
      <c r="RNM514" s="2513"/>
      <c r="RNN514" s="1761"/>
      <c r="RNO514" s="1762"/>
      <c r="RNP514" s="1762"/>
      <c r="RNQ514" s="1763"/>
      <c r="RNR514" s="385"/>
      <c r="RNS514" s="69"/>
      <c r="RNT514" s="69"/>
      <c r="RNU514" s="2513"/>
      <c r="RNV514" s="1761"/>
      <c r="RNW514" s="1762"/>
      <c r="RNX514" s="1762"/>
      <c r="RNY514" s="1763"/>
      <c r="RNZ514" s="385"/>
      <c r="ROA514" s="69"/>
      <c r="ROB514" s="69"/>
      <c r="ROC514" s="2513"/>
      <c r="ROD514" s="1761"/>
      <c r="ROE514" s="1762"/>
      <c r="ROF514" s="1762"/>
      <c r="ROG514" s="1763"/>
      <c r="ROH514" s="385"/>
      <c r="ROI514" s="69"/>
      <c r="ROJ514" s="69"/>
      <c r="ROK514" s="2513"/>
      <c r="ROL514" s="1761"/>
      <c r="ROM514" s="1762"/>
      <c r="RON514" s="1762"/>
      <c r="ROO514" s="1763"/>
      <c r="ROP514" s="385"/>
      <c r="ROQ514" s="69"/>
      <c r="ROR514" s="69"/>
      <c r="ROS514" s="2513"/>
      <c r="ROT514" s="1761"/>
      <c r="ROU514" s="1762"/>
      <c r="ROV514" s="1762"/>
      <c r="ROW514" s="1763"/>
      <c r="ROX514" s="385"/>
      <c r="ROY514" s="69"/>
      <c r="ROZ514" s="69"/>
      <c r="RPA514" s="2513"/>
      <c r="RPB514" s="1761"/>
      <c r="RPC514" s="1762"/>
      <c r="RPD514" s="1762"/>
      <c r="RPE514" s="1763"/>
      <c r="RPF514" s="385"/>
      <c r="RPG514" s="69"/>
      <c r="RPH514" s="69"/>
      <c r="RPI514" s="2513"/>
      <c r="RPJ514" s="1761"/>
      <c r="RPK514" s="1762"/>
      <c r="RPL514" s="1762"/>
      <c r="RPM514" s="1763"/>
      <c r="RPN514" s="385"/>
      <c r="RPO514" s="69"/>
      <c r="RPP514" s="69"/>
      <c r="RPQ514" s="2513"/>
      <c r="RPR514" s="1761"/>
      <c r="RPS514" s="1762"/>
      <c r="RPT514" s="1762"/>
      <c r="RPU514" s="1763"/>
      <c r="RPV514" s="385"/>
      <c r="RPW514" s="69"/>
      <c r="RPX514" s="69"/>
      <c r="RPY514" s="2513"/>
      <c r="RPZ514" s="1761"/>
      <c r="RQA514" s="1762"/>
      <c r="RQB514" s="1762"/>
      <c r="RQC514" s="1763"/>
      <c r="RQD514" s="385"/>
      <c r="RQE514" s="69"/>
      <c r="RQF514" s="69"/>
      <c r="RQG514" s="2513"/>
      <c r="RQH514" s="1761"/>
      <c r="RQI514" s="1762"/>
      <c r="RQJ514" s="1762"/>
      <c r="RQK514" s="1763"/>
      <c r="RQL514" s="385"/>
      <c r="RQM514" s="69"/>
      <c r="RQN514" s="69"/>
      <c r="RQO514" s="2513"/>
      <c r="RQP514" s="1761"/>
      <c r="RQQ514" s="1762"/>
      <c r="RQR514" s="1762"/>
      <c r="RQS514" s="1763"/>
      <c r="RQT514" s="385"/>
      <c r="RQU514" s="69"/>
      <c r="RQV514" s="69"/>
      <c r="RQW514" s="2513"/>
      <c r="RQX514" s="1761"/>
      <c r="RQY514" s="1762"/>
      <c r="RQZ514" s="1762"/>
      <c r="RRA514" s="1763"/>
      <c r="RRB514" s="385"/>
      <c r="RRC514" s="69"/>
      <c r="RRD514" s="69"/>
      <c r="RRE514" s="2513"/>
      <c r="RRF514" s="1761"/>
      <c r="RRG514" s="1762"/>
      <c r="RRH514" s="1762"/>
      <c r="RRI514" s="1763"/>
      <c r="RRJ514" s="385"/>
      <c r="RRK514" s="69"/>
      <c r="RRL514" s="69"/>
      <c r="RRM514" s="2513"/>
      <c r="RRN514" s="1761"/>
      <c r="RRO514" s="1762"/>
      <c r="RRP514" s="1762"/>
      <c r="RRQ514" s="1763"/>
      <c r="RRR514" s="385"/>
      <c r="RRS514" s="69"/>
      <c r="RRT514" s="69"/>
      <c r="RRU514" s="2513"/>
      <c r="RRV514" s="1761"/>
      <c r="RRW514" s="1762"/>
      <c r="RRX514" s="1762"/>
      <c r="RRY514" s="1763"/>
      <c r="RRZ514" s="385"/>
      <c r="RSA514" s="69"/>
      <c r="RSB514" s="69"/>
      <c r="RSC514" s="2513"/>
      <c r="RSD514" s="1761"/>
      <c r="RSE514" s="1762"/>
      <c r="RSF514" s="1762"/>
      <c r="RSG514" s="1763"/>
      <c r="RSH514" s="385"/>
      <c r="RSI514" s="69"/>
      <c r="RSJ514" s="69"/>
      <c r="RSK514" s="2513"/>
      <c r="RSL514" s="1761"/>
      <c r="RSM514" s="1762"/>
      <c r="RSN514" s="1762"/>
      <c r="RSO514" s="1763"/>
      <c r="RSP514" s="385"/>
      <c r="RSQ514" s="69"/>
      <c r="RSR514" s="69"/>
      <c r="RSS514" s="2513"/>
      <c r="RST514" s="1761"/>
      <c r="RSU514" s="1762"/>
      <c r="RSV514" s="1762"/>
      <c r="RSW514" s="1763"/>
      <c r="RSX514" s="385"/>
      <c r="RSY514" s="69"/>
      <c r="RSZ514" s="69"/>
      <c r="RTA514" s="2513"/>
      <c r="RTB514" s="1761"/>
      <c r="RTC514" s="1762"/>
      <c r="RTD514" s="1762"/>
      <c r="RTE514" s="1763"/>
      <c r="RTF514" s="385"/>
      <c r="RTG514" s="69"/>
      <c r="RTH514" s="69"/>
      <c r="RTI514" s="2513"/>
      <c r="RTJ514" s="1761"/>
      <c r="RTK514" s="1762"/>
      <c r="RTL514" s="1762"/>
      <c r="RTM514" s="1763"/>
      <c r="RTN514" s="385"/>
      <c r="RTO514" s="69"/>
      <c r="RTP514" s="69"/>
      <c r="RTQ514" s="2513"/>
      <c r="RTR514" s="1761"/>
      <c r="RTS514" s="1762"/>
      <c r="RTT514" s="1762"/>
      <c r="RTU514" s="1763"/>
      <c r="RTV514" s="385"/>
      <c r="RTW514" s="69"/>
      <c r="RTX514" s="69"/>
      <c r="RTY514" s="2513"/>
      <c r="RTZ514" s="1761"/>
      <c r="RUA514" s="1762"/>
      <c r="RUB514" s="1762"/>
      <c r="RUC514" s="1763"/>
      <c r="RUD514" s="385"/>
      <c r="RUE514" s="69"/>
      <c r="RUF514" s="69"/>
      <c r="RUG514" s="2513"/>
      <c r="RUH514" s="1761"/>
      <c r="RUI514" s="1762"/>
      <c r="RUJ514" s="1762"/>
      <c r="RUK514" s="1763"/>
      <c r="RUL514" s="385"/>
      <c r="RUM514" s="69"/>
      <c r="RUN514" s="69"/>
      <c r="RUO514" s="2513"/>
      <c r="RUP514" s="1761"/>
      <c r="RUQ514" s="1762"/>
      <c r="RUR514" s="1762"/>
      <c r="RUS514" s="1763"/>
      <c r="RUT514" s="385"/>
      <c r="RUU514" s="69"/>
      <c r="RUV514" s="69"/>
      <c r="RUW514" s="2513"/>
      <c r="RUX514" s="1761"/>
      <c r="RUY514" s="1762"/>
      <c r="RUZ514" s="1762"/>
      <c r="RVA514" s="1763"/>
      <c r="RVB514" s="385"/>
      <c r="RVC514" s="69"/>
      <c r="RVD514" s="69"/>
      <c r="RVE514" s="2513"/>
      <c r="RVF514" s="1761"/>
      <c r="RVG514" s="1762"/>
      <c r="RVH514" s="1762"/>
      <c r="RVI514" s="1763"/>
      <c r="RVJ514" s="385"/>
      <c r="RVK514" s="69"/>
      <c r="RVL514" s="69"/>
      <c r="RVM514" s="2513"/>
      <c r="RVN514" s="1761"/>
      <c r="RVO514" s="1762"/>
      <c r="RVP514" s="1762"/>
      <c r="RVQ514" s="1763"/>
      <c r="RVR514" s="385"/>
      <c r="RVS514" s="69"/>
      <c r="RVT514" s="69"/>
      <c r="RVU514" s="2513"/>
      <c r="RVV514" s="1761"/>
      <c r="RVW514" s="1762"/>
      <c r="RVX514" s="1762"/>
      <c r="RVY514" s="1763"/>
      <c r="RVZ514" s="385"/>
      <c r="RWA514" s="69"/>
      <c r="RWB514" s="69"/>
      <c r="RWC514" s="2513"/>
      <c r="RWD514" s="1761"/>
      <c r="RWE514" s="1762"/>
      <c r="RWF514" s="1762"/>
      <c r="RWG514" s="1763"/>
      <c r="RWH514" s="385"/>
      <c r="RWI514" s="69"/>
      <c r="RWJ514" s="69"/>
      <c r="RWK514" s="2513"/>
      <c r="RWL514" s="1761"/>
      <c r="RWM514" s="1762"/>
      <c r="RWN514" s="1762"/>
      <c r="RWO514" s="1763"/>
      <c r="RWP514" s="385"/>
      <c r="RWQ514" s="69"/>
      <c r="RWR514" s="69"/>
      <c r="RWS514" s="2513"/>
      <c r="RWT514" s="1761"/>
      <c r="RWU514" s="1762"/>
      <c r="RWV514" s="1762"/>
      <c r="RWW514" s="1763"/>
      <c r="RWX514" s="385"/>
      <c r="RWY514" s="69"/>
      <c r="RWZ514" s="69"/>
      <c r="RXA514" s="2513"/>
      <c r="RXB514" s="1761"/>
      <c r="RXC514" s="1762"/>
      <c r="RXD514" s="1762"/>
      <c r="RXE514" s="1763"/>
      <c r="RXF514" s="385"/>
      <c r="RXG514" s="69"/>
      <c r="RXH514" s="69"/>
      <c r="RXI514" s="2513"/>
      <c r="RXJ514" s="1761"/>
      <c r="RXK514" s="1762"/>
      <c r="RXL514" s="1762"/>
      <c r="RXM514" s="1763"/>
      <c r="RXN514" s="385"/>
      <c r="RXO514" s="69"/>
      <c r="RXP514" s="69"/>
      <c r="RXQ514" s="2513"/>
      <c r="RXR514" s="1761"/>
      <c r="RXS514" s="1762"/>
      <c r="RXT514" s="1762"/>
      <c r="RXU514" s="1763"/>
      <c r="RXV514" s="385"/>
      <c r="RXW514" s="69"/>
      <c r="RXX514" s="69"/>
      <c r="RXY514" s="2513"/>
      <c r="RXZ514" s="1761"/>
      <c r="RYA514" s="1762"/>
      <c r="RYB514" s="1762"/>
      <c r="RYC514" s="1763"/>
      <c r="RYD514" s="385"/>
      <c r="RYE514" s="69"/>
      <c r="RYF514" s="69"/>
      <c r="RYG514" s="2513"/>
      <c r="RYH514" s="1761"/>
      <c r="RYI514" s="1762"/>
      <c r="RYJ514" s="1762"/>
      <c r="RYK514" s="1763"/>
      <c r="RYL514" s="385"/>
      <c r="RYM514" s="69"/>
      <c r="RYN514" s="69"/>
      <c r="RYO514" s="2513"/>
      <c r="RYP514" s="1761"/>
      <c r="RYQ514" s="1762"/>
      <c r="RYR514" s="1762"/>
      <c r="RYS514" s="1763"/>
      <c r="RYT514" s="385"/>
      <c r="RYU514" s="69"/>
      <c r="RYV514" s="69"/>
      <c r="RYW514" s="2513"/>
      <c r="RYX514" s="1761"/>
      <c r="RYY514" s="1762"/>
      <c r="RYZ514" s="1762"/>
      <c r="RZA514" s="1763"/>
      <c r="RZB514" s="385"/>
      <c r="RZC514" s="69"/>
      <c r="RZD514" s="69"/>
      <c r="RZE514" s="2513"/>
      <c r="RZF514" s="1761"/>
      <c r="RZG514" s="1762"/>
      <c r="RZH514" s="1762"/>
      <c r="RZI514" s="1763"/>
      <c r="RZJ514" s="385"/>
      <c r="RZK514" s="69"/>
      <c r="RZL514" s="69"/>
      <c r="RZM514" s="2513"/>
      <c r="RZN514" s="1761"/>
      <c r="RZO514" s="1762"/>
      <c r="RZP514" s="1762"/>
      <c r="RZQ514" s="1763"/>
      <c r="RZR514" s="385"/>
      <c r="RZS514" s="69"/>
      <c r="RZT514" s="69"/>
      <c r="RZU514" s="2513"/>
      <c r="RZV514" s="1761"/>
      <c r="RZW514" s="1762"/>
      <c r="RZX514" s="1762"/>
      <c r="RZY514" s="1763"/>
      <c r="RZZ514" s="385"/>
      <c r="SAA514" s="69"/>
      <c r="SAB514" s="69"/>
      <c r="SAC514" s="2513"/>
      <c r="SAD514" s="1761"/>
      <c r="SAE514" s="1762"/>
      <c r="SAF514" s="1762"/>
      <c r="SAG514" s="1763"/>
      <c r="SAH514" s="385"/>
      <c r="SAI514" s="69"/>
      <c r="SAJ514" s="69"/>
      <c r="SAK514" s="2513"/>
      <c r="SAL514" s="1761"/>
      <c r="SAM514" s="1762"/>
      <c r="SAN514" s="1762"/>
      <c r="SAO514" s="1763"/>
      <c r="SAP514" s="385"/>
      <c r="SAQ514" s="69"/>
      <c r="SAR514" s="69"/>
      <c r="SAS514" s="2513"/>
      <c r="SAT514" s="1761"/>
      <c r="SAU514" s="1762"/>
      <c r="SAV514" s="1762"/>
      <c r="SAW514" s="1763"/>
      <c r="SAX514" s="385"/>
      <c r="SAY514" s="69"/>
      <c r="SAZ514" s="69"/>
      <c r="SBA514" s="2513"/>
      <c r="SBB514" s="1761"/>
      <c r="SBC514" s="1762"/>
      <c r="SBD514" s="1762"/>
      <c r="SBE514" s="1763"/>
      <c r="SBF514" s="385"/>
      <c r="SBG514" s="69"/>
      <c r="SBH514" s="69"/>
      <c r="SBI514" s="2513"/>
      <c r="SBJ514" s="1761"/>
      <c r="SBK514" s="1762"/>
      <c r="SBL514" s="1762"/>
      <c r="SBM514" s="1763"/>
      <c r="SBN514" s="385"/>
      <c r="SBO514" s="69"/>
      <c r="SBP514" s="69"/>
      <c r="SBQ514" s="2513"/>
      <c r="SBR514" s="1761"/>
      <c r="SBS514" s="1762"/>
      <c r="SBT514" s="1762"/>
      <c r="SBU514" s="1763"/>
      <c r="SBV514" s="385"/>
      <c r="SBW514" s="69"/>
      <c r="SBX514" s="69"/>
      <c r="SBY514" s="2513"/>
      <c r="SBZ514" s="1761"/>
      <c r="SCA514" s="1762"/>
      <c r="SCB514" s="1762"/>
      <c r="SCC514" s="1763"/>
      <c r="SCD514" s="385"/>
      <c r="SCE514" s="69"/>
      <c r="SCF514" s="69"/>
      <c r="SCG514" s="2513"/>
      <c r="SCH514" s="1761"/>
      <c r="SCI514" s="1762"/>
      <c r="SCJ514" s="1762"/>
      <c r="SCK514" s="1763"/>
      <c r="SCL514" s="385"/>
      <c r="SCM514" s="69"/>
      <c r="SCN514" s="69"/>
      <c r="SCO514" s="2513"/>
      <c r="SCP514" s="1761"/>
      <c r="SCQ514" s="1762"/>
      <c r="SCR514" s="1762"/>
      <c r="SCS514" s="1763"/>
      <c r="SCT514" s="385"/>
      <c r="SCU514" s="69"/>
      <c r="SCV514" s="69"/>
      <c r="SCW514" s="2513"/>
      <c r="SCX514" s="1761"/>
      <c r="SCY514" s="1762"/>
      <c r="SCZ514" s="1762"/>
      <c r="SDA514" s="1763"/>
      <c r="SDB514" s="385"/>
      <c r="SDC514" s="69"/>
      <c r="SDD514" s="69"/>
      <c r="SDE514" s="2513"/>
      <c r="SDF514" s="1761"/>
      <c r="SDG514" s="1762"/>
      <c r="SDH514" s="1762"/>
      <c r="SDI514" s="1763"/>
      <c r="SDJ514" s="385"/>
      <c r="SDK514" s="69"/>
      <c r="SDL514" s="69"/>
      <c r="SDM514" s="2513"/>
      <c r="SDN514" s="1761"/>
      <c r="SDO514" s="1762"/>
      <c r="SDP514" s="1762"/>
      <c r="SDQ514" s="1763"/>
      <c r="SDR514" s="385"/>
      <c r="SDS514" s="69"/>
      <c r="SDT514" s="69"/>
      <c r="SDU514" s="2513"/>
      <c r="SDV514" s="1761"/>
      <c r="SDW514" s="1762"/>
      <c r="SDX514" s="1762"/>
      <c r="SDY514" s="1763"/>
      <c r="SDZ514" s="385"/>
      <c r="SEA514" s="69"/>
      <c r="SEB514" s="69"/>
      <c r="SEC514" s="2513"/>
      <c r="SED514" s="1761"/>
      <c r="SEE514" s="1762"/>
      <c r="SEF514" s="1762"/>
      <c r="SEG514" s="1763"/>
      <c r="SEH514" s="385"/>
      <c r="SEI514" s="69"/>
      <c r="SEJ514" s="69"/>
      <c r="SEK514" s="2513"/>
      <c r="SEL514" s="1761"/>
      <c r="SEM514" s="1762"/>
      <c r="SEN514" s="1762"/>
      <c r="SEO514" s="1763"/>
      <c r="SEP514" s="385"/>
      <c r="SEQ514" s="69"/>
      <c r="SER514" s="69"/>
      <c r="SES514" s="2513"/>
      <c r="SET514" s="1761"/>
      <c r="SEU514" s="1762"/>
      <c r="SEV514" s="1762"/>
      <c r="SEW514" s="1763"/>
      <c r="SEX514" s="385"/>
      <c r="SEY514" s="69"/>
      <c r="SEZ514" s="69"/>
      <c r="SFA514" s="2513"/>
      <c r="SFB514" s="1761"/>
      <c r="SFC514" s="1762"/>
      <c r="SFD514" s="1762"/>
      <c r="SFE514" s="1763"/>
      <c r="SFF514" s="385"/>
      <c r="SFG514" s="69"/>
      <c r="SFH514" s="69"/>
      <c r="SFI514" s="2513"/>
      <c r="SFJ514" s="1761"/>
      <c r="SFK514" s="1762"/>
      <c r="SFL514" s="1762"/>
      <c r="SFM514" s="1763"/>
      <c r="SFN514" s="385"/>
      <c r="SFO514" s="69"/>
      <c r="SFP514" s="69"/>
      <c r="SFQ514" s="2513"/>
      <c r="SFR514" s="1761"/>
      <c r="SFS514" s="1762"/>
      <c r="SFT514" s="1762"/>
      <c r="SFU514" s="1763"/>
      <c r="SFV514" s="385"/>
      <c r="SFW514" s="69"/>
      <c r="SFX514" s="69"/>
      <c r="SFY514" s="2513"/>
      <c r="SFZ514" s="1761"/>
      <c r="SGA514" s="1762"/>
      <c r="SGB514" s="1762"/>
      <c r="SGC514" s="1763"/>
      <c r="SGD514" s="385"/>
      <c r="SGE514" s="69"/>
      <c r="SGF514" s="69"/>
      <c r="SGG514" s="2513"/>
      <c r="SGH514" s="1761"/>
      <c r="SGI514" s="1762"/>
      <c r="SGJ514" s="1762"/>
      <c r="SGK514" s="1763"/>
      <c r="SGL514" s="385"/>
      <c r="SGM514" s="69"/>
      <c r="SGN514" s="69"/>
      <c r="SGO514" s="2513"/>
      <c r="SGP514" s="1761"/>
      <c r="SGQ514" s="1762"/>
      <c r="SGR514" s="1762"/>
      <c r="SGS514" s="1763"/>
      <c r="SGT514" s="385"/>
      <c r="SGU514" s="69"/>
      <c r="SGV514" s="69"/>
      <c r="SGW514" s="2513"/>
      <c r="SGX514" s="1761"/>
      <c r="SGY514" s="1762"/>
      <c r="SGZ514" s="1762"/>
      <c r="SHA514" s="1763"/>
      <c r="SHB514" s="385"/>
      <c r="SHC514" s="69"/>
      <c r="SHD514" s="69"/>
      <c r="SHE514" s="2513"/>
      <c r="SHF514" s="1761"/>
      <c r="SHG514" s="1762"/>
      <c r="SHH514" s="1762"/>
      <c r="SHI514" s="1763"/>
      <c r="SHJ514" s="385"/>
      <c r="SHK514" s="69"/>
      <c r="SHL514" s="69"/>
      <c r="SHM514" s="2513"/>
      <c r="SHN514" s="1761"/>
      <c r="SHO514" s="1762"/>
      <c r="SHP514" s="1762"/>
      <c r="SHQ514" s="1763"/>
      <c r="SHR514" s="385"/>
      <c r="SHS514" s="69"/>
      <c r="SHT514" s="69"/>
      <c r="SHU514" s="2513"/>
      <c r="SHV514" s="1761"/>
      <c r="SHW514" s="1762"/>
      <c r="SHX514" s="1762"/>
      <c r="SHY514" s="1763"/>
      <c r="SHZ514" s="385"/>
      <c r="SIA514" s="69"/>
      <c r="SIB514" s="69"/>
      <c r="SIC514" s="2513"/>
      <c r="SID514" s="1761"/>
      <c r="SIE514" s="1762"/>
      <c r="SIF514" s="1762"/>
      <c r="SIG514" s="1763"/>
      <c r="SIH514" s="385"/>
      <c r="SII514" s="69"/>
      <c r="SIJ514" s="69"/>
      <c r="SIK514" s="2513"/>
      <c r="SIL514" s="1761"/>
      <c r="SIM514" s="1762"/>
      <c r="SIN514" s="1762"/>
      <c r="SIO514" s="1763"/>
      <c r="SIP514" s="385"/>
      <c r="SIQ514" s="69"/>
      <c r="SIR514" s="69"/>
      <c r="SIS514" s="2513"/>
      <c r="SIT514" s="1761"/>
      <c r="SIU514" s="1762"/>
      <c r="SIV514" s="1762"/>
      <c r="SIW514" s="1763"/>
      <c r="SIX514" s="385"/>
      <c r="SIY514" s="69"/>
      <c r="SIZ514" s="69"/>
      <c r="SJA514" s="2513"/>
      <c r="SJB514" s="1761"/>
      <c r="SJC514" s="1762"/>
      <c r="SJD514" s="1762"/>
      <c r="SJE514" s="1763"/>
      <c r="SJF514" s="385"/>
      <c r="SJG514" s="69"/>
      <c r="SJH514" s="69"/>
      <c r="SJI514" s="2513"/>
      <c r="SJJ514" s="1761"/>
      <c r="SJK514" s="1762"/>
      <c r="SJL514" s="1762"/>
      <c r="SJM514" s="1763"/>
      <c r="SJN514" s="385"/>
      <c r="SJO514" s="69"/>
      <c r="SJP514" s="69"/>
      <c r="SJQ514" s="2513"/>
      <c r="SJR514" s="1761"/>
      <c r="SJS514" s="1762"/>
      <c r="SJT514" s="1762"/>
      <c r="SJU514" s="1763"/>
      <c r="SJV514" s="385"/>
      <c r="SJW514" s="69"/>
      <c r="SJX514" s="69"/>
      <c r="SJY514" s="2513"/>
      <c r="SJZ514" s="1761"/>
      <c r="SKA514" s="1762"/>
      <c r="SKB514" s="1762"/>
      <c r="SKC514" s="1763"/>
      <c r="SKD514" s="385"/>
      <c r="SKE514" s="69"/>
      <c r="SKF514" s="69"/>
      <c r="SKG514" s="2513"/>
      <c r="SKH514" s="1761"/>
      <c r="SKI514" s="1762"/>
      <c r="SKJ514" s="1762"/>
      <c r="SKK514" s="1763"/>
      <c r="SKL514" s="385"/>
      <c r="SKM514" s="69"/>
      <c r="SKN514" s="69"/>
      <c r="SKO514" s="2513"/>
      <c r="SKP514" s="1761"/>
      <c r="SKQ514" s="1762"/>
      <c r="SKR514" s="1762"/>
      <c r="SKS514" s="1763"/>
      <c r="SKT514" s="385"/>
      <c r="SKU514" s="69"/>
      <c r="SKV514" s="69"/>
      <c r="SKW514" s="2513"/>
      <c r="SKX514" s="1761"/>
      <c r="SKY514" s="1762"/>
      <c r="SKZ514" s="1762"/>
      <c r="SLA514" s="1763"/>
      <c r="SLB514" s="385"/>
      <c r="SLC514" s="69"/>
      <c r="SLD514" s="69"/>
      <c r="SLE514" s="2513"/>
      <c r="SLF514" s="1761"/>
      <c r="SLG514" s="1762"/>
      <c r="SLH514" s="1762"/>
      <c r="SLI514" s="1763"/>
      <c r="SLJ514" s="385"/>
      <c r="SLK514" s="69"/>
      <c r="SLL514" s="69"/>
      <c r="SLM514" s="2513"/>
      <c r="SLN514" s="1761"/>
      <c r="SLO514" s="1762"/>
      <c r="SLP514" s="1762"/>
      <c r="SLQ514" s="1763"/>
      <c r="SLR514" s="385"/>
      <c r="SLS514" s="69"/>
      <c r="SLT514" s="69"/>
      <c r="SLU514" s="2513"/>
      <c r="SLV514" s="1761"/>
      <c r="SLW514" s="1762"/>
      <c r="SLX514" s="1762"/>
      <c r="SLY514" s="1763"/>
      <c r="SLZ514" s="385"/>
      <c r="SMA514" s="69"/>
      <c r="SMB514" s="69"/>
      <c r="SMC514" s="2513"/>
      <c r="SMD514" s="1761"/>
      <c r="SME514" s="1762"/>
      <c r="SMF514" s="1762"/>
      <c r="SMG514" s="1763"/>
      <c r="SMH514" s="385"/>
      <c r="SMI514" s="69"/>
      <c r="SMJ514" s="69"/>
      <c r="SMK514" s="2513"/>
      <c r="SML514" s="1761"/>
      <c r="SMM514" s="1762"/>
      <c r="SMN514" s="1762"/>
      <c r="SMO514" s="1763"/>
      <c r="SMP514" s="385"/>
      <c r="SMQ514" s="69"/>
      <c r="SMR514" s="69"/>
      <c r="SMS514" s="2513"/>
      <c r="SMT514" s="1761"/>
      <c r="SMU514" s="1762"/>
      <c r="SMV514" s="1762"/>
      <c r="SMW514" s="1763"/>
      <c r="SMX514" s="385"/>
      <c r="SMY514" s="69"/>
      <c r="SMZ514" s="69"/>
      <c r="SNA514" s="2513"/>
      <c r="SNB514" s="1761"/>
      <c r="SNC514" s="1762"/>
      <c r="SND514" s="1762"/>
      <c r="SNE514" s="1763"/>
      <c r="SNF514" s="385"/>
      <c r="SNG514" s="69"/>
      <c r="SNH514" s="69"/>
      <c r="SNI514" s="2513"/>
      <c r="SNJ514" s="1761"/>
      <c r="SNK514" s="1762"/>
      <c r="SNL514" s="1762"/>
      <c r="SNM514" s="1763"/>
      <c r="SNN514" s="385"/>
      <c r="SNO514" s="69"/>
      <c r="SNP514" s="69"/>
      <c r="SNQ514" s="2513"/>
      <c r="SNR514" s="1761"/>
      <c r="SNS514" s="1762"/>
      <c r="SNT514" s="1762"/>
      <c r="SNU514" s="1763"/>
      <c r="SNV514" s="385"/>
      <c r="SNW514" s="69"/>
      <c r="SNX514" s="69"/>
      <c r="SNY514" s="2513"/>
      <c r="SNZ514" s="1761"/>
      <c r="SOA514" s="1762"/>
      <c r="SOB514" s="1762"/>
      <c r="SOC514" s="1763"/>
      <c r="SOD514" s="385"/>
      <c r="SOE514" s="69"/>
      <c r="SOF514" s="69"/>
      <c r="SOG514" s="2513"/>
      <c r="SOH514" s="1761"/>
      <c r="SOI514" s="1762"/>
      <c r="SOJ514" s="1762"/>
      <c r="SOK514" s="1763"/>
      <c r="SOL514" s="385"/>
      <c r="SOM514" s="69"/>
      <c r="SON514" s="69"/>
      <c r="SOO514" s="2513"/>
      <c r="SOP514" s="1761"/>
      <c r="SOQ514" s="1762"/>
      <c r="SOR514" s="1762"/>
      <c r="SOS514" s="1763"/>
      <c r="SOT514" s="385"/>
      <c r="SOU514" s="69"/>
      <c r="SOV514" s="69"/>
      <c r="SOW514" s="2513"/>
      <c r="SOX514" s="1761"/>
      <c r="SOY514" s="1762"/>
      <c r="SOZ514" s="1762"/>
      <c r="SPA514" s="1763"/>
      <c r="SPB514" s="385"/>
      <c r="SPC514" s="69"/>
      <c r="SPD514" s="69"/>
      <c r="SPE514" s="2513"/>
      <c r="SPF514" s="1761"/>
      <c r="SPG514" s="1762"/>
      <c r="SPH514" s="1762"/>
      <c r="SPI514" s="1763"/>
      <c r="SPJ514" s="385"/>
      <c r="SPK514" s="69"/>
      <c r="SPL514" s="69"/>
      <c r="SPM514" s="2513"/>
      <c r="SPN514" s="1761"/>
      <c r="SPO514" s="1762"/>
      <c r="SPP514" s="1762"/>
      <c r="SPQ514" s="1763"/>
      <c r="SPR514" s="385"/>
      <c r="SPS514" s="69"/>
      <c r="SPT514" s="69"/>
      <c r="SPU514" s="2513"/>
      <c r="SPV514" s="1761"/>
      <c r="SPW514" s="1762"/>
      <c r="SPX514" s="1762"/>
      <c r="SPY514" s="1763"/>
      <c r="SPZ514" s="385"/>
      <c r="SQA514" s="69"/>
      <c r="SQB514" s="69"/>
      <c r="SQC514" s="2513"/>
      <c r="SQD514" s="1761"/>
      <c r="SQE514" s="1762"/>
      <c r="SQF514" s="1762"/>
      <c r="SQG514" s="1763"/>
      <c r="SQH514" s="385"/>
      <c r="SQI514" s="69"/>
      <c r="SQJ514" s="69"/>
      <c r="SQK514" s="2513"/>
      <c r="SQL514" s="1761"/>
      <c r="SQM514" s="1762"/>
      <c r="SQN514" s="1762"/>
      <c r="SQO514" s="1763"/>
      <c r="SQP514" s="385"/>
      <c r="SQQ514" s="69"/>
      <c r="SQR514" s="69"/>
      <c r="SQS514" s="2513"/>
      <c r="SQT514" s="1761"/>
      <c r="SQU514" s="1762"/>
      <c r="SQV514" s="1762"/>
      <c r="SQW514" s="1763"/>
      <c r="SQX514" s="385"/>
      <c r="SQY514" s="69"/>
      <c r="SQZ514" s="69"/>
      <c r="SRA514" s="2513"/>
      <c r="SRB514" s="1761"/>
      <c r="SRC514" s="1762"/>
      <c r="SRD514" s="1762"/>
      <c r="SRE514" s="1763"/>
      <c r="SRF514" s="385"/>
      <c r="SRG514" s="69"/>
      <c r="SRH514" s="69"/>
      <c r="SRI514" s="2513"/>
      <c r="SRJ514" s="1761"/>
      <c r="SRK514" s="1762"/>
      <c r="SRL514" s="1762"/>
      <c r="SRM514" s="1763"/>
      <c r="SRN514" s="385"/>
      <c r="SRO514" s="69"/>
      <c r="SRP514" s="69"/>
      <c r="SRQ514" s="2513"/>
      <c r="SRR514" s="1761"/>
      <c r="SRS514" s="1762"/>
      <c r="SRT514" s="1762"/>
      <c r="SRU514" s="1763"/>
      <c r="SRV514" s="385"/>
      <c r="SRW514" s="69"/>
      <c r="SRX514" s="69"/>
      <c r="SRY514" s="2513"/>
      <c r="SRZ514" s="1761"/>
      <c r="SSA514" s="1762"/>
      <c r="SSB514" s="1762"/>
      <c r="SSC514" s="1763"/>
      <c r="SSD514" s="385"/>
      <c r="SSE514" s="69"/>
      <c r="SSF514" s="69"/>
      <c r="SSG514" s="2513"/>
      <c r="SSH514" s="1761"/>
      <c r="SSI514" s="1762"/>
      <c r="SSJ514" s="1762"/>
      <c r="SSK514" s="1763"/>
      <c r="SSL514" s="385"/>
      <c r="SSM514" s="69"/>
      <c r="SSN514" s="69"/>
      <c r="SSO514" s="2513"/>
      <c r="SSP514" s="1761"/>
      <c r="SSQ514" s="1762"/>
      <c r="SSR514" s="1762"/>
      <c r="SSS514" s="1763"/>
      <c r="SST514" s="385"/>
      <c r="SSU514" s="69"/>
      <c r="SSV514" s="69"/>
      <c r="SSW514" s="2513"/>
      <c r="SSX514" s="1761"/>
      <c r="SSY514" s="1762"/>
      <c r="SSZ514" s="1762"/>
      <c r="STA514" s="1763"/>
      <c r="STB514" s="385"/>
      <c r="STC514" s="69"/>
      <c r="STD514" s="69"/>
      <c r="STE514" s="2513"/>
      <c r="STF514" s="1761"/>
      <c r="STG514" s="1762"/>
      <c r="STH514" s="1762"/>
      <c r="STI514" s="1763"/>
      <c r="STJ514" s="385"/>
      <c r="STK514" s="69"/>
      <c r="STL514" s="69"/>
      <c r="STM514" s="2513"/>
      <c r="STN514" s="1761"/>
      <c r="STO514" s="1762"/>
      <c r="STP514" s="1762"/>
      <c r="STQ514" s="1763"/>
      <c r="STR514" s="385"/>
      <c r="STS514" s="69"/>
      <c r="STT514" s="69"/>
      <c r="STU514" s="2513"/>
      <c r="STV514" s="1761"/>
      <c r="STW514" s="1762"/>
      <c r="STX514" s="1762"/>
      <c r="STY514" s="1763"/>
      <c r="STZ514" s="385"/>
      <c r="SUA514" s="69"/>
      <c r="SUB514" s="69"/>
      <c r="SUC514" s="2513"/>
      <c r="SUD514" s="1761"/>
      <c r="SUE514" s="1762"/>
      <c r="SUF514" s="1762"/>
      <c r="SUG514" s="1763"/>
      <c r="SUH514" s="385"/>
      <c r="SUI514" s="69"/>
      <c r="SUJ514" s="69"/>
      <c r="SUK514" s="2513"/>
      <c r="SUL514" s="1761"/>
      <c r="SUM514" s="1762"/>
      <c r="SUN514" s="1762"/>
      <c r="SUO514" s="1763"/>
      <c r="SUP514" s="385"/>
      <c r="SUQ514" s="69"/>
      <c r="SUR514" s="69"/>
      <c r="SUS514" s="2513"/>
      <c r="SUT514" s="1761"/>
      <c r="SUU514" s="1762"/>
      <c r="SUV514" s="1762"/>
      <c r="SUW514" s="1763"/>
      <c r="SUX514" s="385"/>
      <c r="SUY514" s="69"/>
      <c r="SUZ514" s="69"/>
      <c r="SVA514" s="2513"/>
      <c r="SVB514" s="1761"/>
      <c r="SVC514" s="1762"/>
      <c r="SVD514" s="1762"/>
      <c r="SVE514" s="1763"/>
      <c r="SVF514" s="385"/>
      <c r="SVG514" s="69"/>
      <c r="SVH514" s="69"/>
      <c r="SVI514" s="2513"/>
      <c r="SVJ514" s="1761"/>
      <c r="SVK514" s="1762"/>
      <c r="SVL514" s="1762"/>
      <c r="SVM514" s="1763"/>
      <c r="SVN514" s="385"/>
      <c r="SVO514" s="69"/>
      <c r="SVP514" s="69"/>
      <c r="SVQ514" s="2513"/>
      <c r="SVR514" s="1761"/>
      <c r="SVS514" s="1762"/>
      <c r="SVT514" s="1762"/>
      <c r="SVU514" s="1763"/>
      <c r="SVV514" s="385"/>
      <c r="SVW514" s="69"/>
      <c r="SVX514" s="69"/>
      <c r="SVY514" s="2513"/>
      <c r="SVZ514" s="1761"/>
      <c r="SWA514" s="1762"/>
      <c r="SWB514" s="1762"/>
      <c r="SWC514" s="1763"/>
      <c r="SWD514" s="385"/>
      <c r="SWE514" s="69"/>
      <c r="SWF514" s="69"/>
      <c r="SWG514" s="2513"/>
      <c r="SWH514" s="1761"/>
      <c r="SWI514" s="1762"/>
      <c r="SWJ514" s="1762"/>
      <c r="SWK514" s="1763"/>
      <c r="SWL514" s="385"/>
      <c r="SWM514" s="69"/>
      <c r="SWN514" s="69"/>
      <c r="SWO514" s="2513"/>
      <c r="SWP514" s="1761"/>
      <c r="SWQ514" s="1762"/>
      <c r="SWR514" s="1762"/>
      <c r="SWS514" s="1763"/>
      <c r="SWT514" s="385"/>
      <c r="SWU514" s="69"/>
      <c r="SWV514" s="69"/>
      <c r="SWW514" s="2513"/>
      <c r="SWX514" s="1761"/>
      <c r="SWY514" s="1762"/>
      <c r="SWZ514" s="1762"/>
      <c r="SXA514" s="1763"/>
      <c r="SXB514" s="385"/>
      <c r="SXC514" s="69"/>
      <c r="SXD514" s="69"/>
      <c r="SXE514" s="2513"/>
      <c r="SXF514" s="1761"/>
      <c r="SXG514" s="1762"/>
      <c r="SXH514" s="1762"/>
      <c r="SXI514" s="1763"/>
      <c r="SXJ514" s="385"/>
      <c r="SXK514" s="69"/>
      <c r="SXL514" s="69"/>
      <c r="SXM514" s="2513"/>
      <c r="SXN514" s="1761"/>
      <c r="SXO514" s="1762"/>
      <c r="SXP514" s="1762"/>
      <c r="SXQ514" s="1763"/>
      <c r="SXR514" s="385"/>
      <c r="SXS514" s="69"/>
      <c r="SXT514" s="69"/>
      <c r="SXU514" s="2513"/>
      <c r="SXV514" s="1761"/>
      <c r="SXW514" s="1762"/>
      <c r="SXX514" s="1762"/>
      <c r="SXY514" s="1763"/>
      <c r="SXZ514" s="385"/>
      <c r="SYA514" s="69"/>
      <c r="SYB514" s="69"/>
      <c r="SYC514" s="2513"/>
      <c r="SYD514" s="1761"/>
      <c r="SYE514" s="1762"/>
      <c r="SYF514" s="1762"/>
      <c r="SYG514" s="1763"/>
      <c r="SYH514" s="385"/>
      <c r="SYI514" s="69"/>
      <c r="SYJ514" s="69"/>
      <c r="SYK514" s="2513"/>
      <c r="SYL514" s="1761"/>
      <c r="SYM514" s="1762"/>
      <c r="SYN514" s="1762"/>
      <c r="SYO514" s="1763"/>
      <c r="SYP514" s="385"/>
      <c r="SYQ514" s="69"/>
      <c r="SYR514" s="69"/>
      <c r="SYS514" s="2513"/>
      <c r="SYT514" s="1761"/>
      <c r="SYU514" s="1762"/>
      <c r="SYV514" s="1762"/>
      <c r="SYW514" s="1763"/>
      <c r="SYX514" s="385"/>
      <c r="SYY514" s="69"/>
      <c r="SYZ514" s="69"/>
      <c r="SZA514" s="2513"/>
      <c r="SZB514" s="1761"/>
      <c r="SZC514" s="1762"/>
      <c r="SZD514" s="1762"/>
      <c r="SZE514" s="1763"/>
      <c r="SZF514" s="385"/>
      <c r="SZG514" s="69"/>
      <c r="SZH514" s="69"/>
      <c r="SZI514" s="2513"/>
      <c r="SZJ514" s="1761"/>
      <c r="SZK514" s="1762"/>
      <c r="SZL514" s="1762"/>
      <c r="SZM514" s="1763"/>
      <c r="SZN514" s="385"/>
      <c r="SZO514" s="69"/>
      <c r="SZP514" s="69"/>
      <c r="SZQ514" s="2513"/>
      <c r="SZR514" s="1761"/>
      <c r="SZS514" s="1762"/>
      <c r="SZT514" s="1762"/>
      <c r="SZU514" s="1763"/>
      <c r="SZV514" s="385"/>
      <c r="SZW514" s="69"/>
      <c r="SZX514" s="69"/>
      <c r="SZY514" s="2513"/>
      <c r="SZZ514" s="1761"/>
      <c r="TAA514" s="1762"/>
      <c r="TAB514" s="1762"/>
      <c r="TAC514" s="1763"/>
      <c r="TAD514" s="385"/>
      <c r="TAE514" s="69"/>
      <c r="TAF514" s="69"/>
      <c r="TAG514" s="2513"/>
      <c r="TAH514" s="1761"/>
      <c r="TAI514" s="1762"/>
      <c r="TAJ514" s="1762"/>
      <c r="TAK514" s="1763"/>
      <c r="TAL514" s="385"/>
      <c r="TAM514" s="69"/>
      <c r="TAN514" s="69"/>
      <c r="TAO514" s="2513"/>
      <c r="TAP514" s="1761"/>
      <c r="TAQ514" s="1762"/>
      <c r="TAR514" s="1762"/>
      <c r="TAS514" s="1763"/>
      <c r="TAT514" s="385"/>
      <c r="TAU514" s="69"/>
      <c r="TAV514" s="69"/>
      <c r="TAW514" s="2513"/>
      <c r="TAX514" s="1761"/>
      <c r="TAY514" s="1762"/>
      <c r="TAZ514" s="1762"/>
      <c r="TBA514" s="1763"/>
      <c r="TBB514" s="385"/>
      <c r="TBC514" s="69"/>
      <c r="TBD514" s="69"/>
      <c r="TBE514" s="2513"/>
      <c r="TBF514" s="1761"/>
      <c r="TBG514" s="1762"/>
      <c r="TBH514" s="1762"/>
      <c r="TBI514" s="1763"/>
      <c r="TBJ514" s="385"/>
      <c r="TBK514" s="69"/>
      <c r="TBL514" s="69"/>
      <c r="TBM514" s="2513"/>
      <c r="TBN514" s="1761"/>
      <c r="TBO514" s="1762"/>
      <c r="TBP514" s="1762"/>
      <c r="TBQ514" s="1763"/>
      <c r="TBR514" s="385"/>
      <c r="TBS514" s="69"/>
      <c r="TBT514" s="69"/>
      <c r="TBU514" s="2513"/>
      <c r="TBV514" s="1761"/>
      <c r="TBW514" s="1762"/>
      <c r="TBX514" s="1762"/>
      <c r="TBY514" s="1763"/>
      <c r="TBZ514" s="385"/>
      <c r="TCA514" s="69"/>
      <c r="TCB514" s="69"/>
      <c r="TCC514" s="2513"/>
      <c r="TCD514" s="1761"/>
      <c r="TCE514" s="1762"/>
      <c r="TCF514" s="1762"/>
      <c r="TCG514" s="1763"/>
      <c r="TCH514" s="385"/>
      <c r="TCI514" s="69"/>
      <c r="TCJ514" s="69"/>
      <c r="TCK514" s="2513"/>
      <c r="TCL514" s="1761"/>
      <c r="TCM514" s="1762"/>
      <c r="TCN514" s="1762"/>
      <c r="TCO514" s="1763"/>
      <c r="TCP514" s="385"/>
      <c r="TCQ514" s="69"/>
      <c r="TCR514" s="69"/>
      <c r="TCS514" s="2513"/>
      <c r="TCT514" s="1761"/>
      <c r="TCU514" s="1762"/>
      <c r="TCV514" s="1762"/>
      <c r="TCW514" s="1763"/>
      <c r="TCX514" s="385"/>
      <c r="TCY514" s="69"/>
      <c r="TCZ514" s="69"/>
      <c r="TDA514" s="2513"/>
      <c r="TDB514" s="1761"/>
      <c r="TDC514" s="1762"/>
      <c r="TDD514" s="1762"/>
      <c r="TDE514" s="1763"/>
      <c r="TDF514" s="385"/>
      <c r="TDG514" s="69"/>
      <c r="TDH514" s="69"/>
      <c r="TDI514" s="2513"/>
      <c r="TDJ514" s="1761"/>
      <c r="TDK514" s="1762"/>
      <c r="TDL514" s="1762"/>
      <c r="TDM514" s="1763"/>
      <c r="TDN514" s="385"/>
      <c r="TDO514" s="69"/>
      <c r="TDP514" s="69"/>
      <c r="TDQ514" s="2513"/>
      <c r="TDR514" s="1761"/>
      <c r="TDS514" s="1762"/>
      <c r="TDT514" s="1762"/>
      <c r="TDU514" s="1763"/>
      <c r="TDV514" s="385"/>
      <c r="TDW514" s="69"/>
      <c r="TDX514" s="69"/>
      <c r="TDY514" s="2513"/>
      <c r="TDZ514" s="1761"/>
      <c r="TEA514" s="1762"/>
      <c r="TEB514" s="1762"/>
      <c r="TEC514" s="1763"/>
      <c r="TED514" s="385"/>
      <c r="TEE514" s="69"/>
      <c r="TEF514" s="69"/>
      <c r="TEG514" s="2513"/>
      <c r="TEH514" s="1761"/>
      <c r="TEI514" s="1762"/>
      <c r="TEJ514" s="1762"/>
      <c r="TEK514" s="1763"/>
      <c r="TEL514" s="385"/>
      <c r="TEM514" s="69"/>
      <c r="TEN514" s="69"/>
      <c r="TEO514" s="2513"/>
      <c r="TEP514" s="1761"/>
      <c r="TEQ514" s="1762"/>
      <c r="TER514" s="1762"/>
      <c r="TES514" s="1763"/>
      <c r="TET514" s="385"/>
      <c r="TEU514" s="69"/>
      <c r="TEV514" s="69"/>
      <c r="TEW514" s="2513"/>
      <c r="TEX514" s="1761"/>
      <c r="TEY514" s="1762"/>
      <c r="TEZ514" s="1762"/>
      <c r="TFA514" s="1763"/>
      <c r="TFB514" s="385"/>
      <c r="TFC514" s="69"/>
      <c r="TFD514" s="69"/>
      <c r="TFE514" s="2513"/>
      <c r="TFF514" s="1761"/>
      <c r="TFG514" s="1762"/>
      <c r="TFH514" s="1762"/>
      <c r="TFI514" s="1763"/>
      <c r="TFJ514" s="385"/>
      <c r="TFK514" s="69"/>
      <c r="TFL514" s="69"/>
      <c r="TFM514" s="2513"/>
      <c r="TFN514" s="1761"/>
      <c r="TFO514" s="1762"/>
      <c r="TFP514" s="1762"/>
      <c r="TFQ514" s="1763"/>
      <c r="TFR514" s="385"/>
      <c r="TFS514" s="69"/>
      <c r="TFT514" s="69"/>
      <c r="TFU514" s="2513"/>
      <c r="TFV514" s="1761"/>
      <c r="TFW514" s="1762"/>
      <c r="TFX514" s="1762"/>
      <c r="TFY514" s="1763"/>
      <c r="TFZ514" s="385"/>
      <c r="TGA514" s="69"/>
      <c r="TGB514" s="69"/>
      <c r="TGC514" s="2513"/>
      <c r="TGD514" s="1761"/>
      <c r="TGE514" s="1762"/>
      <c r="TGF514" s="1762"/>
      <c r="TGG514" s="1763"/>
      <c r="TGH514" s="385"/>
      <c r="TGI514" s="69"/>
      <c r="TGJ514" s="69"/>
      <c r="TGK514" s="2513"/>
      <c r="TGL514" s="1761"/>
      <c r="TGM514" s="1762"/>
      <c r="TGN514" s="1762"/>
      <c r="TGO514" s="1763"/>
      <c r="TGP514" s="385"/>
      <c r="TGQ514" s="69"/>
      <c r="TGR514" s="69"/>
      <c r="TGS514" s="2513"/>
      <c r="TGT514" s="1761"/>
      <c r="TGU514" s="1762"/>
      <c r="TGV514" s="1762"/>
      <c r="TGW514" s="1763"/>
      <c r="TGX514" s="385"/>
      <c r="TGY514" s="69"/>
      <c r="TGZ514" s="69"/>
      <c r="THA514" s="2513"/>
      <c r="THB514" s="1761"/>
      <c r="THC514" s="1762"/>
      <c r="THD514" s="1762"/>
      <c r="THE514" s="1763"/>
      <c r="THF514" s="385"/>
      <c r="THG514" s="69"/>
      <c r="THH514" s="69"/>
      <c r="THI514" s="2513"/>
      <c r="THJ514" s="1761"/>
      <c r="THK514" s="1762"/>
      <c r="THL514" s="1762"/>
      <c r="THM514" s="1763"/>
      <c r="THN514" s="385"/>
      <c r="THO514" s="69"/>
      <c r="THP514" s="69"/>
      <c r="THQ514" s="2513"/>
      <c r="THR514" s="1761"/>
      <c r="THS514" s="1762"/>
      <c r="THT514" s="1762"/>
      <c r="THU514" s="1763"/>
      <c r="THV514" s="385"/>
      <c r="THW514" s="69"/>
      <c r="THX514" s="69"/>
      <c r="THY514" s="2513"/>
      <c r="THZ514" s="1761"/>
      <c r="TIA514" s="1762"/>
      <c r="TIB514" s="1762"/>
      <c r="TIC514" s="1763"/>
      <c r="TID514" s="385"/>
      <c r="TIE514" s="69"/>
      <c r="TIF514" s="69"/>
      <c r="TIG514" s="2513"/>
      <c r="TIH514" s="1761"/>
      <c r="TII514" s="1762"/>
      <c r="TIJ514" s="1762"/>
      <c r="TIK514" s="1763"/>
      <c r="TIL514" s="385"/>
      <c r="TIM514" s="69"/>
      <c r="TIN514" s="69"/>
      <c r="TIO514" s="2513"/>
      <c r="TIP514" s="1761"/>
      <c r="TIQ514" s="1762"/>
      <c r="TIR514" s="1762"/>
      <c r="TIS514" s="1763"/>
      <c r="TIT514" s="385"/>
      <c r="TIU514" s="69"/>
      <c r="TIV514" s="69"/>
      <c r="TIW514" s="2513"/>
      <c r="TIX514" s="1761"/>
      <c r="TIY514" s="1762"/>
      <c r="TIZ514" s="1762"/>
      <c r="TJA514" s="1763"/>
      <c r="TJB514" s="385"/>
      <c r="TJC514" s="69"/>
      <c r="TJD514" s="69"/>
      <c r="TJE514" s="2513"/>
      <c r="TJF514" s="1761"/>
      <c r="TJG514" s="1762"/>
      <c r="TJH514" s="1762"/>
      <c r="TJI514" s="1763"/>
      <c r="TJJ514" s="385"/>
      <c r="TJK514" s="69"/>
      <c r="TJL514" s="69"/>
      <c r="TJM514" s="2513"/>
      <c r="TJN514" s="1761"/>
      <c r="TJO514" s="1762"/>
      <c r="TJP514" s="1762"/>
      <c r="TJQ514" s="1763"/>
      <c r="TJR514" s="385"/>
      <c r="TJS514" s="69"/>
      <c r="TJT514" s="69"/>
      <c r="TJU514" s="2513"/>
      <c r="TJV514" s="1761"/>
      <c r="TJW514" s="1762"/>
      <c r="TJX514" s="1762"/>
      <c r="TJY514" s="1763"/>
      <c r="TJZ514" s="385"/>
      <c r="TKA514" s="69"/>
      <c r="TKB514" s="69"/>
      <c r="TKC514" s="2513"/>
      <c r="TKD514" s="1761"/>
      <c r="TKE514" s="1762"/>
      <c r="TKF514" s="1762"/>
      <c r="TKG514" s="1763"/>
      <c r="TKH514" s="385"/>
      <c r="TKI514" s="69"/>
      <c r="TKJ514" s="69"/>
      <c r="TKK514" s="2513"/>
      <c r="TKL514" s="1761"/>
      <c r="TKM514" s="1762"/>
      <c r="TKN514" s="1762"/>
      <c r="TKO514" s="1763"/>
      <c r="TKP514" s="385"/>
      <c r="TKQ514" s="69"/>
      <c r="TKR514" s="69"/>
      <c r="TKS514" s="2513"/>
      <c r="TKT514" s="1761"/>
      <c r="TKU514" s="1762"/>
      <c r="TKV514" s="1762"/>
      <c r="TKW514" s="1763"/>
      <c r="TKX514" s="385"/>
      <c r="TKY514" s="69"/>
      <c r="TKZ514" s="69"/>
      <c r="TLA514" s="2513"/>
      <c r="TLB514" s="1761"/>
      <c r="TLC514" s="1762"/>
      <c r="TLD514" s="1762"/>
      <c r="TLE514" s="1763"/>
      <c r="TLF514" s="385"/>
      <c r="TLG514" s="69"/>
      <c r="TLH514" s="69"/>
      <c r="TLI514" s="2513"/>
      <c r="TLJ514" s="1761"/>
      <c r="TLK514" s="1762"/>
      <c r="TLL514" s="1762"/>
      <c r="TLM514" s="1763"/>
      <c r="TLN514" s="385"/>
      <c r="TLO514" s="69"/>
      <c r="TLP514" s="69"/>
      <c r="TLQ514" s="2513"/>
      <c r="TLR514" s="1761"/>
      <c r="TLS514" s="1762"/>
      <c r="TLT514" s="1762"/>
      <c r="TLU514" s="1763"/>
      <c r="TLV514" s="385"/>
      <c r="TLW514" s="69"/>
      <c r="TLX514" s="69"/>
      <c r="TLY514" s="2513"/>
      <c r="TLZ514" s="1761"/>
      <c r="TMA514" s="1762"/>
      <c r="TMB514" s="1762"/>
      <c r="TMC514" s="1763"/>
      <c r="TMD514" s="385"/>
      <c r="TME514" s="69"/>
      <c r="TMF514" s="69"/>
      <c r="TMG514" s="2513"/>
      <c r="TMH514" s="1761"/>
      <c r="TMI514" s="1762"/>
      <c r="TMJ514" s="1762"/>
      <c r="TMK514" s="1763"/>
      <c r="TML514" s="385"/>
      <c r="TMM514" s="69"/>
      <c r="TMN514" s="69"/>
      <c r="TMO514" s="2513"/>
      <c r="TMP514" s="1761"/>
      <c r="TMQ514" s="1762"/>
      <c r="TMR514" s="1762"/>
      <c r="TMS514" s="1763"/>
      <c r="TMT514" s="385"/>
      <c r="TMU514" s="69"/>
      <c r="TMV514" s="69"/>
      <c r="TMW514" s="2513"/>
      <c r="TMX514" s="1761"/>
      <c r="TMY514" s="1762"/>
      <c r="TMZ514" s="1762"/>
      <c r="TNA514" s="1763"/>
      <c r="TNB514" s="385"/>
      <c r="TNC514" s="69"/>
      <c r="TND514" s="69"/>
      <c r="TNE514" s="2513"/>
      <c r="TNF514" s="1761"/>
      <c r="TNG514" s="1762"/>
      <c r="TNH514" s="1762"/>
      <c r="TNI514" s="1763"/>
      <c r="TNJ514" s="385"/>
      <c r="TNK514" s="69"/>
      <c r="TNL514" s="69"/>
      <c r="TNM514" s="2513"/>
      <c r="TNN514" s="1761"/>
      <c r="TNO514" s="1762"/>
      <c r="TNP514" s="1762"/>
      <c r="TNQ514" s="1763"/>
      <c r="TNR514" s="385"/>
      <c r="TNS514" s="69"/>
      <c r="TNT514" s="69"/>
      <c r="TNU514" s="2513"/>
      <c r="TNV514" s="1761"/>
      <c r="TNW514" s="1762"/>
      <c r="TNX514" s="1762"/>
      <c r="TNY514" s="1763"/>
      <c r="TNZ514" s="385"/>
      <c r="TOA514" s="69"/>
      <c r="TOB514" s="69"/>
      <c r="TOC514" s="2513"/>
      <c r="TOD514" s="1761"/>
      <c r="TOE514" s="1762"/>
      <c r="TOF514" s="1762"/>
      <c r="TOG514" s="1763"/>
      <c r="TOH514" s="385"/>
      <c r="TOI514" s="69"/>
      <c r="TOJ514" s="69"/>
      <c r="TOK514" s="2513"/>
      <c r="TOL514" s="1761"/>
      <c r="TOM514" s="1762"/>
      <c r="TON514" s="1762"/>
      <c r="TOO514" s="1763"/>
      <c r="TOP514" s="385"/>
      <c r="TOQ514" s="69"/>
      <c r="TOR514" s="69"/>
      <c r="TOS514" s="2513"/>
      <c r="TOT514" s="1761"/>
      <c r="TOU514" s="1762"/>
      <c r="TOV514" s="1762"/>
      <c r="TOW514" s="1763"/>
      <c r="TOX514" s="385"/>
      <c r="TOY514" s="69"/>
      <c r="TOZ514" s="69"/>
      <c r="TPA514" s="2513"/>
      <c r="TPB514" s="1761"/>
      <c r="TPC514" s="1762"/>
      <c r="TPD514" s="1762"/>
      <c r="TPE514" s="1763"/>
      <c r="TPF514" s="385"/>
      <c r="TPG514" s="69"/>
      <c r="TPH514" s="69"/>
      <c r="TPI514" s="2513"/>
      <c r="TPJ514" s="1761"/>
      <c r="TPK514" s="1762"/>
      <c r="TPL514" s="1762"/>
      <c r="TPM514" s="1763"/>
      <c r="TPN514" s="385"/>
      <c r="TPO514" s="69"/>
      <c r="TPP514" s="69"/>
      <c r="TPQ514" s="2513"/>
      <c r="TPR514" s="1761"/>
      <c r="TPS514" s="1762"/>
      <c r="TPT514" s="1762"/>
      <c r="TPU514" s="1763"/>
      <c r="TPV514" s="385"/>
      <c r="TPW514" s="69"/>
      <c r="TPX514" s="69"/>
      <c r="TPY514" s="2513"/>
      <c r="TPZ514" s="1761"/>
      <c r="TQA514" s="1762"/>
      <c r="TQB514" s="1762"/>
      <c r="TQC514" s="1763"/>
      <c r="TQD514" s="385"/>
      <c r="TQE514" s="69"/>
      <c r="TQF514" s="69"/>
      <c r="TQG514" s="2513"/>
      <c r="TQH514" s="1761"/>
      <c r="TQI514" s="1762"/>
      <c r="TQJ514" s="1762"/>
      <c r="TQK514" s="1763"/>
      <c r="TQL514" s="385"/>
      <c r="TQM514" s="69"/>
      <c r="TQN514" s="69"/>
      <c r="TQO514" s="2513"/>
      <c r="TQP514" s="1761"/>
      <c r="TQQ514" s="1762"/>
      <c r="TQR514" s="1762"/>
      <c r="TQS514" s="1763"/>
      <c r="TQT514" s="385"/>
      <c r="TQU514" s="69"/>
      <c r="TQV514" s="69"/>
      <c r="TQW514" s="2513"/>
      <c r="TQX514" s="1761"/>
      <c r="TQY514" s="1762"/>
      <c r="TQZ514" s="1762"/>
      <c r="TRA514" s="1763"/>
      <c r="TRB514" s="385"/>
      <c r="TRC514" s="69"/>
      <c r="TRD514" s="69"/>
      <c r="TRE514" s="2513"/>
      <c r="TRF514" s="1761"/>
      <c r="TRG514" s="1762"/>
      <c r="TRH514" s="1762"/>
      <c r="TRI514" s="1763"/>
      <c r="TRJ514" s="385"/>
      <c r="TRK514" s="69"/>
      <c r="TRL514" s="69"/>
      <c r="TRM514" s="2513"/>
      <c r="TRN514" s="1761"/>
      <c r="TRO514" s="1762"/>
      <c r="TRP514" s="1762"/>
      <c r="TRQ514" s="1763"/>
      <c r="TRR514" s="385"/>
      <c r="TRS514" s="69"/>
      <c r="TRT514" s="69"/>
      <c r="TRU514" s="2513"/>
      <c r="TRV514" s="1761"/>
      <c r="TRW514" s="1762"/>
      <c r="TRX514" s="1762"/>
      <c r="TRY514" s="1763"/>
      <c r="TRZ514" s="385"/>
      <c r="TSA514" s="69"/>
      <c r="TSB514" s="69"/>
      <c r="TSC514" s="2513"/>
      <c r="TSD514" s="1761"/>
      <c r="TSE514" s="1762"/>
      <c r="TSF514" s="1762"/>
      <c r="TSG514" s="1763"/>
      <c r="TSH514" s="385"/>
      <c r="TSI514" s="69"/>
      <c r="TSJ514" s="69"/>
      <c r="TSK514" s="2513"/>
      <c r="TSL514" s="1761"/>
      <c r="TSM514" s="1762"/>
      <c r="TSN514" s="1762"/>
      <c r="TSO514" s="1763"/>
      <c r="TSP514" s="385"/>
      <c r="TSQ514" s="69"/>
      <c r="TSR514" s="69"/>
      <c r="TSS514" s="2513"/>
      <c r="TST514" s="1761"/>
      <c r="TSU514" s="1762"/>
      <c r="TSV514" s="1762"/>
      <c r="TSW514" s="1763"/>
      <c r="TSX514" s="385"/>
      <c r="TSY514" s="69"/>
      <c r="TSZ514" s="69"/>
      <c r="TTA514" s="2513"/>
      <c r="TTB514" s="1761"/>
      <c r="TTC514" s="1762"/>
      <c r="TTD514" s="1762"/>
      <c r="TTE514" s="1763"/>
      <c r="TTF514" s="385"/>
      <c r="TTG514" s="69"/>
      <c r="TTH514" s="69"/>
      <c r="TTI514" s="2513"/>
      <c r="TTJ514" s="1761"/>
      <c r="TTK514" s="1762"/>
      <c r="TTL514" s="1762"/>
      <c r="TTM514" s="1763"/>
      <c r="TTN514" s="385"/>
      <c r="TTO514" s="69"/>
      <c r="TTP514" s="69"/>
      <c r="TTQ514" s="2513"/>
      <c r="TTR514" s="1761"/>
      <c r="TTS514" s="1762"/>
      <c r="TTT514" s="1762"/>
      <c r="TTU514" s="1763"/>
      <c r="TTV514" s="385"/>
      <c r="TTW514" s="69"/>
      <c r="TTX514" s="69"/>
      <c r="TTY514" s="2513"/>
      <c r="TTZ514" s="1761"/>
      <c r="TUA514" s="1762"/>
      <c r="TUB514" s="1762"/>
      <c r="TUC514" s="1763"/>
      <c r="TUD514" s="385"/>
      <c r="TUE514" s="69"/>
      <c r="TUF514" s="69"/>
      <c r="TUG514" s="2513"/>
      <c r="TUH514" s="1761"/>
      <c r="TUI514" s="1762"/>
      <c r="TUJ514" s="1762"/>
      <c r="TUK514" s="1763"/>
      <c r="TUL514" s="385"/>
      <c r="TUM514" s="69"/>
      <c r="TUN514" s="69"/>
      <c r="TUO514" s="2513"/>
      <c r="TUP514" s="1761"/>
      <c r="TUQ514" s="1762"/>
      <c r="TUR514" s="1762"/>
      <c r="TUS514" s="1763"/>
      <c r="TUT514" s="385"/>
      <c r="TUU514" s="69"/>
      <c r="TUV514" s="69"/>
      <c r="TUW514" s="2513"/>
      <c r="TUX514" s="1761"/>
      <c r="TUY514" s="1762"/>
      <c r="TUZ514" s="1762"/>
      <c r="TVA514" s="1763"/>
      <c r="TVB514" s="385"/>
      <c r="TVC514" s="69"/>
      <c r="TVD514" s="69"/>
      <c r="TVE514" s="2513"/>
      <c r="TVF514" s="1761"/>
      <c r="TVG514" s="1762"/>
      <c r="TVH514" s="1762"/>
      <c r="TVI514" s="1763"/>
      <c r="TVJ514" s="385"/>
      <c r="TVK514" s="69"/>
      <c r="TVL514" s="69"/>
      <c r="TVM514" s="2513"/>
      <c r="TVN514" s="1761"/>
      <c r="TVO514" s="1762"/>
      <c r="TVP514" s="1762"/>
      <c r="TVQ514" s="1763"/>
      <c r="TVR514" s="385"/>
      <c r="TVS514" s="69"/>
      <c r="TVT514" s="69"/>
      <c r="TVU514" s="2513"/>
      <c r="TVV514" s="1761"/>
      <c r="TVW514" s="1762"/>
      <c r="TVX514" s="1762"/>
      <c r="TVY514" s="1763"/>
      <c r="TVZ514" s="385"/>
      <c r="TWA514" s="69"/>
      <c r="TWB514" s="69"/>
      <c r="TWC514" s="2513"/>
      <c r="TWD514" s="1761"/>
      <c r="TWE514" s="1762"/>
      <c r="TWF514" s="1762"/>
      <c r="TWG514" s="1763"/>
      <c r="TWH514" s="385"/>
      <c r="TWI514" s="69"/>
      <c r="TWJ514" s="69"/>
      <c r="TWK514" s="2513"/>
      <c r="TWL514" s="1761"/>
      <c r="TWM514" s="1762"/>
      <c r="TWN514" s="1762"/>
      <c r="TWO514" s="1763"/>
      <c r="TWP514" s="385"/>
      <c r="TWQ514" s="69"/>
      <c r="TWR514" s="69"/>
      <c r="TWS514" s="2513"/>
      <c r="TWT514" s="1761"/>
      <c r="TWU514" s="1762"/>
      <c r="TWV514" s="1762"/>
      <c r="TWW514" s="1763"/>
      <c r="TWX514" s="385"/>
      <c r="TWY514" s="69"/>
      <c r="TWZ514" s="69"/>
      <c r="TXA514" s="2513"/>
      <c r="TXB514" s="1761"/>
      <c r="TXC514" s="1762"/>
      <c r="TXD514" s="1762"/>
      <c r="TXE514" s="1763"/>
      <c r="TXF514" s="385"/>
      <c r="TXG514" s="69"/>
      <c r="TXH514" s="69"/>
      <c r="TXI514" s="2513"/>
      <c r="TXJ514" s="1761"/>
      <c r="TXK514" s="1762"/>
      <c r="TXL514" s="1762"/>
      <c r="TXM514" s="1763"/>
      <c r="TXN514" s="385"/>
      <c r="TXO514" s="69"/>
      <c r="TXP514" s="69"/>
      <c r="TXQ514" s="2513"/>
      <c r="TXR514" s="1761"/>
      <c r="TXS514" s="1762"/>
      <c r="TXT514" s="1762"/>
      <c r="TXU514" s="1763"/>
      <c r="TXV514" s="385"/>
      <c r="TXW514" s="69"/>
      <c r="TXX514" s="69"/>
      <c r="TXY514" s="2513"/>
      <c r="TXZ514" s="1761"/>
      <c r="TYA514" s="1762"/>
      <c r="TYB514" s="1762"/>
      <c r="TYC514" s="1763"/>
      <c r="TYD514" s="385"/>
      <c r="TYE514" s="69"/>
      <c r="TYF514" s="69"/>
      <c r="TYG514" s="2513"/>
      <c r="TYH514" s="1761"/>
      <c r="TYI514" s="1762"/>
      <c r="TYJ514" s="1762"/>
      <c r="TYK514" s="1763"/>
      <c r="TYL514" s="385"/>
      <c r="TYM514" s="69"/>
      <c r="TYN514" s="69"/>
      <c r="TYO514" s="2513"/>
      <c r="TYP514" s="1761"/>
      <c r="TYQ514" s="1762"/>
      <c r="TYR514" s="1762"/>
      <c r="TYS514" s="1763"/>
      <c r="TYT514" s="385"/>
      <c r="TYU514" s="69"/>
      <c r="TYV514" s="69"/>
      <c r="TYW514" s="2513"/>
      <c r="TYX514" s="1761"/>
      <c r="TYY514" s="1762"/>
      <c r="TYZ514" s="1762"/>
      <c r="TZA514" s="1763"/>
      <c r="TZB514" s="385"/>
      <c r="TZC514" s="69"/>
      <c r="TZD514" s="69"/>
      <c r="TZE514" s="2513"/>
      <c r="TZF514" s="1761"/>
      <c r="TZG514" s="1762"/>
      <c r="TZH514" s="1762"/>
      <c r="TZI514" s="1763"/>
      <c r="TZJ514" s="385"/>
      <c r="TZK514" s="69"/>
      <c r="TZL514" s="69"/>
      <c r="TZM514" s="2513"/>
      <c r="TZN514" s="1761"/>
      <c r="TZO514" s="1762"/>
      <c r="TZP514" s="1762"/>
      <c r="TZQ514" s="1763"/>
      <c r="TZR514" s="385"/>
      <c r="TZS514" s="69"/>
      <c r="TZT514" s="69"/>
      <c r="TZU514" s="2513"/>
      <c r="TZV514" s="1761"/>
      <c r="TZW514" s="1762"/>
      <c r="TZX514" s="1762"/>
      <c r="TZY514" s="1763"/>
      <c r="TZZ514" s="385"/>
      <c r="UAA514" s="69"/>
      <c r="UAB514" s="69"/>
      <c r="UAC514" s="2513"/>
      <c r="UAD514" s="1761"/>
      <c r="UAE514" s="1762"/>
      <c r="UAF514" s="1762"/>
      <c r="UAG514" s="1763"/>
      <c r="UAH514" s="385"/>
      <c r="UAI514" s="69"/>
      <c r="UAJ514" s="69"/>
      <c r="UAK514" s="2513"/>
      <c r="UAL514" s="1761"/>
      <c r="UAM514" s="1762"/>
      <c r="UAN514" s="1762"/>
      <c r="UAO514" s="1763"/>
      <c r="UAP514" s="385"/>
      <c r="UAQ514" s="69"/>
      <c r="UAR514" s="69"/>
      <c r="UAS514" s="2513"/>
      <c r="UAT514" s="1761"/>
      <c r="UAU514" s="1762"/>
      <c r="UAV514" s="1762"/>
      <c r="UAW514" s="1763"/>
      <c r="UAX514" s="385"/>
      <c r="UAY514" s="69"/>
      <c r="UAZ514" s="69"/>
      <c r="UBA514" s="2513"/>
      <c r="UBB514" s="1761"/>
      <c r="UBC514" s="1762"/>
      <c r="UBD514" s="1762"/>
      <c r="UBE514" s="1763"/>
      <c r="UBF514" s="385"/>
      <c r="UBG514" s="69"/>
      <c r="UBH514" s="69"/>
      <c r="UBI514" s="2513"/>
      <c r="UBJ514" s="1761"/>
      <c r="UBK514" s="1762"/>
      <c r="UBL514" s="1762"/>
      <c r="UBM514" s="1763"/>
      <c r="UBN514" s="385"/>
      <c r="UBO514" s="69"/>
      <c r="UBP514" s="69"/>
      <c r="UBQ514" s="2513"/>
      <c r="UBR514" s="1761"/>
      <c r="UBS514" s="1762"/>
      <c r="UBT514" s="1762"/>
      <c r="UBU514" s="1763"/>
      <c r="UBV514" s="385"/>
      <c r="UBW514" s="69"/>
      <c r="UBX514" s="69"/>
      <c r="UBY514" s="2513"/>
      <c r="UBZ514" s="1761"/>
      <c r="UCA514" s="1762"/>
      <c r="UCB514" s="1762"/>
      <c r="UCC514" s="1763"/>
      <c r="UCD514" s="385"/>
      <c r="UCE514" s="69"/>
      <c r="UCF514" s="69"/>
      <c r="UCG514" s="2513"/>
      <c r="UCH514" s="1761"/>
      <c r="UCI514" s="1762"/>
      <c r="UCJ514" s="1762"/>
      <c r="UCK514" s="1763"/>
      <c r="UCL514" s="385"/>
      <c r="UCM514" s="69"/>
      <c r="UCN514" s="69"/>
      <c r="UCO514" s="2513"/>
      <c r="UCP514" s="1761"/>
      <c r="UCQ514" s="1762"/>
      <c r="UCR514" s="1762"/>
      <c r="UCS514" s="1763"/>
      <c r="UCT514" s="385"/>
      <c r="UCU514" s="69"/>
      <c r="UCV514" s="69"/>
      <c r="UCW514" s="2513"/>
      <c r="UCX514" s="1761"/>
      <c r="UCY514" s="1762"/>
      <c r="UCZ514" s="1762"/>
      <c r="UDA514" s="1763"/>
      <c r="UDB514" s="385"/>
      <c r="UDC514" s="69"/>
      <c r="UDD514" s="69"/>
      <c r="UDE514" s="2513"/>
      <c r="UDF514" s="1761"/>
      <c r="UDG514" s="1762"/>
      <c r="UDH514" s="1762"/>
      <c r="UDI514" s="1763"/>
      <c r="UDJ514" s="385"/>
      <c r="UDK514" s="69"/>
      <c r="UDL514" s="69"/>
      <c r="UDM514" s="2513"/>
      <c r="UDN514" s="1761"/>
      <c r="UDO514" s="1762"/>
      <c r="UDP514" s="1762"/>
      <c r="UDQ514" s="1763"/>
      <c r="UDR514" s="385"/>
      <c r="UDS514" s="69"/>
      <c r="UDT514" s="69"/>
      <c r="UDU514" s="2513"/>
      <c r="UDV514" s="1761"/>
      <c r="UDW514" s="1762"/>
      <c r="UDX514" s="1762"/>
      <c r="UDY514" s="1763"/>
      <c r="UDZ514" s="385"/>
      <c r="UEA514" s="69"/>
      <c r="UEB514" s="69"/>
      <c r="UEC514" s="2513"/>
      <c r="UED514" s="1761"/>
      <c r="UEE514" s="1762"/>
      <c r="UEF514" s="1762"/>
      <c r="UEG514" s="1763"/>
      <c r="UEH514" s="385"/>
      <c r="UEI514" s="69"/>
      <c r="UEJ514" s="69"/>
      <c r="UEK514" s="2513"/>
      <c r="UEL514" s="1761"/>
      <c r="UEM514" s="1762"/>
      <c r="UEN514" s="1762"/>
      <c r="UEO514" s="1763"/>
      <c r="UEP514" s="385"/>
      <c r="UEQ514" s="69"/>
      <c r="UER514" s="69"/>
      <c r="UES514" s="2513"/>
      <c r="UET514" s="1761"/>
      <c r="UEU514" s="1762"/>
      <c r="UEV514" s="1762"/>
      <c r="UEW514" s="1763"/>
      <c r="UEX514" s="385"/>
      <c r="UEY514" s="69"/>
      <c r="UEZ514" s="69"/>
      <c r="UFA514" s="2513"/>
      <c r="UFB514" s="1761"/>
      <c r="UFC514" s="1762"/>
      <c r="UFD514" s="1762"/>
      <c r="UFE514" s="1763"/>
      <c r="UFF514" s="385"/>
      <c r="UFG514" s="69"/>
      <c r="UFH514" s="69"/>
      <c r="UFI514" s="2513"/>
      <c r="UFJ514" s="1761"/>
      <c r="UFK514" s="1762"/>
      <c r="UFL514" s="1762"/>
      <c r="UFM514" s="1763"/>
      <c r="UFN514" s="385"/>
      <c r="UFO514" s="69"/>
      <c r="UFP514" s="69"/>
      <c r="UFQ514" s="2513"/>
      <c r="UFR514" s="1761"/>
      <c r="UFS514" s="1762"/>
      <c r="UFT514" s="1762"/>
      <c r="UFU514" s="1763"/>
      <c r="UFV514" s="385"/>
      <c r="UFW514" s="69"/>
      <c r="UFX514" s="69"/>
      <c r="UFY514" s="2513"/>
      <c r="UFZ514" s="1761"/>
      <c r="UGA514" s="1762"/>
      <c r="UGB514" s="1762"/>
      <c r="UGC514" s="1763"/>
      <c r="UGD514" s="385"/>
      <c r="UGE514" s="69"/>
      <c r="UGF514" s="69"/>
      <c r="UGG514" s="2513"/>
      <c r="UGH514" s="1761"/>
      <c r="UGI514" s="1762"/>
      <c r="UGJ514" s="1762"/>
      <c r="UGK514" s="1763"/>
      <c r="UGL514" s="385"/>
      <c r="UGM514" s="69"/>
      <c r="UGN514" s="69"/>
      <c r="UGO514" s="2513"/>
      <c r="UGP514" s="1761"/>
      <c r="UGQ514" s="1762"/>
      <c r="UGR514" s="1762"/>
      <c r="UGS514" s="1763"/>
      <c r="UGT514" s="385"/>
      <c r="UGU514" s="69"/>
      <c r="UGV514" s="69"/>
      <c r="UGW514" s="2513"/>
      <c r="UGX514" s="1761"/>
      <c r="UGY514" s="1762"/>
      <c r="UGZ514" s="1762"/>
      <c r="UHA514" s="1763"/>
      <c r="UHB514" s="385"/>
      <c r="UHC514" s="69"/>
      <c r="UHD514" s="69"/>
      <c r="UHE514" s="2513"/>
      <c r="UHF514" s="1761"/>
      <c r="UHG514" s="1762"/>
      <c r="UHH514" s="1762"/>
      <c r="UHI514" s="1763"/>
      <c r="UHJ514" s="385"/>
      <c r="UHK514" s="69"/>
      <c r="UHL514" s="69"/>
      <c r="UHM514" s="2513"/>
      <c r="UHN514" s="1761"/>
      <c r="UHO514" s="1762"/>
      <c r="UHP514" s="1762"/>
      <c r="UHQ514" s="1763"/>
      <c r="UHR514" s="385"/>
      <c r="UHS514" s="69"/>
      <c r="UHT514" s="69"/>
      <c r="UHU514" s="2513"/>
      <c r="UHV514" s="1761"/>
      <c r="UHW514" s="1762"/>
      <c r="UHX514" s="1762"/>
      <c r="UHY514" s="1763"/>
      <c r="UHZ514" s="385"/>
      <c r="UIA514" s="69"/>
      <c r="UIB514" s="69"/>
      <c r="UIC514" s="2513"/>
      <c r="UID514" s="1761"/>
      <c r="UIE514" s="1762"/>
      <c r="UIF514" s="1762"/>
      <c r="UIG514" s="1763"/>
      <c r="UIH514" s="385"/>
      <c r="UII514" s="69"/>
      <c r="UIJ514" s="69"/>
      <c r="UIK514" s="2513"/>
      <c r="UIL514" s="1761"/>
      <c r="UIM514" s="1762"/>
      <c r="UIN514" s="1762"/>
      <c r="UIO514" s="1763"/>
      <c r="UIP514" s="385"/>
      <c r="UIQ514" s="69"/>
      <c r="UIR514" s="69"/>
      <c r="UIS514" s="2513"/>
      <c r="UIT514" s="1761"/>
      <c r="UIU514" s="1762"/>
      <c r="UIV514" s="1762"/>
      <c r="UIW514" s="1763"/>
      <c r="UIX514" s="385"/>
      <c r="UIY514" s="69"/>
      <c r="UIZ514" s="69"/>
      <c r="UJA514" s="2513"/>
      <c r="UJB514" s="1761"/>
      <c r="UJC514" s="1762"/>
      <c r="UJD514" s="1762"/>
      <c r="UJE514" s="1763"/>
      <c r="UJF514" s="385"/>
      <c r="UJG514" s="69"/>
      <c r="UJH514" s="69"/>
      <c r="UJI514" s="2513"/>
      <c r="UJJ514" s="1761"/>
      <c r="UJK514" s="1762"/>
      <c r="UJL514" s="1762"/>
      <c r="UJM514" s="1763"/>
      <c r="UJN514" s="385"/>
      <c r="UJO514" s="69"/>
      <c r="UJP514" s="69"/>
      <c r="UJQ514" s="2513"/>
      <c r="UJR514" s="1761"/>
      <c r="UJS514" s="1762"/>
      <c r="UJT514" s="1762"/>
      <c r="UJU514" s="1763"/>
      <c r="UJV514" s="385"/>
      <c r="UJW514" s="69"/>
      <c r="UJX514" s="69"/>
      <c r="UJY514" s="2513"/>
      <c r="UJZ514" s="1761"/>
      <c r="UKA514" s="1762"/>
      <c r="UKB514" s="1762"/>
      <c r="UKC514" s="1763"/>
      <c r="UKD514" s="385"/>
      <c r="UKE514" s="69"/>
      <c r="UKF514" s="69"/>
      <c r="UKG514" s="2513"/>
      <c r="UKH514" s="1761"/>
      <c r="UKI514" s="1762"/>
      <c r="UKJ514" s="1762"/>
      <c r="UKK514" s="1763"/>
      <c r="UKL514" s="385"/>
      <c r="UKM514" s="69"/>
      <c r="UKN514" s="69"/>
      <c r="UKO514" s="2513"/>
      <c r="UKP514" s="1761"/>
      <c r="UKQ514" s="1762"/>
      <c r="UKR514" s="1762"/>
      <c r="UKS514" s="1763"/>
      <c r="UKT514" s="385"/>
      <c r="UKU514" s="69"/>
      <c r="UKV514" s="69"/>
      <c r="UKW514" s="2513"/>
      <c r="UKX514" s="1761"/>
      <c r="UKY514" s="1762"/>
      <c r="UKZ514" s="1762"/>
      <c r="ULA514" s="1763"/>
      <c r="ULB514" s="385"/>
      <c r="ULC514" s="69"/>
      <c r="ULD514" s="69"/>
      <c r="ULE514" s="2513"/>
      <c r="ULF514" s="1761"/>
      <c r="ULG514" s="1762"/>
      <c r="ULH514" s="1762"/>
      <c r="ULI514" s="1763"/>
      <c r="ULJ514" s="385"/>
      <c r="ULK514" s="69"/>
      <c r="ULL514" s="69"/>
      <c r="ULM514" s="2513"/>
      <c r="ULN514" s="1761"/>
      <c r="ULO514" s="1762"/>
      <c r="ULP514" s="1762"/>
      <c r="ULQ514" s="1763"/>
      <c r="ULR514" s="385"/>
      <c r="ULS514" s="69"/>
      <c r="ULT514" s="69"/>
      <c r="ULU514" s="2513"/>
      <c r="ULV514" s="1761"/>
      <c r="ULW514" s="1762"/>
      <c r="ULX514" s="1762"/>
      <c r="ULY514" s="1763"/>
      <c r="ULZ514" s="385"/>
      <c r="UMA514" s="69"/>
      <c r="UMB514" s="69"/>
      <c r="UMC514" s="2513"/>
      <c r="UMD514" s="1761"/>
      <c r="UME514" s="1762"/>
      <c r="UMF514" s="1762"/>
      <c r="UMG514" s="1763"/>
      <c r="UMH514" s="385"/>
      <c r="UMI514" s="69"/>
      <c r="UMJ514" s="69"/>
      <c r="UMK514" s="2513"/>
      <c r="UML514" s="1761"/>
      <c r="UMM514" s="1762"/>
      <c r="UMN514" s="1762"/>
      <c r="UMO514" s="1763"/>
      <c r="UMP514" s="385"/>
      <c r="UMQ514" s="69"/>
      <c r="UMR514" s="69"/>
      <c r="UMS514" s="2513"/>
      <c r="UMT514" s="1761"/>
      <c r="UMU514" s="1762"/>
      <c r="UMV514" s="1762"/>
      <c r="UMW514" s="1763"/>
      <c r="UMX514" s="385"/>
      <c r="UMY514" s="69"/>
      <c r="UMZ514" s="69"/>
      <c r="UNA514" s="2513"/>
      <c r="UNB514" s="1761"/>
      <c r="UNC514" s="1762"/>
      <c r="UND514" s="1762"/>
      <c r="UNE514" s="1763"/>
      <c r="UNF514" s="385"/>
      <c r="UNG514" s="69"/>
      <c r="UNH514" s="69"/>
      <c r="UNI514" s="2513"/>
      <c r="UNJ514" s="1761"/>
      <c r="UNK514" s="1762"/>
      <c r="UNL514" s="1762"/>
      <c r="UNM514" s="1763"/>
      <c r="UNN514" s="385"/>
      <c r="UNO514" s="69"/>
      <c r="UNP514" s="69"/>
      <c r="UNQ514" s="2513"/>
      <c r="UNR514" s="1761"/>
      <c r="UNS514" s="1762"/>
      <c r="UNT514" s="1762"/>
      <c r="UNU514" s="1763"/>
      <c r="UNV514" s="385"/>
      <c r="UNW514" s="69"/>
      <c r="UNX514" s="69"/>
      <c r="UNY514" s="2513"/>
      <c r="UNZ514" s="1761"/>
      <c r="UOA514" s="1762"/>
      <c r="UOB514" s="1762"/>
      <c r="UOC514" s="1763"/>
      <c r="UOD514" s="385"/>
      <c r="UOE514" s="69"/>
      <c r="UOF514" s="69"/>
      <c r="UOG514" s="2513"/>
      <c r="UOH514" s="1761"/>
      <c r="UOI514" s="1762"/>
      <c r="UOJ514" s="1762"/>
      <c r="UOK514" s="1763"/>
      <c r="UOL514" s="385"/>
      <c r="UOM514" s="69"/>
      <c r="UON514" s="69"/>
      <c r="UOO514" s="2513"/>
      <c r="UOP514" s="1761"/>
      <c r="UOQ514" s="1762"/>
      <c r="UOR514" s="1762"/>
      <c r="UOS514" s="1763"/>
      <c r="UOT514" s="385"/>
      <c r="UOU514" s="69"/>
      <c r="UOV514" s="69"/>
      <c r="UOW514" s="2513"/>
      <c r="UOX514" s="1761"/>
      <c r="UOY514" s="1762"/>
      <c r="UOZ514" s="1762"/>
      <c r="UPA514" s="1763"/>
      <c r="UPB514" s="385"/>
      <c r="UPC514" s="69"/>
      <c r="UPD514" s="69"/>
      <c r="UPE514" s="2513"/>
      <c r="UPF514" s="1761"/>
      <c r="UPG514" s="1762"/>
      <c r="UPH514" s="1762"/>
      <c r="UPI514" s="1763"/>
      <c r="UPJ514" s="385"/>
      <c r="UPK514" s="69"/>
      <c r="UPL514" s="69"/>
      <c r="UPM514" s="2513"/>
      <c r="UPN514" s="1761"/>
      <c r="UPO514" s="1762"/>
      <c r="UPP514" s="1762"/>
      <c r="UPQ514" s="1763"/>
      <c r="UPR514" s="385"/>
      <c r="UPS514" s="69"/>
      <c r="UPT514" s="69"/>
      <c r="UPU514" s="2513"/>
      <c r="UPV514" s="1761"/>
      <c r="UPW514" s="1762"/>
      <c r="UPX514" s="1762"/>
      <c r="UPY514" s="1763"/>
      <c r="UPZ514" s="385"/>
      <c r="UQA514" s="69"/>
      <c r="UQB514" s="69"/>
      <c r="UQC514" s="2513"/>
      <c r="UQD514" s="1761"/>
      <c r="UQE514" s="1762"/>
      <c r="UQF514" s="1762"/>
      <c r="UQG514" s="1763"/>
      <c r="UQH514" s="385"/>
      <c r="UQI514" s="69"/>
      <c r="UQJ514" s="69"/>
      <c r="UQK514" s="2513"/>
      <c r="UQL514" s="1761"/>
      <c r="UQM514" s="1762"/>
      <c r="UQN514" s="1762"/>
      <c r="UQO514" s="1763"/>
      <c r="UQP514" s="385"/>
      <c r="UQQ514" s="69"/>
      <c r="UQR514" s="69"/>
      <c r="UQS514" s="2513"/>
      <c r="UQT514" s="1761"/>
      <c r="UQU514" s="1762"/>
      <c r="UQV514" s="1762"/>
      <c r="UQW514" s="1763"/>
      <c r="UQX514" s="385"/>
      <c r="UQY514" s="69"/>
      <c r="UQZ514" s="69"/>
      <c r="URA514" s="2513"/>
      <c r="URB514" s="1761"/>
      <c r="URC514" s="1762"/>
      <c r="URD514" s="1762"/>
      <c r="URE514" s="1763"/>
      <c r="URF514" s="385"/>
      <c r="URG514" s="69"/>
      <c r="URH514" s="69"/>
      <c r="URI514" s="2513"/>
      <c r="URJ514" s="1761"/>
      <c r="URK514" s="1762"/>
      <c r="URL514" s="1762"/>
      <c r="URM514" s="1763"/>
      <c r="URN514" s="385"/>
      <c r="URO514" s="69"/>
      <c r="URP514" s="69"/>
      <c r="URQ514" s="2513"/>
      <c r="URR514" s="1761"/>
      <c r="URS514" s="1762"/>
      <c r="URT514" s="1762"/>
      <c r="URU514" s="1763"/>
      <c r="URV514" s="385"/>
      <c r="URW514" s="69"/>
      <c r="URX514" s="69"/>
      <c r="URY514" s="2513"/>
      <c r="URZ514" s="1761"/>
      <c r="USA514" s="1762"/>
      <c r="USB514" s="1762"/>
      <c r="USC514" s="1763"/>
      <c r="USD514" s="385"/>
      <c r="USE514" s="69"/>
      <c r="USF514" s="69"/>
      <c r="USG514" s="2513"/>
      <c r="USH514" s="1761"/>
      <c r="USI514" s="1762"/>
      <c r="USJ514" s="1762"/>
      <c r="USK514" s="1763"/>
      <c r="USL514" s="385"/>
      <c r="USM514" s="69"/>
      <c r="USN514" s="69"/>
      <c r="USO514" s="2513"/>
      <c r="USP514" s="1761"/>
      <c r="USQ514" s="1762"/>
      <c r="USR514" s="1762"/>
      <c r="USS514" s="1763"/>
      <c r="UST514" s="385"/>
      <c r="USU514" s="69"/>
      <c r="USV514" s="69"/>
      <c r="USW514" s="2513"/>
      <c r="USX514" s="1761"/>
      <c r="USY514" s="1762"/>
      <c r="USZ514" s="1762"/>
      <c r="UTA514" s="1763"/>
      <c r="UTB514" s="385"/>
      <c r="UTC514" s="69"/>
      <c r="UTD514" s="69"/>
      <c r="UTE514" s="2513"/>
      <c r="UTF514" s="1761"/>
      <c r="UTG514" s="1762"/>
      <c r="UTH514" s="1762"/>
      <c r="UTI514" s="1763"/>
      <c r="UTJ514" s="385"/>
      <c r="UTK514" s="69"/>
      <c r="UTL514" s="69"/>
      <c r="UTM514" s="2513"/>
      <c r="UTN514" s="1761"/>
      <c r="UTO514" s="1762"/>
      <c r="UTP514" s="1762"/>
      <c r="UTQ514" s="1763"/>
      <c r="UTR514" s="385"/>
      <c r="UTS514" s="69"/>
      <c r="UTT514" s="69"/>
      <c r="UTU514" s="2513"/>
      <c r="UTV514" s="1761"/>
      <c r="UTW514" s="1762"/>
      <c r="UTX514" s="1762"/>
      <c r="UTY514" s="1763"/>
      <c r="UTZ514" s="385"/>
      <c r="UUA514" s="69"/>
      <c r="UUB514" s="69"/>
      <c r="UUC514" s="2513"/>
      <c r="UUD514" s="1761"/>
      <c r="UUE514" s="1762"/>
      <c r="UUF514" s="1762"/>
      <c r="UUG514" s="1763"/>
      <c r="UUH514" s="385"/>
      <c r="UUI514" s="69"/>
      <c r="UUJ514" s="69"/>
      <c r="UUK514" s="2513"/>
      <c r="UUL514" s="1761"/>
      <c r="UUM514" s="1762"/>
      <c r="UUN514" s="1762"/>
      <c r="UUO514" s="1763"/>
      <c r="UUP514" s="385"/>
      <c r="UUQ514" s="69"/>
      <c r="UUR514" s="69"/>
      <c r="UUS514" s="2513"/>
      <c r="UUT514" s="1761"/>
      <c r="UUU514" s="1762"/>
      <c r="UUV514" s="1762"/>
      <c r="UUW514" s="1763"/>
      <c r="UUX514" s="385"/>
      <c r="UUY514" s="69"/>
      <c r="UUZ514" s="69"/>
      <c r="UVA514" s="2513"/>
      <c r="UVB514" s="1761"/>
      <c r="UVC514" s="1762"/>
      <c r="UVD514" s="1762"/>
      <c r="UVE514" s="1763"/>
      <c r="UVF514" s="385"/>
      <c r="UVG514" s="69"/>
      <c r="UVH514" s="69"/>
      <c r="UVI514" s="2513"/>
      <c r="UVJ514" s="1761"/>
      <c r="UVK514" s="1762"/>
      <c r="UVL514" s="1762"/>
      <c r="UVM514" s="1763"/>
      <c r="UVN514" s="385"/>
      <c r="UVO514" s="69"/>
      <c r="UVP514" s="69"/>
      <c r="UVQ514" s="2513"/>
      <c r="UVR514" s="1761"/>
      <c r="UVS514" s="1762"/>
      <c r="UVT514" s="1762"/>
      <c r="UVU514" s="1763"/>
      <c r="UVV514" s="385"/>
      <c r="UVW514" s="69"/>
      <c r="UVX514" s="69"/>
      <c r="UVY514" s="2513"/>
      <c r="UVZ514" s="1761"/>
      <c r="UWA514" s="1762"/>
      <c r="UWB514" s="1762"/>
      <c r="UWC514" s="1763"/>
      <c r="UWD514" s="385"/>
      <c r="UWE514" s="69"/>
      <c r="UWF514" s="69"/>
      <c r="UWG514" s="2513"/>
      <c r="UWH514" s="1761"/>
      <c r="UWI514" s="1762"/>
      <c r="UWJ514" s="1762"/>
      <c r="UWK514" s="1763"/>
      <c r="UWL514" s="385"/>
      <c r="UWM514" s="69"/>
      <c r="UWN514" s="69"/>
      <c r="UWO514" s="2513"/>
      <c r="UWP514" s="1761"/>
      <c r="UWQ514" s="1762"/>
      <c r="UWR514" s="1762"/>
      <c r="UWS514" s="1763"/>
      <c r="UWT514" s="385"/>
      <c r="UWU514" s="69"/>
      <c r="UWV514" s="69"/>
      <c r="UWW514" s="2513"/>
      <c r="UWX514" s="1761"/>
      <c r="UWY514" s="1762"/>
      <c r="UWZ514" s="1762"/>
      <c r="UXA514" s="1763"/>
      <c r="UXB514" s="385"/>
      <c r="UXC514" s="69"/>
      <c r="UXD514" s="69"/>
      <c r="UXE514" s="2513"/>
      <c r="UXF514" s="1761"/>
      <c r="UXG514" s="1762"/>
      <c r="UXH514" s="1762"/>
      <c r="UXI514" s="1763"/>
      <c r="UXJ514" s="385"/>
      <c r="UXK514" s="69"/>
      <c r="UXL514" s="69"/>
      <c r="UXM514" s="2513"/>
      <c r="UXN514" s="1761"/>
      <c r="UXO514" s="1762"/>
      <c r="UXP514" s="1762"/>
      <c r="UXQ514" s="1763"/>
      <c r="UXR514" s="385"/>
      <c r="UXS514" s="69"/>
      <c r="UXT514" s="69"/>
      <c r="UXU514" s="2513"/>
      <c r="UXV514" s="1761"/>
      <c r="UXW514" s="1762"/>
      <c r="UXX514" s="1762"/>
      <c r="UXY514" s="1763"/>
      <c r="UXZ514" s="385"/>
      <c r="UYA514" s="69"/>
      <c r="UYB514" s="69"/>
      <c r="UYC514" s="2513"/>
      <c r="UYD514" s="1761"/>
      <c r="UYE514" s="1762"/>
      <c r="UYF514" s="1762"/>
      <c r="UYG514" s="1763"/>
      <c r="UYH514" s="385"/>
      <c r="UYI514" s="69"/>
      <c r="UYJ514" s="69"/>
      <c r="UYK514" s="2513"/>
      <c r="UYL514" s="1761"/>
      <c r="UYM514" s="1762"/>
      <c r="UYN514" s="1762"/>
      <c r="UYO514" s="1763"/>
      <c r="UYP514" s="385"/>
      <c r="UYQ514" s="69"/>
      <c r="UYR514" s="69"/>
      <c r="UYS514" s="2513"/>
      <c r="UYT514" s="1761"/>
      <c r="UYU514" s="1762"/>
      <c r="UYV514" s="1762"/>
      <c r="UYW514" s="1763"/>
      <c r="UYX514" s="385"/>
      <c r="UYY514" s="69"/>
      <c r="UYZ514" s="69"/>
      <c r="UZA514" s="2513"/>
      <c r="UZB514" s="1761"/>
      <c r="UZC514" s="1762"/>
      <c r="UZD514" s="1762"/>
      <c r="UZE514" s="1763"/>
      <c r="UZF514" s="385"/>
      <c r="UZG514" s="69"/>
      <c r="UZH514" s="69"/>
      <c r="UZI514" s="2513"/>
      <c r="UZJ514" s="1761"/>
      <c r="UZK514" s="1762"/>
      <c r="UZL514" s="1762"/>
      <c r="UZM514" s="1763"/>
      <c r="UZN514" s="385"/>
      <c r="UZO514" s="69"/>
      <c r="UZP514" s="69"/>
      <c r="UZQ514" s="2513"/>
      <c r="UZR514" s="1761"/>
      <c r="UZS514" s="1762"/>
      <c r="UZT514" s="1762"/>
      <c r="UZU514" s="1763"/>
      <c r="UZV514" s="385"/>
      <c r="UZW514" s="69"/>
      <c r="UZX514" s="69"/>
      <c r="UZY514" s="2513"/>
      <c r="UZZ514" s="1761"/>
      <c r="VAA514" s="1762"/>
      <c r="VAB514" s="1762"/>
      <c r="VAC514" s="1763"/>
      <c r="VAD514" s="385"/>
      <c r="VAE514" s="69"/>
      <c r="VAF514" s="69"/>
      <c r="VAG514" s="2513"/>
      <c r="VAH514" s="1761"/>
      <c r="VAI514" s="1762"/>
      <c r="VAJ514" s="1762"/>
      <c r="VAK514" s="1763"/>
      <c r="VAL514" s="385"/>
      <c r="VAM514" s="69"/>
      <c r="VAN514" s="69"/>
      <c r="VAO514" s="2513"/>
      <c r="VAP514" s="1761"/>
      <c r="VAQ514" s="1762"/>
      <c r="VAR514" s="1762"/>
      <c r="VAS514" s="1763"/>
      <c r="VAT514" s="385"/>
      <c r="VAU514" s="69"/>
      <c r="VAV514" s="69"/>
      <c r="VAW514" s="2513"/>
      <c r="VAX514" s="1761"/>
      <c r="VAY514" s="1762"/>
      <c r="VAZ514" s="1762"/>
      <c r="VBA514" s="1763"/>
      <c r="VBB514" s="385"/>
      <c r="VBC514" s="69"/>
      <c r="VBD514" s="69"/>
      <c r="VBE514" s="2513"/>
      <c r="VBF514" s="1761"/>
      <c r="VBG514" s="1762"/>
      <c r="VBH514" s="1762"/>
      <c r="VBI514" s="1763"/>
      <c r="VBJ514" s="385"/>
      <c r="VBK514" s="69"/>
      <c r="VBL514" s="69"/>
      <c r="VBM514" s="2513"/>
      <c r="VBN514" s="1761"/>
      <c r="VBO514" s="1762"/>
      <c r="VBP514" s="1762"/>
      <c r="VBQ514" s="1763"/>
      <c r="VBR514" s="385"/>
      <c r="VBS514" s="69"/>
      <c r="VBT514" s="69"/>
      <c r="VBU514" s="2513"/>
      <c r="VBV514" s="1761"/>
      <c r="VBW514" s="1762"/>
      <c r="VBX514" s="1762"/>
      <c r="VBY514" s="1763"/>
      <c r="VBZ514" s="385"/>
      <c r="VCA514" s="69"/>
      <c r="VCB514" s="69"/>
      <c r="VCC514" s="2513"/>
      <c r="VCD514" s="1761"/>
      <c r="VCE514" s="1762"/>
      <c r="VCF514" s="1762"/>
      <c r="VCG514" s="1763"/>
      <c r="VCH514" s="385"/>
      <c r="VCI514" s="69"/>
      <c r="VCJ514" s="69"/>
      <c r="VCK514" s="2513"/>
      <c r="VCL514" s="1761"/>
      <c r="VCM514" s="1762"/>
      <c r="VCN514" s="1762"/>
      <c r="VCO514" s="1763"/>
      <c r="VCP514" s="385"/>
      <c r="VCQ514" s="69"/>
      <c r="VCR514" s="69"/>
      <c r="VCS514" s="2513"/>
      <c r="VCT514" s="1761"/>
      <c r="VCU514" s="1762"/>
      <c r="VCV514" s="1762"/>
      <c r="VCW514" s="1763"/>
      <c r="VCX514" s="385"/>
      <c r="VCY514" s="69"/>
      <c r="VCZ514" s="69"/>
      <c r="VDA514" s="2513"/>
      <c r="VDB514" s="1761"/>
      <c r="VDC514" s="1762"/>
      <c r="VDD514" s="1762"/>
      <c r="VDE514" s="1763"/>
      <c r="VDF514" s="385"/>
      <c r="VDG514" s="69"/>
      <c r="VDH514" s="69"/>
      <c r="VDI514" s="2513"/>
      <c r="VDJ514" s="1761"/>
      <c r="VDK514" s="1762"/>
      <c r="VDL514" s="1762"/>
      <c r="VDM514" s="1763"/>
      <c r="VDN514" s="385"/>
      <c r="VDO514" s="69"/>
      <c r="VDP514" s="69"/>
      <c r="VDQ514" s="2513"/>
      <c r="VDR514" s="1761"/>
      <c r="VDS514" s="1762"/>
      <c r="VDT514" s="1762"/>
      <c r="VDU514" s="1763"/>
      <c r="VDV514" s="385"/>
      <c r="VDW514" s="69"/>
      <c r="VDX514" s="69"/>
      <c r="VDY514" s="2513"/>
      <c r="VDZ514" s="1761"/>
      <c r="VEA514" s="1762"/>
      <c r="VEB514" s="1762"/>
      <c r="VEC514" s="1763"/>
      <c r="VED514" s="385"/>
      <c r="VEE514" s="69"/>
      <c r="VEF514" s="69"/>
      <c r="VEG514" s="2513"/>
      <c r="VEH514" s="1761"/>
      <c r="VEI514" s="1762"/>
      <c r="VEJ514" s="1762"/>
      <c r="VEK514" s="1763"/>
      <c r="VEL514" s="385"/>
      <c r="VEM514" s="69"/>
      <c r="VEN514" s="69"/>
      <c r="VEO514" s="2513"/>
      <c r="VEP514" s="1761"/>
      <c r="VEQ514" s="1762"/>
      <c r="VER514" s="1762"/>
      <c r="VES514" s="1763"/>
      <c r="VET514" s="385"/>
      <c r="VEU514" s="69"/>
      <c r="VEV514" s="69"/>
      <c r="VEW514" s="2513"/>
      <c r="VEX514" s="1761"/>
      <c r="VEY514" s="1762"/>
      <c r="VEZ514" s="1762"/>
      <c r="VFA514" s="1763"/>
      <c r="VFB514" s="385"/>
      <c r="VFC514" s="69"/>
      <c r="VFD514" s="69"/>
      <c r="VFE514" s="2513"/>
      <c r="VFF514" s="1761"/>
      <c r="VFG514" s="1762"/>
      <c r="VFH514" s="1762"/>
      <c r="VFI514" s="1763"/>
      <c r="VFJ514" s="385"/>
      <c r="VFK514" s="69"/>
      <c r="VFL514" s="69"/>
      <c r="VFM514" s="2513"/>
      <c r="VFN514" s="1761"/>
      <c r="VFO514" s="1762"/>
      <c r="VFP514" s="1762"/>
      <c r="VFQ514" s="1763"/>
      <c r="VFR514" s="385"/>
      <c r="VFS514" s="69"/>
      <c r="VFT514" s="69"/>
      <c r="VFU514" s="2513"/>
      <c r="VFV514" s="1761"/>
      <c r="VFW514" s="1762"/>
      <c r="VFX514" s="1762"/>
      <c r="VFY514" s="1763"/>
      <c r="VFZ514" s="385"/>
      <c r="VGA514" s="69"/>
      <c r="VGB514" s="69"/>
      <c r="VGC514" s="2513"/>
      <c r="VGD514" s="1761"/>
      <c r="VGE514" s="1762"/>
      <c r="VGF514" s="1762"/>
      <c r="VGG514" s="1763"/>
      <c r="VGH514" s="385"/>
      <c r="VGI514" s="69"/>
      <c r="VGJ514" s="69"/>
      <c r="VGK514" s="2513"/>
      <c r="VGL514" s="1761"/>
      <c r="VGM514" s="1762"/>
      <c r="VGN514" s="1762"/>
      <c r="VGO514" s="1763"/>
      <c r="VGP514" s="385"/>
      <c r="VGQ514" s="69"/>
      <c r="VGR514" s="69"/>
      <c r="VGS514" s="2513"/>
      <c r="VGT514" s="1761"/>
      <c r="VGU514" s="1762"/>
      <c r="VGV514" s="1762"/>
      <c r="VGW514" s="1763"/>
      <c r="VGX514" s="385"/>
      <c r="VGY514" s="69"/>
      <c r="VGZ514" s="69"/>
      <c r="VHA514" s="2513"/>
      <c r="VHB514" s="1761"/>
      <c r="VHC514" s="1762"/>
      <c r="VHD514" s="1762"/>
      <c r="VHE514" s="1763"/>
      <c r="VHF514" s="385"/>
      <c r="VHG514" s="69"/>
      <c r="VHH514" s="69"/>
      <c r="VHI514" s="2513"/>
      <c r="VHJ514" s="1761"/>
      <c r="VHK514" s="1762"/>
      <c r="VHL514" s="1762"/>
      <c r="VHM514" s="1763"/>
      <c r="VHN514" s="385"/>
      <c r="VHO514" s="69"/>
      <c r="VHP514" s="69"/>
      <c r="VHQ514" s="2513"/>
      <c r="VHR514" s="1761"/>
      <c r="VHS514" s="1762"/>
      <c r="VHT514" s="1762"/>
      <c r="VHU514" s="1763"/>
      <c r="VHV514" s="385"/>
      <c r="VHW514" s="69"/>
      <c r="VHX514" s="69"/>
      <c r="VHY514" s="2513"/>
      <c r="VHZ514" s="1761"/>
      <c r="VIA514" s="1762"/>
      <c r="VIB514" s="1762"/>
      <c r="VIC514" s="1763"/>
      <c r="VID514" s="385"/>
      <c r="VIE514" s="69"/>
      <c r="VIF514" s="69"/>
      <c r="VIG514" s="2513"/>
      <c r="VIH514" s="1761"/>
      <c r="VII514" s="1762"/>
      <c r="VIJ514" s="1762"/>
      <c r="VIK514" s="1763"/>
      <c r="VIL514" s="385"/>
      <c r="VIM514" s="69"/>
      <c r="VIN514" s="69"/>
      <c r="VIO514" s="2513"/>
      <c r="VIP514" s="1761"/>
      <c r="VIQ514" s="1762"/>
      <c r="VIR514" s="1762"/>
      <c r="VIS514" s="1763"/>
      <c r="VIT514" s="385"/>
      <c r="VIU514" s="69"/>
      <c r="VIV514" s="69"/>
      <c r="VIW514" s="2513"/>
      <c r="VIX514" s="1761"/>
      <c r="VIY514" s="1762"/>
      <c r="VIZ514" s="1762"/>
      <c r="VJA514" s="1763"/>
      <c r="VJB514" s="385"/>
      <c r="VJC514" s="69"/>
      <c r="VJD514" s="69"/>
      <c r="VJE514" s="2513"/>
      <c r="VJF514" s="1761"/>
      <c r="VJG514" s="1762"/>
      <c r="VJH514" s="1762"/>
      <c r="VJI514" s="1763"/>
      <c r="VJJ514" s="385"/>
      <c r="VJK514" s="69"/>
      <c r="VJL514" s="69"/>
      <c r="VJM514" s="2513"/>
      <c r="VJN514" s="1761"/>
      <c r="VJO514" s="1762"/>
      <c r="VJP514" s="1762"/>
      <c r="VJQ514" s="1763"/>
      <c r="VJR514" s="385"/>
      <c r="VJS514" s="69"/>
      <c r="VJT514" s="69"/>
      <c r="VJU514" s="2513"/>
      <c r="VJV514" s="1761"/>
      <c r="VJW514" s="1762"/>
      <c r="VJX514" s="1762"/>
      <c r="VJY514" s="1763"/>
      <c r="VJZ514" s="385"/>
      <c r="VKA514" s="69"/>
      <c r="VKB514" s="69"/>
      <c r="VKC514" s="2513"/>
      <c r="VKD514" s="1761"/>
      <c r="VKE514" s="1762"/>
      <c r="VKF514" s="1762"/>
      <c r="VKG514" s="1763"/>
      <c r="VKH514" s="385"/>
      <c r="VKI514" s="69"/>
      <c r="VKJ514" s="69"/>
      <c r="VKK514" s="2513"/>
      <c r="VKL514" s="1761"/>
      <c r="VKM514" s="1762"/>
      <c r="VKN514" s="1762"/>
      <c r="VKO514" s="1763"/>
      <c r="VKP514" s="385"/>
      <c r="VKQ514" s="69"/>
      <c r="VKR514" s="69"/>
      <c r="VKS514" s="2513"/>
      <c r="VKT514" s="1761"/>
      <c r="VKU514" s="1762"/>
      <c r="VKV514" s="1762"/>
      <c r="VKW514" s="1763"/>
      <c r="VKX514" s="385"/>
      <c r="VKY514" s="69"/>
      <c r="VKZ514" s="69"/>
      <c r="VLA514" s="2513"/>
      <c r="VLB514" s="1761"/>
      <c r="VLC514" s="1762"/>
      <c r="VLD514" s="1762"/>
      <c r="VLE514" s="1763"/>
      <c r="VLF514" s="385"/>
      <c r="VLG514" s="69"/>
      <c r="VLH514" s="69"/>
      <c r="VLI514" s="2513"/>
      <c r="VLJ514" s="1761"/>
      <c r="VLK514" s="1762"/>
      <c r="VLL514" s="1762"/>
      <c r="VLM514" s="1763"/>
      <c r="VLN514" s="385"/>
      <c r="VLO514" s="69"/>
      <c r="VLP514" s="69"/>
      <c r="VLQ514" s="2513"/>
      <c r="VLR514" s="1761"/>
      <c r="VLS514" s="1762"/>
      <c r="VLT514" s="1762"/>
      <c r="VLU514" s="1763"/>
      <c r="VLV514" s="385"/>
      <c r="VLW514" s="69"/>
      <c r="VLX514" s="69"/>
      <c r="VLY514" s="2513"/>
      <c r="VLZ514" s="1761"/>
      <c r="VMA514" s="1762"/>
      <c r="VMB514" s="1762"/>
      <c r="VMC514" s="1763"/>
      <c r="VMD514" s="385"/>
      <c r="VME514" s="69"/>
      <c r="VMF514" s="69"/>
      <c r="VMG514" s="2513"/>
      <c r="VMH514" s="1761"/>
      <c r="VMI514" s="1762"/>
      <c r="VMJ514" s="1762"/>
      <c r="VMK514" s="1763"/>
      <c r="VML514" s="385"/>
      <c r="VMM514" s="69"/>
      <c r="VMN514" s="69"/>
      <c r="VMO514" s="2513"/>
      <c r="VMP514" s="1761"/>
      <c r="VMQ514" s="1762"/>
      <c r="VMR514" s="1762"/>
      <c r="VMS514" s="1763"/>
      <c r="VMT514" s="385"/>
      <c r="VMU514" s="69"/>
      <c r="VMV514" s="69"/>
      <c r="VMW514" s="2513"/>
      <c r="VMX514" s="1761"/>
      <c r="VMY514" s="1762"/>
      <c r="VMZ514" s="1762"/>
      <c r="VNA514" s="1763"/>
      <c r="VNB514" s="385"/>
      <c r="VNC514" s="69"/>
      <c r="VND514" s="69"/>
      <c r="VNE514" s="2513"/>
      <c r="VNF514" s="1761"/>
      <c r="VNG514" s="1762"/>
      <c r="VNH514" s="1762"/>
      <c r="VNI514" s="1763"/>
      <c r="VNJ514" s="385"/>
      <c r="VNK514" s="69"/>
      <c r="VNL514" s="69"/>
      <c r="VNM514" s="2513"/>
      <c r="VNN514" s="1761"/>
      <c r="VNO514" s="1762"/>
      <c r="VNP514" s="1762"/>
      <c r="VNQ514" s="1763"/>
      <c r="VNR514" s="385"/>
      <c r="VNS514" s="69"/>
      <c r="VNT514" s="69"/>
      <c r="VNU514" s="2513"/>
      <c r="VNV514" s="1761"/>
      <c r="VNW514" s="1762"/>
      <c r="VNX514" s="1762"/>
      <c r="VNY514" s="1763"/>
      <c r="VNZ514" s="385"/>
      <c r="VOA514" s="69"/>
      <c r="VOB514" s="69"/>
      <c r="VOC514" s="2513"/>
      <c r="VOD514" s="1761"/>
      <c r="VOE514" s="1762"/>
      <c r="VOF514" s="1762"/>
      <c r="VOG514" s="1763"/>
      <c r="VOH514" s="385"/>
      <c r="VOI514" s="69"/>
      <c r="VOJ514" s="69"/>
      <c r="VOK514" s="2513"/>
      <c r="VOL514" s="1761"/>
      <c r="VOM514" s="1762"/>
      <c r="VON514" s="1762"/>
      <c r="VOO514" s="1763"/>
      <c r="VOP514" s="385"/>
      <c r="VOQ514" s="69"/>
      <c r="VOR514" s="69"/>
      <c r="VOS514" s="2513"/>
      <c r="VOT514" s="1761"/>
      <c r="VOU514" s="1762"/>
      <c r="VOV514" s="1762"/>
      <c r="VOW514" s="1763"/>
      <c r="VOX514" s="385"/>
      <c r="VOY514" s="69"/>
      <c r="VOZ514" s="69"/>
      <c r="VPA514" s="2513"/>
      <c r="VPB514" s="1761"/>
      <c r="VPC514" s="1762"/>
      <c r="VPD514" s="1762"/>
      <c r="VPE514" s="1763"/>
      <c r="VPF514" s="385"/>
      <c r="VPG514" s="69"/>
      <c r="VPH514" s="69"/>
      <c r="VPI514" s="2513"/>
      <c r="VPJ514" s="1761"/>
      <c r="VPK514" s="1762"/>
      <c r="VPL514" s="1762"/>
      <c r="VPM514" s="1763"/>
      <c r="VPN514" s="385"/>
      <c r="VPO514" s="69"/>
      <c r="VPP514" s="69"/>
      <c r="VPQ514" s="2513"/>
      <c r="VPR514" s="1761"/>
      <c r="VPS514" s="1762"/>
      <c r="VPT514" s="1762"/>
      <c r="VPU514" s="1763"/>
      <c r="VPV514" s="385"/>
      <c r="VPW514" s="69"/>
      <c r="VPX514" s="69"/>
      <c r="VPY514" s="2513"/>
      <c r="VPZ514" s="1761"/>
      <c r="VQA514" s="1762"/>
      <c r="VQB514" s="1762"/>
      <c r="VQC514" s="1763"/>
      <c r="VQD514" s="385"/>
      <c r="VQE514" s="69"/>
      <c r="VQF514" s="69"/>
      <c r="VQG514" s="2513"/>
      <c r="VQH514" s="1761"/>
      <c r="VQI514" s="1762"/>
      <c r="VQJ514" s="1762"/>
      <c r="VQK514" s="1763"/>
      <c r="VQL514" s="385"/>
      <c r="VQM514" s="69"/>
      <c r="VQN514" s="69"/>
      <c r="VQO514" s="2513"/>
      <c r="VQP514" s="1761"/>
      <c r="VQQ514" s="1762"/>
      <c r="VQR514" s="1762"/>
      <c r="VQS514" s="1763"/>
      <c r="VQT514" s="385"/>
      <c r="VQU514" s="69"/>
      <c r="VQV514" s="69"/>
      <c r="VQW514" s="2513"/>
      <c r="VQX514" s="1761"/>
      <c r="VQY514" s="1762"/>
      <c r="VQZ514" s="1762"/>
      <c r="VRA514" s="1763"/>
      <c r="VRB514" s="385"/>
      <c r="VRC514" s="69"/>
      <c r="VRD514" s="69"/>
      <c r="VRE514" s="2513"/>
      <c r="VRF514" s="1761"/>
      <c r="VRG514" s="1762"/>
      <c r="VRH514" s="1762"/>
      <c r="VRI514" s="1763"/>
      <c r="VRJ514" s="385"/>
      <c r="VRK514" s="69"/>
      <c r="VRL514" s="69"/>
      <c r="VRM514" s="2513"/>
      <c r="VRN514" s="1761"/>
      <c r="VRO514" s="1762"/>
      <c r="VRP514" s="1762"/>
      <c r="VRQ514" s="1763"/>
      <c r="VRR514" s="385"/>
      <c r="VRS514" s="69"/>
      <c r="VRT514" s="69"/>
      <c r="VRU514" s="2513"/>
      <c r="VRV514" s="1761"/>
      <c r="VRW514" s="1762"/>
      <c r="VRX514" s="1762"/>
      <c r="VRY514" s="1763"/>
      <c r="VRZ514" s="385"/>
      <c r="VSA514" s="69"/>
      <c r="VSB514" s="69"/>
      <c r="VSC514" s="2513"/>
      <c r="VSD514" s="1761"/>
      <c r="VSE514" s="1762"/>
      <c r="VSF514" s="1762"/>
      <c r="VSG514" s="1763"/>
      <c r="VSH514" s="385"/>
      <c r="VSI514" s="69"/>
      <c r="VSJ514" s="69"/>
      <c r="VSK514" s="2513"/>
      <c r="VSL514" s="1761"/>
      <c r="VSM514" s="1762"/>
      <c r="VSN514" s="1762"/>
      <c r="VSO514" s="1763"/>
      <c r="VSP514" s="385"/>
      <c r="VSQ514" s="69"/>
      <c r="VSR514" s="69"/>
      <c r="VSS514" s="2513"/>
      <c r="VST514" s="1761"/>
      <c r="VSU514" s="1762"/>
      <c r="VSV514" s="1762"/>
      <c r="VSW514" s="1763"/>
      <c r="VSX514" s="385"/>
      <c r="VSY514" s="69"/>
      <c r="VSZ514" s="69"/>
      <c r="VTA514" s="2513"/>
      <c r="VTB514" s="1761"/>
      <c r="VTC514" s="1762"/>
      <c r="VTD514" s="1762"/>
      <c r="VTE514" s="1763"/>
      <c r="VTF514" s="385"/>
      <c r="VTG514" s="69"/>
      <c r="VTH514" s="69"/>
      <c r="VTI514" s="2513"/>
      <c r="VTJ514" s="1761"/>
      <c r="VTK514" s="1762"/>
      <c r="VTL514" s="1762"/>
      <c r="VTM514" s="1763"/>
      <c r="VTN514" s="385"/>
      <c r="VTO514" s="69"/>
      <c r="VTP514" s="69"/>
      <c r="VTQ514" s="2513"/>
      <c r="VTR514" s="1761"/>
      <c r="VTS514" s="1762"/>
      <c r="VTT514" s="1762"/>
      <c r="VTU514" s="1763"/>
      <c r="VTV514" s="385"/>
      <c r="VTW514" s="69"/>
      <c r="VTX514" s="69"/>
      <c r="VTY514" s="2513"/>
      <c r="VTZ514" s="1761"/>
      <c r="VUA514" s="1762"/>
      <c r="VUB514" s="1762"/>
      <c r="VUC514" s="1763"/>
      <c r="VUD514" s="385"/>
      <c r="VUE514" s="69"/>
      <c r="VUF514" s="69"/>
      <c r="VUG514" s="2513"/>
      <c r="VUH514" s="1761"/>
      <c r="VUI514" s="1762"/>
      <c r="VUJ514" s="1762"/>
      <c r="VUK514" s="1763"/>
      <c r="VUL514" s="385"/>
      <c r="VUM514" s="69"/>
      <c r="VUN514" s="69"/>
      <c r="VUO514" s="2513"/>
      <c r="VUP514" s="1761"/>
      <c r="VUQ514" s="1762"/>
      <c r="VUR514" s="1762"/>
      <c r="VUS514" s="1763"/>
      <c r="VUT514" s="385"/>
      <c r="VUU514" s="69"/>
      <c r="VUV514" s="69"/>
      <c r="VUW514" s="2513"/>
      <c r="VUX514" s="1761"/>
      <c r="VUY514" s="1762"/>
      <c r="VUZ514" s="1762"/>
      <c r="VVA514" s="1763"/>
      <c r="VVB514" s="385"/>
      <c r="VVC514" s="69"/>
      <c r="VVD514" s="69"/>
      <c r="VVE514" s="2513"/>
      <c r="VVF514" s="1761"/>
      <c r="VVG514" s="1762"/>
      <c r="VVH514" s="1762"/>
      <c r="VVI514" s="1763"/>
      <c r="VVJ514" s="385"/>
      <c r="VVK514" s="69"/>
      <c r="VVL514" s="69"/>
      <c r="VVM514" s="2513"/>
      <c r="VVN514" s="1761"/>
      <c r="VVO514" s="1762"/>
      <c r="VVP514" s="1762"/>
      <c r="VVQ514" s="1763"/>
      <c r="VVR514" s="385"/>
      <c r="VVS514" s="69"/>
      <c r="VVT514" s="69"/>
      <c r="VVU514" s="2513"/>
      <c r="VVV514" s="1761"/>
      <c r="VVW514" s="1762"/>
      <c r="VVX514" s="1762"/>
      <c r="VVY514" s="1763"/>
      <c r="VVZ514" s="385"/>
      <c r="VWA514" s="69"/>
      <c r="VWB514" s="69"/>
      <c r="VWC514" s="2513"/>
      <c r="VWD514" s="1761"/>
      <c r="VWE514" s="1762"/>
      <c r="VWF514" s="1762"/>
      <c r="VWG514" s="1763"/>
      <c r="VWH514" s="385"/>
      <c r="VWI514" s="69"/>
      <c r="VWJ514" s="69"/>
      <c r="VWK514" s="2513"/>
      <c r="VWL514" s="1761"/>
      <c r="VWM514" s="1762"/>
      <c r="VWN514" s="1762"/>
      <c r="VWO514" s="1763"/>
      <c r="VWP514" s="385"/>
      <c r="VWQ514" s="69"/>
      <c r="VWR514" s="69"/>
      <c r="VWS514" s="2513"/>
      <c r="VWT514" s="1761"/>
      <c r="VWU514" s="1762"/>
      <c r="VWV514" s="1762"/>
      <c r="VWW514" s="1763"/>
      <c r="VWX514" s="385"/>
      <c r="VWY514" s="69"/>
      <c r="VWZ514" s="69"/>
      <c r="VXA514" s="2513"/>
      <c r="VXB514" s="1761"/>
      <c r="VXC514" s="1762"/>
      <c r="VXD514" s="1762"/>
      <c r="VXE514" s="1763"/>
      <c r="VXF514" s="385"/>
      <c r="VXG514" s="69"/>
      <c r="VXH514" s="69"/>
      <c r="VXI514" s="2513"/>
      <c r="VXJ514" s="1761"/>
      <c r="VXK514" s="1762"/>
      <c r="VXL514" s="1762"/>
      <c r="VXM514" s="1763"/>
      <c r="VXN514" s="385"/>
      <c r="VXO514" s="69"/>
      <c r="VXP514" s="69"/>
      <c r="VXQ514" s="2513"/>
      <c r="VXR514" s="1761"/>
      <c r="VXS514" s="1762"/>
      <c r="VXT514" s="1762"/>
      <c r="VXU514" s="1763"/>
      <c r="VXV514" s="385"/>
      <c r="VXW514" s="69"/>
      <c r="VXX514" s="69"/>
      <c r="VXY514" s="2513"/>
      <c r="VXZ514" s="1761"/>
      <c r="VYA514" s="1762"/>
      <c r="VYB514" s="1762"/>
      <c r="VYC514" s="1763"/>
      <c r="VYD514" s="385"/>
      <c r="VYE514" s="69"/>
      <c r="VYF514" s="69"/>
      <c r="VYG514" s="2513"/>
      <c r="VYH514" s="1761"/>
      <c r="VYI514" s="1762"/>
      <c r="VYJ514" s="1762"/>
      <c r="VYK514" s="1763"/>
      <c r="VYL514" s="385"/>
      <c r="VYM514" s="69"/>
      <c r="VYN514" s="69"/>
      <c r="VYO514" s="2513"/>
      <c r="VYP514" s="1761"/>
      <c r="VYQ514" s="1762"/>
      <c r="VYR514" s="1762"/>
      <c r="VYS514" s="1763"/>
      <c r="VYT514" s="385"/>
      <c r="VYU514" s="69"/>
      <c r="VYV514" s="69"/>
      <c r="VYW514" s="2513"/>
      <c r="VYX514" s="1761"/>
      <c r="VYY514" s="1762"/>
      <c r="VYZ514" s="1762"/>
      <c r="VZA514" s="1763"/>
      <c r="VZB514" s="385"/>
      <c r="VZC514" s="69"/>
      <c r="VZD514" s="69"/>
      <c r="VZE514" s="2513"/>
      <c r="VZF514" s="1761"/>
      <c r="VZG514" s="1762"/>
      <c r="VZH514" s="1762"/>
      <c r="VZI514" s="1763"/>
      <c r="VZJ514" s="385"/>
      <c r="VZK514" s="69"/>
      <c r="VZL514" s="69"/>
      <c r="VZM514" s="2513"/>
      <c r="VZN514" s="1761"/>
      <c r="VZO514" s="1762"/>
      <c r="VZP514" s="1762"/>
      <c r="VZQ514" s="1763"/>
      <c r="VZR514" s="385"/>
      <c r="VZS514" s="69"/>
      <c r="VZT514" s="69"/>
      <c r="VZU514" s="2513"/>
      <c r="VZV514" s="1761"/>
      <c r="VZW514" s="1762"/>
      <c r="VZX514" s="1762"/>
      <c r="VZY514" s="1763"/>
      <c r="VZZ514" s="385"/>
      <c r="WAA514" s="69"/>
      <c r="WAB514" s="69"/>
      <c r="WAC514" s="2513"/>
      <c r="WAD514" s="1761"/>
      <c r="WAE514" s="1762"/>
      <c r="WAF514" s="1762"/>
      <c r="WAG514" s="1763"/>
      <c r="WAH514" s="385"/>
      <c r="WAI514" s="69"/>
      <c r="WAJ514" s="69"/>
      <c r="WAK514" s="2513"/>
      <c r="WAL514" s="1761"/>
      <c r="WAM514" s="1762"/>
      <c r="WAN514" s="1762"/>
      <c r="WAO514" s="1763"/>
      <c r="WAP514" s="385"/>
      <c r="WAQ514" s="69"/>
      <c r="WAR514" s="69"/>
      <c r="WAS514" s="2513"/>
      <c r="WAT514" s="1761"/>
      <c r="WAU514" s="1762"/>
      <c r="WAV514" s="1762"/>
      <c r="WAW514" s="1763"/>
      <c r="WAX514" s="385"/>
      <c r="WAY514" s="69"/>
      <c r="WAZ514" s="69"/>
      <c r="WBA514" s="2513"/>
      <c r="WBB514" s="1761"/>
      <c r="WBC514" s="1762"/>
      <c r="WBD514" s="1762"/>
      <c r="WBE514" s="1763"/>
      <c r="WBF514" s="385"/>
      <c r="WBG514" s="69"/>
      <c r="WBH514" s="69"/>
      <c r="WBI514" s="2513"/>
      <c r="WBJ514" s="1761"/>
      <c r="WBK514" s="1762"/>
      <c r="WBL514" s="1762"/>
      <c r="WBM514" s="1763"/>
      <c r="WBN514" s="385"/>
      <c r="WBO514" s="69"/>
      <c r="WBP514" s="69"/>
      <c r="WBQ514" s="2513"/>
      <c r="WBR514" s="1761"/>
      <c r="WBS514" s="1762"/>
      <c r="WBT514" s="1762"/>
      <c r="WBU514" s="1763"/>
      <c r="WBV514" s="385"/>
      <c r="WBW514" s="69"/>
      <c r="WBX514" s="69"/>
      <c r="WBY514" s="2513"/>
      <c r="WBZ514" s="1761"/>
      <c r="WCA514" s="1762"/>
      <c r="WCB514" s="1762"/>
      <c r="WCC514" s="1763"/>
      <c r="WCD514" s="385"/>
      <c r="WCE514" s="69"/>
      <c r="WCF514" s="69"/>
      <c r="WCG514" s="2513"/>
      <c r="WCH514" s="1761"/>
      <c r="WCI514" s="1762"/>
      <c r="WCJ514" s="1762"/>
      <c r="WCK514" s="1763"/>
      <c r="WCL514" s="385"/>
      <c r="WCM514" s="69"/>
      <c r="WCN514" s="69"/>
      <c r="WCO514" s="2513"/>
      <c r="WCP514" s="1761"/>
      <c r="WCQ514" s="1762"/>
      <c r="WCR514" s="1762"/>
      <c r="WCS514" s="1763"/>
      <c r="WCT514" s="385"/>
      <c r="WCU514" s="69"/>
      <c r="WCV514" s="69"/>
      <c r="WCW514" s="2513"/>
      <c r="WCX514" s="1761"/>
      <c r="WCY514" s="1762"/>
      <c r="WCZ514" s="1762"/>
      <c r="WDA514" s="1763"/>
      <c r="WDB514" s="385"/>
      <c r="WDC514" s="69"/>
      <c r="WDD514" s="69"/>
      <c r="WDE514" s="2513"/>
      <c r="WDF514" s="1761"/>
      <c r="WDG514" s="1762"/>
      <c r="WDH514" s="1762"/>
      <c r="WDI514" s="1763"/>
      <c r="WDJ514" s="385"/>
      <c r="WDK514" s="69"/>
      <c r="WDL514" s="69"/>
      <c r="WDM514" s="2513"/>
      <c r="WDN514" s="1761"/>
      <c r="WDO514" s="1762"/>
      <c r="WDP514" s="1762"/>
      <c r="WDQ514" s="1763"/>
      <c r="WDR514" s="385"/>
      <c r="WDS514" s="69"/>
      <c r="WDT514" s="69"/>
      <c r="WDU514" s="2513"/>
      <c r="WDV514" s="1761"/>
      <c r="WDW514" s="1762"/>
      <c r="WDX514" s="1762"/>
      <c r="WDY514" s="1763"/>
      <c r="WDZ514" s="385"/>
      <c r="WEA514" s="69"/>
      <c r="WEB514" s="69"/>
      <c r="WEC514" s="2513"/>
      <c r="WED514" s="1761"/>
      <c r="WEE514" s="1762"/>
      <c r="WEF514" s="1762"/>
      <c r="WEG514" s="1763"/>
      <c r="WEH514" s="385"/>
      <c r="WEI514" s="69"/>
      <c r="WEJ514" s="69"/>
      <c r="WEK514" s="2513"/>
      <c r="WEL514" s="1761"/>
      <c r="WEM514" s="1762"/>
      <c r="WEN514" s="1762"/>
      <c r="WEO514" s="1763"/>
      <c r="WEP514" s="385"/>
      <c r="WEQ514" s="69"/>
      <c r="WER514" s="69"/>
      <c r="WES514" s="2513"/>
      <c r="WET514" s="1761"/>
      <c r="WEU514" s="1762"/>
      <c r="WEV514" s="1762"/>
      <c r="WEW514" s="1763"/>
      <c r="WEX514" s="385"/>
      <c r="WEY514" s="69"/>
      <c r="WEZ514" s="69"/>
      <c r="WFA514" s="2513"/>
      <c r="WFB514" s="1761"/>
      <c r="WFC514" s="1762"/>
      <c r="WFD514" s="1762"/>
      <c r="WFE514" s="1763"/>
      <c r="WFF514" s="385"/>
      <c r="WFG514" s="69"/>
      <c r="WFH514" s="69"/>
      <c r="WFI514" s="2513"/>
      <c r="WFJ514" s="1761"/>
      <c r="WFK514" s="1762"/>
      <c r="WFL514" s="1762"/>
      <c r="WFM514" s="1763"/>
      <c r="WFN514" s="385"/>
      <c r="WFO514" s="69"/>
      <c r="WFP514" s="69"/>
      <c r="WFQ514" s="2513"/>
      <c r="WFR514" s="1761"/>
      <c r="WFS514" s="1762"/>
      <c r="WFT514" s="1762"/>
      <c r="WFU514" s="1763"/>
      <c r="WFV514" s="385"/>
      <c r="WFW514" s="69"/>
      <c r="WFX514" s="69"/>
      <c r="WFY514" s="2513"/>
      <c r="WFZ514" s="1761"/>
      <c r="WGA514" s="1762"/>
      <c r="WGB514" s="1762"/>
      <c r="WGC514" s="1763"/>
      <c r="WGD514" s="385"/>
      <c r="WGE514" s="69"/>
      <c r="WGF514" s="69"/>
      <c r="WGG514" s="2513"/>
      <c r="WGH514" s="1761"/>
      <c r="WGI514" s="1762"/>
      <c r="WGJ514" s="1762"/>
      <c r="WGK514" s="1763"/>
      <c r="WGL514" s="385"/>
      <c r="WGM514" s="69"/>
      <c r="WGN514" s="69"/>
      <c r="WGO514" s="2513"/>
      <c r="WGP514" s="1761"/>
      <c r="WGQ514" s="1762"/>
      <c r="WGR514" s="1762"/>
      <c r="WGS514" s="1763"/>
      <c r="WGT514" s="385"/>
      <c r="WGU514" s="69"/>
      <c r="WGV514" s="69"/>
      <c r="WGW514" s="2513"/>
      <c r="WGX514" s="1761"/>
      <c r="WGY514" s="1762"/>
      <c r="WGZ514" s="1762"/>
      <c r="WHA514" s="1763"/>
      <c r="WHB514" s="385"/>
      <c r="WHC514" s="69"/>
      <c r="WHD514" s="69"/>
      <c r="WHE514" s="2513"/>
      <c r="WHF514" s="1761"/>
      <c r="WHG514" s="1762"/>
      <c r="WHH514" s="1762"/>
      <c r="WHI514" s="1763"/>
      <c r="WHJ514" s="385"/>
      <c r="WHK514" s="69"/>
      <c r="WHL514" s="69"/>
      <c r="WHM514" s="2513"/>
      <c r="WHN514" s="1761"/>
      <c r="WHO514" s="1762"/>
      <c r="WHP514" s="1762"/>
      <c r="WHQ514" s="1763"/>
      <c r="WHR514" s="385"/>
      <c r="WHS514" s="69"/>
      <c r="WHT514" s="69"/>
      <c r="WHU514" s="2513"/>
      <c r="WHV514" s="1761"/>
      <c r="WHW514" s="1762"/>
      <c r="WHX514" s="1762"/>
      <c r="WHY514" s="1763"/>
      <c r="WHZ514" s="385"/>
      <c r="WIA514" s="69"/>
      <c r="WIB514" s="69"/>
      <c r="WIC514" s="2513"/>
      <c r="WID514" s="1761"/>
      <c r="WIE514" s="1762"/>
      <c r="WIF514" s="1762"/>
      <c r="WIG514" s="1763"/>
      <c r="WIH514" s="385"/>
      <c r="WII514" s="69"/>
      <c r="WIJ514" s="69"/>
      <c r="WIK514" s="2513"/>
      <c r="WIL514" s="1761"/>
      <c r="WIM514" s="1762"/>
      <c r="WIN514" s="1762"/>
      <c r="WIO514" s="1763"/>
      <c r="WIP514" s="385"/>
      <c r="WIQ514" s="69"/>
      <c r="WIR514" s="69"/>
      <c r="WIS514" s="2513"/>
      <c r="WIT514" s="1761"/>
      <c r="WIU514" s="1762"/>
      <c r="WIV514" s="1762"/>
      <c r="WIW514" s="1763"/>
      <c r="WIX514" s="385"/>
      <c r="WIY514" s="69"/>
      <c r="WIZ514" s="69"/>
      <c r="WJA514" s="2513"/>
      <c r="WJB514" s="1761"/>
      <c r="WJC514" s="1762"/>
      <c r="WJD514" s="1762"/>
      <c r="WJE514" s="1763"/>
      <c r="WJF514" s="385"/>
      <c r="WJG514" s="69"/>
      <c r="WJH514" s="69"/>
      <c r="WJI514" s="2513"/>
      <c r="WJJ514" s="1761"/>
      <c r="WJK514" s="1762"/>
      <c r="WJL514" s="1762"/>
      <c r="WJM514" s="1763"/>
      <c r="WJN514" s="385"/>
      <c r="WJO514" s="69"/>
      <c r="WJP514" s="69"/>
      <c r="WJQ514" s="2513"/>
      <c r="WJR514" s="1761"/>
      <c r="WJS514" s="1762"/>
      <c r="WJT514" s="1762"/>
      <c r="WJU514" s="1763"/>
      <c r="WJV514" s="385"/>
      <c r="WJW514" s="69"/>
      <c r="WJX514" s="69"/>
      <c r="WJY514" s="2513"/>
      <c r="WJZ514" s="1761"/>
      <c r="WKA514" s="1762"/>
      <c r="WKB514" s="1762"/>
      <c r="WKC514" s="1763"/>
      <c r="WKD514" s="385"/>
      <c r="WKE514" s="69"/>
      <c r="WKF514" s="69"/>
      <c r="WKG514" s="2513"/>
      <c r="WKH514" s="1761"/>
      <c r="WKI514" s="1762"/>
      <c r="WKJ514" s="1762"/>
      <c r="WKK514" s="1763"/>
      <c r="WKL514" s="385"/>
      <c r="WKM514" s="69"/>
      <c r="WKN514" s="69"/>
      <c r="WKO514" s="2513"/>
      <c r="WKP514" s="1761"/>
      <c r="WKQ514" s="1762"/>
      <c r="WKR514" s="1762"/>
      <c r="WKS514" s="1763"/>
      <c r="WKT514" s="385"/>
      <c r="WKU514" s="69"/>
      <c r="WKV514" s="69"/>
      <c r="WKW514" s="2513"/>
      <c r="WKX514" s="1761"/>
      <c r="WKY514" s="1762"/>
      <c r="WKZ514" s="1762"/>
      <c r="WLA514" s="1763"/>
      <c r="WLB514" s="385"/>
      <c r="WLC514" s="69"/>
      <c r="WLD514" s="69"/>
      <c r="WLE514" s="2513"/>
      <c r="WLF514" s="1761"/>
      <c r="WLG514" s="1762"/>
      <c r="WLH514" s="1762"/>
      <c r="WLI514" s="1763"/>
      <c r="WLJ514" s="385"/>
      <c r="WLK514" s="69"/>
      <c r="WLL514" s="69"/>
      <c r="WLM514" s="2513"/>
      <c r="WLN514" s="1761"/>
      <c r="WLO514" s="1762"/>
      <c r="WLP514" s="1762"/>
      <c r="WLQ514" s="1763"/>
      <c r="WLR514" s="385"/>
      <c r="WLS514" s="69"/>
      <c r="WLT514" s="69"/>
      <c r="WLU514" s="2513"/>
      <c r="WLV514" s="1761"/>
      <c r="WLW514" s="1762"/>
      <c r="WLX514" s="1762"/>
      <c r="WLY514" s="1763"/>
      <c r="WLZ514" s="385"/>
      <c r="WMA514" s="69"/>
      <c r="WMB514" s="69"/>
      <c r="WMC514" s="2513"/>
      <c r="WMD514" s="1761"/>
      <c r="WME514" s="1762"/>
      <c r="WMF514" s="1762"/>
      <c r="WMG514" s="1763"/>
      <c r="WMH514" s="385"/>
      <c r="WMI514" s="69"/>
      <c r="WMJ514" s="69"/>
      <c r="WMK514" s="2513"/>
      <c r="WML514" s="1761"/>
      <c r="WMM514" s="1762"/>
      <c r="WMN514" s="1762"/>
      <c r="WMO514" s="1763"/>
      <c r="WMP514" s="385"/>
      <c r="WMQ514" s="69"/>
      <c r="WMR514" s="69"/>
      <c r="WMS514" s="2513"/>
      <c r="WMT514" s="1761"/>
      <c r="WMU514" s="1762"/>
      <c r="WMV514" s="1762"/>
      <c r="WMW514" s="1763"/>
      <c r="WMX514" s="385"/>
      <c r="WMY514" s="69"/>
      <c r="WMZ514" s="69"/>
      <c r="WNA514" s="2513"/>
      <c r="WNB514" s="1761"/>
      <c r="WNC514" s="1762"/>
      <c r="WND514" s="1762"/>
      <c r="WNE514" s="1763"/>
      <c r="WNF514" s="385"/>
      <c r="WNG514" s="69"/>
      <c r="WNH514" s="69"/>
      <c r="WNI514" s="2513"/>
      <c r="WNJ514" s="1761"/>
      <c r="WNK514" s="1762"/>
      <c r="WNL514" s="1762"/>
      <c r="WNM514" s="1763"/>
      <c r="WNN514" s="385"/>
      <c r="WNO514" s="69"/>
      <c r="WNP514" s="69"/>
      <c r="WNQ514" s="2513"/>
      <c r="WNR514" s="1761"/>
      <c r="WNS514" s="1762"/>
      <c r="WNT514" s="1762"/>
      <c r="WNU514" s="1763"/>
      <c r="WNV514" s="385"/>
      <c r="WNW514" s="69"/>
      <c r="WNX514" s="69"/>
      <c r="WNY514" s="2513"/>
      <c r="WNZ514" s="1761"/>
      <c r="WOA514" s="1762"/>
      <c r="WOB514" s="1762"/>
      <c r="WOC514" s="1763"/>
      <c r="WOD514" s="385"/>
      <c r="WOE514" s="69"/>
      <c r="WOF514" s="69"/>
      <c r="WOG514" s="2513"/>
      <c r="WOH514" s="1761"/>
      <c r="WOI514" s="1762"/>
      <c r="WOJ514" s="1762"/>
      <c r="WOK514" s="1763"/>
      <c r="WOL514" s="385"/>
      <c r="WOM514" s="69"/>
      <c r="WON514" s="69"/>
      <c r="WOO514" s="2513"/>
      <c r="WOP514" s="1761"/>
      <c r="WOQ514" s="1762"/>
      <c r="WOR514" s="1762"/>
      <c r="WOS514" s="1763"/>
      <c r="WOT514" s="385"/>
      <c r="WOU514" s="69"/>
      <c r="WOV514" s="69"/>
      <c r="WOW514" s="2513"/>
      <c r="WOX514" s="1761"/>
      <c r="WOY514" s="1762"/>
      <c r="WOZ514" s="1762"/>
      <c r="WPA514" s="1763"/>
      <c r="WPB514" s="385"/>
      <c r="WPC514" s="69"/>
      <c r="WPD514" s="69"/>
      <c r="WPE514" s="2513"/>
      <c r="WPF514" s="1761"/>
      <c r="WPG514" s="1762"/>
      <c r="WPH514" s="1762"/>
      <c r="WPI514" s="1763"/>
      <c r="WPJ514" s="385"/>
      <c r="WPK514" s="69"/>
      <c r="WPL514" s="69"/>
      <c r="WPM514" s="2513"/>
      <c r="WPN514" s="1761"/>
      <c r="WPO514" s="1762"/>
      <c r="WPP514" s="1762"/>
      <c r="WPQ514" s="1763"/>
      <c r="WPR514" s="385"/>
      <c r="WPS514" s="69"/>
      <c r="WPT514" s="69"/>
      <c r="WPU514" s="2513"/>
      <c r="WPV514" s="1761"/>
      <c r="WPW514" s="1762"/>
      <c r="WPX514" s="1762"/>
      <c r="WPY514" s="1763"/>
      <c r="WPZ514" s="385"/>
      <c r="WQA514" s="69"/>
      <c r="WQB514" s="69"/>
      <c r="WQC514" s="2513"/>
      <c r="WQD514" s="1761"/>
      <c r="WQE514" s="1762"/>
      <c r="WQF514" s="1762"/>
      <c r="WQG514" s="1763"/>
      <c r="WQH514" s="385"/>
      <c r="WQI514" s="69"/>
      <c r="WQJ514" s="69"/>
      <c r="WQK514" s="2513"/>
      <c r="WQL514" s="1761"/>
      <c r="WQM514" s="1762"/>
      <c r="WQN514" s="1762"/>
      <c r="WQO514" s="1763"/>
      <c r="WQP514" s="385"/>
      <c r="WQQ514" s="69"/>
      <c r="WQR514" s="69"/>
      <c r="WQS514" s="2513"/>
      <c r="WQT514" s="1761"/>
      <c r="WQU514" s="1762"/>
      <c r="WQV514" s="1762"/>
      <c r="WQW514" s="1763"/>
      <c r="WQX514" s="385"/>
      <c r="WQY514" s="69"/>
      <c r="WQZ514" s="69"/>
      <c r="WRA514" s="2513"/>
      <c r="WRB514" s="1761"/>
      <c r="WRC514" s="1762"/>
      <c r="WRD514" s="1762"/>
      <c r="WRE514" s="1763"/>
      <c r="WRF514" s="385"/>
      <c r="WRG514" s="69"/>
      <c r="WRH514" s="69"/>
      <c r="WRI514" s="2513"/>
      <c r="WRJ514" s="1761"/>
      <c r="WRK514" s="1762"/>
      <c r="WRL514" s="1762"/>
      <c r="WRM514" s="1763"/>
      <c r="WRN514" s="385"/>
      <c r="WRO514" s="69"/>
      <c r="WRP514" s="69"/>
      <c r="WRQ514" s="2513"/>
      <c r="WRR514" s="1761"/>
      <c r="WRS514" s="1762"/>
      <c r="WRT514" s="1762"/>
      <c r="WRU514" s="1763"/>
      <c r="WRV514" s="385"/>
      <c r="WRW514" s="69"/>
      <c r="WRX514" s="69"/>
      <c r="WRY514" s="2513"/>
      <c r="WRZ514" s="1761"/>
      <c r="WSA514" s="1762"/>
      <c r="WSB514" s="1762"/>
      <c r="WSC514" s="1763"/>
      <c r="WSD514" s="385"/>
      <c r="WSE514" s="69"/>
      <c r="WSF514" s="69"/>
      <c r="WSG514" s="2513"/>
      <c r="WSH514" s="1761"/>
      <c r="WSI514" s="1762"/>
      <c r="WSJ514" s="1762"/>
      <c r="WSK514" s="1763"/>
      <c r="WSL514" s="385"/>
      <c r="WSM514" s="69"/>
      <c r="WSN514" s="69"/>
      <c r="WSO514" s="2513"/>
      <c r="WSP514" s="1761"/>
      <c r="WSQ514" s="1762"/>
      <c r="WSR514" s="1762"/>
      <c r="WSS514" s="1763"/>
      <c r="WST514" s="385"/>
      <c r="WSU514" s="69"/>
      <c r="WSV514" s="69"/>
      <c r="WSW514" s="2513"/>
      <c r="WSX514" s="1761"/>
      <c r="WSY514" s="1762"/>
      <c r="WSZ514" s="1762"/>
      <c r="WTA514" s="1763"/>
      <c r="WTB514" s="385"/>
      <c r="WTC514" s="69"/>
      <c r="WTD514" s="69"/>
      <c r="WTE514" s="2513"/>
      <c r="WTF514" s="1761"/>
      <c r="WTG514" s="1762"/>
      <c r="WTH514" s="1762"/>
      <c r="WTI514" s="1763"/>
      <c r="WTJ514" s="385"/>
      <c r="WTK514" s="69"/>
      <c r="WTL514" s="69"/>
      <c r="WTM514" s="2513"/>
      <c r="WTN514" s="1761"/>
      <c r="WTO514" s="1762"/>
      <c r="WTP514" s="1762"/>
      <c r="WTQ514" s="1763"/>
      <c r="WTR514" s="385"/>
      <c r="WTS514" s="69"/>
      <c r="WTT514" s="69"/>
      <c r="WTU514" s="2513"/>
      <c r="WTV514" s="1761"/>
      <c r="WTW514" s="1762"/>
      <c r="WTX514" s="1762"/>
      <c r="WTY514" s="1763"/>
      <c r="WTZ514" s="385"/>
      <c r="WUA514" s="69"/>
      <c r="WUB514" s="69"/>
      <c r="WUC514" s="2513"/>
      <c r="WUD514" s="1761"/>
      <c r="WUE514" s="1762"/>
      <c r="WUF514" s="1762"/>
      <c r="WUG514" s="1763"/>
      <c r="WUH514" s="385"/>
      <c r="WUI514" s="69"/>
      <c r="WUJ514" s="69"/>
      <c r="WUK514" s="2513"/>
      <c r="WUL514" s="1761"/>
      <c r="WUM514" s="1762"/>
      <c r="WUN514" s="1762"/>
      <c r="WUO514" s="1763"/>
      <c r="WUP514" s="385"/>
      <c r="WUQ514" s="69"/>
      <c r="WUR514" s="69"/>
      <c r="WUS514" s="2513"/>
      <c r="WUT514" s="1761"/>
      <c r="WUU514" s="1762"/>
      <c r="WUV514" s="1762"/>
      <c r="WUW514" s="1763"/>
      <c r="WUX514" s="385"/>
      <c r="WUY514" s="69"/>
      <c r="WUZ514" s="69"/>
      <c r="WVA514" s="2513"/>
      <c r="WVB514" s="1761"/>
      <c r="WVC514" s="1762"/>
      <c r="WVD514" s="1762"/>
      <c r="WVE514" s="1763"/>
      <c r="WVF514" s="385"/>
      <c r="WVG514" s="69"/>
      <c r="WVH514" s="69"/>
      <c r="WVI514" s="2513"/>
      <c r="WVJ514" s="1761"/>
      <c r="WVK514" s="1762"/>
      <c r="WVL514" s="1762"/>
      <c r="WVM514" s="1763"/>
      <c r="WVN514" s="385"/>
      <c r="WVO514" s="69"/>
      <c r="WVP514" s="69"/>
      <c r="WVQ514" s="2513"/>
      <c r="WVR514" s="1761"/>
      <c r="WVS514" s="1762"/>
      <c r="WVT514" s="1762"/>
      <c r="WVU514" s="1763"/>
      <c r="WVV514" s="385"/>
      <c r="WVW514" s="69"/>
      <c r="WVX514" s="69"/>
      <c r="WVY514" s="2513"/>
      <c r="WVZ514" s="1761"/>
      <c r="WWA514" s="1762"/>
      <c r="WWB514" s="1762"/>
      <c r="WWC514" s="1763"/>
      <c r="WWD514" s="385"/>
      <c r="WWE514" s="69"/>
      <c r="WWF514" s="69"/>
      <c r="WWG514" s="2513"/>
      <c r="WWH514" s="1761"/>
      <c r="WWI514" s="1762"/>
      <c r="WWJ514" s="1762"/>
      <c r="WWK514" s="1763"/>
      <c r="WWL514" s="385"/>
      <c r="WWM514" s="69"/>
      <c r="WWN514" s="69"/>
      <c r="WWO514" s="2513"/>
      <c r="WWP514" s="1761"/>
      <c r="WWQ514" s="1762"/>
      <c r="WWR514" s="1762"/>
      <c r="WWS514" s="1763"/>
      <c r="WWT514" s="385"/>
      <c r="WWU514" s="69"/>
      <c r="WWV514" s="69"/>
      <c r="WWW514" s="2513"/>
      <c r="WWX514" s="1761"/>
      <c r="WWY514" s="1762"/>
      <c r="WWZ514" s="1762"/>
      <c r="WXA514" s="1763"/>
      <c r="WXB514" s="385"/>
      <c r="WXC514" s="69"/>
      <c r="WXD514" s="69"/>
      <c r="WXE514" s="2513"/>
      <c r="WXF514" s="1761"/>
      <c r="WXG514" s="1762"/>
      <c r="WXH514" s="1762"/>
      <c r="WXI514" s="1763"/>
      <c r="WXJ514" s="385"/>
      <c r="WXK514" s="69"/>
      <c r="WXL514" s="69"/>
      <c r="WXM514" s="2513"/>
      <c r="WXN514" s="1761"/>
      <c r="WXO514" s="1762"/>
      <c r="WXP514" s="1762"/>
      <c r="WXQ514" s="1763"/>
      <c r="WXR514" s="385"/>
      <c r="WXS514" s="69"/>
      <c r="WXT514" s="69"/>
      <c r="WXU514" s="2513"/>
      <c r="WXV514" s="1761"/>
      <c r="WXW514" s="1762"/>
      <c r="WXX514" s="1762"/>
      <c r="WXY514" s="1763"/>
      <c r="WXZ514" s="385"/>
      <c r="WYA514" s="69"/>
      <c r="WYB514" s="69"/>
      <c r="WYC514" s="2513"/>
      <c r="WYD514" s="1761"/>
      <c r="WYE514" s="1762"/>
      <c r="WYF514" s="1762"/>
      <c r="WYG514" s="1763"/>
      <c r="WYH514" s="385"/>
      <c r="WYI514" s="69"/>
      <c r="WYJ514" s="69"/>
      <c r="WYK514" s="2513"/>
      <c r="WYL514" s="1761"/>
      <c r="WYM514" s="1762"/>
      <c r="WYN514" s="1762"/>
      <c r="WYO514" s="1763"/>
      <c r="WYP514" s="385"/>
      <c r="WYQ514" s="69"/>
      <c r="WYR514" s="69"/>
      <c r="WYS514" s="2513"/>
      <c r="WYT514" s="1761"/>
      <c r="WYU514" s="1762"/>
      <c r="WYV514" s="1762"/>
      <c r="WYW514" s="1763"/>
      <c r="WYX514" s="385"/>
      <c r="WYY514" s="69"/>
      <c r="WYZ514" s="69"/>
      <c r="WZA514" s="2513"/>
      <c r="WZB514" s="1761"/>
      <c r="WZC514" s="1762"/>
      <c r="WZD514" s="1762"/>
      <c r="WZE514" s="1763"/>
      <c r="WZF514" s="385"/>
      <c r="WZG514" s="69"/>
      <c r="WZH514" s="69"/>
      <c r="WZI514" s="2513"/>
      <c r="WZJ514" s="1761"/>
      <c r="WZK514" s="1762"/>
      <c r="WZL514" s="1762"/>
      <c r="WZM514" s="1763"/>
      <c r="WZN514" s="385"/>
      <c r="WZO514" s="69"/>
      <c r="WZP514" s="69"/>
      <c r="WZQ514" s="2513"/>
      <c r="WZR514" s="1761"/>
      <c r="WZS514" s="1762"/>
      <c r="WZT514" s="1762"/>
      <c r="WZU514" s="1763"/>
      <c r="WZV514" s="385"/>
      <c r="WZW514" s="69"/>
      <c r="WZX514" s="69"/>
      <c r="WZY514" s="2513"/>
      <c r="WZZ514" s="1761"/>
      <c r="XAA514" s="1762"/>
      <c r="XAB514" s="1762"/>
      <c r="XAC514" s="1763"/>
      <c r="XAD514" s="385"/>
      <c r="XAE514" s="69"/>
      <c r="XAF514" s="69"/>
      <c r="XAG514" s="2513"/>
      <c r="XAH514" s="1761"/>
      <c r="XAI514" s="1762"/>
      <c r="XAJ514" s="1762"/>
      <c r="XAK514" s="1763"/>
      <c r="XAL514" s="385"/>
      <c r="XAM514" s="69"/>
      <c r="XAN514" s="69"/>
      <c r="XAO514" s="2513"/>
      <c r="XAP514" s="1761"/>
      <c r="XAQ514" s="1762"/>
      <c r="XAR514" s="1762"/>
      <c r="XAS514" s="1763"/>
      <c r="XAT514" s="385"/>
      <c r="XAU514" s="69"/>
      <c r="XAV514" s="69"/>
      <c r="XAW514" s="2513"/>
      <c r="XAX514" s="1761"/>
      <c r="XAY514" s="1762"/>
      <c r="XAZ514" s="1762"/>
      <c r="XBA514" s="1763"/>
      <c r="XBB514" s="385"/>
      <c r="XBC514" s="69"/>
      <c r="XBD514" s="69"/>
      <c r="XBE514" s="2513"/>
      <c r="XBF514" s="1761"/>
      <c r="XBG514" s="1762"/>
      <c r="XBH514" s="1762"/>
      <c r="XBI514" s="1763"/>
      <c r="XBJ514" s="385"/>
      <c r="XBK514" s="69"/>
      <c r="XBL514" s="69"/>
      <c r="XBM514" s="2513"/>
      <c r="XBN514" s="1761"/>
      <c r="XBO514" s="1762"/>
      <c r="XBP514" s="1762"/>
      <c r="XBQ514" s="1763"/>
      <c r="XBR514" s="385"/>
      <c r="XBS514" s="69"/>
      <c r="XBT514" s="69"/>
      <c r="XBU514" s="2513"/>
      <c r="XBV514" s="1761"/>
      <c r="XBW514" s="1762"/>
      <c r="XBX514" s="1762"/>
      <c r="XBY514" s="1763"/>
      <c r="XBZ514" s="385"/>
      <c r="XCA514" s="69"/>
      <c r="XCB514" s="69"/>
      <c r="XCC514" s="2513"/>
      <c r="XCD514" s="1761"/>
      <c r="XCE514" s="1762"/>
      <c r="XCF514" s="1762"/>
      <c r="XCG514" s="1763"/>
      <c r="XCH514" s="385"/>
      <c r="XCI514" s="69"/>
      <c r="XCJ514" s="69"/>
      <c r="XCK514" s="2513"/>
      <c r="XCL514" s="1761"/>
      <c r="XCM514" s="1762"/>
      <c r="XCN514" s="1762"/>
      <c r="XCO514" s="1763"/>
      <c r="XCP514" s="385"/>
      <c r="XCQ514" s="69"/>
      <c r="XCR514" s="69"/>
      <c r="XCS514" s="2513"/>
      <c r="XCT514" s="1761"/>
      <c r="XCU514" s="1762"/>
      <c r="XCV514" s="1762"/>
      <c r="XCW514" s="1763"/>
      <c r="XCX514" s="385"/>
      <c r="XCY514" s="69"/>
      <c r="XCZ514" s="69"/>
      <c r="XDA514" s="2513"/>
      <c r="XDB514" s="1761"/>
      <c r="XDC514" s="1762"/>
      <c r="XDD514" s="1762"/>
      <c r="XDE514" s="1763"/>
      <c r="XDF514" s="385"/>
      <c r="XDG514" s="69"/>
      <c r="XDH514" s="69"/>
      <c r="XDI514" s="2513"/>
      <c r="XDJ514" s="1761"/>
      <c r="XDK514" s="1762"/>
      <c r="XDL514" s="1762"/>
      <c r="XDM514" s="1763"/>
      <c r="XDN514" s="385"/>
      <c r="XDO514" s="69"/>
      <c r="XDP514" s="69"/>
      <c r="XDQ514" s="2513"/>
      <c r="XDR514" s="1761"/>
      <c r="XDS514" s="1762"/>
      <c r="XDT514" s="1762"/>
      <c r="XDU514" s="1763"/>
      <c r="XDV514" s="385"/>
      <c r="XDW514" s="69"/>
      <c r="XDX514" s="69"/>
      <c r="XDY514" s="2513"/>
      <c r="XDZ514" s="1761"/>
      <c r="XEA514" s="1762"/>
      <c r="XEB514" s="1762"/>
      <c r="XEC514" s="1763"/>
      <c r="XED514" s="385"/>
      <c r="XEE514" s="69"/>
      <c r="XEF514" s="69"/>
      <c r="XEG514" s="2513"/>
      <c r="XEH514" s="1761"/>
      <c r="XEI514" s="1762"/>
      <c r="XEJ514" s="1762"/>
      <c r="XEK514" s="1763"/>
      <c r="XEL514" s="385"/>
      <c r="XEM514" s="69"/>
      <c r="XEN514" s="69"/>
      <c r="XEO514" s="2513"/>
      <c r="XEP514" s="1761"/>
      <c r="XEQ514" s="1762"/>
      <c r="XER514" s="1762"/>
      <c r="XES514" s="1763"/>
      <c r="XET514" s="385"/>
      <c r="XEU514" s="69"/>
      <c r="XEV514" s="69"/>
      <c r="XEW514" s="2513"/>
      <c r="XEX514" s="1761"/>
      <c r="XEY514" s="1762"/>
      <c r="XEZ514" s="1762"/>
      <c r="XFA514" s="1763"/>
      <c r="XFB514" s="385"/>
      <c r="XFC514" s="69"/>
      <c r="XFD514" s="69"/>
    </row>
    <row r="515" spans="1:16384" s="640" customFormat="1" ht="18" customHeight="1" x14ac:dyDescent="0.3">
      <c r="A515" s="2314"/>
      <c r="B515" s="1718" t="s">
        <v>1416</v>
      </c>
      <c r="C515" s="1718"/>
      <c r="D515" s="1718"/>
      <c r="E515" s="1718"/>
      <c r="F515" s="385" t="s">
        <v>12</v>
      </c>
      <c r="G515" s="69">
        <f>G516+G517</f>
        <v>6682.41</v>
      </c>
      <c r="H515" s="69">
        <f>H516+H517</f>
        <v>6682.41</v>
      </c>
      <c r="I515" s="69"/>
      <c r="J515" s="69"/>
      <c r="K515" s="69"/>
      <c r="L515" s="69"/>
      <c r="M515" s="677"/>
      <c r="N515" s="609"/>
      <c r="O515" s="69"/>
      <c r="P515" s="1117"/>
      <c r="Q515" s="193"/>
      <c r="R515" s="379"/>
      <c r="S515" s="379"/>
      <c r="T515" s="379"/>
      <c r="U515" s="379"/>
      <c r="V515" s="379"/>
      <c r="W515" s="1172"/>
      <c r="X515" s="13"/>
      <c r="Y515" s="193"/>
      <c r="Z515" s="379"/>
      <c r="AA515" s="379"/>
      <c r="AB515" s="379"/>
      <c r="AC515" s="379"/>
      <c r="AD515" s="379"/>
      <c r="AE515" s="13"/>
      <c r="AF515" s="13"/>
      <c r="AG515" s="193"/>
      <c r="AH515" s="379"/>
      <c r="AI515" s="379"/>
      <c r="AJ515" s="379"/>
      <c r="AK515" s="379"/>
      <c r="AL515" s="379"/>
      <c r="AM515" s="13"/>
      <c r="AN515" s="13"/>
      <c r="AO515" s="193"/>
      <c r="AP515" s="379"/>
      <c r="AQ515" s="379"/>
      <c r="AR515" s="379"/>
      <c r="AS515" s="379"/>
      <c r="AT515" s="379"/>
      <c r="AU515" s="13"/>
      <c r="AV515" s="13"/>
      <c r="AW515" s="193"/>
      <c r="AX515" s="379"/>
      <c r="AY515" s="379"/>
      <c r="AZ515" s="379"/>
      <c r="BA515" s="379"/>
      <c r="BB515" s="379"/>
      <c r="BC515" s="13"/>
      <c r="BD515" s="13"/>
      <c r="BE515" s="193"/>
      <c r="BF515" s="379"/>
      <c r="BG515" s="379"/>
      <c r="BH515" s="379"/>
      <c r="BI515" s="379"/>
      <c r="BJ515" s="379"/>
      <c r="BK515" s="13"/>
      <c r="BL515" s="13"/>
      <c r="BM515" s="193"/>
      <c r="BN515" s="379"/>
      <c r="BO515" s="379"/>
      <c r="BP515" s="379"/>
      <c r="BQ515" s="379"/>
      <c r="BR515" s="379"/>
      <c r="BS515" s="13"/>
      <c r="BT515" s="13"/>
      <c r="BU515" s="193"/>
      <c r="BV515" s="379"/>
      <c r="BW515" s="379"/>
      <c r="BX515" s="379"/>
      <c r="BY515" s="379"/>
      <c r="BZ515" s="379"/>
      <c r="CA515" s="13"/>
      <c r="CB515" s="13"/>
      <c r="CC515" s="193"/>
      <c r="CD515" s="379"/>
      <c r="CE515" s="379"/>
      <c r="CF515" s="379"/>
      <c r="CG515" s="379"/>
      <c r="CH515" s="379"/>
      <c r="CI515" s="13"/>
      <c r="CJ515" s="13"/>
      <c r="CK515" s="193"/>
      <c r="CL515" s="379"/>
      <c r="CM515" s="379"/>
      <c r="CN515" s="379"/>
      <c r="CO515" s="379"/>
      <c r="CP515" s="379"/>
      <c r="CQ515" s="13"/>
      <c r="CR515" s="13"/>
      <c r="CS515" s="193"/>
      <c r="CT515" s="379"/>
      <c r="CU515" s="379"/>
      <c r="CV515" s="379"/>
      <c r="CW515" s="379"/>
      <c r="CX515" s="379"/>
      <c r="CY515" s="13"/>
      <c r="CZ515" s="13"/>
      <c r="DA515" s="193"/>
      <c r="DB515" s="379"/>
      <c r="DC515" s="379"/>
      <c r="DD515" s="379"/>
      <c r="DE515" s="379"/>
      <c r="DF515" s="379"/>
      <c r="DG515" s="13"/>
      <c r="DH515" s="13"/>
      <c r="DI515" s="193"/>
      <c r="DJ515" s="379"/>
      <c r="DK515" s="379"/>
      <c r="DL515" s="379"/>
      <c r="DM515" s="379"/>
      <c r="DN515" s="379"/>
      <c r="DO515" s="13"/>
      <c r="DP515" s="13"/>
      <c r="DQ515" s="193"/>
      <c r="DR515" s="379"/>
      <c r="DS515" s="379"/>
      <c r="DT515" s="379"/>
      <c r="DU515" s="379"/>
      <c r="DV515" s="379"/>
      <c r="DW515" s="13"/>
      <c r="DX515" s="13"/>
      <c r="DY515" s="193"/>
      <c r="DZ515" s="379"/>
      <c r="EA515" s="379"/>
      <c r="EB515" s="379"/>
      <c r="EC515" s="379"/>
      <c r="ED515" s="379"/>
      <c r="EE515" s="13"/>
      <c r="EF515" s="13"/>
      <c r="EG515" s="193"/>
      <c r="EH515" s="379"/>
      <c r="EI515" s="379"/>
      <c r="EJ515" s="379"/>
      <c r="EK515" s="379"/>
      <c r="EL515" s="379"/>
      <c r="EM515" s="13"/>
      <c r="EN515" s="13"/>
      <c r="EO515" s="193"/>
      <c r="EP515" s="379"/>
      <c r="EQ515" s="379"/>
      <c r="ER515" s="379"/>
      <c r="ES515" s="379"/>
      <c r="ET515" s="379"/>
      <c r="EU515" s="13"/>
      <c r="EV515" s="13"/>
      <c r="EW515" s="193"/>
      <c r="EX515" s="379"/>
      <c r="EY515" s="379"/>
      <c r="EZ515" s="379"/>
      <c r="FA515" s="379"/>
      <c r="FB515" s="379"/>
      <c r="FC515" s="13"/>
      <c r="FD515" s="13"/>
      <c r="FE515" s="193"/>
      <c r="FF515" s="379"/>
      <c r="FG515" s="379"/>
      <c r="FH515" s="379"/>
      <c r="FI515" s="379"/>
      <c r="FJ515" s="379"/>
      <c r="FK515" s="13"/>
      <c r="FL515" s="13"/>
      <c r="FM515" s="193"/>
      <c r="FN515" s="379"/>
      <c r="FO515" s="379"/>
      <c r="FP515" s="379"/>
      <c r="FQ515" s="379"/>
      <c r="FR515" s="379"/>
      <c r="FS515" s="13"/>
      <c r="FT515" s="13"/>
      <c r="FU515" s="193"/>
      <c r="FV515" s="379"/>
      <c r="FW515" s="379"/>
      <c r="FX515" s="379"/>
      <c r="FY515" s="379"/>
      <c r="FZ515" s="379"/>
      <c r="GA515" s="13"/>
      <c r="GB515" s="13"/>
      <c r="GC515" s="193"/>
      <c r="GD515" s="379"/>
      <c r="GE515" s="379"/>
      <c r="GF515" s="379"/>
      <c r="GG515" s="379"/>
      <c r="GH515" s="379"/>
      <c r="GI515" s="13"/>
      <c r="GJ515" s="13"/>
      <c r="GK515" s="193"/>
      <c r="GL515" s="379"/>
      <c r="GM515" s="379"/>
      <c r="GN515" s="379"/>
      <c r="GO515" s="379"/>
      <c r="GP515" s="379"/>
      <c r="GQ515" s="13"/>
      <c r="GR515" s="13"/>
      <c r="GS515" s="193"/>
      <c r="GT515" s="379"/>
      <c r="GU515" s="379"/>
      <c r="GV515" s="379"/>
      <c r="GW515" s="379"/>
      <c r="GX515" s="379"/>
      <c r="GY515" s="13"/>
      <c r="GZ515" s="13"/>
      <c r="HA515" s="193"/>
      <c r="HB515" s="379"/>
      <c r="HC515" s="379"/>
      <c r="HD515" s="379"/>
      <c r="HE515" s="379"/>
      <c r="HF515" s="379"/>
      <c r="HG515" s="13"/>
      <c r="HH515" s="13"/>
      <c r="HI515" s="193"/>
      <c r="HJ515" s="379"/>
      <c r="HK515" s="379"/>
      <c r="HL515" s="379"/>
      <c r="HM515" s="379"/>
      <c r="HN515" s="379"/>
      <c r="HO515" s="13"/>
      <c r="HP515" s="13"/>
      <c r="HQ515" s="193"/>
      <c r="HR515" s="379"/>
      <c r="HS515" s="379"/>
      <c r="HT515" s="379"/>
      <c r="HU515" s="379"/>
      <c r="HV515" s="379"/>
      <c r="HW515" s="13"/>
      <c r="HX515" s="13"/>
      <c r="HY515" s="193"/>
      <c r="HZ515" s="379"/>
      <c r="IA515" s="379"/>
      <c r="IB515" s="379"/>
      <c r="IC515" s="379"/>
      <c r="ID515" s="379"/>
      <c r="IE515" s="13"/>
      <c r="IF515" s="13"/>
      <c r="IG515" s="193"/>
      <c r="IH515" s="379"/>
      <c r="II515" s="379"/>
      <c r="IJ515" s="379"/>
      <c r="IK515" s="379"/>
      <c r="IL515" s="379"/>
      <c r="IM515" s="13"/>
      <c r="IN515" s="13"/>
      <c r="IO515" s="193"/>
      <c r="IP515" s="379"/>
      <c r="IQ515" s="379"/>
      <c r="IR515" s="379"/>
      <c r="IS515" s="379"/>
      <c r="IT515" s="379"/>
      <c r="IU515" s="13"/>
      <c r="IV515" s="13"/>
      <c r="IW515" s="193"/>
      <c r="IX515" s="379"/>
      <c r="IY515" s="379"/>
      <c r="IZ515" s="379"/>
      <c r="JA515" s="379"/>
      <c r="JB515" s="379"/>
      <c r="JC515" s="13"/>
      <c r="JD515" s="13"/>
      <c r="JE515" s="193"/>
      <c r="JF515" s="379"/>
      <c r="JG515" s="379"/>
      <c r="JH515" s="379"/>
      <c r="JI515" s="379"/>
      <c r="JJ515" s="379"/>
      <c r="JK515" s="13"/>
      <c r="JL515" s="13"/>
      <c r="JM515" s="193"/>
      <c r="JN515" s="379"/>
      <c r="JO515" s="379"/>
      <c r="JP515" s="379"/>
      <c r="JQ515" s="379"/>
      <c r="JR515" s="379"/>
      <c r="JS515" s="13"/>
      <c r="JT515" s="13"/>
      <c r="JU515" s="193"/>
      <c r="JV515" s="379"/>
      <c r="JW515" s="379"/>
      <c r="JX515" s="379"/>
      <c r="JY515" s="379"/>
      <c r="JZ515" s="379"/>
      <c r="KA515" s="13"/>
      <c r="KB515" s="13"/>
      <c r="KC515" s="193"/>
      <c r="KD515" s="379"/>
      <c r="KE515" s="379"/>
      <c r="KF515" s="379"/>
      <c r="KG515" s="379"/>
      <c r="KH515" s="379"/>
      <c r="KI515" s="13"/>
      <c r="KJ515" s="13"/>
      <c r="KK515" s="193"/>
      <c r="KL515" s="379"/>
      <c r="KM515" s="379"/>
      <c r="KN515" s="379"/>
      <c r="KO515" s="379"/>
      <c r="KP515" s="379"/>
      <c r="KQ515" s="13"/>
      <c r="KR515" s="13"/>
      <c r="KS515" s="193"/>
      <c r="KT515" s="379"/>
      <c r="KU515" s="379"/>
      <c r="KV515" s="379"/>
      <c r="KW515" s="379"/>
      <c r="KX515" s="379"/>
      <c r="KY515" s="13"/>
      <c r="KZ515" s="13"/>
      <c r="LA515" s="193"/>
      <c r="LB515" s="379"/>
      <c r="LC515" s="379"/>
      <c r="LD515" s="379"/>
      <c r="LE515" s="379"/>
      <c r="LF515" s="379"/>
      <c r="LG515" s="13"/>
      <c r="LH515" s="13"/>
      <c r="LI515" s="193"/>
      <c r="LJ515" s="379"/>
      <c r="LK515" s="379"/>
      <c r="LL515" s="379"/>
      <c r="LM515" s="379"/>
      <c r="LN515" s="379"/>
      <c r="LO515" s="13"/>
      <c r="LP515" s="13"/>
      <c r="LQ515" s="193"/>
      <c r="LR515" s="379"/>
      <c r="LS515" s="379"/>
      <c r="LT515" s="379"/>
      <c r="LU515" s="379"/>
      <c r="LV515" s="379"/>
      <c r="LW515" s="13"/>
      <c r="LX515" s="13"/>
      <c r="LY515" s="193"/>
      <c r="LZ515" s="379"/>
      <c r="MA515" s="379"/>
      <c r="MB515" s="379"/>
      <c r="MC515" s="379"/>
      <c r="MD515" s="379"/>
      <c r="ME515" s="13"/>
      <c r="MF515" s="13"/>
      <c r="MG515" s="193"/>
      <c r="MH515" s="379"/>
      <c r="MI515" s="379"/>
      <c r="MJ515" s="379"/>
      <c r="MK515" s="379"/>
      <c r="ML515" s="379"/>
      <c r="MM515" s="13"/>
      <c r="MN515" s="13"/>
      <c r="MO515" s="193"/>
      <c r="MP515" s="379"/>
      <c r="MQ515" s="379"/>
      <c r="MR515" s="379"/>
      <c r="MS515" s="379"/>
      <c r="MT515" s="379"/>
      <c r="MU515" s="13"/>
      <c r="MV515" s="13"/>
      <c r="MW515" s="193"/>
      <c r="MX515" s="379"/>
      <c r="MY515" s="379"/>
      <c r="MZ515" s="379"/>
      <c r="NA515" s="379"/>
      <c r="NB515" s="379"/>
      <c r="NC515" s="13"/>
      <c r="ND515" s="13"/>
      <c r="NE515" s="193"/>
      <c r="NF515" s="379"/>
      <c r="NG515" s="379"/>
      <c r="NH515" s="379"/>
      <c r="NI515" s="379"/>
      <c r="NJ515" s="379"/>
      <c r="NK515" s="13"/>
      <c r="NL515" s="13"/>
      <c r="NM515" s="193"/>
      <c r="NN515" s="379"/>
      <c r="NO515" s="379"/>
      <c r="NP515" s="379"/>
      <c r="NQ515" s="379"/>
      <c r="NR515" s="379"/>
      <c r="NS515" s="13"/>
      <c r="NT515" s="13"/>
      <c r="NU515" s="193"/>
      <c r="NV515" s="379"/>
      <c r="NW515" s="379"/>
      <c r="NX515" s="379"/>
      <c r="NY515" s="379"/>
      <c r="NZ515" s="379"/>
      <c r="OA515" s="13"/>
      <c r="OB515" s="13"/>
      <c r="OC515" s="193"/>
      <c r="OD515" s="379"/>
      <c r="OE515" s="379"/>
      <c r="OF515" s="379"/>
      <c r="OG515" s="379"/>
      <c r="OH515" s="379"/>
      <c r="OI515" s="13"/>
      <c r="OJ515" s="13"/>
      <c r="OK515" s="193"/>
      <c r="OL515" s="379"/>
      <c r="OM515" s="379"/>
      <c r="ON515" s="379"/>
      <c r="OO515" s="379"/>
      <c r="OP515" s="379"/>
      <c r="OQ515" s="13"/>
      <c r="OR515" s="13"/>
      <c r="OS515" s="193"/>
      <c r="OT515" s="379"/>
      <c r="OU515" s="379"/>
      <c r="OV515" s="379"/>
      <c r="OW515" s="379"/>
      <c r="OX515" s="379"/>
      <c r="OY515" s="13"/>
      <c r="OZ515" s="13"/>
      <c r="PA515" s="193"/>
      <c r="PB515" s="379"/>
      <c r="PC515" s="379"/>
      <c r="PD515" s="379"/>
      <c r="PE515" s="379"/>
      <c r="PF515" s="379"/>
      <c r="PG515" s="13"/>
      <c r="PH515" s="13"/>
      <c r="PI515" s="193"/>
      <c r="PJ515" s="379"/>
      <c r="PK515" s="379"/>
      <c r="PL515" s="379"/>
      <c r="PM515" s="379"/>
      <c r="PN515" s="379"/>
      <c r="PO515" s="13"/>
      <c r="PP515" s="13"/>
      <c r="PQ515" s="193"/>
      <c r="PR515" s="379"/>
      <c r="PS515" s="379"/>
      <c r="PT515" s="379"/>
      <c r="PU515" s="379"/>
      <c r="PV515" s="379"/>
      <c r="PW515" s="13"/>
      <c r="PX515" s="13"/>
      <c r="PY515" s="193"/>
      <c r="PZ515" s="379"/>
      <c r="QA515" s="379"/>
      <c r="QB515" s="379"/>
      <c r="QC515" s="379"/>
      <c r="QD515" s="379"/>
      <c r="QE515" s="13"/>
      <c r="QF515" s="13"/>
      <c r="QG515" s="193"/>
      <c r="QH515" s="379"/>
      <c r="QI515" s="379"/>
      <c r="QJ515" s="379"/>
      <c r="QK515" s="379"/>
      <c r="QL515" s="379"/>
      <c r="QM515" s="13"/>
      <c r="QN515" s="13"/>
      <c r="QO515" s="193"/>
      <c r="QP515" s="379"/>
      <c r="QQ515" s="379"/>
      <c r="QR515" s="379"/>
      <c r="QS515" s="379"/>
      <c r="QT515" s="379"/>
      <c r="QU515" s="13"/>
      <c r="QV515" s="13"/>
      <c r="QW515" s="193"/>
      <c r="QX515" s="379"/>
      <c r="QY515" s="379"/>
      <c r="QZ515" s="379"/>
      <c r="RA515" s="379"/>
      <c r="RB515" s="379"/>
      <c r="RC515" s="13"/>
      <c r="RD515" s="13"/>
      <c r="RE515" s="193"/>
      <c r="RF515" s="379"/>
      <c r="RG515" s="379"/>
      <c r="RH515" s="379"/>
      <c r="RI515" s="379"/>
      <c r="RJ515" s="379"/>
      <c r="RK515" s="13"/>
      <c r="RL515" s="13"/>
      <c r="RM515" s="193"/>
      <c r="RN515" s="379"/>
      <c r="RO515" s="379"/>
      <c r="RP515" s="379"/>
      <c r="RQ515" s="379"/>
      <c r="RR515" s="379"/>
      <c r="RS515" s="13"/>
      <c r="RT515" s="13"/>
      <c r="RU515" s="193"/>
      <c r="RV515" s="379"/>
      <c r="RW515" s="379"/>
      <c r="RX515" s="379"/>
      <c r="RY515" s="379"/>
      <c r="RZ515" s="379"/>
      <c r="SA515" s="13"/>
      <c r="SB515" s="13"/>
      <c r="SC515" s="193"/>
      <c r="SD515" s="379"/>
      <c r="SE515" s="379"/>
      <c r="SF515" s="379"/>
      <c r="SG515" s="379"/>
      <c r="SH515" s="379"/>
      <c r="SI515" s="13"/>
      <c r="SJ515" s="13"/>
      <c r="SK515" s="193"/>
      <c r="SL515" s="379"/>
      <c r="SM515" s="379"/>
      <c r="SN515" s="379"/>
      <c r="SO515" s="379"/>
      <c r="SP515" s="379"/>
      <c r="SQ515" s="13"/>
      <c r="SR515" s="13"/>
      <c r="SS515" s="193"/>
      <c r="ST515" s="379"/>
      <c r="SU515" s="379"/>
      <c r="SV515" s="379"/>
      <c r="SW515" s="379"/>
      <c r="SX515" s="379"/>
      <c r="SY515" s="13"/>
      <c r="SZ515" s="13"/>
      <c r="TA515" s="193"/>
      <c r="TB515" s="379"/>
      <c r="TC515" s="379"/>
      <c r="TD515" s="379"/>
      <c r="TE515" s="379"/>
      <c r="TF515" s="379"/>
      <c r="TG515" s="13"/>
      <c r="TH515" s="13"/>
      <c r="TI515" s="193"/>
      <c r="TJ515" s="379"/>
      <c r="TK515" s="379"/>
      <c r="TL515" s="379"/>
      <c r="TM515" s="379"/>
      <c r="TN515" s="379"/>
      <c r="TO515" s="13"/>
      <c r="TP515" s="13"/>
      <c r="TQ515" s="193"/>
      <c r="TR515" s="379"/>
      <c r="TS515" s="379"/>
      <c r="TT515" s="379"/>
      <c r="TU515" s="379"/>
      <c r="TV515" s="379"/>
      <c r="TW515" s="13"/>
      <c r="TX515" s="13"/>
      <c r="TY515" s="193"/>
      <c r="TZ515" s="379"/>
      <c r="UA515" s="379"/>
      <c r="UB515" s="379"/>
      <c r="UC515" s="379"/>
      <c r="UD515" s="379"/>
      <c r="UE515" s="13"/>
      <c r="UF515" s="13"/>
      <c r="UG515" s="193"/>
      <c r="UH515" s="379"/>
      <c r="UI515" s="379"/>
      <c r="UJ515" s="379"/>
      <c r="UK515" s="379"/>
      <c r="UL515" s="379"/>
      <c r="UM515" s="13"/>
      <c r="UN515" s="13"/>
      <c r="UO515" s="193"/>
      <c r="UP515" s="379"/>
      <c r="UQ515" s="379"/>
      <c r="UR515" s="379"/>
      <c r="US515" s="379"/>
      <c r="UT515" s="379"/>
      <c r="UU515" s="13"/>
      <c r="UV515" s="13"/>
      <c r="UW515" s="193"/>
      <c r="UX515" s="379"/>
      <c r="UY515" s="379"/>
      <c r="UZ515" s="379"/>
      <c r="VA515" s="379"/>
      <c r="VB515" s="379"/>
      <c r="VC515" s="13"/>
      <c r="VD515" s="13"/>
      <c r="VE515" s="193"/>
      <c r="VF515" s="379"/>
      <c r="VG515" s="379"/>
      <c r="VH515" s="379"/>
      <c r="VI515" s="379"/>
      <c r="VJ515" s="379"/>
      <c r="VK515" s="13"/>
      <c r="VL515" s="13"/>
      <c r="VM515" s="193"/>
      <c r="VN515" s="379"/>
      <c r="VO515" s="379"/>
      <c r="VP515" s="379"/>
      <c r="VQ515" s="379"/>
      <c r="VR515" s="379"/>
      <c r="VS515" s="13"/>
      <c r="VT515" s="13"/>
      <c r="VU515" s="193"/>
      <c r="VV515" s="379"/>
      <c r="VW515" s="379"/>
      <c r="VX515" s="379"/>
      <c r="VY515" s="379"/>
      <c r="VZ515" s="379"/>
      <c r="WA515" s="13"/>
      <c r="WB515" s="13"/>
      <c r="WC515" s="193"/>
      <c r="WD515" s="379"/>
      <c r="WE515" s="379"/>
      <c r="WF515" s="379"/>
      <c r="WG515" s="379"/>
      <c r="WH515" s="379"/>
      <c r="WI515" s="13"/>
      <c r="WJ515" s="13"/>
      <c r="WK515" s="193"/>
      <c r="WL515" s="379"/>
      <c r="WM515" s="379"/>
      <c r="WN515" s="379"/>
      <c r="WO515" s="379"/>
      <c r="WP515" s="379"/>
      <c r="WQ515" s="13"/>
      <c r="WR515" s="13"/>
      <c r="WS515" s="193"/>
      <c r="WT515" s="379"/>
      <c r="WU515" s="379"/>
      <c r="WV515" s="379"/>
      <c r="WW515" s="379"/>
      <c r="WX515" s="379"/>
      <c r="WY515" s="13"/>
      <c r="WZ515" s="13"/>
      <c r="XA515" s="193"/>
      <c r="XB515" s="379"/>
      <c r="XC515" s="379"/>
      <c r="XD515" s="379"/>
      <c r="XE515" s="379"/>
      <c r="XF515" s="379"/>
      <c r="XG515" s="13"/>
      <c r="XH515" s="13"/>
      <c r="XI515" s="193"/>
      <c r="XJ515" s="379"/>
      <c r="XK515" s="379"/>
      <c r="XL515" s="379"/>
      <c r="XM515" s="379"/>
      <c r="XN515" s="379"/>
      <c r="XO515" s="13"/>
      <c r="XP515" s="13"/>
      <c r="XQ515" s="193"/>
      <c r="XR515" s="379"/>
      <c r="XS515" s="379"/>
      <c r="XT515" s="379"/>
      <c r="XU515" s="379"/>
      <c r="XV515" s="379"/>
      <c r="XW515" s="13"/>
      <c r="XX515" s="13"/>
      <c r="XY515" s="193"/>
      <c r="XZ515" s="379"/>
      <c r="YA515" s="379"/>
      <c r="YB515" s="379"/>
      <c r="YC515" s="379"/>
      <c r="YD515" s="379"/>
      <c r="YE515" s="13"/>
      <c r="YF515" s="13"/>
      <c r="YG515" s="193"/>
      <c r="YH515" s="379"/>
      <c r="YI515" s="379"/>
      <c r="YJ515" s="379"/>
      <c r="YK515" s="379"/>
      <c r="YL515" s="379"/>
      <c r="YM515" s="13"/>
      <c r="YN515" s="13"/>
      <c r="YO515" s="193"/>
      <c r="YP515" s="379"/>
      <c r="YQ515" s="379"/>
      <c r="YR515" s="379"/>
      <c r="YS515" s="379"/>
      <c r="YT515" s="379"/>
      <c r="YU515" s="13"/>
      <c r="YV515" s="13"/>
      <c r="YW515" s="193"/>
      <c r="YX515" s="379"/>
      <c r="YY515" s="379"/>
      <c r="YZ515" s="379"/>
      <c r="ZA515" s="379"/>
      <c r="ZB515" s="379"/>
      <c r="ZC515" s="13"/>
      <c r="ZD515" s="13"/>
      <c r="ZE515" s="193"/>
      <c r="ZF515" s="379"/>
      <c r="ZG515" s="379"/>
      <c r="ZH515" s="379"/>
      <c r="ZI515" s="379"/>
      <c r="ZJ515" s="379"/>
      <c r="ZK515" s="13"/>
      <c r="ZL515" s="13"/>
      <c r="ZM515" s="193"/>
      <c r="ZN515" s="379"/>
      <c r="ZO515" s="379"/>
      <c r="ZP515" s="379"/>
      <c r="ZQ515" s="379"/>
      <c r="ZR515" s="379"/>
      <c r="ZS515" s="13"/>
      <c r="ZT515" s="13"/>
      <c r="ZU515" s="193"/>
      <c r="ZV515" s="379"/>
      <c r="ZW515" s="379"/>
      <c r="ZX515" s="379"/>
      <c r="ZY515" s="379"/>
      <c r="ZZ515" s="379"/>
      <c r="AAA515" s="13"/>
      <c r="AAB515" s="13"/>
      <c r="AAC515" s="193"/>
      <c r="AAD515" s="379"/>
      <c r="AAE515" s="379"/>
      <c r="AAF515" s="379"/>
      <c r="AAG515" s="379"/>
      <c r="AAH515" s="379"/>
      <c r="AAI515" s="13"/>
      <c r="AAJ515" s="13"/>
      <c r="AAK515" s="193"/>
      <c r="AAL515" s="379"/>
      <c r="AAM515" s="379"/>
      <c r="AAN515" s="379"/>
      <c r="AAO515" s="379"/>
      <c r="AAP515" s="379"/>
      <c r="AAQ515" s="13"/>
      <c r="AAR515" s="13"/>
      <c r="AAS515" s="193"/>
      <c r="AAT515" s="379"/>
      <c r="AAU515" s="379"/>
      <c r="AAV515" s="379"/>
      <c r="AAW515" s="379"/>
      <c r="AAX515" s="379"/>
      <c r="AAY515" s="13"/>
      <c r="AAZ515" s="13"/>
      <c r="ABA515" s="193"/>
      <c r="ABB515" s="379"/>
      <c r="ABC515" s="379"/>
      <c r="ABD515" s="379"/>
      <c r="ABE515" s="379"/>
      <c r="ABF515" s="379"/>
      <c r="ABG515" s="13"/>
      <c r="ABH515" s="13"/>
      <c r="ABI515" s="193"/>
      <c r="ABJ515" s="379"/>
      <c r="ABK515" s="379"/>
      <c r="ABL515" s="379"/>
      <c r="ABM515" s="379"/>
      <c r="ABN515" s="379"/>
      <c r="ABO515" s="13"/>
      <c r="ABP515" s="13"/>
      <c r="ABQ515" s="193"/>
      <c r="ABR515" s="379"/>
      <c r="ABS515" s="379"/>
      <c r="ABT515" s="379"/>
      <c r="ABU515" s="379"/>
      <c r="ABV515" s="379"/>
      <c r="ABW515" s="13"/>
      <c r="ABX515" s="13"/>
      <c r="ABY515" s="193"/>
      <c r="ABZ515" s="379"/>
      <c r="ACA515" s="379"/>
      <c r="ACB515" s="379"/>
      <c r="ACC515" s="379"/>
      <c r="ACD515" s="379"/>
      <c r="ACE515" s="13"/>
      <c r="ACF515" s="13"/>
      <c r="ACG515" s="193"/>
      <c r="ACH515" s="379"/>
      <c r="ACI515" s="379"/>
      <c r="ACJ515" s="379"/>
      <c r="ACK515" s="379"/>
      <c r="ACL515" s="379"/>
      <c r="ACM515" s="13"/>
      <c r="ACN515" s="13"/>
      <c r="ACO515" s="193"/>
      <c r="ACP515" s="379"/>
      <c r="ACQ515" s="379"/>
      <c r="ACR515" s="379"/>
      <c r="ACS515" s="379"/>
      <c r="ACT515" s="379"/>
      <c r="ACU515" s="13"/>
      <c r="ACV515" s="13"/>
      <c r="ACW515" s="193"/>
      <c r="ACX515" s="379"/>
      <c r="ACY515" s="379"/>
      <c r="ACZ515" s="379"/>
      <c r="ADA515" s="379"/>
      <c r="ADB515" s="379"/>
      <c r="ADC515" s="13"/>
      <c r="ADD515" s="13"/>
      <c r="ADE515" s="193"/>
      <c r="ADF515" s="379"/>
      <c r="ADG515" s="379"/>
      <c r="ADH515" s="379"/>
      <c r="ADI515" s="379"/>
      <c r="ADJ515" s="379"/>
      <c r="ADK515" s="13"/>
      <c r="ADL515" s="13"/>
      <c r="ADM515" s="193"/>
      <c r="ADN515" s="379"/>
      <c r="ADO515" s="379"/>
      <c r="ADP515" s="379"/>
      <c r="ADQ515" s="379"/>
      <c r="ADR515" s="379"/>
      <c r="ADS515" s="13"/>
      <c r="ADT515" s="13"/>
      <c r="ADU515" s="193"/>
      <c r="ADV515" s="379"/>
      <c r="ADW515" s="379"/>
      <c r="ADX515" s="379"/>
      <c r="ADY515" s="379"/>
      <c r="ADZ515" s="379"/>
      <c r="AEA515" s="13"/>
      <c r="AEB515" s="13"/>
      <c r="AEC515" s="193"/>
      <c r="AED515" s="379"/>
      <c r="AEE515" s="379"/>
      <c r="AEF515" s="379"/>
      <c r="AEG515" s="379"/>
      <c r="AEH515" s="379"/>
      <c r="AEI515" s="13"/>
      <c r="AEJ515" s="13"/>
      <c r="AEK515" s="193"/>
      <c r="AEL515" s="379"/>
      <c r="AEM515" s="379"/>
      <c r="AEN515" s="379"/>
      <c r="AEO515" s="379"/>
      <c r="AEP515" s="379"/>
      <c r="AEQ515" s="13"/>
      <c r="AER515" s="13"/>
      <c r="AES515" s="193"/>
      <c r="AET515" s="379"/>
      <c r="AEU515" s="379"/>
      <c r="AEV515" s="379"/>
      <c r="AEW515" s="379"/>
      <c r="AEX515" s="379"/>
      <c r="AEY515" s="13"/>
      <c r="AEZ515" s="13"/>
      <c r="AFA515" s="193"/>
      <c r="AFB515" s="379"/>
      <c r="AFC515" s="379"/>
      <c r="AFD515" s="379"/>
      <c r="AFE515" s="379"/>
      <c r="AFF515" s="379"/>
      <c r="AFG515" s="13"/>
      <c r="AFH515" s="13"/>
      <c r="AFI515" s="193"/>
      <c r="AFJ515" s="379"/>
      <c r="AFK515" s="379"/>
      <c r="AFL515" s="379"/>
      <c r="AFM515" s="379"/>
      <c r="AFN515" s="379"/>
      <c r="AFO515" s="13"/>
      <c r="AFP515" s="13"/>
      <c r="AFQ515" s="193"/>
      <c r="AFR515" s="379"/>
      <c r="AFS515" s="379"/>
      <c r="AFT515" s="379"/>
      <c r="AFU515" s="379"/>
      <c r="AFV515" s="379"/>
      <c r="AFW515" s="13"/>
      <c r="AFX515" s="13"/>
      <c r="AFY515" s="193"/>
      <c r="AFZ515" s="379"/>
      <c r="AGA515" s="379"/>
      <c r="AGB515" s="379"/>
      <c r="AGC515" s="379"/>
      <c r="AGD515" s="379"/>
      <c r="AGE515" s="13"/>
      <c r="AGF515" s="13"/>
      <c r="AGG515" s="193"/>
      <c r="AGH515" s="379"/>
      <c r="AGI515" s="379"/>
      <c r="AGJ515" s="379"/>
      <c r="AGK515" s="379"/>
      <c r="AGL515" s="379"/>
      <c r="AGM515" s="13"/>
      <c r="AGN515" s="13"/>
      <c r="AGO515" s="193"/>
      <c r="AGP515" s="379"/>
      <c r="AGQ515" s="379"/>
      <c r="AGR515" s="379"/>
      <c r="AGS515" s="379"/>
      <c r="AGT515" s="379"/>
      <c r="AGU515" s="13"/>
      <c r="AGV515" s="13"/>
      <c r="AGW515" s="193"/>
      <c r="AGX515" s="379"/>
      <c r="AGY515" s="379"/>
      <c r="AGZ515" s="379"/>
      <c r="AHA515" s="379"/>
      <c r="AHB515" s="379"/>
      <c r="AHC515" s="13"/>
      <c r="AHD515" s="13"/>
      <c r="AHE515" s="193"/>
      <c r="AHF515" s="379"/>
      <c r="AHG515" s="379"/>
      <c r="AHH515" s="379"/>
      <c r="AHI515" s="379"/>
      <c r="AHJ515" s="379"/>
      <c r="AHK515" s="13"/>
      <c r="AHL515" s="13"/>
      <c r="AHM515" s="193"/>
      <c r="AHN515" s="379"/>
      <c r="AHO515" s="379"/>
      <c r="AHP515" s="379"/>
      <c r="AHQ515" s="379"/>
      <c r="AHR515" s="379"/>
      <c r="AHS515" s="13"/>
      <c r="AHT515" s="13"/>
      <c r="AHU515" s="193"/>
      <c r="AHV515" s="379"/>
      <c r="AHW515" s="379"/>
      <c r="AHX515" s="379"/>
      <c r="AHY515" s="379"/>
      <c r="AHZ515" s="379"/>
      <c r="AIA515" s="13"/>
      <c r="AIB515" s="13"/>
      <c r="AIC515" s="193"/>
      <c r="AID515" s="379"/>
      <c r="AIE515" s="379"/>
      <c r="AIF515" s="379"/>
      <c r="AIG515" s="379"/>
      <c r="AIH515" s="379"/>
      <c r="AII515" s="13"/>
      <c r="AIJ515" s="13"/>
      <c r="AIK515" s="193"/>
      <c r="AIL515" s="379"/>
      <c r="AIM515" s="379"/>
      <c r="AIN515" s="379"/>
      <c r="AIO515" s="379"/>
      <c r="AIP515" s="379"/>
      <c r="AIQ515" s="13"/>
      <c r="AIR515" s="13"/>
      <c r="AIS515" s="193"/>
      <c r="AIT515" s="379"/>
      <c r="AIU515" s="379"/>
      <c r="AIV515" s="379"/>
      <c r="AIW515" s="379"/>
      <c r="AIX515" s="379"/>
      <c r="AIY515" s="13"/>
      <c r="AIZ515" s="13"/>
      <c r="AJA515" s="193"/>
      <c r="AJB515" s="379"/>
      <c r="AJC515" s="379"/>
      <c r="AJD515" s="379"/>
      <c r="AJE515" s="379"/>
      <c r="AJF515" s="379"/>
      <c r="AJG515" s="13"/>
      <c r="AJH515" s="13"/>
      <c r="AJI515" s="193"/>
      <c r="AJJ515" s="379"/>
      <c r="AJK515" s="379"/>
      <c r="AJL515" s="379"/>
      <c r="AJM515" s="379"/>
      <c r="AJN515" s="379"/>
      <c r="AJO515" s="13"/>
      <c r="AJP515" s="13"/>
      <c r="AJQ515" s="193"/>
      <c r="AJR515" s="379"/>
      <c r="AJS515" s="379"/>
      <c r="AJT515" s="379"/>
      <c r="AJU515" s="379"/>
      <c r="AJV515" s="379"/>
      <c r="AJW515" s="13"/>
      <c r="AJX515" s="13"/>
      <c r="AJY515" s="193"/>
      <c r="AJZ515" s="379"/>
      <c r="AKA515" s="379"/>
      <c r="AKB515" s="379"/>
      <c r="AKC515" s="379"/>
      <c r="AKD515" s="379"/>
      <c r="AKE515" s="13"/>
      <c r="AKF515" s="13"/>
      <c r="AKG515" s="193"/>
      <c r="AKH515" s="379"/>
      <c r="AKI515" s="379"/>
      <c r="AKJ515" s="379"/>
      <c r="AKK515" s="379"/>
      <c r="AKL515" s="379"/>
      <c r="AKM515" s="13"/>
      <c r="AKN515" s="13"/>
      <c r="AKO515" s="193"/>
      <c r="AKP515" s="379"/>
      <c r="AKQ515" s="379"/>
      <c r="AKR515" s="379"/>
      <c r="AKS515" s="379"/>
      <c r="AKT515" s="379"/>
      <c r="AKU515" s="13"/>
      <c r="AKV515" s="13"/>
      <c r="AKW515" s="193"/>
      <c r="AKX515" s="379"/>
      <c r="AKY515" s="379"/>
      <c r="AKZ515" s="379"/>
      <c r="ALA515" s="379"/>
      <c r="ALB515" s="379"/>
      <c r="ALC515" s="13"/>
      <c r="ALD515" s="13"/>
      <c r="ALE515" s="193"/>
      <c r="ALF515" s="379"/>
      <c r="ALG515" s="379"/>
      <c r="ALH515" s="379"/>
      <c r="ALI515" s="379"/>
      <c r="ALJ515" s="379"/>
      <c r="ALK515" s="13"/>
      <c r="ALL515" s="13"/>
      <c r="ALM515" s="193"/>
      <c r="ALN515" s="379"/>
      <c r="ALO515" s="379"/>
      <c r="ALP515" s="379"/>
      <c r="ALQ515" s="379"/>
      <c r="ALR515" s="379"/>
      <c r="ALS515" s="13"/>
      <c r="ALT515" s="13"/>
      <c r="ALU515" s="193"/>
      <c r="ALV515" s="379"/>
      <c r="ALW515" s="379"/>
      <c r="ALX515" s="379"/>
      <c r="ALY515" s="379"/>
      <c r="ALZ515" s="379"/>
      <c r="AMA515" s="13"/>
      <c r="AMB515" s="13"/>
      <c r="AMC515" s="193"/>
      <c r="AMD515" s="379"/>
      <c r="AME515" s="379"/>
      <c r="AMF515" s="379"/>
      <c r="AMG515" s="379"/>
      <c r="AMH515" s="379"/>
      <c r="AMI515" s="13"/>
      <c r="AMJ515" s="13"/>
      <c r="AMK515" s="193"/>
      <c r="AML515" s="379"/>
      <c r="AMM515" s="379"/>
      <c r="AMN515" s="379"/>
      <c r="AMO515" s="379"/>
      <c r="AMP515" s="379"/>
      <c r="AMQ515" s="13"/>
      <c r="AMR515" s="13"/>
      <c r="AMS515" s="193"/>
      <c r="AMT515" s="379"/>
      <c r="AMU515" s="379"/>
      <c r="AMV515" s="379"/>
      <c r="AMW515" s="379"/>
      <c r="AMX515" s="379"/>
      <c r="AMY515" s="13"/>
      <c r="AMZ515" s="13"/>
      <c r="ANA515" s="193"/>
      <c r="ANB515" s="379"/>
      <c r="ANC515" s="379"/>
      <c r="AND515" s="379"/>
      <c r="ANE515" s="379"/>
      <c r="ANF515" s="379"/>
      <c r="ANG515" s="13"/>
      <c r="ANH515" s="13"/>
      <c r="ANI515" s="193"/>
      <c r="ANJ515" s="379"/>
      <c r="ANK515" s="379"/>
      <c r="ANL515" s="379"/>
      <c r="ANM515" s="379"/>
      <c r="ANN515" s="379"/>
      <c r="ANO515" s="13"/>
      <c r="ANP515" s="13"/>
      <c r="ANQ515" s="193"/>
      <c r="ANR515" s="379"/>
      <c r="ANS515" s="379"/>
      <c r="ANT515" s="379"/>
      <c r="ANU515" s="379"/>
      <c r="ANV515" s="379"/>
      <c r="ANW515" s="13"/>
      <c r="ANX515" s="13"/>
      <c r="ANY515" s="193"/>
      <c r="ANZ515" s="379"/>
      <c r="AOA515" s="379"/>
      <c r="AOB515" s="379"/>
      <c r="AOC515" s="379"/>
      <c r="AOD515" s="379"/>
      <c r="AOE515" s="13"/>
      <c r="AOF515" s="13"/>
      <c r="AOG515" s="193"/>
      <c r="AOH515" s="379"/>
      <c r="AOI515" s="379"/>
      <c r="AOJ515" s="379"/>
      <c r="AOK515" s="379"/>
      <c r="AOL515" s="379"/>
      <c r="AOM515" s="13"/>
      <c r="AON515" s="13"/>
      <c r="AOO515" s="193"/>
      <c r="AOP515" s="379"/>
      <c r="AOQ515" s="379"/>
      <c r="AOR515" s="379"/>
      <c r="AOS515" s="379"/>
      <c r="AOT515" s="379"/>
      <c r="AOU515" s="13"/>
      <c r="AOV515" s="13"/>
      <c r="AOW515" s="193"/>
      <c r="AOX515" s="379"/>
      <c r="AOY515" s="379"/>
      <c r="AOZ515" s="379"/>
      <c r="APA515" s="379"/>
      <c r="APB515" s="379"/>
      <c r="APC515" s="13"/>
      <c r="APD515" s="13"/>
      <c r="APE515" s="193"/>
      <c r="APF515" s="379"/>
      <c r="APG515" s="379"/>
      <c r="APH515" s="379"/>
      <c r="API515" s="379"/>
      <c r="APJ515" s="379"/>
      <c r="APK515" s="13"/>
      <c r="APL515" s="13"/>
      <c r="APM515" s="193"/>
      <c r="APN515" s="379"/>
      <c r="APO515" s="379"/>
      <c r="APP515" s="379"/>
      <c r="APQ515" s="379"/>
      <c r="APR515" s="379"/>
      <c r="APS515" s="13"/>
      <c r="APT515" s="13"/>
      <c r="APU515" s="193"/>
      <c r="APV515" s="379"/>
      <c r="APW515" s="379"/>
      <c r="APX515" s="379"/>
      <c r="APY515" s="379"/>
      <c r="APZ515" s="379"/>
      <c r="AQA515" s="13"/>
      <c r="AQB515" s="13"/>
      <c r="AQC515" s="193"/>
      <c r="AQD515" s="379"/>
      <c r="AQE515" s="379"/>
      <c r="AQF515" s="379"/>
      <c r="AQG515" s="379"/>
      <c r="AQH515" s="379"/>
      <c r="AQI515" s="13"/>
      <c r="AQJ515" s="13"/>
      <c r="AQK515" s="193"/>
      <c r="AQL515" s="379"/>
      <c r="AQM515" s="379"/>
      <c r="AQN515" s="379"/>
      <c r="AQO515" s="379"/>
      <c r="AQP515" s="379"/>
      <c r="AQQ515" s="13"/>
      <c r="AQR515" s="13"/>
      <c r="AQS515" s="193"/>
      <c r="AQT515" s="379"/>
      <c r="AQU515" s="379"/>
      <c r="AQV515" s="379"/>
      <c r="AQW515" s="379"/>
      <c r="AQX515" s="379"/>
      <c r="AQY515" s="13"/>
      <c r="AQZ515" s="13"/>
      <c r="ARA515" s="193"/>
      <c r="ARB515" s="379"/>
      <c r="ARC515" s="379"/>
      <c r="ARD515" s="379"/>
      <c r="ARE515" s="379"/>
      <c r="ARF515" s="379"/>
      <c r="ARG515" s="13"/>
      <c r="ARH515" s="13"/>
      <c r="ARI515" s="193"/>
      <c r="ARJ515" s="379"/>
      <c r="ARK515" s="379"/>
      <c r="ARL515" s="379"/>
      <c r="ARM515" s="379"/>
      <c r="ARN515" s="379"/>
      <c r="ARO515" s="13"/>
      <c r="ARP515" s="13"/>
      <c r="ARQ515" s="193"/>
      <c r="ARR515" s="379"/>
      <c r="ARS515" s="379"/>
      <c r="ART515" s="379"/>
      <c r="ARU515" s="379"/>
      <c r="ARV515" s="379"/>
      <c r="ARW515" s="13"/>
      <c r="ARX515" s="13"/>
      <c r="ARY515" s="193"/>
      <c r="ARZ515" s="379"/>
      <c r="ASA515" s="379"/>
      <c r="ASB515" s="379"/>
      <c r="ASC515" s="379"/>
      <c r="ASD515" s="379"/>
      <c r="ASE515" s="13"/>
      <c r="ASF515" s="13"/>
      <c r="ASG515" s="193"/>
      <c r="ASH515" s="379"/>
      <c r="ASI515" s="379"/>
      <c r="ASJ515" s="379"/>
      <c r="ASK515" s="379"/>
      <c r="ASL515" s="379"/>
      <c r="ASM515" s="13"/>
      <c r="ASN515" s="13"/>
      <c r="ASO515" s="193"/>
      <c r="ASP515" s="379"/>
      <c r="ASQ515" s="379"/>
      <c r="ASR515" s="379"/>
      <c r="ASS515" s="379"/>
      <c r="AST515" s="379"/>
      <c r="ASU515" s="13"/>
      <c r="ASV515" s="13"/>
      <c r="ASW515" s="193"/>
      <c r="ASX515" s="379"/>
      <c r="ASY515" s="379"/>
      <c r="ASZ515" s="379"/>
      <c r="ATA515" s="379"/>
      <c r="ATB515" s="379"/>
      <c r="ATC515" s="13"/>
      <c r="ATD515" s="13"/>
      <c r="ATE515" s="193"/>
      <c r="ATF515" s="379"/>
      <c r="ATG515" s="379"/>
      <c r="ATH515" s="379"/>
      <c r="ATI515" s="379"/>
      <c r="ATJ515" s="379"/>
      <c r="ATK515" s="13"/>
      <c r="ATL515" s="13"/>
      <c r="ATM515" s="193"/>
      <c r="ATN515" s="379"/>
      <c r="ATO515" s="379"/>
      <c r="ATP515" s="379"/>
      <c r="ATQ515" s="379"/>
      <c r="ATR515" s="379"/>
      <c r="ATS515" s="13"/>
      <c r="ATT515" s="13"/>
      <c r="ATU515" s="193"/>
      <c r="ATV515" s="379"/>
      <c r="ATW515" s="379"/>
      <c r="ATX515" s="379"/>
      <c r="ATY515" s="379"/>
      <c r="ATZ515" s="379"/>
      <c r="AUA515" s="13"/>
      <c r="AUB515" s="13"/>
      <c r="AUC515" s="193"/>
      <c r="AUD515" s="379"/>
      <c r="AUE515" s="379"/>
      <c r="AUF515" s="379"/>
      <c r="AUG515" s="379"/>
      <c r="AUH515" s="379"/>
      <c r="AUI515" s="13"/>
      <c r="AUJ515" s="13"/>
      <c r="AUK515" s="193"/>
      <c r="AUL515" s="379"/>
      <c r="AUM515" s="379"/>
      <c r="AUN515" s="379"/>
      <c r="AUO515" s="379"/>
      <c r="AUP515" s="379"/>
      <c r="AUQ515" s="13"/>
      <c r="AUR515" s="13"/>
      <c r="AUS515" s="193"/>
      <c r="AUT515" s="379"/>
      <c r="AUU515" s="379"/>
      <c r="AUV515" s="379"/>
      <c r="AUW515" s="379"/>
      <c r="AUX515" s="379"/>
      <c r="AUY515" s="13"/>
      <c r="AUZ515" s="13"/>
      <c r="AVA515" s="193"/>
      <c r="AVB515" s="379"/>
      <c r="AVC515" s="379"/>
      <c r="AVD515" s="379"/>
      <c r="AVE515" s="379"/>
      <c r="AVF515" s="379"/>
      <c r="AVG515" s="13"/>
      <c r="AVH515" s="13"/>
      <c r="AVI515" s="193"/>
      <c r="AVJ515" s="379"/>
      <c r="AVK515" s="379"/>
      <c r="AVL515" s="379"/>
      <c r="AVM515" s="379"/>
      <c r="AVN515" s="379"/>
      <c r="AVO515" s="13"/>
      <c r="AVP515" s="13"/>
      <c r="AVQ515" s="193"/>
      <c r="AVR515" s="379"/>
      <c r="AVS515" s="379"/>
      <c r="AVT515" s="379"/>
      <c r="AVU515" s="379"/>
      <c r="AVV515" s="379"/>
      <c r="AVW515" s="13"/>
      <c r="AVX515" s="13"/>
      <c r="AVY515" s="193"/>
      <c r="AVZ515" s="379"/>
      <c r="AWA515" s="379"/>
      <c r="AWB515" s="379"/>
      <c r="AWC515" s="379"/>
      <c r="AWD515" s="379"/>
      <c r="AWE515" s="13"/>
      <c r="AWF515" s="13"/>
      <c r="AWG515" s="193"/>
      <c r="AWH515" s="379"/>
      <c r="AWI515" s="379"/>
      <c r="AWJ515" s="379"/>
      <c r="AWK515" s="379"/>
      <c r="AWL515" s="379"/>
      <c r="AWM515" s="13"/>
      <c r="AWN515" s="13"/>
      <c r="AWO515" s="193"/>
      <c r="AWP515" s="379"/>
      <c r="AWQ515" s="379"/>
      <c r="AWR515" s="379"/>
      <c r="AWS515" s="379"/>
      <c r="AWT515" s="379"/>
      <c r="AWU515" s="13"/>
      <c r="AWV515" s="13"/>
      <c r="AWW515" s="193"/>
      <c r="AWX515" s="379"/>
      <c r="AWY515" s="379"/>
      <c r="AWZ515" s="379"/>
      <c r="AXA515" s="379"/>
      <c r="AXB515" s="379"/>
      <c r="AXC515" s="13"/>
      <c r="AXD515" s="13"/>
      <c r="AXE515" s="193"/>
      <c r="AXF515" s="379"/>
      <c r="AXG515" s="379"/>
      <c r="AXH515" s="379"/>
      <c r="AXI515" s="379"/>
      <c r="AXJ515" s="379"/>
      <c r="AXK515" s="13"/>
      <c r="AXL515" s="13"/>
      <c r="AXM515" s="193"/>
      <c r="AXN515" s="379"/>
      <c r="AXO515" s="379"/>
      <c r="AXP515" s="379"/>
      <c r="AXQ515" s="379"/>
      <c r="AXR515" s="379"/>
      <c r="AXS515" s="13"/>
      <c r="AXT515" s="13"/>
      <c r="AXU515" s="193"/>
      <c r="AXV515" s="379"/>
      <c r="AXW515" s="379"/>
      <c r="AXX515" s="379"/>
      <c r="AXY515" s="379"/>
      <c r="AXZ515" s="379"/>
      <c r="AYA515" s="13"/>
      <c r="AYB515" s="13"/>
      <c r="AYC515" s="193"/>
      <c r="AYD515" s="379"/>
      <c r="AYE515" s="379"/>
      <c r="AYF515" s="379"/>
      <c r="AYG515" s="379"/>
      <c r="AYH515" s="379"/>
      <c r="AYI515" s="13"/>
      <c r="AYJ515" s="13"/>
      <c r="AYK515" s="193"/>
      <c r="AYL515" s="379"/>
      <c r="AYM515" s="379"/>
      <c r="AYN515" s="379"/>
      <c r="AYO515" s="379"/>
      <c r="AYP515" s="379"/>
      <c r="AYQ515" s="13"/>
      <c r="AYR515" s="13"/>
      <c r="AYS515" s="193"/>
      <c r="AYT515" s="379"/>
      <c r="AYU515" s="379"/>
      <c r="AYV515" s="379"/>
      <c r="AYW515" s="379"/>
      <c r="AYX515" s="379"/>
      <c r="AYY515" s="13"/>
      <c r="AYZ515" s="13"/>
      <c r="AZA515" s="193"/>
      <c r="AZB515" s="379"/>
      <c r="AZC515" s="379"/>
      <c r="AZD515" s="379"/>
      <c r="AZE515" s="379"/>
      <c r="AZF515" s="379"/>
      <c r="AZG515" s="13"/>
      <c r="AZH515" s="13"/>
      <c r="AZI515" s="193"/>
      <c r="AZJ515" s="379"/>
      <c r="AZK515" s="379"/>
      <c r="AZL515" s="379"/>
      <c r="AZM515" s="379"/>
      <c r="AZN515" s="379"/>
      <c r="AZO515" s="13"/>
      <c r="AZP515" s="13"/>
      <c r="AZQ515" s="193"/>
      <c r="AZR515" s="379"/>
      <c r="AZS515" s="379"/>
      <c r="AZT515" s="379"/>
      <c r="AZU515" s="379"/>
      <c r="AZV515" s="379"/>
      <c r="AZW515" s="13"/>
      <c r="AZX515" s="13"/>
      <c r="AZY515" s="193"/>
      <c r="AZZ515" s="379"/>
      <c r="BAA515" s="379"/>
      <c r="BAB515" s="379"/>
      <c r="BAC515" s="379"/>
      <c r="BAD515" s="379"/>
      <c r="BAE515" s="13"/>
      <c r="BAF515" s="13"/>
      <c r="BAG515" s="193"/>
      <c r="BAH515" s="379"/>
      <c r="BAI515" s="379"/>
      <c r="BAJ515" s="379"/>
      <c r="BAK515" s="379"/>
      <c r="BAL515" s="379"/>
      <c r="BAM515" s="13"/>
      <c r="BAN515" s="13"/>
      <c r="BAO515" s="193"/>
      <c r="BAP515" s="379"/>
      <c r="BAQ515" s="379"/>
      <c r="BAR515" s="379"/>
      <c r="BAS515" s="379"/>
      <c r="BAT515" s="379"/>
      <c r="BAU515" s="13"/>
      <c r="BAV515" s="13"/>
      <c r="BAW515" s="193"/>
      <c r="BAX515" s="379"/>
      <c r="BAY515" s="379"/>
      <c r="BAZ515" s="379"/>
      <c r="BBA515" s="379"/>
      <c r="BBB515" s="379"/>
      <c r="BBC515" s="13"/>
      <c r="BBD515" s="13"/>
      <c r="BBE515" s="193"/>
      <c r="BBF515" s="379"/>
      <c r="BBG515" s="379"/>
      <c r="BBH515" s="379"/>
      <c r="BBI515" s="379"/>
      <c r="BBJ515" s="379"/>
      <c r="BBK515" s="13"/>
      <c r="BBL515" s="13"/>
      <c r="BBM515" s="193"/>
      <c r="BBN515" s="379"/>
      <c r="BBO515" s="379"/>
      <c r="BBP515" s="379"/>
      <c r="BBQ515" s="379"/>
      <c r="BBR515" s="379"/>
      <c r="BBS515" s="13"/>
      <c r="BBT515" s="13"/>
      <c r="BBU515" s="193"/>
      <c r="BBV515" s="379"/>
      <c r="BBW515" s="379"/>
      <c r="BBX515" s="379"/>
      <c r="BBY515" s="379"/>
      <c r="BBZ515" s="379"/>
      <c r="BCA515" s="13"/>
      <c r="BCB515" s="13"/>
      <c r="BCC515" s="193"/>
      <c r="BCD515" s="379"/>
      <c r="BCE515" s="379"/>
      <c r="BCF515" s="379"/>
      <c r="BCG515" s="379"/>
      <c r="BCH515" s="379"/>
      <c r="BCI515" s="13"/>
      <c r="BCJ515" s="13"/>
      <c r="BCK515" s="193"/>
      <c r="BCL515" s="379"/>
      <c r="BCM515" s="379"/>
      <c r="BCN515" s="379"/>
      <c r="BCO515" s="379"/>
      <c r="BCP515" s="379"/>
      <c r="BCQ515" s="13"/>
      <c r="BCR515" s="13"/>
      <c r="BCS515" s="193"/>
      <c r="BCT515" s="379"/>
      <c r="BCU515" s="379"/>
      <c r="BCV515" s="379"/>
      <c r="BCW515" s="379"/>
      <c r="BCX515" s="379"/>
      <c r="BCY515" s="13"/>
      <c r="BCZ515" s="13"/>
      <c r="BDA515" s="193"/>
      <c r="BDB515" s="379"/>
      <c r="BDC515" s="379"/>
      <c r="BDD515" s="379"/>
      <c r="BDE515" s="379"/>
      <c r="BDF515" s="379"/>
      <c r="BDG515" s="13"/>
      <c r="BDH515" s="13"/>
      <c r="BDI515" s="193"/>
      <c r="BDJ515" s="379"/>
      <c r="BDK515" s="379"/>
      <c r="BDL515" s="379"/>
      <c r="BDM515" s="379"/>
      <c r="BDN515" s="379"/>
      <c r="BDO515" s="13"/>
      <c r="BDP515" s="13"/>
      <c r="BDQ515" s="193"/>
      <c r="BDR515" s="379"/>
      <c r="BDS515" s="379"/>
      <c r="BDT515" s="379"/>
      <c r="BDU515" s="379"/>
      <c r="BDV515" s="379"/>
      <c r="BDW515" s="13"/>
      <c r="BDX515" s="13"/>
      <c r="BDY515" s="193"/>
      <c r="BDZ515" s="379"/>
      <c r="BEA515" s="379"/>
      <c r="BEB515" s="379"/>
      <c r="BEC515" s="379"/>
      <c r="BED515" s="379"/>
      <c r="BEE515" s="13"/>
      <c r="BEF515" s="13"/>
      <c r="BEG515" s="193"/>
      <c r="BEH515" s="379"/>
      <c r="BEI515" s="379"/>
      <c r="BEJ515" s="379"/>
      <c r="BEK515" s="379"/>
      <c r="BEL515" s="379"/>
      <c r="BEM515" s="13"/>
      <c r="BEN515" s="13"/>
      <c r="BEO515" s="193"/>
      <c r="BEP515" s="379"/>
      <c r="BEQ515" s="379"/>
      <c r="BER515" s="379"/>
      <c r="BES515" s="379"/>
      <c r="BET515" s="379"/>
      <c r="BEU515" s="13"/>
      <c r="BEV515" s="13"/>
      <c r="BEW515" s="193"/>
      <c r="BEX515" s="379"/>
      <c r="BEY515" s="379"/>
      <c r="BEZ515" s="379"/>
      <c r="BFA515" s="379"/>
      <c r="BFB515" s="379"/>
      <c r="BFC515" s="13"/>
      <c r="BFD515" s="13"/>
      <c r="BFE515" s="193"/>
      <c r="BFF515" s="379"/>
      <c r="BFG515" s="379"/>
      <c r="BFH515" s="379"/>
      <c r="BFI515" s="379"/>
      <c r="BFJ515" s="379"/>
      <c r="BFK515" s="13"/>
      <c r="BFL515" s="13"/>
      <c r="BFM515" s="193"/>
      <c r="BFN515" s="379"/>
      <c r="BFO515" s="379"/>
      <c r="BFP515" s="379"/>
      <c r="BFQ515" s="379"/>
      <c r="BFR515" s="379"/>
      <c r="BFS515" s="13"/>
      <c r="BFT515" s="13"/>
      <c r="BFU515" s="193"/>
      <c r="BFV515" s="379"/>
      <c r="BFW515" s="379"/>
      <c r="BFX515" s="379"/>
      <c r="BFY515" s="379"/>
      <c r="BFZ515" s="379"/>
      <c r="BGA515" s="13"/>
      <c r="BGB515" s="13"/>
      <c r="BGC515" s="193"/>
      <c r="BGD515" s="379"/>
      <c r="BGE515" s="379"/>
      <c r="BGF515" s="379"/>
      <c r="BGG515" s="379"/>
      <c r="BGH515" s="379"/>
      <c r="BGI515" s="13"/>
      <c r="BGJ515" s="13"/>
      <c r="BGK515" s="193"/>
      <c r="BGL515" s="379"/>
      <c r="BGM515" s="379"/>
      <c r="BGN515" s="379"/>
      <c r="BGO515" s="379"/>
      <c r="BGP515" s="379"/>
      <c r="BGQ515" s="13"/>
      <c r="BGR515" s="13"/>
      <c r="BGS515" s="193"/>
      <c r="BGT515" s="379"/>
      <c r="BGU515" s="379"/>
      <c r="BGV515" s="379"/>
      <c r="BGW515" s="379"/>
      <c r="BGX515" s="379"/>
      <c r="BGY515" s="13"/>
      <c r="BGZ515" s="13"/>
      <c r="BHA515" s="193"/>
      <c r="BHB515" s="379"/>
      <c r="BHC515" s="379"/>
      <c r="BHD515" s="379"/>
      <c r="BHE515" s="379"/>
      <c r="BHF515" s="379"/>
      <c r="BHG515" s="13"/>
      <c r="BHH515" s="13"/>
      <c r="BHI515" s="193"/>
      <c r="BHJ515" s="379"/>
      <c r="BHK515" s="379"/>
      <c r="BHL515" s="379"/>
      <c r="BHM515" s="379"/>
      <c r="BHN515" s="379"/>
      <c r="BHO515" s="13"/>
      <c r="BHP515" s="13"/>
      <c r="BHQ515" s="193"/>
      <c r="BHR515" s="379"/>
      <c r="BHS515" s="379"/>
      <c r="BHT515" s="379"/>
      <c r="BHU515" s="379"/>
      <c r="BHV515" s="379"/>
      <c r="BHW515" s="13"/>
      <c r="BHX515" s="13"/>
      <c r="BHY515" s="193"/>
      <c r="BHZ515" s="379"/>
      <c r="BIA515" s="379"/>
      <c r="BIB515" s="379"/>
      <c r="BIC515" s="379"/>
      <c r="BID515" s="379"/>
      <c r="BIE515" s="13"/>
      <c r="BIF515" s="13"/>
      <c r="BIG515" s="193"/>
      <c r="BIH515" s="379"/>
      <c r="BII515" s="379"/>
      <c r="BIJ515" s="379"/>
      <c r="BIK515" s="379"/>
      <c r="BIL515" s="379"/>
      <c r="BIM515" s="13"/>
      <c r="BIN515" s="13"/>
      <c r="BIO515" s="193"/>
      <c r="BIP515" s="379"/>
      <c r="BIQ515" s="379"/>
      <c r="BIR515" s="379"/>
      <c r="BIS515" s="379"/>
      <c r="BIT515" s="379"/>
      <c r="BIU515" s="13"/>
      <c r="BIV515" s="13"/>
      <c r="BIW515" s="193"/>
      <c r="BIX515" s="379"/>
      <c r="BIY515" s="379"/>
      <c r="BIZ515" s="379"/>
      <c r="BJA515" s="379"/>
      <c r="BJB515" s="379"/>
      <c r="BJC515" s="13"/>
      <c r="BJD515" s="13"/>
      <c r="BJE515" s="193"/>
      <c r="BJF515" s="379"/>
      <c r="BJG515" s="379"/>
      <c r="BJH515" s="379"/>
      <c r="BJI515" s="379"/>
      <c r="BJJ515" s="379"/>
      <c r="BJK515" s="13"/>
      <c r="BJL515" s="13"/>
      <c r="BJM515" s="193"/>
      <c r="BJN515" s="379"/>
      <c r="BJO515" s="379"/>
      <c r="BJP515" s="379"/>
      <c r="BJQ515" s="379"/>
      <c r="BJR515" s="379"/>
      <c r="BJS515" s="13"/>
      <c r="BJT515" s="13"/>
      <c r="BJU515" s="193"/>
      <c r="BJV515" s="379"/>
      <c r="BJW515" s="379"/>
      <c r="BJX515" s="379"/>
      <c r="BJY515" s="379"/>
      <c r="BJZ515" s="379"/>
      <c r="BKA515" s="13"/>
      <c r="BKB515" s="13"/>
      <c r="BKC515" s="193"/>
      <c r="BKD515" s="379"/>
      <c r="BKE515" s="379"/>
      <c r="BKF515" s="379"/>
      <c r="BKG515" s="379"/>
      <c r="BKH515" s="379"/>
      <c r="BKI515" s="13"/>
      <c r="BKJ515" s="13"/>
      <c r="BKK515" s="193"/>
      <c r="BKL515" s="379"/>
      <c r="BKM515" s="379"/>
      <c r="BKN515" s="379"/>
      <c r="BKO515" s="379"/>
      <c r="BKP515" s="379"/>
      <c r="BKQ515" s="13"/>
      <c r="BKR515" s="13"/>
      <c r="BKS515" s="193"/>
      <c r="BKT515" s="379"/>
      <c r="BKU515" s="379"/>
      <c r="BKV515" s="379"/>
      <c r="BKW515" s="379"/>
      <c r="BKX515" s="379"/>
      <c r="BKY515" s="13"/>
      <c r="BKZ515" s="13"/>
      <c r="BLA515" s="193"/>
      <c r="BLB515" s="379"/>
      <c r="BLC515" s="379"/>
      <c r="BLD515" s="379"/>
      <c r="BLE515" s="379"/>
      <c r="BLF515" s="379"/>
      <c r="BLG515" s="13"/>
      <c r="BLH515" s="13"/>
      <c r="BLI515" s="193"/>
      <c r="BLJ515" s="379"/>
      <c r="BLK515" s="379"/>
      <c r="BLL515" s="379"/>
      <c r="BLM515" s="379"/>
      <c r="BLN515" s="379"/>
      <c r="BLO515" s="13"/>
      <c r="BLP515" s="13"/>
      <c r="BLQ515" s="193"/>
      <c r="BLR515" s="379"/>
      <c r="BLS515" s="379"/>
      <c r="BLT515" s="379"/>
      <c r="BLU515" s="379"/>
      <c r="BLV515" s="379"/>
      <c r="BLW515" s="13"/>
      <c r="BLX515" s="13"/>
      <c r="BLY515" s="193"/>
      <c r="BLZ515" s="379"/>
      <c r="BMA515" s="379"/>
      <c r="BMB515" s="379"/>
      <c r="BMC515" s="379"/>
      <c r="BMD515" s="379"/>
      <c r="BME515" s="13"/>
      <c r="BMF515" s="13"/>
      <c r="BMG515" s="193"/>
      <c r="BMH515" s="379"/>
      <c r="BMI515" s="379"/>
      <c r="BMJ515" s="379"/>
      <c r="BMK515" s="379"/>
      <c r="BML515" s="379"/>
      <c r="BMM515" s="13"/>
      <c r="BMN515" s="13"/>
      <c r="BMO515" s="193"/>
      <c r="BMP515" s="379"/>
      <c r="BMQ515" s="379"/>
      <c r="BMR515" s="379"/>
      <c r="BMS515" s="379"/>
      <c r="BMT515" s="379"/>
      <c r="BMU515" s="13"/>
      <c r="BMV515" s="13"/>
      <c r="BMW515" s="193"/>
      <c r="BMX515" s="379"/>
      <c r="BMY515" s="379"/>
      <c r="BMZ515" s="379"/>
      <c r="BNA515" s="379"/>
      <c r="BNB515" s="379"/>
      <c r="BNC515" s="13"/>
      <c r="BND515" s="13"/>
      <c r="BNE515" s="193"/>
      <c r="BNF515" s="379"/>
      <c r="BNG515" s="379"/>
      <c r="BNH515" s="379"/>
      <c r="BNI515" s="379"/>
      <c r="BNJ515" s="379"/>
      <c r="BNK515" s="13"/>
      <c r="BNL515" s="13"/>
      <c r="BNM515" s="193"/>
      <c r="BNN515" s="379"/>
      <c r="BNO515" s="379"/>
      <c r="BNP515" s="379"/>
      <c r="BNQ515" s="379"/>
      <c r="BNR515" s="379"/>
      <c r="BNS515" s="13"/>
      <c r="BNT515" s="13"/>
      <c r="BNU515" s="193"/>
      <c r="BNV515" s="379"/>
      <c r="BNW515" s="379"/>
      <c r="BNX515" s="379"/>
      <c r="BNY515" s="379"/>
      <c r="BNZ515" s="379"/>
      <c r="BOA515" s="13"/>
      <c r="BOB515" s="13"/>
      <c r="BOC515" s="193"/>
      <c r="BOD515" s="379"/>
      <c r="BOE515" s="379"/>
      <c r="BOF515" s="379"/>
      <c r="BOG515" s="379"/>
      <c r="BOH515" s="379"/>
      <c r="BOI515" s="13"/>
      <c r="BOJ515" s="13"/>
      <c r="BOK515" s="193"/>
      <c r="BOL515" s="379"/>
      <c r="BOM515" s="379"/>
      <c r="BON515" s="379"/>
      <c r="BOO515" s="379"/>
      <c r="BOP515" s="379"/>
      <c r="BOQ515" s="13"/>
      <c r="BOR515" s="13"/>
      <c r="BOS515" s="193"/>
      <c r="BOT515" s="379"/>
      <c r="BOU515" s="379"/>
      <c r="BOV515" s="379"/>
      <c r="BOW515" s="379"/>
      <c r="BOX515" s="379"/>
      <c r="BOY515" s="13"/>
      <c r="BOZ515" s="13"/>
      <c r="BPA515" s="193"/>
      <c r="BPB515" s="379"/>
      <c r="BPC515" s="379"/>
      <c r="BPD515" s="379"/>
      <c r="BPE515" s="379"/>
      <c r="BPF515" s="379"/>
      <c r="BPG515" s="13"/>
      <c r="BPH515" s="13"/>
      <c r="BPI515" s="193"/>
      <c r="BPJ515" s="379"/>
      <c r="BPK515" s="379"/>
      <c r="BPL515" s="379"/>
      <c r="BPM515" s="379"/>
      <c r="BPN515" s="379"/>
      <c r="BPO515" s="13"/>
      <c r="BPP515" s="13"/>
      <c r="BPQ515" s="193"/>
      <c r="BPR515" s="379"/>
      <c r="BPS515" s="379"/>
      <c r="BPT515" s="379"/>
      <c r="BPU515" s="379"/>
      <c r="BPV515" s="379"/>
      <c r="BPW515" s="13"/>
      <c r="BPX515" s="13"/>
      <c r="BPY515" s="193"/>
      <c r="BPZ515" s="379"/>
      <c r="BQA515" s="379"/>
      <c r="BQB515" s="379"/>
      <c r="BQC515" s="379"/>
      <c r="BQD515" s="379"/>
      <c r="BQE515" s="13"/>
      <c r="BQF515" s="13"/>
      <c r="BQG515" s="193"/>
      <c r="BQH515" s="379"/>
      <c r="BQI515" s="379"/>
      <c r="BQJ515" s="379"/>
      <c r="BQK515" s="379"/>
      <c r="BQL515" s="379"/>
      <c r="BQM515" s="13"/>
      <c r="BQN515" s="13"/>
      <c r="BQO515" s="193"/>
      <c r="BQP515" s="379"/>
      <c r="BQQ515" s="379"/>
      <c r="BQR515" s="379"/>
      <c r="BQS515" s="379"/>
      <c r="BQT515" s="379"/>
      <c r="BQU515" s="13"/>
      <c r="BQV515" s="13"/>
      <c r="BQW515" s="193"/>
      <c r="BQX515" s="379"/>
      <c r="BQY515" s="379"/>
      <c r="BQZ515" s="379"/>
      <c r="BRA515" s="379"/>
      <c r="BRB515" s="379"/>
      <c r="BRC515" s="13"/>
      <c r="BRD515" s="13"/>
      <c r="BRE515" s="193"/>
      <c r="BRF515" s="379"/>
      <c r="BRG515" s="379"/>
      <c r="BRH515" s="379"/>
      <c r="BRI515" s="379"/>
      <c r="BRJ515" s="379"/>
      <c r="BRK515" s="13"/>
      <c r="BRL515" s="13"/>
      <c r="BRM515" s="193"/>
      <c r="BRN515" s="379"/>
      <c r="BRO515" s="379"/>
      <c r="BRP515" s="379"/>
      <c r="BRQ515" s="379"/>
      <c r="BRR515" s="379"/>
      <c r="BRS515" s="13"/>
      <c r="BRT515" s="13"/>
      <c r="BRU515" s="193"/>
      <c r="BRV515" s="379"/>
      <c r="BRW515" s="379"/>
      <c r="BRX515" s="379"/>
      <c r="BRY515" s="379"/>
      <c r="BRZ515" s="379"/>
      <c r="BSA515" s="13"/>
      <c r="BSB515" s="13"/>
      <c r="BSC515" s="193"/>
      <c r="BSD515" s="379"/>
      <c r="BSE515" s="379"/>
      <c r="BSF515" s="379"/>
      <c r="BSG515" s="379"/>
      <c r="BSH515" s="379"/>
      <c r="BSI515" s="13"/>
      <c r="BSJ515" s="13"/>
      <c r="BSK515" s="193"/>
      <c r="BSL515" s="379"/>
      <c r="BSM515" s="379"/>
      <c r="BSN515" s="379"/>
      <c r="BSO515" s="379"/>
      <c r="BSP515" s="379"/>
      <c r="BSQ515" s="13"/>
      <c r="BSR515" s="13"/>
      <c r="BSS515" s="193"/>
      <c r="BST515" s="379"/>
      <c r="BSU515" s="379"/>
      <c r="BSV515" s="379"/>
      <c r="BSW515" s="379"/>
      <c r="BSX515" s="379"/>
      <c r="BSY515" s="13"/>
      <c r="BSZ515" s="13"/>
      <c r="BTA515" s="193"/>
      <c r="BTB515" s="379"/>
      <c r="BTC515" s="379"/>
      <c r="BTD515" s="379"/>
      <c r="BTE515" s="379"/>
      <c r="BTF515" s="379"/>
      <c r="BTG515" s="13"/>
      <c r="BTH515" s="13"/>
      <c r="BTI515" s="193"/>
      <c r="BTJ515" s="379"/>
      <c r="BTK515" s="379"/>
      <c r="BTL515" s="379"/>
      <c r="BTM515" s="379"/>
      <c r="BTN515" s="379"/>
      <c r="BTO515" s="13"/>
      <c r="BTP515" s="13"/>
      <c r="BTQ515" s="193"/>
      <c r="BTR515" s="379"/>
      <c r="BTS515" s="379"/>
      <c r="BTT515" s="379"/>
      <c r="BTU515" s="379"/>
      <c r="BTV515" s="379"/>
      <c r="BTW515" s="13"/>
      <c r="BTX515" s="13"/>
      <c r="BTY515" s="193"/>
      <c r="BTZ515" s="379"/>
      <c r="BUA515" s="379"/>
      <c r="BUB515" s="379"/>
      <c r="BUC515" s="379"/>
      <c r="BUD515" s="379"/>
      <c r="BUE515" s="13"/>
      <c r="BUF515" s="13"/>
      <c r="BUG515" s="193"/>
      <c r="BUH515" s="379"/>
      <c r="BUI515" s="379"/>
      <c r="BUJ515" s="379"/>
      <c r="BUK515" s="379"/>
      <c r="BUL515" s="379"/>
      <c r="BUM515" s="13"/>
      <c r="BUN515" s="13"/>
      <c r="BUO515" s="193"/>
      <c r="BUP515" s="379"/>
      <c r="BUQ515" s="379"/>
      <c r="BUR515" s="379"/>
      <c r="BUS515" s="379"/>
      <c r="BUT515" s="379"/>
      <c r="BUU515" s="13"/>
      <c r="BUV515" s="13"/>
      <c r="BUW515" s="193"/>
      <c r="BUX515" s="379"/>
      <c r="BUY515" s="379"/>
      <c r="BUZ515" s="379"/>
      <c r="BVA515" s="379"/>
      <c r="BVB515" s="379"/>
      <c r="BVC515" s="13"/>
      <c r="BVD515" s="13"/>
      <c r="BVE515" s="193"/>
      <c r="BVF515" s="379"/>
      <c r="BVG515" s="379"/>
      <c r="BVH515" s="379"/>
      <c r="BVI515" s="379"/>
      <c r="BVJ515" s="379"/>
      <c r="BVK515" s="13"/>
      <c r="BVL515" s="13"/>
      <c r="BVM515" s="193"/>
      <c r="BVN515" s="379"/>
      <c r="BVO515" s="379"/>
      <c r="BVP515" s="379"/>
      <c r="BVQ515" s="379"/>
      <c r="BVR515" s="379"/>
      <c r="BVS515" s="13"/>
      <c r="BVT515" s="13"/>
      <c r="BVU515" s="193"/>
      <c r="BVV515" s="379"/>
      <c r="BVW515" s="379"/>
      <c r="BVX515" s="379"/>
      <c r="BVY515" s="379"/>
      <c r="BVZ515" s="379"/>
      <c r="BWA515" s="13"/>
      <c r="BWB515" s="13"/>
      <c r="BWC515" s="193"/>
      <c r="BWD515" s="379"/>
      <c r="BWE515" s="379"/>
      <c r="BWF515" s="379"/>
      <c r="BWG515" s="379"/>
      <c r="BWH515" s="379"/>
      <c r="BWI515" s="13"/>
      <c r="BWJ515" s="13"/>
      <c r="BWK515" s="193"/>
      <c r="BWL515" s="379"/>
      <c r="BWM515" s="379"/>
      <c r="BWN515" s="379"/>
      <c r="BWO515" s="379"/>
      <c r="BWP515" s="379"/>
      <c r="BWQ515" s="13"/>
      <c r="BWR515" s="13"/>
      <c r="BWS515" s="193"/>
      <c r="BWT515" s="379"/>
      <c r="BWU515" s="379"/>
      <c r="BWV515" s="379"/>
      <c r="BWW515" s="379"/>
      <c r="BWX515" s="379"/>
      <c r="BWY515" s="13"/>
      <c r="BWZ515" s="13"/>
      <c r="BXA515" s="193"/>
      <c r="BXB515" s="379"/>
      <c r="BXC515" s="379"/>
      <c r="BXD515" s="379"/>
      <c r="BXE515" s="379"/>
      <c r="BXF515" s="379"/>
      <c r="BXG515" s="13"/>
      <c r="BXH515" s="13"/>
      <c r="BXI515" s="193"/>
      <c r="BXJ515" s="379"/>
      <c r="BXK515" s="379"/>
      <c r="BXL515" s="379"/>
      <c r="BXM515" s="379"/>
      <c r="BXN515" s="379"/>
      <c r="BXO515" s="13"/>
      <c r="BXP515" s="13"/>
      <c r="BXQ515" s="193"/>
      <c r="BXR515" s="379"/>
      <c r="BXS515" s="379"/>
      <c r="BXT515" s="379"/>
      <c r="BXU515" s="379"/>
      <c r="BXV515" s="379"/>
      <c r="BXW515" s="13"/>
      <c r="BXX515" s="13"/>
      <c r="BXY515" s="193"/>
      <c r="BXZ515" s="379"/>
      <c r="BYA515" s="379"/>
      <c r="BYB515" s="379"/>
      <c r="BYC515" s="379"/>
      <c r="BYD515" s="379"/>
      <c r="BYE515" s="13"/>
      <c r="BYF515" s="13"/>
      <c r="BYG515" s="193"/>
      <c r="BYH515" s="379"/>
      <c r="BYI515" s="379"/>
      <c r="BYJ515" s="379"/>
      <c r="BYK515" s="379"/>
      <c r="BYL515" s="379"/>
      <c r="BYM515" s="13"/>
      <c r="BYN515" s="13"/>
      <c r="BYO515" s="193"/>
      <c r="BYP515" s="379"/>
      <c r="BYQ515" s="379"/>
      <c r="BYR515" s="379"/>
      <c r="BYS515" s="379"/>
      <c r="BYT515" s="379"/>
      <c r="BYU515" s="13"/>
      <c r="BYV515" s="13"/>
      <c r="BYW515" s="193"/>
      <c r="BYX515" s="379"/>
      <c r="BYY515" s="379"/>
      <c r="BYZ515" s="379"/>
      <c r="BZA515" s="379"/>
      <c r="BZB515" s="379"/>
      <c r="BZC515" s="13"/>
      <c r="BZD515" s="13"/>
      <c r="BZE515" s="193"/>
      <c r="BZF515" s="379"/>
      <c r="BZG515" s="379"/>
      <c r="BZH515" s="379"/>
      <c r="BZI515" s="379"/>
      <c r="BZJ515" s="379"/>
      <c r="BZK515" s="13"/>
      <c r="BZL515" s="13"/>
      <c r="BZM515" s="193"/>
      <c r="BZN515" s="379"/>
      <c r="BZO515" s="379"/>
      <c r="BZP515" s="379"/>
      <c r="BZQ515" s="379"/>
      <c r="BZR515" s="379"/>
      <c r="BZS515" s="13"/>
      <c r="BZT515" s="13"/>
      <c r="BZU515" s="193"/>
      <c r="BZV515" s="379"/>
      <c r="BZW515" s="379"/>
      <c r="BZX515" s="379"/>
      <c r="BZY515" s="379"/>
      <c r="BZZ515" s="379"/>
      <c r="CAA515" s="13"/>
      <c r="CAB515" s="13"/>
      <c r="CAC515" s="193"/>
      <c r="CAD515" s="379"/>
      <c r="CAE515" s="379"/>
      <c r="CAF515" s="379"/>
      <c r="CAG515" s="379"/>
      <c r="CAH515" s="379"/>
      <c r="CAI515" s="13"/>
      <c r="CAJ515" s="13"/>
      <c r="CAK515" s="193"/>
      <c r="CAL515" s="379"/>
      <c r="CAM515" s="379"/>
      <c r="CAN515" s="379"/>
      <c r="CAO515" s="379"/>
      <c r="CAP515" s="379"/>
      <c r="CAQ515" s="13"/>
      <c r="CAR515" s="13"/>
      <c r="CAS515" s="193"/>
      <c r="CAT515" s="379"/>
      <c r="CAU515" s="379"/>
      <c r="CAV515" s="379"/>
      <c r="CAW515" s="379"/>
      <c r="CAX515" s="379"/>
      <c r="CAY515" s="13"/>
      <c r="CAZ515" s="13"/>
      <c r="CBA515" s="193"/>
      <c r="CBB515" s="379"/>
      <c r="CBC515" s="379"/>
      <c r="CBD515" s="379"/>
      <c r="CBE515" s="379"/>
      <c r="CBF515" s="379"/>
      <c r="CBG515" s="13"/>
      <c r="CBH515" s="13"/>
      <c r="CBI515" s="193"/>
      <c r="CBJ515" s="379"/>
      <c r="CBK515" s="379"/>
      <c r="CBL515" s="379"/>
      <c r="CBM515" s="379"/>
      <c r="CBN515" s="379"/>
      <c r="CBO515" s="13"/>
      <c r="CBP515" s="13"/>
      <c r="CBQ515" s="193"/>
      <c r="CBR515" s="379"/>
      <c r="CBS515" s="379"/>
      <c r="CBT515" s="379"/>
      <c r="CBU515" s="379"/>
      <c r="CBV515" s="379"/>
      <c r="CBW515" s="13"/>
      <c r="CBX515" s="13"/>
      <c r="CBY515" s="193"/>
      <c r="CBZ515" s="379"/>
      <c r="CCA515" s="379"/>
      <c r="CCB515" s="379"/>
      <c r="CCC515" s="379"/>
      <c r="CCD515" s="379"/>
      <c r="CCE515" s="13"/>
      <c r="CCF515" s="13"/>
      <c r="CCG515" s="193"/>
      <c r="CCH515" s="379"/>
      <c r="CCI515" s="379"/>
      <c r="CCJ515" s="379"/>
      <c r="CCK515" s="379"/>
      <c r="CCL515" s="379"/>
      <c r="CCM515" s="13"/>
      <c r="CCN515" s="13"/>
      <c r="CCO515" s="193"/>
      <c r="CCP515" s="379"/>
      <c r="CCQ515" s="379"/>
      <c r="CCR515" s="379"/>
      <c r="CCS515" s="379"/>
      <c r="CCT515" s="379"/>
      <c r="CCU515" s="13"/>
      <c r="CCV515" s="13"/>
      <c r="CCW515" s="193"/>
      <c r="CCX515" s="379"/>
      <c r="CCY515" s="379"/>
      <c r="CCZ515" s="379"/>
      <c r="CDA515" s="379"/>
      <c r="CDB515" s="379"/>
      <c r="CDC515" s="13"/>
      <c r="CDD515" s="13"/>
      <c r="CDE515" s="193"/>
      <c r="CDF515" s="379"/>
      <c r="CDG515" s="379"/>
      <c r="CDH515" s="379"/>
      <c r="CDI515" s="379"/>
      <c r="CDJ515" s="379"/>
      <c r="CDK515" s="13"/>
      <c r="CDL515" s="13"/>
      <c r="CDM515" s="193"/>
      <c r="CDN515" s="379"/>
      <c r="CDO515" s="379"/>
      <c r="CDP515" s="379"/>
      <c r="CDQ515" s="379"/>
      <c r="CDR515" s="379"/>
      <c r="CDS515" s="13"/>
      <c r="CDT515" s="13"/>
      <c r="CDU515" s="193"/>
      <c r="CDV515" s="379"/>
      <c r="CDW515" s="379"/>
      <c r="CDX515" s="379"/>
      <c r="CDY515" s="379"/>
      <c r="CDZ515" s="379"/>
      <c r="CEA515" s="13"/>
      <c r="CEB515" s="13"/>
      <c r="CEC515" s="193"/>
      <c r="CED515" s="379"/>
      <c r="CEE515" s="379"/>
      <c r="CEF515" s="379"/>
      <c r="CEG515" s="379"/>
      <c r="CEH515" s="379"/>
      <c r="CEI515" s="13"/>
      <c r="CEJ515" s="13"/>
      <c r="CEK515" s="193"/>
      <c r="CEL515" s="379"/>
      <c r="CEM515" s="379"/>
      <c r="CEN515" s="379"/>
      <c r="CEO515" s="379"/>
      <c r="CEP515" s="379"/>
      <c r="CEQ515" s="13"/>
      <c r="CER515" s="13"/>
      <c r="CES515" s="193"/>
      <c r="CET515" s="379"/>
      <c r="CEU515" s="379"/>
      <c r="CEV515" s="379"/>
      <c r="CEW515" s="379"/>
      <c r="CEX515" s="379"/>
      <c r="CEY515" s="13"/>
      <c r="CEZ515" s="13"/>
      <c r="CFA515" s="193"/>
      <c r="CFB515" s="379"/>
      <c r="CFC515" s="379"/>
      <c r="CFD515" s="379"/>
      <c r="CFE515" s="379"/>
      <c r="CFF515" s="379"/>
      <c r="CFG515" s="13"/>
      <c r="CFH515" s="13"/>
      <c r="CFI515" s="193"/>
      <c r="CFJ515" s="379"/>
      <c r="CFK515" s="379"/>
      <c r="CFL515" s="379"/>
      <c r="CFM515" s="379"/>
      <c r="CFN515" s="379"/>
      <c r="CFO515" s="13"/>
      <c r="CFP515" s="13"/>
      <c r="CFQ515" s="193"/>
      <c r="CFR515" s="379"/>
      <c r="CFS515" s="379"/>
      <c r="CFT515" s="379"/>
      <c r="CFU515" s="379"/>
      <c r="CFV515" s="379"/>
      <c r="CFW515" s="13"/>
      <c r="CFX515" s="13"/>
      <c r="CFY515" s="193"/>
      <c r="CFZ515" s="379"/>
      <c r="CGA515" s="379"/>
      <c r="CGB515" s="379"/>
      <c r="CGC515" s="379"/>
      <c r="CGD515" s="379"/>
      <c r="CGE515" s="13"/>
      <c r="CGF515" s="13"/>
      <c r="CGG515" s="193"/>
      <c r="CGH515" s="379"/>
      <c r="CGI515" s="379"/>
      <c r="CGJ515" s="379"/>
      <c r="CGK515" s="379"/>
      <c r="CGL515" s="379"/>
      <c r="CGM515" s="13"/>
      <c r="CGN515" s="13"/>
      <c r="CGO515" s="193"/>
      <c r="CGP515" s="379"/>
      <c r="CGQ515" s="379"/>
      <c r="CGR515" s="379"/>
      <c r="CGS515" s="379"/>
      <c r="CGT515" s="379"/>
      <c r="CGU515" s="13"/>
      <c r="CGV515" s="13"/>
      <c r="CGW515" s="193"/>
      <c r="CGX515" s="379"/>
      <c r="CGY515" s="379"/>
      <c r="CGZ515" s="379"/>
      <c r="CHA515" s="379"/>
      <c r="CHB515" s="379"/>
      <c r="CHC515" s="13"/>
      <c r="CHD515" s="13"/>
      <c r="CHE515" s="193"/>
      <c r="CHF515" s="379"/>
      <c r="CHG515" s="379"/>
      <c r="CHH515" s="379"/>
      <c r="CHI515" s="379"/>
      <c r="CHJ515" s="379"/>
      <c r="CHK515" s="13"/>
      <c r="CHL515" s="13"/>
      <c r="CHM515" s="193"/>
      <c r="CHN515" s="379"/>
      <c r="CHO515" s="379"/>
      <c r="CHP515" s="379"/>
      <c r="CHQ515" s="379"/>
      <c r="CHR515" s="379"/>
      <c r="CHS515" s="13"/>
      <c r="CHT515" s="13"/>
      <c r="CHU515" s="193"/>
      <c r="CHV515" s="379"/>
      <c r="CHW515" s="379"/>
      <c r="CHX515" s="379"/>
      <c r="CHY515" s="379"/>
      <c r="CHZ515" s="379"/>
      <c r="CIA515" s="13"/>
      <c r="CIB515" s="13"/>
      <c r="CIC515" s="193"/>
      <c r="CID515" s="379"/>
      <c r="CIE515" s="379"/>
      <c r="CIF515" s="379"/>
      <c r="CIG515" s="379"/>
      <c r="CIH515" s="379"/>
      <c r="CII515" s="13"/>
      <c r="CIJ515" s="13"/>
      <c r="CIK515" s="193"/>
      <c r="CIL515" s="379"/>
      <c r="CIM515" s="379"/>
      <c r="CIN515" s="379"/>
      <c r="CIO515" s="379"/>
      <c r="CIP515" s="379"/>
      <c r="CIQ515" s="13"/>
      <c r="CIR515" s="13"/>
      <c r="CIS515" s="193"/>
      <c r="CIT515" s="379"/>
      <c r="CIU515" s="379"/>
      <c r="CIV515" s="379"/>
      <c r="CIW515" s="379"/>
      <c r="CIX515" s="379"/>
      <c r="CIY515" s="13"/>
      <c r="CIZ515" s="13"/>
      <c r="CJA515" s="193"/>
      <c r="CJB515" s="379"/>
      <c r="CJC515" s="379"/>
      <c r="CJD515" s="379"/>
      <c r="CJE515" s="379"/>
      <c r="CJF515" s="379"/>
      <c r="CJG515" s="13"/>
      <c r="CJH515" s="13"/>
      <c r="CJI515" s="193"/>
      <c r="CJJ515" s="379"/>
      <c r="CJK515" s="379"/>
      <c r="CJL515" s="379"/>
      <c r="CJM515" s="379"/>
      <c r="CJN515" s="379"/>
      <c r="CJO515" s="13"/>
      <c r="CJP515" s="13"/>
      <c r="CJQ515" s="193"/>
      <c r="CJR515" s="379"/>
      <c r="CJS515" s="379"/>
      <c r="CJT515" s="379"/>
      <c r="CJU515" s="379"/>
      <c r="CJV515" s="379"/>
      <c r="CJW515" s="13"/>
      <c r="CJX515" s="13"/>
      <c r="CJY515" s="193"/>
      <c r="CJZ515" s="379"/>
      <c r="CKA515" s="379"/>
      <c r="CKB515" s="379"/>
      <c r="CKC515" s="379"/>
      <c r="CKD515" s="379"/>
      <c r="CKE515" s="13"/>
      <c r="CKF515" s="13"/>
      <c r="CKG515" s="193"/>
      <c r="CKH515" s="379"/>
      <c r="CKI515" s="379"/>
      <c r="CKJ515" s="379"/>
      <c r="CKK515" s="379"/>
      <c r="CKL515" s="379"/>
      <c r="CKM515" s="13"/>
      <c r="CKN515" s="13"/>
      <c r="CKO515" s="193"/>
      <c r="CKP515" s="379"/>
      <c r="CKQ515" s="379"/>
      <c r="CKR515" s="379"/>
      <c r="CKS515" s="379"/>
      <c r="CKT515" s="379"/>
      <c r="CKU515" s="13"/>
      <c r="CKV515" s="13"/>
      <c r="CKW515" s="193"/>
      <c r="CKX515" s="379"/>
      <c r="CKY515" s="379"/>
      <c r="CKZ515" s="379"/>
      <c r="CLA515" s="379"/>
      <c r="CLB515" s="379"/>
      <c r="CLC515" s="13"/>
      <c r="CLD515" s="13"/>
      <c r="CLE515" s="193"/>
      <c r="CLF515" s="379"/>
      <c r="CLG515" s="379"/>
      <c r="CLH515" s="379"/>
      <c r="CLI515" s="379"/>
      <c r="CLJ515" s="379"/>
      <c r="CLK515" s="13"/>
      <c r="CLL515" s="13"/>
      <c r="CLM515" s="193"/>
      <c r="CLN515" s="379"/>
      <c r="CLO515" s="379"/>
      <c r="CLP515" s="379"/>
      <c r="CLQ515" s="379"/>
      <c r="CLR515" s="379"/>
      <c r="CLS515" s="13"/>
      <c r="CLT515" s="13"/>
      <c r="CLU515" s="193"/>
      <c r="CLV515" s="379"/>
      <c r="CLW515" s="379"/>
      <c r="CLX515" s="379"/>
      <c r="CLY515" s="379"/>
      <c r="CLZ515" s="379"/>
      <c r="CMA515" s="13"/>
      <c r="CMB515" s="13"/>
      <c r="CMC515" s="193"/>
      <c r="CMD515" s="379"/>
      <c r="CME515" s="379"/>
      <c r="CMF515" s="379"/>
      <c r="CMG515" s="379"/>
      <c r="CMH515" s="379"/>
      <c r="CMI515" s="13"/>
      <c r="CMJ515" s="13"/>
      <c r="CMK515" s="193"/>
      <c r="CML515" s="379"/>
      <c r="CMM515" s="379"/>
      <c r="CMN515" s="379"/>
      <c r="CMO515" s="379"/>
      <c r="CMP515" s="379"/>
      <c r="CMQ515" s="13"/>
      <c r="CMR515" s="13"/>
      <c r="CMS515" s="193"/>
      <c r="CMT515" s="379"/>
      <c r="CMU515" s="379"/>
      <c r="CMV515" s="379"/>
      <c r="CMW515" s="379"/>
      <c r="CMX515" s="379"/>
      <c r="CMY515" s="13"/>
      <c r="CMZ515" s="13"/>
      <c r="CNA515" s="193"/>
      <c r="CNB515" s="379"/>
      <c r="CNC515" s="379"/>
      <c r="CND515" s="379"/>
      <c r="CNE515" s="379"/>
      <c r="CNF515" s="379"/>
      <c r="CNG515" s="13"/>
      <c r="CNH515" s="13"/>
      <c r="CNI515" s="193"/>
      <c r="CNJ515" s="379"/>
      <c r="CNK515" s="379"/>
      <c r="CNL515" s="379"/>
      <c r="CNM515" s="379"/>
      <c r="CNN515" s="379"/>
      <c r="CNO515" s="13"/>
      <c r="CNP515" s="13"/>
      <c r="CNQ515" s="193"/>
      <c r="CNR515" s="379"/>
      <c r="CNS515" s="379"/>
      <c r="CNT515" s="379"/>
      <c r="CNU515" s="379"/>
      <c r="CNV515" s="379"/>
      <c r="CNW515" s="13"/>
      <c r="CNX515" s="13"/>
      <c r="CNY515" s="193"/>
      <c r="CNZ515" s="379"/>
      <c r="COA515" s="379"/>
      <c r="COB515" s="379"/>
      <c r="COC515" s="379"/>
      <c r="COD515" s="379"/>
      <c r="COE515" s="13"/>
      <c r="COF515" s="13"/>
      <c r="COG515" s="193"/>
      <c r="COH515" s="379"/>
      <c r="COI515" s="379"/>
      <c r="COJ515" s="379"/>
      <c r="COK515" s="379"/>
      <c r="COL515" s="379"/>
      <c r="COM515" s="13"/>
      <c r="CON515" s="13"/>
      <c r="COO515" s="193"/>
      <c r="COP515" s="379"/>
      <c r="COQ515" s="379"/>
      <c r="COR515" s="379"/>
      <c r="COS515" s="379"/>
      <c r="COT515" s="379"/>
      <c r="COU515" s="13"/>
      <c r="COV515" s="13"/>
      <c r="COW515" s="193"/>
      <c r="COX515" s="379"/>
      <c r="COY515" s="379"/>
      <c r="COZ515" s="379"/>
      <c r="CPA515" s="379"/>
      <c r="CPB515" s="379"/>
      <c r="CPC515" s="13"/>
      <c r="CPD515" s="13"/>
      <c r="CPE515" s="193"/>
      <c r="CPF515" s="379"/>
      <c r="CPG515" s="379"/>
      <c r="CPH515" s="379"/>
      <c r="CPI515" s="379"/>
      <c r="CPJ515" s="379"/>
      <c r="CPK515" s="13"/>
      <c r="CPL515" s="13"/>
      <c r="CPM515" s="193"/>
      <c r="CPN515" s="379"/>
      <c r="CPO515" s="379"/>
      <c r="CPP515" s="379"/>
      <c r="CPQ515" s="379"/>
      <c r="CPR515" s="379"/>
      <c r="CPS515" s="13"/>
      <c r="CPT515" s="13"/>
      <c r="CPU515" s="193"/>
      <c r="CPV515" s="379"/>
      <c r="CPW515" s="379"/>
      <c r="CPX515" s="379"/>
      <c r="CPY515" s="379"/>
      <c r="CPZ515" s="379"/>
      <c r="CQA515" s="13"/>
      <c r="CQB515" s="13"/>
      <c r="CQC515" s="193"/>
      <c r="CQD515" s="379"/>
      <c r="CQE515" s="379"/>
      <c r="CQF515" s="379"/>
      <c r="CQG515" s="379"/>
      <c r="CQH515" s="379"/>
      <c r="CQI515" s="13"/>
      <c r="CQJ515" s="13"/>
      <c r="CQK515" s="193"/>
      <c r="CQL515" s="379"/>
      <c r="CQM515" s="379"/>
      <c r="CQN515" s="379"/>
      <c r="CQO515" s="379"/>
      <c r="CQP515" s="379"/>
      <c r="CQQ515" s="13"/>
      <c r="CQR515" s="13"/>
      <c r="CQS515" s="193"/>
      <c r="CQT515" s="379"/>
      <c r="CQU515" s="379"/>
      <c r="CQV515" s="379"/>
      <c r="CQW515" s="379"/>
      <c r="CQX515" s="379"/>
      <c r="CQY515" s="13"/>
      <c r="CQZ515" s="13"/>
      <c r="CRA515" s="193"/>
      <c r="CRB515" s="379"/>
      <c r="CRC515" s="379"/>
      <c r="CRD515" s="379"/>
      <c r="CRE515" s="379"/>
      <c r="CRF515" s="379"/>
      <c r="CRG515" s="13"/>
      <c r="CRH515" s="13"/>
      <c r="CRI515" s="193"/>
      <c r="CRJ515" s="379"/>
      <c r="CRK515" s="379"/>
      <c r="CRL515" s="379"/>
      <c r="CRM515" s="379"/>
      <c r="CRN515" s="379"/>
      <c r="CRO515" s="13"/>
      <c r="CRP515" s="13"/>
      <c r="CRQ515" s="193"/>
      <c r="CRR515" s="379"/>
      <c r="CRS515" s="379"/>
      <c r="CRT515" s="379"/>
      <c r="CRU515" s="379"/>
      <c r="CRV515" s="379"/>
      <c r="CRW515" s="13"/>
      <c r="CRX515" s="13"/>
      <c r="CRY515" s="193"/>
      <c r="CRZ515" s="379"/>
      <c r="CSA515" s="379"/>
      <c r="CSB515" s="379"/>
      <c r="CSC515" s="379"/>
      <c r="CSD515" s="379"/>
      <c r="CSE515" s="13"/>
      <c r="CSF515" s="13"/>
      <c r="CSG515" s="193"/>
      <c r="CSH515" s="379"/>
      <c r="CSI515" s="379"/>
      <c r="CSJ515" s="379"/>
      <c r="CSK515" s="379"/>
      <c r="CSL515" s="379"/>
      <c r="CSM515" s="13"/>
      <c r="CSN515" s="13"/>
      <c r="CSO515" s="193"/>
      <c r="CSP515" s="379"/>
      <c r="CSQ515" s="379"/>
      <c r="CSR515" s="379"/>
      <c r="CSS515" s="379"/>
      <c r="CST515" s="379"/>
      <c r="CSU515" s="13"/>
      <c r="CSV515" s="13"/>
      <c r="CSW515" s="193"/>
      <c r="CSX515" s="379"/>
      <c r="CSY515" s="379"/>
      <c r="CSZ515" s="379"/>
      <c r="CTA515" s="379"/>
      <c r="CTB515" s="379"/>
      <c r="CTC515" s="13"/>
      <c r="CTD515" s="13"/>
      <c r="CTE515" s="193"/>
      <c r="CTF515" s="379"/>
      <c r="CTG515" s="379"/>
      <c r="CTH515" s="379"/>
      <c r="CTI515" s="379"/>
      <c r="CTJ515" s="379"/>
      <c r="CTK515" s="13"/>
      <c r="CTL515" s="13"/>
      <c r="CTM515" s="193"/>
      <c r="CTN515" s="379"/>
      <c r="CTO515" s="379"/>
      <c r="CTP515" s="379"/>
      <c r="CTQ515" s="379"/>
      <c r="CTR515" s="379"/>
      <c r="CTS515" s="13"/>
      <c r="CTT515" s="13"/>
      <c r="CTU515" s="193"/>
      <c r="CTV515" s="379"/>
      <c r="CTW515" s="379"/>
      <c r="CTX515" s="379"/>
      <c r="CTY515" s="379"/>
      <c r="CTZ515" s="379"/>
      <c r="CUA515" s="13"/>
      <c r="CUB515" s="13"/>
      <c r="CUC515" s="193"/>
      <c r="CUD515" s="379"/>
      <c r="CUE515" s="379"/>
      <c r="CUF515" s="379"/>
      <c r="CUG515" s="379"/>
      <c r="CUH515" s="379"/>
      <c r="CUI515" s="13"/>
      <c r="CUJ515" s="13"/>
      <c r="CUK515" s="193"/>
      <c r="CUL515" s="379"/>
      <c r="CUM515" s="379"/>
      <c r="CUN515" s="379"/>
      <c r="CUO515" s="379"/>
      <c r="CUP515" s="379"/>
      <c r="CUQ515" s="13"/>
      <c r="CUR515" s="13"/>
      <c r="CUS515" s="193"/>
      <c r="CUT515" s="379"/>
      <c r="CUU515" s="379"/>
      <c r="CUV515" s="379"/>
      <c r="CUW515" s="379"/>
      <c r="CUX515" s="379"/>
      <c r="CUY515" s="13"/>
      <c r="CUZ515" s="13"/>
      <c r="CVA515" s="193"/>
      <c r="CVB515" s="379"/>
      <c r="CVC515" s="379"/>
      <c r="CVD515" s="379"/>
      <c r="CVE515" s="379"/>
      <c r="CVF515" s="379"/>
      <c r="CVG515" s="13"/>
      <c r="CVH515" s="13"/>
      <c r="CVI515" s="193"/>
      <c r="CVJ515" s="379"/>
      <c r="CVK515" s="379"/>
      <c r="CVL515" s="379"/>
      <c r="CVM515" s="379"/>
      <c r="CVN515" s="379"/>
      <c r="CVO515" s="13"/>
      <c r="CVP515" s="13"/>
      <c r="CVQ515" s="193"/>
      <c r="CVR515" s="379"/>
      <c r="CVS515" s="379"/>
      <c r="CVT515" s="379"/>
      <c r="CVU515" s="379"/>
      <c r="CVV515" s="379"/>
      <c r="CVW515" s="13"/>
      <c r="CVX515" s="13"/>
      <c r="CVY515" s="193"/>
      <c r="CVZ515" s="379"/>
      <c r="CWA515" s="379"/>
      <c r="CWB515" s="379"/>
      <c r="CWC515" s="379"/>
      <c r="CWD515" s="379"/>
      <c r="CWE515" s="13"/>
      <c r="CWF515" s="13"/>
      <c r="CWG515" s="193"/>
      <c r="CWH515" s="379"/>
      <c r="CWI515" s="379"/>
      <c r="CWJ515" s="379"/>
      <c r="CWK515" s="379"/>
      <c r="CWL515" s="379"/>
      <c r="CWM515" s="13"/>
      <c r="CWN515" s="13"/>
      <c r="CWO515" s="193"/>
      <c r="CWP515" s="379"/>
      <c r="CWQ515" s="379"/>
      <c r="CWR515" s="379"/>
      <c r="CWS515" s="379"/>
      <c r="CWT515" s="379"/>
      <c r="CWU515" s="13"/>
      <c r="CWV515" s="13"/>
      <c r="CWW515" s="193"/>
      <c r="CWX515" s="379"/>
      <c r="CWY515" s="379"/>
      <c r="CWZ515" s="379"/>
      <c r="CXA515" s="379"/>
      <c r="CXB515" s="379"/>
      <c r="CXC515" s="13"/>
      <c r="CXD515" s="13"/>
      <c r="CXE515" s="193"/>
      <c r="CXF515" s="379"/>
      <c r="CXG515" s="379"/>
      <c r="CXH515" s="379"/>
      <c r="CXI515" s="379"/>
      <c r="CXJ515" s="379"/>
      <c r="CXK515" s="13"/>
      <c r="CXL515" s="13"/>
      <c r="CXM515" s="193"/>
      <c r="CXN515" s="379"/>
      <c r="CXO515" s="379"/>
      <c r="CXP515" s="379"/>
      <c r="CXQ515" s="379"/>
      <c r="CXR515" s="379"/>
      <c r="CXS515" s="13"/>
      <c r="CXT515" s="13"/>
      <c r="CXU515" s="193"/>
      <c r="CXV515" s="379"/>
      <c r="CXW515" s="379"/>
      <c r="CXX515" s="379"/>
      <c r="CXY515" s="379"/>
      <c r="CXZ515" s="379"/>
      <c r="CYA515" s="13"/>
      <c r="CYB515" s="13"/>
      <c r="CYC515" s="193"/>
      <c r="CYD515" s="379"/>
      <c r="CYE515" s="379"/>
      <c r="CYF515" s="379"/>
      <c r="CYG515" s="379"/>
      <c r="CYH515" s="379"/>
      <c r="CYI515" s="13"/>
      <c r="CYJ515" s="13"/>
      <c r="CYK515" s="193"/>
      <c r="CYL515" s="379"/>
      <c r="CYM515" s="379"/>
      <c r="CYN515" s="379"/>
      <c r="CYO515" s="379"/>
      <c r="CYP515" s="379"/>
      <c r="CYQ515" s="13"/>
      <c r="CYR515" s="13"/>
      <c r="CYS515" s="193"/>
      <c r="CYT515" s="379"/>
      <c r="CYU515" s="379"/>
      <c r="CYV515" s="379"/>
      <c r="CYW515" s="379"/>
      <c r="CYX515" s="379"/>
      <c r="CYY515" s="13"/>
      <c r="CYZ515" s="13"/>
      <c r="CZA515" s="193"/>
      <c r="CZB515" s="379"/>
      <c r="CZC515" s="379"/>
      <c r="CZD515" s="379"/>
      <c r="CZE515" s="379"/>
      <c r="CZF515" s="379"/>
      <c r="CZG515" s="13"/>
      <c r="CZH515" s="13"/>
      <c r="CZI515" s="193"/>
      <c r="CZJ515" s="379"/>
      <c r="CZK515" s="379"/>
      <c r="CZL515" s="379"/>
      <c r="CZM515" s="379"/>
      <c r="CZN515" s="379"/>
      <c r="CZO515" s="13"/>
      <c r="CZP515" s="13"/>
      <c r="CZQ515" s="193"/>
      <c r="CZR515" s="379"/>
      <c r="CZS515" s="379"/>
      <c r="CZT515" s="379"/>
      <c r="CZU515" s="379"/>
      <c r="CZV515" s="379"/>
      <c r="CZW515" s="13"/>
      <c r="CZX515" s="13"/>
      <c r="CZY515" s="193"/>
      <c r="CZZ515" s="379"/>
      <c r="DAA515" s="379"/>
      <c r="DAB515" s="379"/>
      <c r="DAC515" s="379"/>
      <c r="DAD515" s="379"/>
      <c r="DAE515" s="13"/>
      <c r="DAF515" s="13"/>
      <c r="DAG515" s="193"/>
      <c r="DAH515" s="379"/>
      <c r="DAI515" s="379"/>
      <c r="DAJ515" s="379"/>
      <c r="DAK515" s="379"/>
      <c r="DAL515" s="379"/>
      <c r="DAM515" s="13"/>
      <c r="DAN515" s="13"/>
      <c r="DAO515" s="193"/>
      <c r="DAP515" s="379"/>
      <c r="DAQ515" s="379"/>
      <c r="DAR515" s="379"/>
      <c r="DAS515" s="379"/>
      <c r="DAT515" s="379"/>
      <c r="DAU515" s="13"/>
      <c r="DAV515" s="13"/>
      <c r="DAW515" s="193"/>
      <c r="DAX515" s="379"/>
      <c r="DAY515" s="379"/>
      <c r="DAZ515" s="379"/>
      <c r="DBA515" s="379"/>
      <c r="DBB515" s="379"/>
      <c r="DBC515" s="13"/>
      <c r="DBD515" s="13"/>
      <c r="DBE515" s="193"/>
      <c r="DBF515" s="379"/>
      <c r="DBG515" s="379"/>
      <c r="DBH515" s="379"/>
      <c r="DBI515" s="379"/>
      <c r="DBJ515" s="379"/>
      <c r="DBK515" s="13"/>
      <c r="DBL515" s="13"/>
      <c r="DBM515" s="193"/>
      <c r="DBN515" s="379"/>
      <c r="DBO515" s="379"/>
      <c r="DBP515" s="379"/>
      <c r="DBQ515" s="379"/>
      <c r="DBR515" s="379"/>
      <c r="DBS515" s="13"/>
      <c r="DBT515" s="13"/>
      <c r="DBU515" s="193"/>
      <c r="DBV515" s="379"/>
      <c r="DBW515" s="379"/>
      <c r="DBX515" s="379"/>
      <c r="DBY515" s="379"/>
      <c r="DBZ515" s="379"/>
      <c r="DCA515" s="13"/>
      <c r="DCB515" s="13"/>
      <c r="DCC515" s="193"/>
      <c r="DCD515" s="379"/>
      <c r="DCE515" s="379"/>
      <c r="DCF515" s="379"/>
      <c r="DCG515" s="379"/>
      <c r="DCH515" s="379"/>
      <c r="DCI515" s="13"/>
      <c r="DCJ515" s="13"/>
      <c r="DCK515" s="193"/>
      <c r="DCL515" s="379"/>
      <c r="DCM515" s="379"/>
      <c r="DCN515" s="379"/>
      <c r="DCO515" s="379"/>
      <c r="DCP515" s="379"/>
      <c r="DCQ515" s="13"/>
      <c r="DCR515" s="13"/>
      <c r="DCS515" s="193"/>
      <c r="DCT515" s="379"/>
      <c r="DCU515" s="379"/>
      <c r="DCV515" s="379"/>
      <c r="DCW515" s="379"/>
      <c r="DCX515" s="379"/>
      <c r="DCY515" s="13"/>
      <c r="DCZ515" s="13"/>
      <c r="DDA515" s="193"/>
      <c r="DDB515" s="379"/>
      <c r="DDC515" s="379"/>
      <c r="DDD515" s="379"/>
      <c r="DDE515" s="379"/>
      <c r="DDF515" s="379"/>
      <c r="DDG515" s="13"/>
      <c r="DDH515" s="13"/>
      <c r="DDI515" s="193"/>
      <c r="DDJ515" s="379"/>
      <c r="DDK515" s="379"/>
      <c r="DDL515" s="379"/>
      <c r="DDM515" s="379"/>
      <c r="DDN515" s="379"/>
      <c r="DDO515" s="13"/>
      <c r="DDP515" s="13"/>
      <c r="DDQ515" s="193"/>
      <c r="DDR515" s="379"/>
      <c r="DDS515" s="379"/>
      <c r="DDT515" s="379"/>
      <c r="DDU515" s="379"/>
      <c r="DDV515" s="379"/>
      <c r="DDW515" s="13"/>
      <c r="DDX515" s="13"/>
      <c r="DDY515" s="193"/>
      <c r="DDZ515" s="379"/>
      <c r="DEA515" s="379"/>
      <c r="DEB515" s="379"/>
      <c r="DEC515" s="379"/>
      <c r="DED515" s="379"/>
      <c r="DEE515" s="13"/>
      <c r="DEF515" s="13"/>
      <c r="DEG515" s="193"/>
      <c r="DEH515" s="379"/>
      <c r="DEI515" s="379"/>
      <c r="DEJ515" s="379"/>
      <c r="DEK515" s="379"/>
      <c r="DEL515" s="379"/>
      <c r="DEM515" s="13"/>
      <c r="DEN515" s="13"/>
      <c r="DEO515" s="193"/>
      <c r="DEP515" s="379"/>
      <c r="DEQ515" s="379"/>
      <c r="DER515" s="379"/>
      <c r="DES515" s="379"/>
      <c r="DET515" s="379"/>
      <c r="DEU515" s="13"/>
      <c r="DEV515" s="13"/>
      <c r="DEW515" s="193"/>
      <c r="DEX515" s="379"/>
      <c r="DEY515" s="379"/>
      <c r="DEZ515" s="379"/>
      <c r="DFA515" s="379"/>
      <c r="DFB515" s="379"/>
      <c r="DFC515" s="13"/>
      <c r="DFD515" s="13"/>
      <c r="DFE515" s="193"/>
      <c r="DFF515" s="379"/>
      <c r="DFG515" s="379"/>
      <c r="DFH515" s="379"/>
      <c r="DFI515" s="379"/>
      <c r="DFJ515" s="379"/>
      <c r="DFK515" s="13"/>
      <c r="DFL515" s="13"/>
      <c r="DFM515" s="193"/>
      <c r="DFN515" s="379"/>
      <c r="DFO515" s="379"/>
      <c r="DFP515" s="379"/>
      <c r="DFQ515" s="379"/>
      <c r="DFR515" s="379"/>
      <c r="DFS515" s="13"/>
      <c r="DFT515" s="13"/>
      <c r="DFU515" s="193"/>
      <c r="DFV515" s="379"/>
      <c r="DFW515" s="379"/>
      <c r="DFX515" s="379"/>
      <c r="DFY515" s="379"/>
      <c r="DFZ515" s="379"/>
      <c r="DGA515" s="13"/>
      <c r="DGB515" s="13"/>
      <c r="DGC515" s="193"/>
      <c r="DGD515" s="379"/>
      <c r="DGE515" s="379"/>
      <c r="DGF515" s="379"/>
      <c r="DGG515" s="379"/>
      <c r="DGH515" s="379"/>
      <c r="DGI515" s="13"/>
      <c r="DGJ515" s="13"/>
      <c r="DGK515" s="193"/>
      <c r="DGL515" s="379"/>
      <c r="DGM515" s="379"/>
      <c r="DGN515" s="379"/>
      <c r="DGO515" s="379"/>
      <c r="DGP515" s="379"/>
      <c r="DGQ515" s="13"/>
      <c r="DGR515" s="13"/>
      <c r="DGS515" s="193"/>
      <c r="DGT515" s="379"/>
      <c r="DGU515" s="379"/>
      <c r="DGV515" s="379"/>
      <c r="DGW515" s="379"/>
      <c r="DGX515" s="379"/>
      <c r="DGY515" s="13"/>
      <c r="DGZ515" s="13"/>
      <c r="DHA515" s="193"/>
      <c r="DHB515" s="379"/>
      <c r="DHC515" s="379"/>
      <c r="DHD515" s="379"/>
      <c r="DHE515" s="379"/>
      <c r="DHF515" s="379"/>
      <c r="DHG515" s="13"/>
      <c r="DHH515" s="13"/>
      <c r="DHI515" s="193"/>
      <c r="DHJ515" s="379"/>
      <c r="DHK515" s="379"/>
      <c r="DHL515" s="379"/>
      <c r="DHM515" s="379"/>
      <c r="DHN515" s="379"/>
      <c r="DHO515" s="13"/>
      <c r="DHP515" s="13"/>
      <c r="DHQ515" s="193"/>
      <c r="DHR515" s="379"/>
      <c r="DHS515" s="379"/>
      <c r="DHT515" s="379"/>
      <c r="DHU515" s="379"/>
      <c r="DHV515" s="379"/>
      <c r="DHW515" s="13"/>
      <c r="DHX515" s="13"/>
      <c r="DHY515" s="193"/>
      <c r="DHZ515" s="379"/>
      <c r="DIA515" s="379"/>
      <c r="DIB515" s="379"/>
      <c r="DIC515" s="379"/>
      <c r="DID515" s="379"/>
      <c r="DIE515" s="13"/>
      <c r="DIF515" s="13"/>
      <c r="DIG515" s="193"/>
      <c r="DIH515" s="379"/>
      <c r="DII515" s="379"/>
      <c r="DIJ515" s="379"/>
      <c r="DIK515" s="379"/>
      <c r="DIL515" s="379"/>
      <c r="DIM515" s="13"/>
      <c r="DIN515" s="13"/>
      <c r="DIO515" s="193"/>
      <c r="DIP515" s="379"/>
      <c r="DIQ515" s="379"/>
      <c r="DIR515" s="379"/>
      <c r="DIS515" s="379"/>
      <c r="DIT515" s="379"/>
      <c r="DIU515" s="13"/>
      <c r="DIV515" s="13"/>
      <c r="DIW515" s="193"/>
      <c r="DIX515" s="379"/>
      <c r="DIY515" s="379"/>
      <c r="DIZ515" s="379"/>
      <c r="DJA515" s="379"/>
      <c r="DJB515" s="379"/>
      <c r="DJC515" s="13"/>
      <c r="DJD515" s="13"/>
      <c r="DJE515" s="193"/>
      <c r="DJF515" s="379"/>
      <c r="DJG515" s="379"/>
      <c r="DJH515" s="379"/>
      <c r="DJI515" s="379"/>
      <c r="DJJ515" s="379"/>
      <c r="DJK515" s="13"/>
      <c r="DJL515" s="13"/>
      <c r="DJM515" s="193"/>
      <c r="DJN515" s="379"/>
      <c r="DJO515" s="379"/>
      <c r="DJP515" s="379"/>
      <c r="DJQ515" s="379"/>
      <c r="DJR515" s="379"/>
      <c r="DJS515" s="13"/>
      <c r="DJT515" s="13"/>
      <c r="DJU515" s="193"/>
      <c r="DJV515" s="379"/>
      <c r="DJW515" s="379"/>
      <c r="DJX515" s="379"/>
      <c r="DJY515" s="379"/>
      <c r="DJZ515" s="379"/>
      <c r="DKA515" s="13"/>
      <c r="DKB515" s="13"/>
      <c r="DKC515" s="193"/>
      <c r="DKD515" s="379"/>
      <c r="DKE515" s="379"/>
      <c r="DKF515" s="379"/>
      <c r="DKG515" s="379"/>
      <c r="DKH515" s="379"/>
      <c r="DKI515" s="13"/>
      <c r="DKJ515" s="13"/>
      <c r="DKK515" s="193"/>
      <c r="DKL515" s="379"/>
      <c r="DKM515" s="379"/>
      <c r="DKN515" s="379"/>
      <c r="DKO515" s="379"/>
      <c r="DKP515" s="379"/>
      <c r="DKQ515" s="13"/>
      <c r="DKR515" s="13"/>
      <c r="DKS515" s="193"/>
      <c r="DKT515" s="379"/>
      <c r="DKU515" s="379"/>
      <c r="DKV515" s="379"/>
      <c r="DKW515" s="379"/>
      <c r="DKX515" s="379"/>
      <c r="DKY515" s="13"/>
      <c r="DKZ515" s="13"/>
      <c r="DLA515" s="193"/>
      <c r="DLB515" s="379"/>
      <c r="DLC515" s="379"/>
      <c r="DLD515" s="379"/>
      <c r="DLE515" s="379"/>
      <c r="DLF515" s="379"/>
      <c r="DLG515" s="13"/>
      <c r="DLH515" s="13"/>
      <c r="DLI515" s="193"/>
      <c r="DLJ515" s="379"/>
      <c r="DLK515" s="379"/>
      <c r="DLL515" s="379"/>
      <c r="DLM515" s="379"/>
      <c r="DLN515" s="379"/>
      <c r="DLO515" s="13"/>
      <c r="DLP515" s="13"/>
      <c r="DLQ515" s="193"/>
      <c r="DLR515" s="379"/>
      <c r="DLS515" s="379"/>
      <c r="DLT515" s="379"/>
      <c r="DLU515" s="379"/>
      <c r="DLV515" s="379"/>
      <c r="DLW515" s="13"/>
      <c r="DLX515" s="13"/>
      <c r="DLY515" s="193"/>
      <c r="DLZ515" s="379"/>
      <c r="DMA515" s="379"/>
      <c r="DMB515" s="379"/>
      <c r="DMC515" s="379"/>
      <c r="DMD515" s="379"/>
      <c r="DME515" s="13"/>
      <c r="DMF515" s="13"/>
      <c r="DMG515" s="193"/>
      <c r="DMH515" s="379"/>
      <c r="DMI515" s="379"/>
      <c r="DMJ515" s="379"/>
      <c r="DMK515" s="379"/>
      <c r="DML515" s="379"/>
      <c r="DMM515" s="13"/>
      <c r="DMN515" s="13"/>
      <c r="DMO515" s="193"/>
      <c r="DMP515" s="379"/>
      <c r="DMQ515" s="379"/>
      <c r="DMR515" s="379"/>
      <c r="DMS515" s="379"/>
      <c r="DMT515" s="379"/>
      <c r="DMU515" s="13"/>
      <c r="DMV515" s="13"/>
      <c r="DMW515" s="193"/>
      <c r="DMX515" s="379"/>
      <c r="DMY515" s="379"/>
      <c r="DMZ515" s="379"/>
      <c r="DNA515" s="379"/>
      <c r="DNB515" s="379"/>
      <c r="DNC515" s="13"/>
      <c r="DND515" s="13"/>
      <c r="DNE515" s="193"/>
      <c r="DNF515" s="379"/>
      <c r="DNG515" s="379"/>
      <c r="DNH515" s="379"/>
      <c r="DNI515" s="379"/>
      <c r="DNJ515" s="379"/>
      <c r="DNK515" s="13"/>
      <c r="DNL515" s="13"/>
      <c r="DNM515" s="193"/>
      <c r="DNN515" s="379"/>
      <c r="DNO515" s="379"/>
      <c r="DNP515" s="379"/>
      <c r="DNQ515" s="379"/>
      <c r="DNR515" s="379"/>
      <c r="DNS515" s="13"/>
      <c r="DNT515" s="13"/>
      <c r="DNU515" s="193"/>
      <c r="DNV515" s="379"/>
      <c r="DNW515" s="379"/>
      <c r="DNX515" s="379"/>
      <c r="DNY515" s="379"/>
      <c r="DNZ515" s="379"/>
      <c r="DOA515" s="13"/>
      <c r="DOB515" s="13"/>
      <c r="DOC515" s="193"/>
      <c r="DOD515" s="379"/>
      <c r="DOE515" s="379"/>
      <c r="DOF515" s="379"/>
      <c r="DOG515" s="379"/>
      <c r="DOH515" s="379"/>
      <c r="DOI515" s="13"/>
      <c r="DOJ515" s="13"/>
      <c r="DOK515" s="193"/>
      <c r="DOL515" s="379"/>
      <c r="DOM515" s="379"/>
      <c r="DON515" s="379"/>
      <c r="DOO515" s="379"/>
      <c r="DOP515" s="379"/>
      <c r="DOQ515" s="13"/>
      <c r="DOR515" s="13"/>
      <c r="DOS515" s="193"/>
      <c r="DOT515" s="379"/>
      <c r="DOU515" s="379"/>
      <c r="DOV515" s="379"/>
      <c r="DOW515" s="379"/>
      <c r="DOX515" s="379"/>
      <c r="DOY515" s="13"/>
      <c r="DOZ515" s="13"/>
      <c r="DPA515" s="193"/>
      <c r="DPB515" s="379"/>
      <c r="DPC515" s="379"/>
      <c r="DPD515" s="379"/>
      <c r="DPE515" s="379"/>
      <c r="DPF515" s="379"/>
      <c r="DPG515" s="13"/>
      <c r="DPH515" s="13"/>
      <c r="DPI515" s="193"/>
      <c r="DPJ515" s="379"/>
      <c r="DPK515" s="379"/>
      <c r="DPL515" s="379"/>
      <c r="DPM515" s="379"/>
      <c r="DPN515" s="379"/>
      <c r="DPO515" s="13"/>
      <c r="DPP515" s="13"/>
      <c r="DPQ515" s="193"/>
      <c r="DPR515" s="379"/>
      <c r="DPS515" s="379"/>
      <c r="DPT515" s="379"/>
      <c r="DPU515" s="379"/>
      <c r="DPV515" s="379"/>
      <c r="DPW515" s="13"/>
      <c r="DPX515" s="13"/>
      <c r="DPY515" s="193"/>
      <c r="DPZ515" s="379"/>
      <c r="DQA515" s="379"/>
      <c r="DQB515" s="379"/>
      <c r="DQC515" s="379"/>
      <c r="DQD515" s="379"/>
      <c r="DQE515" s="13"/>
      <c r="DQF515" s="13"/>
      <c r="DQG515" s="193"/>
      <c r="DQH515" s="379"/>
      <c r="DQI515" s="379"/>
      <c r="DQJ515" s="379"/>
      <c r="DQK515" s="379"/>
      <c r="DQL515" s="379"/>
      <c r="DQM515" s="13"/>
      <c r="DQN515" s="13"/>
      <c r="DQO515" s="193"/>
      <c r="DQP515" s="379"/>
      <c r="DQQ515" s="379"/>
      <c r="DQR515" s="379"/>
      <c r="DQS515" s="379"/>
      <c r="DQT515" s="379"/>
      <c r="DQU515" s="13"/>
      <c r="DQV515" s="13"/>
      <c r="DQW515" s="193"/>
      <c r="DQX515" s="379"/>
      <c r="DQY515" s="379"/>
      <c r="DQZ515" s="379"/>
      <c r="DRA515" s="379"/>
      <c r="DRB515" s="379"/>
      <c r="DRC515" s="13"/>
      <c r="DRD515" s="13"/>
      <c r="DRE515" s="193"/>
      <c r="DRF515" s="379"/>
      <c r="DRG515" s="379"/>
      <c r="DRH515" s="379"/>
      <c r="DRI515" s="379"/>
      <c r="DRJ515" s="379"/>
      <c r="DRK515" s="13"/>
      <c r="DRL515" s="13"/>
      <c r="DRM515" s="193"/>
      <c r="DRN515" s="379"/>
      <c r="DRO515" s="379"/>
      <c r="DRP515" s="379"/>
      <c r="DRQ515" s="379"/>
      <c r="DRR515" s="379"/>
      <c r="DRS515" s="13"/>
      <c r="DRT515" s="13"/>
      <c r="DRU515" s="193"/>
      <c r="DRV515" s="379"/>
      <c r="DRW515" s="379"/>
      <c r="DRX515" s="379"/>
      <c r="DRY515" s="379"/>
      <c r="DRZ515" s="379"/>
      <c r="DSA515" s="13"/>
      <c r="DSB515" s="13"/>
      <c r="DSC515" s="193"/>
      <c r="DSD515" s="379"/>
      <c r="DSE515" s="379"/>
      <c r="DSF515" s="379"/>
      <c r="DSG515" s="379"/>
      <c r="DSH515" s="379"/>
      <c r="DSI515" s="13"/>
      <c r="DSJ515" s="13"/>
      <c r="DSK515" s="193"/>
      <c r="DSL515" s="379"/>
      <c r="DSM515" s="379"/>
      <c r="DSN515" s="379"/>
      <c r="DSO515" s="379"/>
      <c r="DSP515" s="379"/>
      <c r="DSQ515" s="13"/>
      <c r="DSR515" s="13"/>
      <c r="DSS515" s="193"/>
      <c r="DST515" s="379"/>
      <c r="DSU515" s="379"/>
      <c r="DSV515" s="379"/>
      <c r="DSW515" s="379"/>
      <c r="DSX515" s="379"/>
      <c r="DSY515" s="13"/>
      <c r="DSZ515" s="13"/>
      <c r="DTA515" s="193"/>
      <c r="DTB515" s="379"/>
      <c r="DTC515" s="379"/>
      <c r="DTD515" s="379"/>
      <c r="DTE515" s="379"/>
      <c r="DTF515" s="379"/>
      <c r="DTG515" s="13"/>
      <c r="DTH515" s="13"/>
      <c r="DTI515" s="193"/>
      <c r="DTJ515" s="379"/>
      <c r="DTK515" s="379"/>
      <c r="DTL515" s="379"/>
      <c r="DTM515" s="379"/>
      <c r="DTN515" s="379"/>
      <c r="DTO515" s="13"/>
      <c r="DTP515" s="13"/>
      <c r="DTQ515" s="193"/>
      <c r="DTR515" s="379"/>
      <c r="DTS515" s="379"/>
      <c r="DTT515" s="379"/>
      <c r="DTU515" s="379"/>
      <c r="DTV515" s="379"/>
      <c r="DTW515" s="13"/>
      <c r="DTX515" s="13"/>
      <c r="DTY515" s="193"/>
      <c r="DTZ515" s="379"/>
      <c r="DUA515" s="379"/>
      <c r="DUB515" s="379"/>
      <c r="DUC515" s="379"/>
      <c r="DUD515" s="379"/>
      <c r="DUE515" s="13"/>
      <c r="DUF515" s="13"/>
      <c r="DUG515" s="193"/>
      <c r="DUH515" s="379"/>
      <c r="DUI515" s="379"/>
      <c r="DUJ515" s="379"/>
      <c r="DUK515" s="379"/>
      <c r="DUL515" s="379"/>
      <c r="DUM515" s="13"/>
      <c r="DUN515" s="13"/>
      <c r="DUO515" s="193"/>
      <c r="DUP515" s="379"/>
      <c r="DUQ515" s="379"/>
      <c r="DUR515" s="379"/>
      <c r="DUS515" s="379"/>
      <c r="DUT515" s="379"/>
      <c r="DUU515" s="13"/>
      <c r="DUV515" s="13"/>
      <c r="DUW515" s="193"/>
      <c r="DUX515" s="379"/>
      <c r="DUY515" s="379"/>
      <c r="DUZ515" s="379"/>
      <c r="DVA515" s="379"/>
      <c r="DVB515" s="379"/>
      <c r="DVC515" s="13"/>
      <c r="DVD515" s="13"/>
      <c r="DVE515" s="193"/>
      <c r="DVF515" s="379"/>
      <c r="DVG515" s="379"/>
      <c r="DVH515" s="379"/>
      <c r="DVI515" s="379"/>
      <c r="DVJ515" s="379"/>
      <c r="DVK515" s="13"/>
      <c r="DVL515" s="13"/>
      <c r="DVM515" s="193"/>
      <c r="DVN515" s="379"/>
      <c r="DVO515" s="379"/>
      <c r="DVP515" s="379"/>
      <c r="DVQ515" s="379"/>
      <c r="DVR515" s="379"/>
      <c r="DVS515" s="13"/>
      <c r="DVT515" s="13"/>
      <c r="DVU515" s="193"/>
      <c r="DVV515" s="379"/>
      <c r="DVW515" s="379"/>
      <c r="DVX515" s="379"/>
      <c r="DVY515" s="379"/>
      <c r="DVZ515" s="379"/>
      <c r="DWA515" s="13"/>
      <c r="DWB515" s="13"/>
      <c r="DWC515" s="193"/>
      <c r="DWD515" s="379"/>
      <c r="DWE515" s="379"/>
      <c r="DWF515" s="379"/>
      <c r="DWG515" s="379"/>
      <c r="DWH515" s="379"/>
      <c r="DWI515" s="13"/>
      <c r="DWJ515" s="13"/>
      <c r="DWK515" s="193"/>
      <c r="DWL515" s="379"/>
      <c r="DWM515" s="379"/>
      <c r="DWN515" s="379"/>
      <c r="DWO515" s="379"/>
      <c r="DWP515" s="379"/>
      <c r="DWQ515" s="13"/>
      <c r="DWR515" s="13"/>
      <c r="DWS515" s="193"/>
      <c r="DWT515" s="379"/>
      <c r="DWU515" s="379"/>
      <c r="DWV515" s="379"/>
      <c r="DWW515" s="379"/>
      <c r="DWX515" s="379"/>
      <c r="DWY515" s="13"/>
      <c r="DWZ515" s="13"/>
      <c r="DXA515" s="193"/>
      <c r="DXB515" s="379"/>
      <c r="DXC515" s="379"/>
      <c r="DXD515" s="379"/>
      <c r="DXE515" s="379"/>
      <c r="DXF515" s="379"/>
      <c r="DXG515" s="13"/>
      <c r="DXH515" s="13"/>
      <c r="DXI515" s="193"/>
      <c r="DXJ515" s="379"/>
      <c r="DXK515" s="379"/>
      <c r="DXL515" s="379"/>
      <c r="DXM515" s="379"/>
      <c r="DXN515" s="379"/>
      <c r="DXO515" s="13"/>
      <c r="DXP515" s="13"/>
      <c r="DXQ515" s="193"/>
      <c r="DXR515" s="379"/>
      <c r="DXS515" s="379"/>
      <c r="DXT515" s="379"/>
      <c r="DXU515" s="379"/>
      <c r="DXV515" s="379"/>
      <c r="DXW515" s="13"/>
      <c r="DXX515" s="13"/>
      <c r="DXY515" s="193"/>
      <c r="DXZ515" s="379"/>
      <c r="DYA515" s="379"/>
      <c r="DYB515" s="379"/>
      <c r="DYC515" s="379"/>
      <c r="DYD515" s="379"/>
      <c r="DYE515" s="13"/>
      <c r="DYF515" s="13"/>
      <c r="DYG515" s="193"/>
      <c r="DYH515" s="379"/>
      <c r="DYI515" s="379"/>
      <c r="DYJ515" s="379"/>
      <c r="DYK515" s="379"/>
      <c r="DYL515" s="379"/>
      <c r="DYM515" s="13"/>
      <c r="DYN515" s="13"/>
      <c r="DYO515" s="193"/>
      <c r="DYP515" s="379"/>
      <c r="DYQ515" s="379"/>
      <c r="DYR515" s="379"/>
      <c r="DYS515" s="379"/>
      <c r="DYT515" s="379"/>
      <c r="DYU515" s="13"/>
      <c r="DYV515" s="13"/>
      <c r="DYW515" s="193"/>
      <c r="DYX515" s="379"/>
      <c r="DYY515" s="379"/>
      <c r="DYZ515" s="379"/>
      <c r="DZA515" s="379"/>
      <c r="DZB515" s="379"/>
      <c r="DZC515" s="13"/>
      <c r="DZD515" s="13"/>
      <c r="DZE515" s="193"/>
      <c r="DZF515" s="379"/>
      <c r="DZG515" s="379"/>
      <c r="DZH515" s="379"/>
      <c r="DZI515" s="379"/>
      <c r="DZJ515" s="379"/>
      <c r="DZK515" s="13"/>
      <c r="DZL515" s="13"/>
      <c r="DZM515" s="193"/>
      <c r="DZN515" s="379"/>
      <c r="DZO515" s="379"/>
      <c r="DZP515" s="379"/>
      <c r="DZQ515" s="379"/>
      <c r="DZR515" s="379"/>
      <c r="DZS515" s="13"/>
      <c r="DZT515" s="13"/>
      <c r="DZU515" s="193"/>
      <c r="DZV515" s="379"/>
      <c r="DZW515" s="379"/>
      <c r="DZX515" s="379"/>
      <c r="DZY515" s="379"/>
      <c r="DZZ515" s="379"/>
      <c r="EAA515" s="13"/>
      <c r="EAB515" s="13"/>
      <c r="EAC515" s="193"/>
      <c r="EAD515" s="379"/>
      <c r="EAE515" s="379"/>
      <c r="EAF515" s="379"/>
      <c r="EAG515" s="379"/>
      <c r="EAH515" s="379"/>
      <c r="EAI515" s="13"/>
      <c r="EAJ515" s="13"/>
      <c r="EAK515" s="193"/>
      <c r="EAL515" s="379"/>
      <c r="EAM515" s="379"/>
      <c r="EAN515" s="379"/>
      <c r="EAO515" s="379"/>
      <c r="EAP515" s="379"/>
      <c r="EAQ515" s="13"/>
      <c r="EAR515" s="13"/>
      <c r="EAS515" s="193"/>
      <c r="EAT515" s="379"/>
      <c r="EAU515" s="379"/>
      <c r="EAV515" s="379"/>
      <c r="EAW515" s="379"/>
      <c r="EAX515" s="379"/>
      <c r="EAY515" s="13"/>
      <c r="EAZ515" s="13"/>
      <c r="EBA515" s="193"/>
      <c r="EBB515" s="379"/>
      <c r="EBC515" s="379"/>
      <c r="EBD515" s="379"/>
      <c r="EBE515" s="379"/>
      <c r="EBF515" s="379"/>
      <c r="EBG515" s="13"/>
      <c r="EBH515" s="13"/>
      <c r="EBI515" s="193"/>
      <c r="EBJ515" s="379"/>
      <c r="EBK515" s="379"/>
      <c r="EBL515" s="379"/>
      <c r="EBM515" s="379"/>
      <c r="EBN515" s="379"/>
      <c r="EBO515" s="13"/>
      <c r="EBP515" s="13"/>
      <c r="EBQ515" s="193"/>
      <c r="EBR515" s="379"/>
      <c r="EBS515" s="379"/>
      <c r="EBT515" s="379"/>
      <c r="EBU515" s="379"/>
      <c r="EBV515" s="379"/>
      <c r="EBW515" s="13"/>
      <c r="EBX515" s="13"/>
      <c r="EBY515" s="193"/>
      <c r="EBZ515" s="379"/>
      <c r="ECA515" s="379"/>
      <c r="ECB515" s="379"/>
      <c r="ECC515" s="379"/>
      <c r="ECD515" s="379"/>
      <c r="ECE515" s="13"/>
      <c r="ECF515" s="13"/>
      <c r="ECG515" s="193"/>
      <c r="ECH515" s="379"/>
      <c r="ECI515" s="379"/>
      <c r="ECJ515" s="379"/>
      <c r="ECK515" s="379"/>
      <c r="ECL515" s="379"/>
      <c r="ECM515" s="13"/>
      <c r="ECN515" s="13"/>
      <c r="ECO515" s="193"/>
      <c r="ECP515" s="379"/>
      <c r="ECQ515" s="379"/>
      <c r="ECR515" s="379"/>
      <c r="ECS515" s="379"/>
      <c r="ECT515" s="379"/>
      <c r="ECU515" s="13"/>
      <c r="ECV515" s="13"/>
      <c r="ECW515" s="193"/>
      <c r="ECX515" s="379"/>
      <c r="ECY515" s="379"/>
      <c r="ECZ515" s="379"/>
      <c r="EDA515" s="379"/>
      <c r="EDB515" s="379"/>
      <c r="EDC515" s="13"/>
      <c r="EDD515" s="13"/>
      <c r="EDE515" s="193"/>
      <c r="EDF515" s="379"/>
      <c r="EDG515" s="379"/>
      <c r="EDH515" s="379"/>
      <c r="EDI515" s="379"/>
      <c r="EDJ515" s="379"/>
      <c r="EDK515" s="13"/>
      <c r="EDL515" s="13"/>
      <c r="EDM515" s="193"/>
      <c r="EDN515" s="379"/>
      <c r="EDO515" s="379"/>
      <c r="EDP515" s="379"/>
      <c r="EDQ515" s="379"/>
      <c r="EDR515" s="379"/>
      <c r="EDS515" s="13"/>
      <c r="EDT515" s="13"/>
      <c r="EDU515" s="193"/>
      <c r="EDV515" s="379"/>
      <c r="EDW515" s="379"/>
      <c r="EDX515" s="379"/>
      <c r="EDY515" s="379"/>
      <c r="EDZ515" s="379"/>
      <c r="EEA515" s="13"/>
      <c r="EEB515" s="13"/>
      <c r="EEC515" s="193"/>
      <c r="EED515" s="379"/>
      <c r="EEE515" s="379"/>
      <c r="EEF515" s="379"/>
      <c r="EEG515" s="379"/>
      <c r="EEH515" s="379"/>
      <c r="EEI515" s="13"/>
      <c r="EEJ515" s="13"/>
      <c r="EEK515" s="193"/>
      <c r="EEL515" s="379"/>
      <c r="EEM515" s="379"/>
      <c r="EEN515" s="379"/>
      <c r="EEO515" s="379"/>
      <c r="EEP515" s="379"/>
      <c r="EEQ515" s="13"/>
      <c r="EER515" s="13"/>
      <c r="EES515" s="193"/>
      <c r="EET515" s="379"/>
      <c r="EEU515" s="379"/>
      <c r="EEV515" s="379"/>
      <c r="EEW515" s="379"/>
      <c r="EEX515" s="379"/>
      <c r="EEY515" s="13"/>
      <c r="EEZ515" s="13"/>
      <c r="EFA515" s="193"/>
      <c r="EFB515" s="379"/>
      <c r="EFC515" s="379"/>
      <c r="EFD515" s="379"/>
      <c r="EFE515" s="379"/>
      <c r="EFF515" s="379"/>
      <c r="EFG515" s="13"/>
      <c r="EFH515" s="13"/>
      <c r="EFI515" s="193"/>
      <c r="EFJ515" s="379"/>
      <c r="EFK515" s="379"/>
      <c r="EFL515" s="379"/>
      <c r="EFM515" s="379"/>
      <c r="EFN515" s="379"/>
      <c r="EFO515" s="13"/>
      <c r="EFP515" s="13"/>
      <c r="EFQ515" s="193"/>
      <c r="EFR515" s="379"/>
      <c r="EFS515" s="379"/>
      <c r="EFT515" s="379"/>
      <c r="EFU515" s="379"/>
      <c r="EFV515" s="379"/>
      <c r="EFW515" s="13"/>
      <c r="EFX515" s="13"/>
      <c r="EFY515" s="193"/>
      <c r="EFZ515" s="379"/>
      <c r="EGA515" s="379"/>
      <c r="EGB515" s="379"/>
      <c r="EGC515" s="379"/>
      <c r="EGD515" s="379"/>
      <c r="EGE515" s="13"/>
      <c r="EGF515" s="13"/>
      <c r="EGG515" s="193"/>
      <c r="EGH515" s="379"/>
      <c r="EGI515" s="379"/>
      <c r="EGJ515" s="379"/>
      <c r="EGK515" s="379"/>
      <c r="EGL515" s="379"/>
      <c r="EGM515" s="13"/>
      <c r="EGN515" s="13"/>
      <c r="EGO515" s="193"/>
      <c r="EGP515" s="379"/>
      <c r="EGQ515" s="379"/>
      <c r="EGR515" s="379"/>
      <c r="EGS515" s="379"/>
      <c r="EGT515" s="379"/>
      <c r="EGU515" s="13"/>
      <c r="EGV515" s="13"/>
      <c r="EGW515" s="193"/>
      <c r="EGX515" s="379"/>
      <c r="EGY515" s="379"/>
      <c r="EGZ515" s="379"/>
      <c r="EHA515" s="379"/>
      <c r="EHB515" s="379"/>
      <c r="EHC515" s="13"/>
      <c r="EHD515" s="13"/>
      <c r="EHE515" s="193"/>
      <c r="EHF515" s="379"/>
      <c r="EHG515" s="379"/>
      <c r="EHH515" s="379"/>
      <c r="EHI515" s="379"/>
      <c r="EHJ515" s="379"/>
      <c r="EHK515" s="13"/>
      <c r="EHL515" s="13"/>
      <c r="EHM515" s="193"/>
      <c r="EHN515" s="379"/>
      <c r="EHO515" s="379"/>
      <c r="EHP515" s="379"/>
      <c r="EHQ515" s="379"/>
      <c r="EHR515" s="379"/>
      <c r="EHS515" s="13"/>
      <c r="EHT515" s="13"/>
      <c r="EHU515" s="193"/>
      <c r="EHV515" s="379"/>
      <c r="EHW515" s="379"/>
      <c r="EHX515" s="379"/>
      <c r="EHY515" s="379"/>
      <c r="EHZ515" s="379"/>
      <c r="EIA515" s="13"/>
      <c r="EIB515" s="13"/>
      <c r="EIC515" s="193"/>
      <c r="EID515" s="379"/>
      <c r="EIE515" s="379"/>
      <c r="EIF515" s="379"/>
      <c r="EIG515" s="379"/>
      <c r="EIH515" s="379"/>
      <c r="EII515" s="13"/>
      <c r="EIJ515" s="13"/>
      <c r="EIK515" s="193"/>
      <c r="EIL515" s="379"/>
      <c r="EIM515" s="379"/>
      <c r="EIN515" s="379"/>
      <c r="EIO515" s="379"/>
      <c r="EIP515" s="379"/>
      <c r="EIQ515" s="13"/>
      <c r="EIR515" s="13"/>
      <c r="EIS515" s="193"/>
      <c r="EIT515" s="379"/>
      <c r="EIU515" s="379"/>
      <c r="EIV515" s="379"/>
      <c r="EIW515" s="379"/>
      <c r="EIX515" s="379"/>
      <c r="EIY515" s="13"/>
      <c r="EIZ515" s="13"/>
      <c r="EJA515" s="193"/>
      <c r="EJB515" s="379"/>
      <c r="EJC515" s="379"/>
      <c r="EJD515" s="379"/>
      <c r="EJE515" s="379"/>
      <c r="EJF515" s="379"/>
      <c r="EJG515" s="13"/>
      <c r="EJH515" s="13"/>
      <c r="EJI515" s="193"/>
      <c r="EJJ515" s="379"/>
      <c r="EJK515" s="379"/>
      <c r="EJL515" s="379"/>
      <c r="EJM515" s="379"/>
      <c r="EJN515" s="379"/>
      <c r="EJO515" s="13"/>
      <c r="EJP515" s="13"/>
      <c r="EJQ515" s="193"/>
      <c r="EJR515" s="379"/>
      <c r="EJS515" s="379"/>
      <c r="EJT515" s="379"/>
      <c r="EJU515" s="379"/>
      <c r="EJV515" s="379"/>
      <c r="EJW515" s="13"/>
      <c r="EJX515" s="13"/>
      <c r="EJY515" s="193"/>
      <c r="EJZ515" s="379"/>
      <c r="EKA515" s="379"/>
      <c r="EKB515" s="379"/>
      <c r="EKC515" s="379"/>
      <c r="EKD515" s="379"/>
      <c r="EKE515" s="13"/>
      <c r="EKF515" s="13"/>
      <c r="EKG515" s="193"/>
      <c r="EKH515" s="379"/>
      <c r="EKI515" s="379"/>
      <c r="EKJ515" s="379"/>
      <c r="EKK515" s="379"/>
      <c r="EKL515" s="379"/>
      <c r="EKM515" s="13"/>
      <c r="EKN515" s="13"/>
      <c r="EKO515" s="193"/>
      <c r="EKP515" s="379"/>
      <c r="EKQ515" s="379"/>
      <c r="EKR515" s="379"/>
      <c r="EKS515" s="379"/>
      <c r="EKT515" s="379"/>
      <c r="EKU515" s="13"/>
      <c r="EKV515" s="13"/>
      <c r="EKW515" s="193"/>
      <c r="EKX515" s="379"/>
      <c r="EKY515" s="379"/>
      <c r="EKZ515" s="379"/>
      <c r="ELA515" s="379"/>
      <c r="ELB515" s="379"/>
      <c r="ELC515" s="13"/>
      <c r="ELD515" s="13"/>
      <c r="ELE515" s="193"/>
      <c r="ELF515" s="379"/>
      <c r="ELG515" s="379"/>
      <c r="ELH515" s="379"/>
      <c r="ELI515" s="379"/>
      <c r="ELJ515" s="379"/>
      <c r="ELK515" s="13"/>
      <c r="ELL515" s="13"/>
      <c r="ELM515" s="193"/>
      <c r="ELN515" s="379"/>
      <c r="ELO515" s="379"/>
      <c r="ELP515" s="379"/>
      <c r="ELQ515" s="379"/>
      <c r="ELR515" s="379"/>
      <c r="ELS515" s="13"/>
      <c r="ELT515" s="13"/>
      <c r="ELU515" s="193"/>
      <c r="ELV515" s="379"/>
      <c r="ELW515" s="379"/>
      <c r="ELX515" s="379"/>
      <c r="ELY515" s="379"/>
      <c r="ELZ515" s="379"/>
      <c r="EMA515" s="13"/>
      <c r="EMB515" s="13"/>
      <c r="EMC515" s="193"/>
      <c r="EMD515" s="379"/>
      <c r="EME515" s="379"/>
      <c r="EMF515" s="379"/>
      <c r="EMG515" s="379"/>
      <c r="EMH515" s="379"/>
      <c r="EMI515" s="13"/>
      <c r="EMJ515" s="13"/>
      <c r="EMK515" s="193"/>
      <c r="EML515" s="379"/>
      <c r="EMM515" s="379"/>
      <c r="EMN515" s="379"/>
      <c r="EMO515" s="379"/>
      <c r="EMP515" s="379"/>
      <c r="EMQ515" s="13"/>
      <c r="EMR515" s="13"/>
      <c r="EMS515" s="193"/>
      <c r="EMT515" s="379"/>
      <c r="EMU515" s="379"/>
      <c r="EMV515" s="379"/>
      <c r="EMW515" s="379"/>
      <c r="EMX515" s="379"/>
      <c r="EMY515" s="13"/>
      <c r="EMZ515" s="13"/>
      <c r="ENA515" s="193"/>
      <c r="ENB515" s="379"/>
      <c r="ENC515" s="379"/>
      <c r="END515" s="379"/>
      <c r="ENE515" s="379"/>
      <c r="ENF515" s="379"/>
      <c r="ENG515" s="13"/>
      <c r="ENH515" s="13"/>
      <c r="ENI515" s="193"/>
      <c r="ENJ515" s="379"/>
      <c r="ENK515" s="379"/>
      <c r="ENL515" s="379"/>
      <c r="ENM515" s="379"/>
      <c r="ENN515" s="379"/>
      <c r="ENO515" s="13"/>
      <c r="ENP515" s="13"/>
      <c r="ENQ515" s="193"/>
      <c r="ENR515" s="379"/>
      <c r="ENS515" s="379"/>
      <c r="ENT515" s="379"/>
      <c r="ENU515" s="379"/>
      <c r="ENV515" s="379"/>
      <c r="ENW515" s="13"/>
      <c r="ENX515" s="13"/>
      <c r="ENY515" s="193"/>
      <c r="ENZ515" s="379"/>
      <c r="EOA515" s="379"/>
      <c r="EOB515" s="379"/>
      <c r="EOC515" s="379"/>
      <c r="EOD515" s="379"/>
      <c r="EOE515" s="13"/>
      <c r="EOF515" s="13"/>
      <c r="EOG515" s="193"/>
      <c r="EOH515" s="379"/>
      <c r="EOI515" s="379"/>
      <c r="EOJ515" s="379"/>
      <c r="EOK515" s="379"/>
      <c r="EOL515" s="379"/>
      <c r="EOM515" s="13"/>
      <c r="EON515" s="13"/>
      <c r="EOO515" s="193"/>
      <c r="EOP515" s="379"/>
      <c r="EOQ515" s="379"/>
      <c r="EOR515" s="379"/>
      <c r="EOS515" s="379"/>
      <c r="EOT515" s="379"/>
      <c r="EOU515" s="13"/>
      <c r="EOV515" s="13"/>
      <c r="EOW515" s="193"/>
      <c r="EOX515" s="379"/>
      <c r="EOY515" s="379"/>
      <c r="EOZ515" s="379"/>
      <c r="EPA515" s="379"/>
      <c r="EPB515" s="379"/>
      <c r="EPC515" s="13"/>
      <c r="EPD515" s="13"/>
      <c r="EPE515" s="193"/>
      <c r="EPF515" s="379"/>
      <c r="EPG515" s="379"/>
      <c r="EPH515" s="379"/>
      <c r="EPI515" s="379"/>
      <c r="EPJ515" s="379"/>
      <c r="EPK515" s="13"/>
      <c r="EPL515" s="13"/>
      <c r="EPM515" s="193"/>
      <c r="EPN515" s="379"/>
      <c r="EPO515" s="379"/>
      <c r="EPP515" s="379"/>
      <c r="EPQ515" s="379"/>
      <c r="EPR515" s="379"/>
      <c r="EPS515" s="13"/>
      <c r="EPT515" s="13"/>
      <c r="EPU515" s="193"/>
      <c r="EPV515" s="379"/>
      <c r="EPW515" s="379"/>
      <c r="EPX515" s="379"/>
      <c r="EPY515" s="379"/>
      <c r="EPZ515" s="379"/>
      <c r="EQA515" s="13"/>
      <c r="EQB515" s="13"/>
      <c r="EQC515" s="193"/>
      <c r="EQD515" s="379"/>
      <c r="EQE515" s="379"/>
      <c r="EQF515" s="379"/>
      <c r="EQG515" s="379"/>
      <c r="EQH515" s="379"/>
      <c r="EQI515" s="13"/>
      <c r="EQJ515" s="13"/>
      <c r="EQK515" s="193"/>
      <c r="EQL515" s="379"/>
      <c r="EQM515" s="379"/>
      <c r="EQN515" s="379"/>
      <c r="EQO515" s="379"/>
      <c r="EQP515" s="379"/>
      <c r="EQQ515" s="13"/>
      <c r="EQR515" s="13"/>
      <c r="EQS515" s="193"/>
      <c r="EQT515" s="379"/>
      <c r="EQU515" s="379"/>
      <c r="EQV515" s="379"/>
      <c r="EQW515" s="379"/>
      <c r="EQX515" s="379"/>
      <c r="EQY515" s="13"/>
      <c r="EQZ515" s="13"/>
      <c r="ERA515" s="193"/>
      <c r="ERB515" s="379"/>
      <c r="ERC515" s="379"/>
      <c r="ERD515" s="379"/>
      <c r="ERE515" s="379"/>
      <c r="ERF515" s="379"/>
      <c r="ERG515" s="13"/>
      <c r="ERH515" s="13"/>
      <c r="ERI515" s="193"/>
      <c r="ERJ515" s="379"/>
      <c r="ERK515" s="379"/>
      <c r="ERL515" s="379"/>
      <c r="ERM515" s="379"/>
      <c r="ERN515" s="379"/>
      <c r="ERO515" s="13"/>
      <c r="ERP515" s="13"/>
      <c r="ERQ515" s="193"/>
      <c r="ERR515" s="379"/>
      <c r="ERS515" s="379"/>
      <c r="ERT515" s="379"/>
      <c r="ERU515" s="379"/>
      <c r="ERV515" s="379"/>
      <c r="ERW515" s="13"/>
      <c r="ERX515" s="13"/>
      <c r="ERY515" s="193"/>
      <c r="ERZ515" s="379"/>
      <c r="ESA515" s="379"/>
      <c r="ESB515" s="379"/>
      <c r="ESC515" s="379"/>
      <c r="ESD515" s="379"/>
      <c r="ESE515" s="13"/>
      <c r="ESF515" s="13"/>
      <c r="ESG515" s="193"/>
      <c r="ESH515" s="379"/>
      <c r="ESI515" s="379"/>
      <c r="ESJ515" s="379"/>
      <c r="ESK515" s="379"/>
      <c r="ESL515" s="379"/>
      <c r="ESM515" s="13"/>
      <c r="ESN515" s="13"/>
      <c r="ESO515" s="193"/>
      <c r="ESP515" s="379"/>
      <c r="ESQ515" s="379"/>
      <c r="ESR515" s="379"/>
      <c r="ESS515" s="379"/>
      <c r="EST515" s="379"/>
      <c r="ESU515" s="13"/>
      <c r="ESV515" s="13"/>
      <c r="ESW515" s="193"/>
      <c r="ESX515" s="379"/>
      <c r="ESY515" s="379"/>
      <c r="ESZ515" s="379"/>
      <c r="ETA515" s="379"/>
      <c r="ETB515" s="379"/>
      <c r="ETC515" s="13"/>
      <c r="ETD515" s="13"/>
      <c r="ETE515" s="193"/>
      <c r="ETF515" s="379"/>
      <c r="ETG515" s="379"/>
      <c r="ETH515" s="379"/>
      <c r="ETI515" s="379"/>
      <c r="ETJ515" s="379"/>
      <c r="ETK515" s="13"/>
      <c r="ETL515" s="13"/>
      <c r="ETM515" s="193"/>
      <c r="ETN515" s="379"/>
      <c r="ETO515" s="379"/>
      <c r="ETP515" s="379"/>
      <c r="ETQ515" s="379"/>
      <c r="ETR515" s="379"/>
      <c r="ETS515" s="13"/>
      <c r="ETT515" s="13"/>
      <c r="ETU515" s="193"/>
      <c r="ETV515" s="379"/>
      <c r="ETW515" s="379"/>
      <c r="ETX515" s="379"/>
      <c r="ETY515" s="379"/>
      <c r="ETZ515" s="379"/>
      <c r="EUA515" s="13"/>
      <c r="EUB515" s="13"/>
      <c r="EUC515" s="193"/>
      <c r="EUD515" s="379"/>
      <c r="EUE515" s="379"/>
      <c r="EUF515" s="379"/>
      <c r="EUG515" s="379"/>
      <c r="EUH515" s="379"/>
      <c r="EUI515" s="13"/>
      <c r="EUJ515" s="13"/>
      <c r="EUK515" s="193"/>
      <c r="EUL515" s="379"/>
      <c r="EUM515" s="379"/>
      <c r="EUN515" s="379"/>
      <c r="EUO515" s="379"/>
      <c r="EUP515" s="379"/>
      <c r="EUQ515" s="13"/>
      <c r="EUR515" s="13"/>
      <c r="EUS515" s="193"/>
      <c r="EUT515" s="379"/>
      <c r="EUU515" s="379"/>
      <c r="EUV515" s="379"/>
      <c r="EUW515" s="379"/>
      <c r="EUX515" s="379"/>
      <c r="EUY515" s="13"/>
      <c r="EUZ515" s="13"/>
      <c r="EVA515" s="193"/>
      <c r="EVB515" s="379"/>
      <c r="EVC515" s="379"/>
      <c r="EVD515" s="379"/>
      <c r="EVE515" s="379"/>
      <c r="EVF515" s="379"/>
      <c r="EVG515" s="13"/>
      <c r="EVH515" s="13"/>
      <c r="EVI515" s="193"/>
      <c r="EVJ515" s="379"/>
      <c r="EVK515" s="379"/>
      <c r="EVL515" s="379"/>
      <c r="EVM515" s="379"/>
      <c r="EVN515" s="379"/>
      <c r="EVO515" s="13"/>
      <c r="EVP515" s="13"/>
      <c r="EVQ515" s="193"/>
      <c r="EVR515" s="379"/>
      <c r="EVS515" s="379"/>
      <c r="EVT515" s="379"/>
      <c r="EVU515" s="379"/>
      <c r="EVV515" s="379"/>
      <c r="EVW515" s="13"/>
      <c r="EVX515" s="13"/>
      <c r="EVY515" s="193"/>
      <c r="EVZ515" s="379"/>
      <c r="EWA515" s="379"/>
      <c r="EWB515" s="379"/>
      <c r="EWC515" s="379"/>
      <c r="EWD515" s="379"/>
      <c r="EWE515" s="13"/>
      <c r="EWF515" s="13"/>
      <c r="EWG515" s="193"/>
      <c r="EWH515" s="379"/>
      <c r="EWI515" s="379"/>
      <c r="EWJ515" s="379"/>
      <c r="EWK515" s="379"/>
      <c r="EWL515" s="379"/>
      <c r="EWM515" s="13"/>
      <c r="EWN515" s="13"/>
      <c r="EWO515" s="193"/>
      <c r="EWP515" s="379"/>
      <c r="EWQ515" s="379"/>
      <c r="EWR515" s="379"/>
      <c r="EWS515" s="379"/>
      <c r="EWT515" s="379"/>
      <c r="EWU515" s="13"/>
      <c r="EWV515" s="13"/>
      <c r="EWW515" s="193"/>
      <c r="EWX515" s="379"/>
      <c r="EWY515" s="379"/>
      <c r="EWZ515" s="379"/>
      <c r="EXA515" s="379"/>
      <c r="EXB515" s="379"/>
      <c r="EXC515" s="13"/>
      <c r="EXD515" s="13"/>
      <c r="EXE515" s="193"/>
      <c r="EXF515" s="379"/>
      <c r="EXG515" s="379"/>
      <c r="EXH515" s="379"/>
      <c r="EXI515" s="379"/>
      <c r="EXJ515" s="379"/>
      <c r="EXK515" s="13"/>
      <c r="EXL515" s="13"/>
      <c r="EXM515" s="193"/>
      <c r="EXN515" s="379"/>
      <c r="EXO515" s="379"/>
      <c r="EXP515" s="379"/>
      <c r="EXQ515" s="379"/>
      <c r="EXR515" s="379"/>
      <c r="EXS515" s="13"/>
      <c r="EXT515" s="13"/>
      <c r="EXU515" s="193"/>
      <c r="EXV515" s="379"/>
      <c r="EXW515" s="379"/>
      <c r="EXX515" s="379"/>
      <c r="EXY515" s="379"/>
      <c r="EXZ515" s="379"/>
      <c r="EYA515" s="13"/>
      <c r="EYB515" s="13"/>
      <c r="EYC515" s="193"/>
      <c r="EYD515" s="379"/>
      <c r="EYE515" s="379"/>
      <c r="EYF515" s="379"/>
      <c r="EYG515" s="379"/>
      <c r="EYH515" s="379"/>
      <c r="EYI515" s="13"/>
      <c r="EYJ515" s="13"/>
      <c r="EYK515" s="193"/>
      <c r="EYL515" s="379"/>
      <c r="EYM515" s="379"/>
      <c r="EYN515" s="379"/>
      <c r="EYO515" s="379"/>
      <c r="EYP515" s="379"/>
      <c r="EYQ515" s="13"/>
      <c r="EYR515" s="13"/>
      <c r="EYS515" s="193"/>
      <c r="EYT515" s="379"/>
      <c r="EYU515" s="379"/>
      <c r="EYV515" s="379"/>
      <c r="EYW515" s="379"/>
      <c r="EYX515" s="379"/>
      <c r="EYY515" s="13"/>
      <c r="EYZ515" s="13"/>
      <c r="EZA515" s="193"/>
      <c r="EZB515" s="379"/>
      <c r="EZC515" s="379"/>
      <c r="EZD515" s="379"/>
      <c r="EZE515" s="379"/>
      <c r="EZF515" s="379"/>
      <c r="EZG515" s="13"/>
      <c r="EZH515" s="13"/>
      <c r="EZI515" s="193"/>
      <c r="EZJ515" s="379"/>
      <c r="EZK515" s="379"/>
      <c r="EZL515" s="379"/>
      <c r="EZM515" s="379"/>
      <c r="EZN515" s="379"/>
      <c r="EZO515" s="13"/>
      <c r="EZP515" s="13"/>
      <c r="EZQ515" s="193"/>
      <c r="EZR515" s="379"/>
      <c r="EZS515" s="379"/>
      <c r="EZT515" s="379"/>
      <c r="EZU515" s="379"/>
      <c r="EZV515" s="379"/>
      <c r="EZW515" s="13"/>
      <c r="EZX515" s="13"/>
      <c r="EZY515" s="193"/>
      <c r="EZZ515" s="379"/>
      <c r="FAA515" s="379"/>
      <c r="FAB515" s="379"/>
      <c r="FAC515" s="379"/>
      <c r="FAD515" s="379"/>
      <c r="FAE515" s="13"/>
      <c r="FAF515" s="13"/>
      <c r="FAG515" s="193"/>
      <c r="FAH515" s="379"/>
      <c r="FAI515" s="379"/>
      <c r="FAJ515" s="379"/>
      <c r="FAK515" s="379"/>
      <c r="FAL515" s="379"/>
      <c r="FAM515" s="13"/>
      <c r="FAN515" s="13"/>
      <c r="FAO515" s="193"/>
      <c r="FAP515" s="379"/>
      <c r="FAQ515" s="379"/>
      <c r="FAR515" s="379"/>
      <c r="FAS515" s="379"/>
      <c r="FAT515" s="379"/>
      <c r="FAU515" s="13"/>
      <c r="FAV515" s="13"/>
      <c r="FAW515" s="193"/>
      <c r="FAX515" s="379"/>
      <c r="FAY515" s="379"/>
      <c r="FAZ515" s="379"/>
      <c r="FBA515" s="379"/>
      <c r="FBB515" s="379"/>
      <c r="FBC515" s="13"/>
      <c r="FBD515" s="13"/>
      <c r="FBE515" s="193"/>
      <c r="FBF515" s="379"/>
      <c r="FBG515" s="379"/>
      <c r="FBH515" s="379"/>
      <c r="FBI515" s="379"/>
      <c r="FBJ515" s="379"/>
      <c r="FBK515" s="13"/>
      <c r="FBL515" s="13"/>
      <c r="FBM515" s="193"/>
      <c r="FBN515" s="379"/>
      <c r="FBO515" s="379"/>
      <c r="FBP515" s="379"/>
      <c r="FBQ515" s="379"/>
      <c r="FBR515" s="379"/>
      <c r="FBS515" s="13"/>
      <c r="FBT515" s="13"/>
      <c r="FBU515" s="193"/>
      <c r="FBV515" s="379"/>
      <c r="FBW515" s="379"/>
      <c r="FBX515" s="379"/>
      <c r="FBY515" s="379"/>
      <c r="FBZ515" s="379"/>
      <c r="FCA515" s="13"/>
      <c r="FCB515" s="13"/>
      <c r="FCC515" s="193"/>
      <c r="FCD515" s="379"/>
      <c r="FCE515" s="379"/>
      <c r="FCF515" s="379"/>
      <c r="FCG515" s="379"/>
      <c r="FCH515" s="379"/>
      <c r="FCI515" s="13"/>
      <c r="FCJ515" s="13"/>
      <c r="FCK515" s="193"/>
      <c r="FCL515" s="379"/>
      <c r="FCM515" s="379"/>
      <c r="FCN515" s="379"/>
      <c r="FCO515" s="379"/>
      <c r="FCP515" s="379"/>
      <c r="FCQ515" s="13"/>
      <c r="FCR515" s="13"/>
      <c r="FCS515" s="193"/>
      <c r="FCT515" s="379"/>
      <c r="FCU515" s="379"/>
      <c r="FCV515" s="379"/>
      <c r="FCW515" s="379"/>
      <c r="FCX515" s="379"/>
      <c r="FCY515" s="13"/>
      <c r="FCZ515" s="13"/>
      <c r="FDA515" s="193"/>
      <c r="FDB515" s="379"/>
      <c r="FDC515" s="379"/>
      <c r="FDD515" s="379"/>
      <c r="FDE515" s="379"/>
      <c r="FDF515" s="379"/>
      <c r="FDG515" s="13"/>
      <c r="FDH515" s="13"/>
      <c r="FDI515" s="193"/>
      <c r="FDJ515" s="379"/>
      <c r="FDK515" s="379"/>
      <c r="FDL515" s="379"/>
      <c r="FDM515" s="379"/>
      <c r="FDN515" s="379"/>
      <c r="FDO515" s="13"/>
      <c r="FDP515" s="13"/>
      <c r="FDQ515" s="193"/>
      <c r="FDR515" s="379"/>
      <c r="FDS515" s="379"/>
      <c r="FDT515" s="379"/>
      <c r="FDU515" s="379"/>
      <c r="FDV515" s="379"/>
      <c r="FDW515" s="13"/>
      <c r="FDX515" s="13"/>
      <c r="FDY515" s="193"/>
      <c r="FDZ515" s="379"/>
      <c r="FEA515" s="379"/>
      <c r="FEB515" s="379"/>
      <c r="FEC515" s="379"/>
      <c r="FED515" s="379"/>
      <c r="FEE515" s="13"/>
      <c r="FEF515" s="13"/>
      <c r="FEG515" s="193"/>
      <c r="FEH515" s="379"/>
      <c r="FEI515" s="379"/>
      <c r="FEJ515" s="379"/>
      <c r="FEK515" s="379"/>
      <c r="FEL515" s="379"/>
      <c r="FEM515" s="13"/>
      <c r="FEN515" s="13"/>
      <c r="FEO515" s="193"/>
      <c r="FEP515" s="379"/>
      <c r="FEQ515" s="379"/>
      <c r="FER515" s="379"/>
      <c r="FES515" s="379"/>
      <c r="FET515" s="379"/>
      <c r="FEU515" s="13"/>
      <c r="FEV515" s="13"/>
      <c r="FEW515" s="193"/>
      <c r="FEX515" s="379"/>
      <c r="FEY515" s="379"/>
      <c r="FEZ515" s="379"/>
      <c r="FFA515" s="379"/>
      <c r="FFB515" s="379"/>
      <c r="FFC515" s="13"/>
      <c r="FFD515" s="13"/>
      <c r="FFE515" s="193"/>
      <c r="FFF515" s="379"/>
      <c r="FFG515" s="379"/>
      <c r="FFH515" s="379"/>
      <c r="FFI515" s="379"/>
      <c r="FFJ515" s="379"/>
      <c r="FFK515" s="13"/>
      <c r="FFL515" s="13"/>
      <c r="FFM515" s="193"/>
      <c r="FFN515" s="379"/>
      <c r="FFO515" s="379"/>
      <c r="FFP515" s="379"/>
      <c r="FFQ515" s="379"/>
      <c r="FFR515" s="379"/>
      <c r="FFS515" s="13"/>
      <c r="FFT515" s="13"/>
      <c r="FFU515" s="193"/>
      <c r="FFV515" s="379"/>
      <c r="FFW515" s="379"/>
      <c r="FFX515" s="379"/>
      <c r="FFY515" s="379"/>
      <c r="FFZ515" s="379"/>
      <c r="FGA515" s="13"/>
      <c r="FGB515" s="13"/>
      <c r="FGC515" s="193"/>
      <c r="FGD515" s="379"/>
      <c r="FGE515" s="379"/>
      <c r="FGF515" s="379"/>
      <c r="FGG515" s="379"/>
      <c r="FGH515" s="379"/>
      <c r="FGI515" s="13"/>
      <c r="FGJ515" s="13"/>
      <c r="FGK515" s="193"/>
      <c r="FGL515" s="379"/>
      <c r="FGM515" s="379"/>
      <c r="FGN515" s="379"/>
      <c r="FGO515" s="379"/>
      <c r="FGP515" s="379"/>
      <c r="FGQ515" s="13"/>
      <c r="FGR515" s="13"/>
      <c r="FGS515" s="193"/>
      <c r="FGT515" s="379"/>
      <c r="FGU515" s="379"/>
      <c r="FGV515" s="379"/>
      <c r="FGW515" s="379"/>
      <c r="FGX515" s="379"/>
      <c r="FGY515" s="13"/>
      <c r="FGZ515" s="13"/>
      <c r="FHA515" s="193"/>
      <c r="FHB515" s="379"/>
      <c r="FHC515" s="379"/>
      <c r="FHD515" s="379"/>
      <c r="FHE515" s="379"/>
      <c r="FHF515" s="379"/>
      <c r="FHG515" s="13"/>
      <c r="FHH515" s="13"/>
      <c r="FHI515" s="193"/>
      <c r="FHJ515" s="379"/>
      <c r="FHK515" s="379"/>
      <c r="FHL515" s="379"/>
      <c r="FHM515" s="379"/>
      <c r="FHN515" s="379"/>
      <c r="FHO515" s="13"/>
      <c r="FHP515" s="13"/>
      <c r="FHQ515" s="193"/>
      <c r="FHR515" s="379"/>
      <c r="FHS515" s="379"/>
      <c r="FHT515" s="379"/>
      <c r="FHU515" s="379"/>
      <c r="FHV515" s="379"/>
      <c r="FHW515" s="13"/>
      <c r="FHX515" s="13"/>
      <c r="FHY515" s="193"/>
      <c r="FHZ515" s="379"/>
      <c r="FIA515" s="379"/>
      <c r="FIB515" s="379"/>
      <c r="FIC515" s="379"/>
      <c r="FID515" s="379"/>
      <c r="FIE515" s="13"/>
      <c r="FIF515" s="13"/>
      <c r="FIG515" s="193"/>
      <c r="FIH515" s="379"/>
      <c r="FII515" s="379"/>
      <c r="FIJ515" s="379"/>
      <c r="FIK515" s="379"/>
      <c r="FIL515" s="379"/>
      <c r="FIM515" s="13"/>
      <c r="FIN515" s="13"/>
      <c r="FIO515" s="193"/>
      <c r="FIP515" s="379"/>
      <c r="FIQ515" s="379"/>
      <c r="FIR515" s="379"/>
      <c r="FIS515" s="379"/>
      <c r="FIT515" s="379"/>
      <c r="FIU515" s="13"/>
      <c r="FIV515" s="13"/>
      <c r="FIW515" s="193"/>
      <c r="FIX515" s="379"/>
      <c r="FIY515" s="379"/>
      <c r="FIZ515" s="379"/>
      <c r="FJA515" s="379"/>
      <c r="FJB515" s="379"/>
      <c r="FJC515" s="13"/>
      <c r="FJD515" s="13"/>
      <c r="FJE515" s="193"/>
      <c r="FJF515" s="379"/>
      <c r="FJG515" s="379"/>
      <c r="FJH515" s="379"/>
      <c r="FJI515" s="379"/>
      <c r="FJJ515" s="379"/>
      <c r="FJK515" s="13"/>
      <c r="FJL515" s="13"/>
      <c r="FJM515" s="193"/>
      <c r="FJN515" s="379"/>
      <c r="FJO515" s="379"/>
      <c r="FJP515" s="379"/>
      <c r="FJQ515" s="379"/>
      <c r="FJR515" s="379"/>
      <c r="FJS515" s="13"/>
      <c r="FJT515" s="13"/>
      <c r="FJU515" s="193"/>
      <c r="FJV515" s="379"/>
      <c r="FJW515" s="379"/>
      <c r="FJX515" s="379"/>
      <c r="FJY515" s="379"/>
      <c r="FJZ515" s="379"/>
      <c r="FKA515" s="13"/>
      <c r="FKB515" s="13"/>
      <c r="FKC515" s="193"/>
      <c r="FKD515" s="379"/>
      <c r="FKE515" s="379"/>
      <c r="FKF515" s="379"/>
      <c r="FKG515" s="379"/>
      <c r="FKH515" s="379"/>
      <c r="FKI515" s="13"/>
      <c r="FKJ515" s="13"/>
      <c r="FKK515" s="193"/>
      <c r="FKL515" s="379"/>
      <c r="FKM515" s="379"/>
      <c r="FKN515" s="379"/>
      <c r="FKO515" s="379"/>
      <c r="FKP515" s="379"/>
      <c r="FKQ515" s="13"/>
      <c r="FKR515" s="13"/>
      <c r="FKS515" s="193"/>
      <c r="FKT515" s="379"/>
      <c r="FKU515" s="379"/>
      <c r="FKV515" s="379"/>
      <c r="FKW515" s="379"/>
      <c r="FKX515" s="379"/>
      <c r="FKY515" s="13"/>
      <c r="FKZ515" s="13"/>
      <c r="FLA515" s="193"/>
      <c r="FLB515" s="379"/>
      <c r="FLC515" s="379"/>
      <c r="FLD515" s="379"/>
      <c r="FLE515" s="379"/>
      <c r="FLF515" s="379"/>
      <c r="FLG515" s="13"/>
      <c r="FLH515" s="13"/>
      <c r="FLI515" s="193"/>
      <c r="FLJ515" s="379"/>
      <c r="FLK515" s="379"/>
      <c r="FLL515" s="379"/>
      <c r="FLM515" s="379"/>
      <c r="FLN515" s="379"/>
      <c r="FLO515" s="13"/>
      <c r="FLP515" s="13"/>
      <c r="FLQ515" s="193"/>
      <c r="FLR515" s="379"/>
      <c r="FLS515" s="379"/>
      <c r="FLT515" s="379"/>
      <c r="FLU515" s="379"/>
      <c r="FLV515" s="379"/>
      <c r="FLW515" s="13"/>
      <c r="FLX515" s="13"/>
      <c r="FLY515" s="193"/>
      <c r="FLZ515" s="379"/>
      <c r="FMA515" s="379"/>
      <c r="FMB515" s="379"/>
      <c r="FMC515" s="379"/>
      <c r="FMD515" s="379"/>
      <c r="FME515" s="13"/>
      <c r="FMF515" s="13"/>
      <c r="FMG515" s="193"/>
      <c r="FMH515" s="379"/>
      <c r="FMI515" s="379"/>
      <c r="FMJ515" s="379"/>
      <c r="FMK515" s="379"/>
      <c r="FML515" s="379"/>
      <c r="FMM515" s="13"/>
      <c r="FMN515" s="13"/>
      <c r="FMO515" s="193"/>
      <c r="FMP515" s="379"/>
      <c r="FMQ515" s="379"/>
      <c r="FMR515" s="379"/>
      <c r="FMS515" s="379"/>
      <c r="FMT515" s="379"/>
      <c r="FMU515" s="13"/>
      <c r="FMV515" s="13"/>
      <c r="FMW515" s="193"/>
      <c r="FMX515" s="379"/>
      <c r="FMY515" s="379"/>
      <c r="FMZ515" s="379"/>
      <c r="FNA515" s="379"/>
      <c r="FNB515" s="379"/>
      <c r="FNC515" s="13"/>
      <c r="FND515" s="13"/>
      <c r="FNE515" s="193"/>
      <c r="FNF515" s="379"/>
      <c r="FNG515" s="379"/>
      <c r="FNH515" s="379"/>
      <c r="FNI515" s="379"/>
      <c r="FNJ515" s="379"/>
      <c r="FNK515" s="13"/>
      <c r="FNL515" s="13"/>
      <c r="FNM515" s="193"/>
      <c r="FNN515" s="379"/>
      <c r="FNO515" s="379"/>
      <c r="FNP515" s="379"/>
      <c r="FNQ515" s="379"/>
      <c r="FNR515" s="379"/>
      <c r="FNS515" s="13"/>
      <c r="FNT515" s="13"/>
      <c r="FNU515" s="193"/>
      <c r="FNV515" s="379"/>
      <c r="FNW515" s="379"/>
      <c r="FNX515" s="379"/>
      <c r="FNY515" s="379"/>
      <c r="FNZ515" s="379"/>
      <c r="FOA515" s="13"/>
      <c r="FOB515" s="13"/>
      <c r="FOC515" s="193"/>
      <c r="FOD515" s="379"/>
      <c r="FOE515" s="379"/>
      <c r="FOF515" s="379"/>
      <c r="FOG515" s="379"/>
      <c r="FOH515" s="379"/>
      <c r="FOI515" s="13"/>
      <c r="FOJ515" s="13"/>
      <c r="FOK515" s="193"/>
      <c r="FOL515" s="379"/>
      <c r="FOM515" s="379"/>
      <c r="FON515" s="379"/>
      <c r="FOO515" s="379"/>
      <c r="FOP515" s="379"/>
      <c r="FOQ515" s="13"/>
      <c r="FOR515" s="13"/>
      <c r="FOS515" s="193"/>
      <c r="FOT515" s="379"/>
      <c r="FOU515" s="379"/>
      <c r="FOV515" s="379"/>
      <c r="FOW515" s="379"/>
      <c r="FOX515" s="379"/>
      <c r="FOY515" s="13"/>
      <c r="FOZ515" s="13"/>
      <c r="FPA515" s="193"/>
      <c r="FPB515" s="379"/>
      <c r="FPC515" s="379"/>
      <c r="FPD515" s="379"/>
      <c r="FPE515" s="379"/>
      <c r="FPF515" s="379"/>
      <c r="FPG515" s="13"/>
      <c r="FPH515" s="13"/>
      <c r="FPI515" s="193"/>
      <c r="FPJ515" s="379"/>
      <c r="FPK515" s="379"/>
      <c r="FPL515" s="379"/>
      <c r="FPM515" s="379"/>
      <c r="FPN515" s="379"/>
      <c r="FPO515" s="13"/>
      <c r="FPP515" s="13"/>
      <c r="FPQ515" s="193"/>
      <c r="FPR515" s="379"/>
      <c r="FPS515" s="379"/>
      <c r="FPT515" s="379"/>
      <c r="FPU515" s="379"/>
      <c r="FPV515" s="379"/>
      <c r="FPW515" s="13"/>
      <c r="FPX515" s="13"/>
      <c r="FPY515" s="193"/>
      <c r="FPZ515" s="379"/>
      <c r="FQA515" s="379"/>
      <c r="FQB515" s="379"/>
      <c r="FQC515" s="379"/>
      <c r="FQD515" s="379"/>
      <c r="FQE515" s="13"/>
      <c r="FQF515" s="13"/>
      <c r="FQG515" s="193"/>
      <c r="FQH515" s="379"/>
      <c r="FQI515" s="379"/>
      <c r="FQJ515" s="379"/>
      <c r="FQK515" s="379"/>
      <c r="FQL515" s="379"/>
      <c r="FQM515" s="13"/>
      <c r="FQN515" s="13"/>
      <c r="FQO515" s="193"/>
      <c r="FQP515" s="379"/>
      <c r="FQQ515" s="379"/>
      <c r="FQR515" s="379"/>
      <c r="FQS515" s="379"/>
      <c r="FQT515" s="379"/>
      <c r="FQU515" s="13"/>
      <c r="FQV515" s="13"/>
      <c r="FQW515" s="193"/>
      <c r="FQX515" s="379"/>
      <c r="FQY515" s="379"/>
      <c r="FQZ515" s="379"/>
      <c r="FRA515" s="379"/>
      <c r="FRB515" s="379"/>
      <c r="FRC515" s="13"/>
      <c r="FRD515" s="13"/>
      <c r="FRE515" s="193"/>
      <c r="FRF515" s="379"/>
      <c r="FRG515" s="379"/>
      <c r="FRH515" s="379"/>
      <c r="FRI515" s="379"/>
      <c r="FRJ515" s="379"/>
      <c r="FRK515" s="13"/>
      <c r="FRL515" s="13"/>
      <c r="FRM515" s="193"/>
      <c r="FRN515" s="379"/>
      <c r="FRO515" s="379"/>
      <c r="FRP515" s="379"/>
      <c r="FRQ515" s="379"/>
      <c r="FRR515" s="379"/>
      <c r="FRS515" s="13"/>
      <c r="FRT515" s="13"/>
      <c r="FRU515" s="193"/>
      <c r="FRV515" s="379"/>
      <c r="FRW515" s="379"/>
      <c r="FRX515" s="379"/>
      <c r="FRY515" s="379"/>
      <c r="FRZ515" s="379"/>
      <c r="FSA515" s="13"/>
      <c r="FSB515" s="13"/>
      <c r="FSC515" s="193"/>
      <c r="FSD515" s="379"/>
      <c r="FSE515" s="379"/>
      <c r="FSF515" s="379"/>
      <c r="FSG515" s="379"/>
      <c r="FSH515" s="379"/>
      <c r="FSI515" s="13"/>
      <c r="FSJ515" s="13"/>
      <c r="FSK515" s="193"/>
      <c r="FSL515" s="379"/>
      <c r="FSM515" s="379"/>
      <c r="FSN515" s="379"/>
      <c r="FSO515" s="379"/>
      <c r="FSP515" s="379"/>
      <c r="FSQ515" s="13"/>
      <c r="FSR515" s="13"/>
      <c r="FSS515" s="193"/>
      <c r="FST515" s="379"/>
      <c r="FSU515" s="379"/>
      <c r="FSV515" s="379"/>
      <c r="FSW515" s="379"/>
      <c r="FSX515" s="379"/>
      <c r="FSY515" s="13"/>
      <c r="FSZ515" s="13"/>
      <c r="FTA515" s="193"/>
      <c r="FTB515" s="379"/>
      <c r="FTC515" s="379"/>
      <c r="FTD515" s="379"/>
      <c r="FTE515" s="379"/>
      <c r="FTF515" s="379"/>
      <c r="FTG515" s="13"/>
      <c r="FTH515" s="13"/>
      <c r="FTI515" s="193"/>
      <c r="FTJ515" s="379"/>
      <c r="FTK515" s="379"/>
      <c r="FTL515" s="379"/>
      <c r="FTM515" s="379"/>
      <c r="FTN515" s="379"/>
      <c r="FTO515" s="13"/>
      <c r="FTP515" s="13"/>
      <c r="FTQ515" s="193"/>
      <c r="FTR515" s="379"/>
      <c r="FTS515" s="379"/>
      <c r="FTT515" s="379"/>
      <c r="FTU515" s="379"/>
      <c r="FTV515" s="379"/>
      <c r="FTW515" s="13"/>
      <c r="FTX515" s="13"/>
      <c r="FTY515" s="193"/>
      <c r="FTZ515" s="379"/>
      <c r="FUA515" s="379"/>
      <c r="FUB515" s="379"/>
      <c r="FUC515" s="379"/>
      <c r="FUD515" s="379"/>
      <c r="FUE515" s="13"/>
      <c r="FUF515" s="13"/>
      <c r="FUG515" s="193"/>
      <c r="FUH515" s="379"/>
      <c r="FUI515" s="379"/>
      <c r="FUJ515" s="379"/>
      <c r="FUK515" s="379"/>
      <c r="FUL515" s="379"/>
      <c r="FUM515" s="13"/>
      <c r="FUN515" s="13"/>
      <c r="FUO515" s="193"/>
      <c r="FUP515" s="379"/>
      <c r="FUQ515" s="379"/>
      <c r="FUR515" s="379"/>
      <c r="FUS515" s="379"/>
      <c r="FUT515" s="379"/>
      <c r="FUU515" s="13"/>
      <c r="FUV515" s="13"/>
      <c r="FUW515" s="193"/>
      <c r="FUX515" s="379"/>
      <c r="FUY515" s="379"/>
      <c r="FUZ515" s="379"/>
      <c r="FVA515" s="379"/>
      <c r="FVB515" s="379"/>
      <c r="FVC515" s="13"/>
      <c r="FVD515" s="13"/>
      <c r="FVE515" s="193"/>
      <c r="FVF515" s="379"/>
      <c r="FVG515" s="379"/>
      <c r="FVH515" s="379"/>
      <c r="FVI515" s="379"/>
      <c r="FVJ515" s="379"/>
      <c r="FVK515" s="13"/>
      <c r="FVL515" s="13"/>
      <c r="FVM515" s="193"/>
      <c r="FVN515" s="379"/>
      <c r="FVO515" s="379"/>
      <c r="FVP515" s="379"/>
      <c r="FVQ515" s="379"/>
      <c r="FVR515" s="379"/>
      <c r="FVS515" s="13"/>
      <c r="FVT515" s="13"/>
      <c r="FVU515" s="193"/>
      <c r="FVV515" s="379"/>
      <c r="FVW515" s="379"/>
      <c r="FVX515" s="379"/>
      <c r="FVY515" s="379"/>
      <c r="FVZ515" s="379"/>
      <c r="FWA515" s="13"/>
      <c r="FWB515" s="13"/>
      <c r="FWC515" s="193"/>
      <c r="FWD515" s="379"/>
      <c r="FWE515" s="379"/>
      <c r="FWF515" s="379"/>
      <c r="FWG515" s="379"/>
      <c r="FWH515" s="379"/>
      <c r="FWI515" s="13"/>
      <c r="FWJ515" s="13"/>
      <c r="FWK515" s="193"/>
      <c r="FWL515" s="379"/>
      <c r="FWM515" s="379"/>
      <c r="FWN515" s="379"/>
      <c r="FWO515" s="379"/>
      <c r="FWP515" s="379"/>
      <c r="FWQ515" s="13"/>
      <c r="FWR515" s="13"/>
      <c r="FWS515" s="193"/>
      <c r="FWT515" s="379"/>
      <c r="FWU515" s="379"/>
      <c r="FWV515" s="379"/>
      <c r="FWW515" s="379"/>
      <c r="FWX515" s="379"/>
      <c r="FWY515" s="13"/>
      <c r="FWZ515" s="13"/>
      <c r="FXA515" s="193"/>
      <c r="FXB515" s="379"/>
      <c r="FXC515" s="379"/>
      <c r="FXD515" s="379"/>
      <c r="FXE515" s="379"/>
      <c r="FXF515" s="379"/>
      <c r="FXG515" s="13"/>
      <c r="FXH515" s="13"/>
      <c r="FXI515" s="193"/>
      <c r="FXJ515" s="379"/>
      <c r="FXK515" s="379"/>
      <c r="FXL515" s="379"/>
      <c r="FXM515" s="379"/>
      <c r="FXN515" s="379"/>
      <c r="FXO515" s="13"/>
      <c r="FXP515" s="13"/>
      <c r="FXQ515" s="193"/>
      <c r="FXR515" s="379"/>
      <c r="FXS515" s="379"/>
      <c r="FXT515" s="379"/>
      <c r="FXU515" s="379"/>
      <c r="FXV515" s="379"/>
      <c r="FXW515" s="13"/>
      <c r="FXX515" s="13"/>
      <c r="FXY515" s="193"/>
      <c r="FXZ515" s="379"/>
      <c r="FYA515" s="379"/>
      <c r="FYB515" s="379"/>
      <c r="FYC515" s="379"/>
      <c r="FYD515" s="379"/>
      <c r="FYE515" s="13"/>
      <c r="FYF515" s="13"/>
      <c r="FYG515" s="193"/>
      <c r="FYH515" s="379"/>
      <c r="FYI515" s="379"/>
      <c r="FYJ515" s="379"/>
      <c r="FYK515" s="379"/>
      <c r="FYL515" s="379"/>
      <c r="FYM515" s="13"/>
      <c r="FYN515" s="13"/>
      <c r="FYO515" s="193"/>
      <c r="FYP515" s="379"/>
      <c r="FYQ515" s="379"/>
      <c r="FYR515" s="379"/>
      <c r="FYS515" s="379"/>
      <c r="FYT515" s="379"/>
      <c r="FYU515" s="13"/>
      <c r="FYV515" s="13"/>
      <c r="FYW515" s="193"/>
      <c r="FYX515" s="379"/>
      <c r="FYY515" s="379"/>
      <c r="FYZ515" s="379"/>
      <c r="FZA515" s="379"/>
      <c r="FZB515" s="379"/>
      <c r="FZC515" s="13"/>
      <c r="FZD515" s="13"/>
      <c r="FZE515" s="193"/>
      <c r="FZF515" s="379"/>
      <c r="FZG515" s="379"/>
      <c r="FZH515" s="379"/>
      <c r="FZI515" s="379"/>
      <c r="FZJ515" s="379"/>
      <c r="FZK515" s="13"/>
      <c r="FZL515" s="13"/>
      <c r="FZM515" s="193"/>
      <c r="FZN515" s="379"/>
      <c r="FZO515" s="379"/>
      <c r="FZP515" s="379"/>
      <c r="FZQ515" s="379"/>
      <c r="FZR515" s="379"/>
      <c r="FZS515" s="13"/>
      <c r="FZT515" s="13"/>
      <c r="FZU515" s="193"/>
      <c r="FZV515" s="379"/>
      <c r="FZW515" s="379"/>
      <c r="FZX515" s="379"/>
      <c r="FZY515" s="379"/>
      <c r="FZZ515" s="379"/>
      <c r="GAA515" s="13"/>
      <c r="GAB515" s="13"/>
      <c r="GAC515" s="193"/>
      <c r="GAD515" s="379"/>
      <c r="GAE515" s="379"/>
      <c r="GAF515" s="379"/>
      <c r="GAG515" s="379"/>
      <c r="GAH515" s="379"/>
      <c r="GAI515" s="13"/>
      <c r="GAJ515" s="13"/>
      <c r="GAK515" s="193"/>
      <c r="GAL515" s="379"/>
      <c r="GAM515" s="379"/>
      <c r="GAN515" s="379"/>
      <c r="GAO515" s="379"/>
      <c r="GAP515" s="379"/>
      <c r="GAQ515" s="13"/>
      <c r="GAR515" s="13"/>
      <c r="GAS515" s="193"/>
      <c r="GAT515" s="379"/>
      <c r="GAU515" s="379"/>
      <c r="GAV515" s="379"/>
      <c r="GAW515" s="379"/>
      <c r="GAX515" s="379"/>
      <c r="GAY515" s="13"/>
      <c r="GAZ515" s="13"/>
      <c r="GBA515" s="193"/>
      <c r="GBB515" s="379"/>
      <c r="GBC515" s="379"/>
      <c r="GBD515" s="379"/>
      <c r="GBE515" s="379"/>
      <c r="GBF515" s="379"/>
      <c r="GBG515" s="13"/>
      <c r="GBH515" s="13"/>
      <c r="GBI515" s="193"/>
      <c r="GBJ515" s="379"/>
      <c r="GBK515" s="379"/>
      <c r="GBL515" s="379"/>
      <c r="GBM515" s="379"/>
      <c r="GBN515" s="379"/>
      <c r="GBO515" s="13"/>
      <c r="GBP515" s="13"/>
      <c r="GBQ515" s="193"/>
      <c r="GBR515" s="379"/>
      <c r="GBS515" s="379"/>
      <c r="GBT515" s="379"/>
      <c r="GBU515" s="379"/>
      <c r="GBV515" s="379"/>
      <c r="GBW515" s="13"/>
      <c r="GBX515" s="13"/>
      <c r="GBY515" s="193"/>
      <c r="GBZ515" s="379"/>
      <c r="GCA515" s="379"/>
      <c r="GCB515" s="379"/>
      <c r="GCC515" s="379"/>
      <c r="GCD515" s="379"/>
      <c r="GCE515" s="13"/>
      <c r="GCF515" s="13"/>
      <c r="GCG515" s="193"/>
      <c r="GCH515" s="379"/>
      <c r="GCI515" s="379"/>
      <c r="GCJ515" s="379"/>
      <c r="GCK515" s="379"/>
      <c r="GCL515" s="379"/>
      <c r="GCM515" s="13"/>
      <c r="GCN515" s="13"/>
      <c r="GCO515" s="193"/>
      <c r="GCP515" s="379"/>
      <c r="GCQ515" s="379"/>
      <c r="GCR515" s="379"/>
      <c r="GCS515" s="379"/>
      <c r="GCT515" s="379"/>
      <c r="GCU515" s="13"/>
      <c r="GCV515" s="13"/>
      <c r="GCW515" s="193"/>
      <c r="GCX515" s="379"/>
      <c r="GCY515" s="379"/>
      <c r="GCZ515" s="379"/>
      <c r="GDA515" s="379"/>
      <c r="GDB515" s="379"/>
      <c r="GDC515" s="13"/>
      <c r="GDD515" s="13"/>
      <c r="GDE515" s="193"/>
      <c r="GDF515" s="379"/>
      <c r="GDG515" s="379"/>
      <c r="GDH515" s="379"/>
      <c r="GDI515" s="379"/>
      <c r="GDJ515" s="379"/>
      <c r="GDK515" s="13"/>
      <c r="GDL515" s="13"/>
      <c r="GDM515" s="193"/>
      <c r="GDN515" s="379"/>
      <c r="GDO515" s="379"/>
      <c r="GDP515" s="379"/>
      <c r="GDQ515" s="379"/>
      <c r="GDR515" s="379"/>
      <c r="GDS515" s="13"/>
      <c r="GDT515" s="13"/>
      <c r="GDU515" s="193"/>
      <c r="GDV515" s="379"/>
      <c r="GDW515" s="379"/>
      <c r="GDX515" s="379"/>
      <c r="GDY515" s="379"/>
      <c r="GDZ515" s="379"/>
      <c r="GEA515" s="13"/>
      <c r="GEB515" s="13"/>
      <c r="GEC515" s="193"/>
      <c r="GED515" s="379"/>
      <c r="GEE515" s="379"/>
      <c r="GEF515" s="379"/>
      <c r="GEG515" s="379"/>
      <c r="GEH515" s="379"/>
      <c r="GEI515" s="13"/>
      <c r="GEJ515" s="13"/>
      <c r="GEK515" s="193"/>
      <c r="GEL515" s="379"/>
      <c r="GEM515" s="379"/>
      <c r="GEN515" s="379"/>
      <c r="GEO515" s="379"/>
      <c r="GEP515" s="379"/>
      <c r="GEQ515" s="13"/>
      <c r="GER515" s="13"/>
      <c r="GES515" s="193"/>
      <c r="GET515" s="379"/>
      <c r="GEU515" s="379"/>
      <c r="GEV515" s="379"/>
      <c r="GEW515" s="379"/>
      <c r="GEX515" s="379"/>
      <c r="GEY515" s="13"/>
      <c r="GEZ515" s="13"/>
      <c r="GFA515" s="193"/>
      <c r="GFB515" s="379"/>
      <c r="GFC515" s="379"/>
      <c r="GFD515" s="379"/>
      <c r="GFE515" s="379"/>
      <c r="GFF515" s="379"/>
      <c r="GFG515" s="13"/>
      <c r="GFH515" s="13"/>
      <c r="GFI515" s="193"/>
      <c r="GFJ515" s="379"/>
      <c r="GFK515" s="379"/>
      <c r="GFL515" s="379"/>
      <c r="GFM515" s="379"/>
      <c r="GFN515" s="379"/>
      <c r="GFO515" s="13"/>
      <c r="GFP515" s="13"/>
      <c r="GFQ515" s="193"/>
      <c r="GFR515" s="379"/>
      <c r="GFS515" s="379"/>
      <c r="GFT515" s="379"/>
      <c r="GFU515" s="379"/>
      <c r="GFV515" s="379"/>
      <c r="GFW515" s="13"/>
      <c r="GFX515" s="13"/>
      <c r="GFY515" s="193"/>
      <c r="GFZ515" s="379"/>
      <c r="GGA515" s="379"/>
      <c r="GGB515" s="379"/>
      <c r="GGC515" s="379"/>
      <c r="GGD515" s="379"/>
      <c r="GGE515" s="13"/>
      <c r="GGF515" s="13"/>
      <c r="GGG515" s="193"/>
      <c r="GGH515" s="379"/>
      <c r="GGI515" s="379"/>
      <c r="GGJ515" s="379"/>
      <c r="GGK515" s="379"/>
      <c r="GGL515" s="379"/>
      <c r="GGM515" s="13"/>
      <c r="GGN515" s="13"/>
      <c r="GGO515" s="193"/>
      <c r="GGP515" s="379"/>
      <c r="GGQ515" s="379"/>
      <c r="GGR515" s="379"/>
      <c r="GGS515" s="379"/>
      <c r="GGT515" s="379"/>
      <c r="GGU515" s="13"/>
      <c r="GGV515" s="13"/>
      <c r="GGW515" s="193"/>
      <c r="GGX515" s="379"/>
      <c r="GGY515" s="379"/>
      <c r="GGZ515" s="379"/>
      <c r="GHA515" s="379"/>
      <c r="GHB515" s="379"/>
      <c r="GHC515" s="13"/>
      <c r="GHD515" s="13"/>
      <c r="GHE515" s="193"/>
      <c r="GHF515" s="379"/>
      <c r="GHG515" s="379"/>
      <c r="GHH515" s="379"/>
      <c r="GHI515" s="379"/>
      <c r="GHJ515" s="379"/>
      <c r="GHK515" s="13"/>
      <c r="GHL515" s="13"/>
      <c r="GHM515" s="193"/>
      <c r="GHN515" s="379"/>
      <c r="GHO515" s="379"/>
      <c r="GHP515" s="379"/>
      <c r="GHQ515" s="379"/>
      <c r="GHR515" s="379"/>
      <c r="GHS515" s="13"/>
      <c r="GHT515" s="13"/>
      <c r="GHU515" s="193"/>
      <c r="GHV515" s="379"/>
      <c r="GHW515" s="379"/>
      <c r="GHX515" s="379"/>
      <c r="GHY515" s="379"/>
      <c r="GHZ515" s="379"/>
      <c r="GIA515" s="13"/>
      <c r="GIB515" s="13"/>
      <c r="GIC515" s="193"/>
      <c r="GID515" s="379"/>
      <c r="GIE515" s="379"/>
      <c r="GIF515" s="379"/>
      <c r="GIG515" s="379"/>
      <c r="GIH515" s="379"/>
      <c r="GII515" s="13"/>
      <c r="GIJ515" s="13"/>
      <c r="GIK515" s="193"/>
      <c r="GIL515" s="379"/>
      <c r="GIM515" s="379"/>
      <c r="GIN515" s="379"/>
      <c r="GIO515" s="379"/>
      <c r="GIP515" s="379"/>
      <c r="GIQ515" s="13"/>
      <c r="GIR515" s="13"/>
      <c r="GIS515" s="193"/>
      <c r="GIT515" s="379"/>
      <c r="GIU515" s="379"/>
      <c r="GIV515" s="379"/>
      <c r="GIW515" s="379"/>
      <c r="GIX515" s="379"/>
      <c r="GIY515" s="13"/>
      <c r="GIZ515" s="13"/>
      <c r="GJA515" s="193"/>
      <c r="GJB515" s="379"/>
      <c r="GJC515" s="379"/>
      <c r="GJD515" s="379"/>
      <c r="GJE515" s="379"/>
      <c r="GJF515" s="379"/>
      <c r="GJG515" s="13"/>
      <c r="GJH515" s="13"/>
      <c r="GJI515" s="193"/>
      <c r="GJJ515" s="379"/>
      <c r="GJK515" s="379"/>
      <c r="GJL515" s="379"/>
      <c r="GJM515" s="379"/>
      <c r="GJN515" s="379"/>
      <c r="GJO515" s="13"/>
      <c r="GJP515" s="13"/>
      <c r="GJQ515" s="193"/>
      <c r="GJR515" s="379"/>
      <c r="GJS515" s="379"/>
      <c r="GJT515" s="379"/>
      <c r="GJU515" s="379"/>
      <c r="GJV515" s="379"/>
      <c r="GJW515" s="13"/>
      <c r="GJX515" s="13"/>
      <c r="GJY515" s="193"/>
      <c r="GJZ515" s="379"/>
      <c r="GKA515" s="379"/>
      <c r="GKB515" s="379"/>
      <c r="GKC515" s="379"/>
      <c r="GKD515" s="379"/>
      <c r="GKE515" s="13"/>
      <c r="GKF515" s="13"/>
      <c r="GKG515" s="193"/>
      <c r="GKH515" s="379"/>
      <c r="GKI515" s="379"/>
      <c r="GKJ515" s="379"/>
      <c r="GKK515" s="379"/>
      <c r="GKL515" s="379"/>
      <c r="GKM515" s="13"/>
      <c r="GKN515" s="13"/>
      <c r="GKO515" s="193"/>
      <c r="GKP515" s="379"/>
      <c r="GKQ515" s="379"/>
      <c r="GKR515" s="379"/>
      <c r="GKS515" s="379"/>
      <c r="GKT515" s="379"/>
      <c r="GKU515" s="13"/>
      <c r="GKV515" s="13"/>
      <c r="GKW515" s="193"/>
      <c r="GKX515" s="379"/>
      <c r="GKY515" s="379"/>
      <c r="GKZ515" s="379"/>
      <c r="GLA515" s="379"/>
      <c r="GLB515" s="379"/>
      <c r="GLC515" s="13"/>
      <c r="GLD515" s="13"/>
      <c r="GLE515" s="193"/>
      <c r="GLF515" s="379"/>
      <c r="GLG515" s="379"/>
      <c r="GLH515" s="379"/>
      <c r="GLI515" s="379"/>
      <c r="GLJ515" s="379"/>
      <c r="GLK515" s="13"/>
      <c r="GLL515" s="13"/>
      <c r="GLM515" s="193"/>
      <c r="GLN515" s="379"/>
      <c r="GLO515" s="379"/>
      <c r="GLP515" s="379"/>
      <c r="GLQ515" s="379"/>
      <c r="GLR515" s="379"/>
      <c r="GLS515" s="13"/>
      <c r="GLT515" s="13"/>
      <c r="GLU515" s="193"/>
      <c r="GLV515" s="379"/>
      <c r="GLW515" s="379"/>
      <c r="GLX515" s="379"/>
      <c r="GLY515" s="379"/>
      <c r="GLZ515" s="379"/>
      <c r="GMA515" s="13"/>
      <c r="GMB515" s="13"/>
      <c r="GMC515" s="193"/>
      <c r="GMD515" s="379"/>
      <c r="GME515" s="379"/>
      <c r="GMF515" s="379"/>
      <c r="GMG515" s="379"/>
      <c r="GMH515" s="379"/>
      <c r="GMI515" s="13"/>
      <c r="GMJ515" s="13"/>
      <c r="GMK515" s="193"/>
      <c r="GML515" s="379"/>
      <c r="GMM515" s="379"/>
      <c r="GMN515" s="379"/>
      <c r="GMO515" s="379"/>
      <c r="GMP515" s="379"/>
      <c r="GMQ515" s="13"/>
      <c r="GMR515" s="13"/>
      <c r="GMS515" s="193"/>
      <c r="GMT515" s="379"/>
      <c r="GMU515" s="379"/>
      <c r="GMV515" s="379"/>
      <c r="GMW515" s="379"/>
      <c r="GMX515" s="379"/>
      <c r="GMY515" s="13"/>
      <c r="GMZ515" s="13"/>
      <c r="GNA515" s="193"/>
      <c r="GNB515" s="379"/>
      <c r="GNC515" s="379"/>
      <c r="GND515" s="379"/>
      <c r="GNE515" s="379"/>
      <c r="GNF515" s="379"/>
      <c r="GNG515" s="13"/>
      <c r="GNH515" s="13"/>
      <c r="GNI515" s="193"/>
      <c r="GNJ515" s="379"/>
      <c r="GNK515" s="379"/>
      <c r="GNL515" s="379"/>
      <c r="GNM515" s="379"/>
      <c r="GNN515" s="379"/>
      <c r="GNO515" s="13"/>
      <c r="GNP515" s="13"/>
      <c r="GNQ515" s="193"/>
      <c r="GNR515" s="379"/>
      <c r="GNS515" s="379"/>
      <c r="GNT515" s="379"/>
      <c r="GNU515" s="379"/>
      <c r="GNV515" s="379"/>
      <c r="GNW515" s="13"/>
      <c r="GNX515" s="13"/>
      <c r="GNY515" s="193"/>
      <c r="GNZ515" s="379"/>
      <c r="GOA515" s="379"/>
      <c r="GOB515" s="379"/>
      <c r="GOC515" s="379"/>
      <c r="GOD515" s="379"/>
      <c r="GOE515" s="13"/>
      <c r="GOF515" s="13"/>
      <c r="GOG515" s="193"/>
      <c r="GOH515" s="379"/>
      <c r="GOI515" s="379"/>
      <c r="GOJ515" s="379"/>
      <c r="GOK515" s="379"/>
      <c r="GOL515" s="379"/>
      <c r="GOM515" s="13"/>
      <c r="GON515" s="13"/>
      <c r="GOO515" s="193"/>
      <c r="GOP515" s="379"/>
      <c r="GOQ515" s="379"/>
      <c r="GOR515" s="379"/>
      <c r="GOS515" s="379"/>
      <c r="GOT515" s="379"/>
      <c r="GOU515" s="13"/>
      <c r="GOV515" s="13"/>
      <c r="GOW515" s="193"/>
      <c r="GOX515" s="379"/>
      <c r="GOY515" s="379"/>
      <c r="GOZ515" s="379"/>
      <c r="GPA515" s="379"/>
      <c r="GPB515" s="379"/>
      <c r="GPC515" s="13"/>
      <c r="GPD515" s="13"/>
      <c r="GPE515" s="193"/>
      <c r="GPF515" s="379"/>
      <c r="GPG515" s="379"/>
      <c r="GPH515" s="379"/>
      <c r="GPI515" s="379"/>
      <c r="GPJ515" s="379"/>
      <c r="GPK515" s="13"/>
      <c r="GPL515" s="13"/>
      <c r="GPM515" s="193"/>
      <c r="GPN515" s="379"/>
      <c r="GPO515" s="379"/>
      <c r="GPP515" s="379"/>
      <c r="GPQ515" s="379"/>
      <c r="GPR515" s="379"/>
      <c r="GPS515" s="13"/>
      <c r="GPT515" s="13"/>
      <c r="GPU515" s="193"/>
      <c r="GPV515" s="379"/>
      <c r="GPW515" s="379"/>
      <c r="GPX515" s="379"/>
      <c r="GPY515" s="379"/>
      <c r="GPZ515" s="379"/>
      <c r="GQA515" s="13"/>
      <c r="GQB515" s="13"/>
      <c r="GQC515" s="193"/>
      <c r="GQD515" s="379"/>
      <c r="GQE515" s="379"/>
      <c r="GQF515" s="379"/>
      <c r="GQG515" s="379"/>
      <c r="GQH515" s="379"/>
      <c r="GQI515" s="13"/>
      <c r="GQJ515" s="13"/>
      <c r="GQK515" s="193"/>
      <c r="GQL515" s="379"/>
      <c r="GQM515" s="379"/>
      <c r="GQN515" s="379"/>
      <c r="GQO515" s="379"/>
      <c r="GQP515" s="379"/>
      <c r="GQQ515" s="13"/>
      <c r="GQR515" s="13"/>
      <c r="GQS515" s="193"/>
      <c r="GQT515" s="379"/>
      <c r="GQU515" s="379"/>
      <c r="GQV515" s="379"/>
      <c r="GQW515" s="379"/>
      <c r="GQX515" s="379"/>
      <c r="GQY515" s="13"/>
      <c r="GQZ515" s="13"/>
      <c r="GRA515" s="193"/>
      <c r="GRB515" s="379"/>
      <c r="GRC515" s="379"/>
      <c r="GRD515" s="379"/>
      <c r="GRE515" s="379"/>
      <c r="GRF515" s="379"/>
      <c r="GRG515" s="13"/>
      <c r="GRH515" s="13"/>
      <c r="GRI515" s="193"/>
      <c r="GRJ515" s="379"/>
      <c r="GRK515" s="379"/>
      <c r="GRL515" s="379"/>
      <c r="GRM515" s="379"/>
      <c r="GRN515" s="379"/>
      <c r="GRO515" s="13"/>
      <c r="GRP515" s="13"/>
      <c r="GRQ515" s="193"/>
      <c r="GRR515" s="379"/>
      <c r="GRS515" s="379"/>
      <c r="GRT515" s="379"/>
      <c r="GRU515" s="379"/>
      <c r="GRV515" s="379"/>
      <c r="GRW515" s="13"/>
      <c r="GRX515" s="13"/>
      <c r="GRY515" s="193"/>
      <c r="GRZ515" s="379"/>
      <c r="GSA515" s="379"/>
      <c r="GSB515" s="379"/>
      <c r="GSC515" s="379"/>
      <c r="GSD515" s="379"/>
      <c r="GSE515" s="13"/>
      <c r="GSF515" s="13"/>
      <c r="GSG515" s="193"/>
      <c r="GSH515" s="379"/>
      <c r="GSI515" s="379"/>
      <c r="GSJ515" s="379"/>
      <c r="GSK515" s="379"/>
      <c r="GSL515" s="379"/>
      <c r="GSM515" s="13"/>
      <c r="GSN515" s="13"/>
      <c r="GSO515" s="193"/>
      <c r="GSP515" s="379"/>
      <c r="GSQ515" s="379"/>
      <c r="GSR515" s="379"/>
      <c r="GSS515" s="379"/>
      <c r="GST515" s="379"/>
      <c r="GSU515" s="13"/>
      <c r="GSV515" s="13"/>
      <c r="GSW515" s="193"/>
      <c r="GSX515" s="379"/>
      <c r="GSY515" s="379"/>
      <c r="GSZ515" s="379"/>
      <c r="GTA515" s="379"/>
      <c r="GTB515" s="379"/>
      <c r="GTC515" s="13"/>
      <c r="GTD515" s="13"/>
      <c r="GTE515" s="193"/>
      <c r="GTF515" s="379"/>
      <c r="GTG515" s="379"/>
      <c r="GTH515" s="379"/>
      <c r="GTI515" s="379"/>
      <c r="GTJ515" s="379"/>
      <c r="GTK515" s="13"/>
      <c r="GTL515" s="13"/>
      <c r="GTM515" s="193"/>
      <c r="GTN515" s="379"/>
      <c r="GTO515" s="379"/>
      <c r="GTP515" s="379"/>
      <c r="GTQ515" s="379"/>
      <c r="GTR515" s="379"/>
      <c r="GTS515" s="13"/>
      <c r="GTT515" s="13"/>
      <c r="GTU515" s="193"/>
      <c r="GTV515" s="379"/>
      <c r="GTW515" s="379"/>
      <c r="GTX515" s="379"/>
      <c r="GTY515" s="379"/>
      <c r="GTZ515" s="379"/>
      <c r="GUA515" s="13"/>
      <c r="GUB515" s="13"/>
      <c r="GUC515" s="193"/>
      <c r="GUD515" s="379"/>
      <c r="GUE515" s="379"/>
      <c r="GUF515" s="379"/>
      <c r="GUG515" s="379"/>
      <c r="GUH515" s="379"/>
      <c r="GUI515" s="13"/>
      <c r="GUJ515" s="13"/>
      <c r="GUK515" s="193"/>
      <c r="GUL515" s="379"/>
      <c r="GUM515" s="379"/>
      <c r="GUN515" s="379"/>
      <c r="GUO515" s="379"/>
      <c r="GUP515" s="379"/>
      <c r="GUQ515" s="13"/>
      <c r="GUR515" s="13"/>
      <c r="GUS515" s="193"/>
      <c r="GUT515" s="379"/>
      <c r="GUU515" s="379"/>
      <c r="GUV515" s="379"/>
      <c r="GUW515" s="379"/>
      <c r="GUX515" s="379"/>
      <c r="GUY515" s="13"/>
      <c r="GUZ515" s="13"/>
      <c r="GVA515" s="193"/>
      <c r="GVB515" s="379"/>
      <c r="GVC515" s="379"/>
      <c r="GVD515" s="379"/>
      <c r="GVE515" s="379"/>
      <c r="GVF515" s="379"/>
      <c r="GVG515" s="13"/>
      <c r="GVH515" s="13"/>
      <c r="GVI515" s="193"/>
      <c r="GVJ515" s="379"/>
      <c r="GVK515" s="379"/>
      <c r="GVL515" s="379"/>
      <c r="GVM515" s="379"/>
      <c r="GVN515" s="379"/>
      <c r="GVO515" s="13"/>
      <c r="GVP515" s="13"/>
      <c r="GVQ515" s="193"/>
      <c r="GVR515" s="379"/>
      <c r="GVS515" s="379"/>
      <c r="GVT515" s="379"/>
      <c r="GVU515" s="379"/>
      <c r="GVV515" s="379"/>
      <c r="GVW515" s="13"/>
      <c r="GVX515" s="13"/>
      <c r="GVY515" s="193"/>
      <c r="GVZ515" s="379"/>
      <c r="GWA515" s="379"/>
      <c r="GWB515" s="379"/>
      <c r="GWC515" s="379"/>
      <c r="GWD515" s="379"/>
      <c r="GWE515" s="13"/>
      <c r="GWF515" s="13"/>
      <c r="GWG515" s="193"/>
      <c r="GWH515" s="379"/>
      <c r="GWI515" s="379"/>
      <c r="GWJ515" s="379"/>
      <c r="GWK515" s="379"/>
      <c r="GWL515" s="379"/>
      <c r="GWM515" s="13"/>
      <c r="GWN515" s="13"/>
      <c r="GWO515" s="193"/>
      <c r="GWP515" s="379"/>
      <c r="GWQ515" s="379"/>
      <c r="GWR515" s="379"/>
      <c r="GWS515" s="379"/>
      <c r="GWT515" s="379"/>
      <c r="GWU515" s="13"/>
      <c r="GWV515" s="13"/>
      <c r="GWW515" s="193"/>
      <c r="GWX515" s="379"/>
      <c r="GWY515" s="379"/>
      <c r="GWZ515" s="379"/>
      <c r="GXA515" s="379"/>
      <c r="GXB515" s="379"/>
      <c r="GXC515" s="13"/>
      <c r="GXD515" s="13"/>
      <c r="GXE515" s="193"/>
      <c r="GXF515" s="379"/>
      <c r="GXG515" s="379"/>
      <c r="GXH515" s="379"/>
      <c r="GXI515" s="379"/>
      <c r="GXJ515" s="379"/>
      <c r="GXK515" s="13"/>
      <c r="GXL515" s="13"/>
      <c r="GXM515" s="193"/>
      <c r="GXN515" s="379"/>
      <c r="GXO515" s="379"/>
      <c r="GXP515" s="379"/>
      <c r="GXQ515" s="379"/>
      <c r="GXR515" s="379"/>
      <c r="GXS515" s="13"/>
      <c r="GXT515" s="13"/>
      <c r="GXU515" s="193"/>
      <c r="GXV515" s="379"/>
      <c r="GXW515" s="379"/>
      <c r="GXX515" s="379"/>
      <c r="GXY515" s="379"/>
      <c r="GXZ515" s="379"/>
      <c r="GYA515" s="13"/>
      <c r="GYB515" s="13"/>
      <c r="GYC515" s="193"/>
      <c r="GYD515" s="379"/>
      <c r="GYE515" s="379"/>
      <c r="GYF515" s="379"/>
      <c r="GYG515" s="379"/>
      <c r="GYH515" s="379"/>
      <c r="GYI515" s="13"/>
      <c r="GYJ515" s="13"/>
      <c r="GYK515" s="193"/>
      <c r="GYL515" s="379"/>
      <c r="GYM515" s="379"/>
      <c r="GYN515" s="379"/>
      <c r="GYO515" s="379"/>
      <c r="GYP515" s="379"/>
      <c r="GYQ515" s="13"/>
      <c r="GYR515" s="13"/>
      <c r="GYS515" s="193"/>
      <c r="GYT515" s="379"/>
      <c r="GYU515" s="379"/>
      <c r="GYV515" s="379"/>
      <c r="GYW515" s="379"/>
      <c r="GYX515" s="379"/>
      <c r="GYY515" s="13"/>
      <c r="GYZ515" s="13"/>
      <c r="GZA515" s="193"/>
      <c r="GZB515" s="379"/>
      <c r="GZC515" s="379"/>
      <c r="GZD515" s="379"/>
      <c r="GZE515" s="379"/>
      <c r="GZF515" s="379"/>
      <c r="GZG515" s="13"/>
      <c r="GZH515" s="13"/>
      <c r="GZI515" s="193"/>
      <c r="GZJ515" s="379"/>
      <c r="GZK515" s="379"/>
      <c r="GZL515" s="379"/>
      <c r="GZM515" s="379"/>
      <c r="GZN515" s="379"/>
      <c r="GZO515" s="13"/>
      <c r="GZP515" s="13"/>
      <c r="GZQ515" s="193"/>
      <c r="GZR515" s="379"/>
      <c r="GZS515" s="379"/>
      <c r="GZT515" s="379"/>
      <c r="GZU515" s="379"/>
      <c r="GZV515" s="379"/>
      <c r="GZW515" s="13"/>
      <c r="GZX515" s="13"/>
      <c r="GZY515" s="193"/>
      <c r="GZZ515" s="379"/>
      <c r="HAA515" s="379"/>
      <c r="HAB515" s="379"/>
      <c r="HAC515" s="379"/>
      <c r="HAD515" s="379"/>
      <c r="HAE515" s="13"/>
      <c r="HAF515" s="13"/>
      <c r="HAG515" s="193"/>
      <c r="HAH515" s="379"/>
      <c r="HAI515" s="379"/>
      <c r="HAJ515" s="379"/>
      <c r="HAK515" s="379"/>
      <c r="HAL515" s="379"/>
      <c r="HAM515" s="13"/>
      <c r="HAN515" s="13"/>
      <c r="HAO515" s="193"/>
      <c r="HAP515" s="379"/>
      <c r="HAQ515" s="379"/>
      <c r="HAR515" s="379"/>
      <c r="HAS515" s="379"/>
      <c r="HAT515" s="379"/>
      <c r="HAU515" s="13"/>
      <c r="HAV515" s="13"/>
      <c r="HAW515" s="193"/>
      <c r="HAX515" s="379"/>
      <c r="HAY515" s="379"/>
      <c r="HAZ515" s="379"/>
      <c r="HBA515" s="379"/>
      <c r="HBB515" s="379"/>
      <c r="HBC515" s="13"/>
      <c r="HBD515" s="13"/>
      <c r="HBE515" s="193"/>
      <c r="HBF515" s="379"/>
      <c r="HBG515" s="379"/>
      <c r="HBH515" s="379"/>
      <c r="HBI515" s="379"/>
      <c r="HBJ515" s="379"/>
      <c r="HBK515" s="13"/>
      <c r="HBL515" s="13"/>
      <c r="HBM515" s="193"/>
      <c r="HBN515" s="379"/>
      <c r="HBO515" s="379"/>
      <c r="HBP515" s="379"/>
      <c r="HBQ515" s="379"/>
      <c r="HBR515" s="379"/>
      <c r="HBS515" s="13"/>
      <c r="HBT515" s="13"/>
      <c r="HBU515" s="193"/>
      <c r="HBV515" s="379"/>
      <c r="HBW515" s="379"/>
      <c r="HBX515" s="379"/>
      <c r="HBY515" s="379"/>
      <c r="HBZ515" s="379"/>
      <c r="HCA515" s="13"/>
      <c r="HCB515" s="13"/>
      <c r="HCC515" s="193"/>
      <c r="HCD515" s="379"/>
      <c r="HCE515" s="379"/>
      <c r="HCF515" s="379"/>
      <c r="HCG515" s="379"/>
      <c r="HCH515" s="379"/>
      <c r="HCI515" s="13"/>
      <c r="HCJ515" s="13"/>
      <c r="HCK515" s="193"/>
      <c r="HCL515" s="379"/>
      <c r="HCM515" s="379"/>
      <c r="HCN515" s="379"/>
      <c r="HCO515" s="379"/>
      <c r="HCP515" s="379"/>
      <c r="HCQ515" s="13"/>
      <c r="HCR515" s="13"/>
      <c r="HCS515" s="193"/>
      <c r="HCT515" s="379"/>
      <c r="HCU515" s="379"/>
      <c r="HCV515" s="379"/>
      <c r="HCW515" s="379"/>
      <c r="HCX515" s="379"/>
      <c r="HCY515" s="13"/>
      <c r="HCZ515" s="13"/>
      <c r="HDA515" s="193"/>
      <c r="HDB515" s="379"/>
      <c r="HDC515" s="379"/>
      <c r="HDD515" s="379"/>
      <c r="HDE515" s="379"/>
      <c r="HDF515" s="379"/>
      <c r="HDG515" s="13"/>
      <c r="HDH515" s="13"/>
      <c r="HDI515" s="193"/>
      <c r="HDJ515" s="379"/>
      <c r="HDK515" s="379"/>
      <c r="HDL515" s="379"/>
      <c r="HDM515" s="379"/>
      <c r="HDN515" s="379"/>
      <c r="HDO515" s="13"/>
      <c r="HDP515" s="13"/>
      <c r="HDQ515" s="193"/>
      <c r="HDR515" s="379"/>
      <c r="HDS515" s="379"/>
      <c r="HDT515" s="379"/>
      <c r="HDU515" s="379"/>
      <c r="HDV515" s="379"/>
      <c r="HDW515" s="13"/>
      <c r="HDX515" s="13"/>
      <c r="HDY515" s="193"/>
      <c r="HDZ515" s="379"/>
      <c r="HEA515" s="379"/>
      <c r="HEB515" s="379"/>
      <c r="HEC515" s="379"/>
      <c r="HED515" s="379"/>
      <c r="HEE515" s="13"/>
      <c r="HEF515" s="13"/>
      <c r="HEG515" s="193"/>
      <c r="HEH515" s="379"/>
      <c r="HEI515" s="379"/>
      <c r="HEJ515" s="379"/>
      <c r="HEK515" s="379"/>
      <c r="HEL515" s="379"/>
      <c r="HEM515" s="13"/>
      <c r="HEN515" s="13"/>
      <c r="HEO515" s="193"/>
      <c r="HEP515" s="379"/>
      <c r="HEQ515" s="379"/>
      <c r="HER515" s="379"/>
      <c r="HES515" s="379"/>
      <c r="HET515" s="379"/>
      <c r="HEU515" s="13"/>
      <c r="HEV515" s="13"/>
      <c r="HEW515" s="193"/>
      <c r="HEX515" s="379"/>
      <c r="HEY515" s="379"/>
      <c r="HEZ515" s="379"/>
      <c r="HFA515" s="379"/>
      <c r="HFB515" s="379"/>
      <c r="HFC515" s="13"/>
      <c r="HFD515" s="13"/>
      <c r="HFE515" s="193"/>
      <c r="HFF515" s="379"/>
      <c r="HFG515" s="379"/>
      <c r="HFH515" s="379"/>
      <c r="HFI515" s="379"/>
      <c r="HFJ515" s="379"/>
      <c r="HFK515" s="13"/>
      <c r="HFL515" s="13"/>
      <c r="HFM515" s="193"/>
      <c r="HFN515" s="379"/>
      <c r="HFO515" s="379"/>
      <c r="HFP515" s="379"/>
      <c r="HFQ515" s="379"/>
      <c r="HFR515" s="379"/>
      <c r="HFS515" s="13"/>
      <c r="HFT515" s="13"/>
      <c r="HFU515" s="193"/>
      <c r="HFV515" s="379"/>
      <c r="HFW515" s="379"/>
      <c r="HFX515" s="379"/>
      <c r="HFY515" s="379"/>
      <c r="HFZ515" s="379"/>
      <c r="HGA515" s="13"/>
      <c r="HGB515" s="13"/>
      <c r="HGC515" s="193"/>
      <c r="HGD515" s="379"/>
      <c r="HGE515" s="379"/>
      <c r="HGF515" s="379"/>
      <c r="HGG515" s="379"/>
      <c r="HGH515" s="379"/>
      <c r="HGI515" s="13"/>
      <c r="HGJ515" s="13"/>
      <c r="HGK515" s="193"/>
      <c r="HGL515" s="379"/>
      <c r="HGM515" s="379"/>
      <c r="HGN515" s="379"/>
      <c r="HGO515" s="379"/>
      <c r="HGP515" s="379"/>
      <c r="HGQ515" s="13"/>
      <c r="HGR515" s="13"/>
      <c r="HGS515" s="193"/>
      <c r="HGT515" s="379"/>
      <c r="HGU515" s="379"/>
      <c r="HGV515" s="379"/>
      <c r="HGW515" s="379"/>
      <c r="HGX515" s="379"/>
      <c r="HGY515" s="13"/>
      <c r="HGZ515" s="13"/>
      <c r="HHA515" s="193"/>
      <c r="HHB515" s="379"/>
      <c r="HHC515" s="379"/>
      <c r="HHD515" s="379"/>
      <c r="HHE515" s="379"/>
      <c r="HHF515" s="379"/>
      <c r="HHG515" s="13"/>
      <c r="HHH515" s="13"/>
      <c r="HHI515" s="193"/>
      <c r="HHJ515" s="379"/>
      <c r="HHK515" s="379"/>
      <c r="HHL515" s="379"/>
      <c r="HHM515" s="379"/>
      <c r="HHN515" s="379"/>
      <c r="HHO515" s="13"/>
      <c r="HHP515" s="13"/>
      <c r="HHQ515" s="193"/>
      <c r="HHR515" s="379"/>
      <c r="HHS515" s="379"/>
      <c r="HHT515" s="379"/>
      <c r="HHU515" s="379"/>
      <c r="HHV515" s="379"/>
      <c r="HHW515" s="13"/>
      <c r="HHX515" s="13"/>
      <c r="HHY515" s="193"/>
      <c r="HHZ515" s="379"/>
      <c r="HIA515" s="379"/>
      <c r="HIB515" s="379"/>
      <c r="HIC515" s="379"/>
      <c r="HID515" s="379"/>
      <c r="HIE515" s="13"/>
      <c r="HIF515" s="13"/>
      <c r="HIG515" s="193"/>
      <c r="HIH515" s="379"/>
      <c r="HII515" s="379"/>
      <c r="HIJ515" s="379"/>
      <c r="HIK515" s="379"/>
      <c r="HIL515" s="379"/>
      <c r="HIM515" s="13"/>
      <c r="HIN515" s="13"/>
      <c r="HIO515" s="193"/>
      <c r="HIP515" s="379"/>
      <c r="HIQ515" s="379"/>
      <c r="HIR515" s="379"/>
      <c r="HIS515" s="379"/>
      <c r="HIT515" s="379"/>
      <c r="HIU515" s="13"/>
      <c r="HIV515" s="13"/>
      <c r="HIW515" s="193"/>
      <c r="HIX515" s="379"/>
      <c r="HIY515" s="379"/>
      <c r="HIZ515" s="379"/>
      <c r="HJA515" s="379"/>
      <c r="HJB515" s="379"/>
      <c r="HJC515" s="13"/>
      <c r="HJD515" s="13"/>
      <c r="HJE515" s="193"/>
      <c r="HJF515" s="379"/>
      <c r="HJG515" s="379"/>
      <c r="HJH515" s="379"/>
      <c r="HJI515" s="379"/>
      <c r="HJJ515" s="379"/>
      <c r="HJK515" s="13"/>
      <c r="HJL515" s="13"/>
      <c r="HJM515" s="193"/>
      <c r="HJN515" s="379"/>
      <c r="HJO515" s="379"/>
      <c r="HJP515" s="379"/>
      <c r="HJQ515" s="379"/>
      <c r="HJR515" s="379"/>
      <c r="HJS515" s="13"/>
      <c r="HJT515" s="13"/>
      <c r="HJU515" s="193"/>
      <c r="HJV515" s="379"/>
      <c r="HJW515" s="379"/>
      <c r="HJX515" s="379"/>
      <c r="HJY515" s="379"/>
      <c r="HJZ515" s="379"/>
      <c r="HKA515" s="13"/>
      <c r="HKB515" s="13"/>
      <c r="HKC515" s="193"/>
      <c r="HKD515" s="379"/>
      <c r="HKE515" s="379"/>
      <c r="HKF515" s="379"/>
      <c r="HKG515" s="379"/>
      <c r="HKH515" s="379"/>
      <c r="HKI515" s="13"/>
      <c r="HKJ515" s="13"/>
      <c r="HKK515" s="193"/>
      <c r="HKL515" s="379"/>
      <c r="HKM515" s="379"/>
      <c r="HKN515" s="379"/>
      <c r="HKO515" s="379"/>
      <c r="HKP515" s="379"/>
      <c r="HKQ515" s="13"/>
      <c r="HKR515" s="13"/>
      <c r="HKS515" s="193"/>
      <c r="HKT515" s="379"/>
      <c r="HKU515" s="379"/>
      <c r="HKV515" s="379"/>
      <c r="HKW515" s="379"/>
      <c r="HKX515" s="379"/>
      <c r="HKY515" s="13"/>
      <c r="HKZ515" s="13"/>
      <c r="HLA515" s="193"/>
      <c r="HLB515" s="379"/>
      <c r="HLC515" s="379"/>
      <c r="HLD515" s="379"/>
      <c r="HLE515" s="379"/>
      <c r="HLF515" s="379"/>
      <c r="HLG515" s="13"/>
      <c r="HLH515" s="13"/>
      <c r="HLI515" s="193"/>
      <c r="HLJ515" s="379"/>
      <c r="HLK515" s="379"/>
      <c r="HLL515" s="379"/>
      <c r="HLM515" s="379"/>
      <c r="HLN515" s="379"/>
      <c r="HLO515" s="13"/>
      <c r="HLP515" s="13"/>
      <c r="HLQ515" s="193"/>
      <c r="HLR515" s="379"/>
      <c r="HLS515" s="379"/>
      <c r="HLT515" s="379"/>
      <c r="HLU515" s="379"/>
      <c r="HLV515" s="379"/>
      <c r="HLW515" s="13"/>
      <c r="HLX515" s="13"/>
      <c r="HLY515" s="193"/>
      <c r="HLZ515" s="379"/>
      <c r="HMA515" s="379"/>
      <c r="HMB515" s="379"/>
      <c r="HMC515" s="379"/>
      <c r="HMD515" s="379"/>
      <c r="HME515" s="13"/>
      <c r="HMF515" s="13"/>
      <c r="HMG515" s="193"/>
      <c r="HMH515" s="379"/>
      <c r="HMI515" s="379"/>
      <c r="HMJ515" s="379"/>
      <c r="HMK515" s="379"/>
      <c r="HML515" s="379"/>
      <c r="HMM515" s="13"/>
      <c r="HMN515" s="13"/>
      <c r="HMO515" s="193"/>
      <c r="HMP515" s="379"/>
      <c r="HMQ515" s="379"/>
      <c r="HMR515" s="379"/>
      <c r="HMS515" s="379"/>
      <c r="HMT515" s="379"/>
      <c r="HMU515" s="13"/>
      <c r="HMV515" s="13"/>
      <c r="HMW515" s="193"/>
      <c r="HMX515" s="379"/>
      <c r="HMY515" s="379"/>
      <c r="HMZ515" s="379"/>
      <c r="HNA515" s="379"/>
      <c r="HNB515" s="379"/>
      <c r="HNC515" s="13"/>
      <c r="HND515" s="13"/>
      <c r="HNE515" s="193"/>
      <c r="HNF515" s="379"/>
      <c r="HNG515" s="379"/>
      <c r="HNH515" s="379"/>
      <c r="HNI515" s="379"/>
      <c r="HNJ515" s="379"/>
      <c r="HNK515" s="13"/>
      <c r="HNL515" s="13"/>
      <c r="HNM515" s="193"/>
      <c r="HNN515" s="379"/>
      <c r="HNO515" s="379"/>
      <c r="HNP515" s="379"/>
      <c r="HNQ515" s="379"/>
      <c r="HNR515" s="379"/>
      <c r="HNS515" s="13"/>
      <c r="HNT515" s="13"/>
      <c r="HNU515" s="193"/>
      <c r="HNV515" s="379"/>
      <c r="HNW515" s="379"/>
      <c r="HNX515" s="379"/>
      <c r="HNY515" s="379"/>
      <c r="HNZ515" s="379"/>
      <c r="HOA515" s="13"/>
      <c r="HOB515" s="13"/>
      <c r="HOC515" s="193"/>
      <c r="HOD515" s="379"/>
      <c r="HOE515" s="379"/>
      <c r="HOF515" s="379"/>
      <c r="HOG515" s="379"/>
      <c r="HOH515" s="379"/>
      <c r="HOI515" s="13"/>
      <c r="HOJ515" s="13"/>
      <c r="HOK515" s="193"/>
      <c r="HOL515" s="379"/>
      <c r="HOM515" s="379"/>
      <c r="HON515" s="379"/>
      <c r="HOO515" s="379"/>
      <c r="HOP515" s="379"/>
      <c r="HOQ515" s="13"/>
      <c r="HOR515" s="13"/>
      <c r="HOS515" s="193"/>
      <c r="HOT515" s="379"/>
      <c r="HOU515" s="379"/>
      <c r="HOV515" s="379"/>
      <c r="HOW515" s="379"/>
      <c r="HOX515" s="379"/>
      <c r="HOY515" s="13"/>
      <c r="HOZ515" s="13"/>
      <c r="HPA515" s="193"/>
      <c r="HPB515" s="379"/>
      <c r="HPC515" s="379"/>
      <c r="HPD515" s="379"/>
      <c r="HPE515" s="379"/>
      <c r="HPF515" s="379"/>
      <c r="HPG515" s="13"/>
      <c r="HPH515" s="13"/>
      <c r="HPI515" s="193"/>
      <c r="HPJ515" s="379"/>
      <c r="HPK515" s="379"/>
      <c r="HPL515" s="379"/>
      <c r="HPM515" s="379"/>
      <c r="HPN515" s="379"/>
      <c r="HPO515" s="13"/>
      <c r="HPP515" s="13"/>
      <c r="HPQ515" s="193"/>
      <c r="HPR515" s="379"/>
      <c r="HPS515" s="379"/>
      <c r="HPT515" s="379"/>
      <c r="HPU515" s="379"/>
      <c r="HPV515" s="379"/>
      <c r="HPW515" s="13"/>
      <c r="HPX515" s="13"/>
      <c r="HPY515" s="193"/>
      <c r="HPZ515" s="379"/>
      <c r="HQA515" s="379"/>
      <c r="HQB515" s="379"/>
      <c r="HQC515" s="379"/>
      <c r="HQD515" s="379"/>
      <c r="HQE515" s="13"/>
      <c r="HQF515" s="13"/>
      <c r="HQG515" s="193"/>
      <c r="HQH515" s="379"/>
      <c r="HQI515" s="379"/>
      <c r="HQJ515" s="379"/>
      <c r="HQK515" s="379"/>
      <c r="HQL515" s="379"/>
      <c r="HQM515" s="13"/>
      <c r="HQN515" s="13"/>
      <c r="HQO515" s="193"/>
      <c r="HQP515" s="379"/>
      <c r="HQQ515" s="379"/>
      <c r="HQR515" s="379"/>
      <c r="HQS515" s="379"/>
      <c r="HQT515" s="379"/>
      <c r="HQU515" s="13"/>
      <c r="HQV515" s="13"/>
      <c r="HQW515" s="193"/>
      <c r="HQX515" s="379"/>
      <c r="HQY515" s="379"/>
      <c r="HQZ515" s="379"/>
      <c r="HRA515" s="379"/>
      <c r="HRB515" s="379"/>
      <c r="HRC515" s="13"/>
      <c r="HRD515" s="13"/>
      <c r="HRE515" s="193"/>
      <c r="HRF515" s="379"/>
      <c r="HRG515" s="379"/>
      <c r="HRH515" s="379"/>
      <c r="HRI515" s="379"/>
      <c r="HRJ515" s="379"/>
      <c r="HRK515" s="13"/>
      <c r="HRL515" s="13"/>
      <c r="HRM515" s="193"/>
      <c r="HRN515" s="379"/>
      <c r="HRO515" s="379"/>
      <c r="HRP515" s="379"/>
      <c r="HRQ515" s="379"/>
      <c r="HRR515" s="379"/>
      <c r="HRS515" s="13"/>
      <c r="HRT515" s="13"/>
      <c r="HRU515" s="193"/>
      <c r="HRV515" s="379"/>
      <c r="HRW515" s="379"/>
      <c r="HRX515" s="379"/>
      <c r="HRY515" s="379"/>
      <c r="HRZ515" s="379"/>
      <c r="HSA515" s="13"/>
      <c r="HSB515" s="13"/>
      <c r="HSC515" s="193"/>
      <c r="HSD515" s="379"/>
      <c r="HSE515" s="379"/>
      <c r="HSF515" s="379"/>
      <c r="HSG515" s="379"/>
      <c r="HSH515" s="379"/>
      <c r="HSI515" s="13"/>
      <c r="HSJ515" s="13"/>
      <c r="HSK515" s="193"/>
      <c r="HSL515" s="379"/>
      <c r="HSM515" s="379"/>
      <c r="HSN515" s="379"/>
      <c r="HSO515" s="379"/>
      <c r="HSP515" s="379"/>
      <c r="HSQ515" s="13"/>
      <c r="HSR515" s="13"/>
      <c r="HSS515" s="193"/>
      <c r="HST515" s="379"/>
      <c r="HSU515" s="379"/>
      <c r="HSV515" s="379"/>
      <c r="HSW515" s="379"/>
      <c r="HSX515" s="379"/>
      <c r="HSY515" s="13"/>
      <c r="HSZ515" s="13"/>
      <c r="HTA515" s="193"/>
      <c r="HTB515" s="379"/>
      <c r="HTC515" s="379"/>
      <c r="HTD515" s="379"/>
      <c r="HTE515" s="379"/>
      <c r="HTF515" s="379"/>
      <c r="HTG515" s="13"/>
      <c r="HTH515" s="13"/>
      <c r="HTI515" s="193"/>
      <c r="HTJ515" s="379"/>
      <c r="HTK515" s="379"/>
      <c r="HTL515" s="379"/>
      <c r="HTM515" s="379"/>
      <c r="HTN515" s="379"/>
      <c r="HTO515" s="13"/>
      <c r="HTP515" s="13"/>
      <c r="HTQ515" s="193"/>
      <c r="HTR515" s="379"/>
      <c r="HTS515" s="379"/>
      <c r="HTT515" s="379"/>
      <c r="HTU515" s="379"/>
      <c r="HTV515" s="379"/>
      <c r="HTW515" s="13"/>
      <c r="HTX515" s="13"/>
      <c r="HTY515" s="193"/>
      <c r="HTZ515" s="379"/>
      <c r="HUA515" s="379"/>
      <c r="HUB515" s="379"/>
      <c r="HUC515" s="379"/>
      <c r="HUD515" s="379"/>
      <c r="HUE515" s="13"/>
      <c r="HUF515" s="13"/>
      <c r="HUG515" s="193"/>
      <c r="HUH515" s="379"/>
      <c r="HUI515" s="379"/>
      <c r="HUJ515" s="379"/>
      <c r="HUK515" s="379"/>
      <c r="HUL515" s="379"/>
      <c r="HUM515" s="13"/>
      <c r="HUN515" s="13"/>
      <c r="HUO515" s="193"/>
      <c r="HUP515" s="379"/>
      <c r="HUQ515" s="379"/>
      <c r="HUR515" s="379"/>
      <c r="HUS515" s="379"/>
      <c r="HUT515" s="379"/>
      <c r="HUU515" s="13"/>
      <c r="HUV515" s="13"/>
      <c r="HUW515" s="193"/>
      <c r="HUX515" s="379"/>
      <c r="HUY515" s="379"/>
      <c r="HUZ515" s="379"/>
      <c r="HVA515" s="379"/>
      <c r="HVB515" s="379"/>
      <c r="HVC515" s="13"/>
      <c r="HVD515" s="13"/>
      <c r="HVE515" s="193"/>
      <c r="HVF515" s="379"/>
      <c r="HVG515" s="379"/>
      <c r="HVH515" s="379"/>
      <c r="HVI515" s="379"/>
      <c r="HVJ515" s="379"/>
      <c r="HVK515" s="13"/>
      <c r="HVL515" s="13"/>
      <c r="HVM515" s="193"/>
      <c r="HVN515" s="379"/>
      <c r="HVO515" s="379"/>
      <c r="HVP515" s="379"/>
      <c r="HVQ515" s="379"/>
      <c r="HVR515" s="379"/>
      <c r="HVS515" s="13"/>
      <c r="HVT515" s="13"/>
      <c r="HVU515" s="193"/>
      <c r="HVV515" s="379"/>
      <c r="HVW515" s="379"/>
      <c r="HVX515" s="379"/>
      <c r="HVY515" s="379"/>
      <c r="HVZ515" s="379"/>
      <c r="HWA515" s="13"/>
      <c r="HWB515" s="13"/>
      <c r="HWC515" s="193"/>
      <c r="HWD515" s="379"/>
      <c r="HWE515" s="379"/>
      <c r="HWF515" s="379"/>
      <c r="HWG515" s="379"/>
      <c r="HWH515" s="379"/>
      <c r="HWI515" s="13"/>
      <c r="HWJ515" s="13"/>
      <c r="HWK515" s="193"/>
      <c r="HWL515" s="379"/>
      <c r="HWM515" s="379"/>
      <c r="HWN515" s="379"/>
      <c r="HWO515" s="379"/>
      <c r="HWP515" s="379"/>
      <c r="HWQ515" s="13"/>
      <c r="HWR515" s="13"/>
      <c r="HWS515" s="193"/>
      <c r="HWT515" s="379"/>
      <c r="HWU515" s="379"/>
      <c r="HWV515" s="379"/>
      <c r="HWW515" s="379"/>
      <c r="HWX515" s="379"/>
      <c r="HWY515" s="13"/>
      <c r="HWZ515" s="13"/>
      <c r="HXA515" s="193"/>
      <c r="HXB515" s="379"/>
      <c r="HXC515" s="379"/>
      <c r="HXD515" s="379"/>
      <c r="HXE515" s="379"/>
      <c r="HXF515" s="379"/>
      <c r="HXG515" s="13"/>
      <c r="HXH515" s="13"/>
      <c r="HXI515" s="193"/>
      <c r="HXJ515" s="379"/>
      <c r="HXK515" s="379"/>
      <c r="HXL515" s="379"/>
      <c r="HXM515" s="379"/>
      <c r="HXN515" s="379"/>
      <c r="HXO515" s="13"/>
      <c r="HXP515" s="13"/>
      <c r="HXQ515" s="193"/>
      <c r="HXR515" s="379"/>
      <c r="HXS515" s="379"/>
      <c r="HXT515" s="379"/>
      <c r="HXU515" s="379"/>
      <c r="HXV515" s="379"/>
      <c r="HXW515" s="13"/>
      <c r="HXX515" s="13"/>
      <c r="HXY515" s="193"/>
      <c r="HXZ515" s="379"/>
      <c r="HYA515" s="379"/>
      <c r="HYB515" s="379"/>
      <c r="HYC515" s="379"/>
      <c r="HYD515" s="379"/>
      <c r="HYE515" s="13"/>
      <c r="HYF515" s="13"/>
      <c r="HYG515" s="193"/>
      <c r="HYH515" s="379"/>
      <c r="HYI515" s="379"/>
      <c r="HYJ515" s="379"/>
      <c r="HYK515" s="379"/>
      <c r="HYL515" s="379"/>
      <c r="HYM515" s="13"/>
      <c r="HYN515" s="13"/>
      <c r="HYO515" s="193"/>
      <c r="HYP515" s="379"/>
      <c r="HYQ515" s="379"/>
      <c r="HYR515" s="379"/>
      <c r="HYS515" s="379"/>
      <c r="HYT515" s="379"/>
      <c r="HYU515" s="13"/>
      <c r="HYV515" s="13"/>
      <c r="HYW515" s="193"/>
      <c r="HYX515" s="379"/>
      <c r="HYY515" s="379"/>
      <c r="HYZ515" s="379"/>
      <c r="HZA515" s="379"/>
      <c r="HZB515" s="379"/>
      <c r="HZC515" s="13"/>
      <c r="HZD515" s="13"/>
      <c r="HZE515" s="193"/>
      <c r="HZF515" s="379"/>
      <c r="HZG515" s="379"/>
      <c r="HZH515" s="379"/>
      <c r="HZI515" s="379"/>
      <c r="HZJ515" s="379"/>
      <c r="HZK515" s="13"/>
      <c r="HZL515" s="13"/>
      <c r="HZM515" s="193"/>
      <c r="HZN515" s="379"/>
      <c r="HZO515" s="379"/>
      <c r="HZP515" s="379"/>
      <c r="HZQ515" s="379"/>
      <c r="HZR515" s="379"/>
      <c r="HZS515" s="13"/>
      <c r="HZT515" s="13"/>
      <c r="HZU515" s="193"/>
      <c r="HZV515" s="379"/>
      <c r="HZW515" s="379"/>
      <c r="HZX515" s="379"/>
      <c r="HZY515" s="379"/>
      <c r="HZZ515" s="379"/>
      <c r="IAA515" s="13"/>
      <c r="IAB515" s="13"/>
      <c r="IAC515" s="193"/>
      <c r="IAD515" s="379"/>
      <c r="IAE515" s="379"/>
      <c r="IAF515" s="379"/>
      <c r="IAG515" s="379"/>
      <c r="IAH515" s="379"/>
      <c r="IAI515" s="13"/>
      <c r="IAJ515" s="13"/>
      <c r="IAK515" s="193"/>
      <c r="IAL515" s="379"/>
      <c r="IAM515" s="379"/>
      <c r="IAN515" s="379"/>
      <c r="IAO515" s="379"/>
      <c r="IAP515" s="379"/>
      <c r="IAQ515" s="13"/>
      <c r="IAR515" s="13"/>
      <c r="IAS515" s="193"/>
      <c r="IAT515" s="379"/>
      <c r="IAU515" s="379"/>
      <c r="IAV515" s="379"/>
      <c r="IAW515" s="379"/>
      <c r="IAX515" s="379"/>
      <c r="IAY515" s="13"/>
      <c r="IAZ515" s="13"/>
      <c r="IBA515" s="193"/>
      <c r="IBB515" s="379"/>
      <c r="IBC515" s="379"/>
      <c r="IBD515" s="379"/>
      <c r="IBE515" s="379"/>
      <c r="IBF515" s="379"/>
      <c r="IBG515" s="13"/>
      <c r="IBH515" s="13"/>
      <c r="IBI515" s="193"/>
      <c r="IBJ515" s="379"/>
      <c r="IBK515" s="379"/>
      <c r="IBL515" s="379"/>
      <c r="IBM515" s="379"/>
      <c r="IBN515" s="379"/>
      <c r="IBO515" s="13"/>
      <c r="IBP515" s="13"/>
      <c r="IBQ515" s="193"/>
      <c r="IBR515" s="379"/>
      <c r="IBS515" s="379"/>
      <c r="IBT515" s="379"/>
      <c r="IBU515" s="379"/>
      <c r="IBV515" s="379"/>
      <c r="IBW515" s="13"/>
      <c r="IBX515" s="13"/>
      <c r="IBY515" s="193"/>
      <c r="IBZ515" s="379"/>
      <c r="ICA515" s="379"/>
      <c r="ICB515" s="379"/>
      <c r="ICC515" s="379"/>
      <c r="ICD515" s="379"/>
      <c r="ICE515" s="13"/>
      <c r="ICF515" s="13"/>
      <c r="ICG515" s="193"/>
      <c r="ICH515" s="379"/>
      <c r="ICI515" s="379"/>
      <c r="ICJ515" s="379"/>
      <c r="ICK515" s="379"/>
      <c r="ICL515" s="379"/>
      <c r="ICM515" s="13"/>
      <c r="ICN515" s="13"/>
      <c r="ICO515" s="193"/>
      <c r="ICP515" s="379"/>
      <c r="ICQ515" s="379"/>
      <c r="ICR515" s="379"/>
      <c r="ICS515" s="379"/>
      <c r="ICT515" s="379"/>
      <c r="ICU515" s="13"/>
      <c r="ICV515" s="13"/>
      <c r="ICW515" s="193"/>
      <c r="ICX515" s="379"/>
      <c r="ICY515" s="379"/>
      <c r="ICZ515" s="379"/>
      <c r="IDA515" s="379"/>
      <c r="IDB515" s="379"/>
      <c r="IDC515" s="13"/>
      <c r="IDD515" s="13"/>
      <c r="IDE515" s="193"/>
      <c r="IDF515" s="379"/>
      <c r="IDG515" s="379"/>
      <c r="IDH515" s="379"/>
      <c r="IDI515" s="379"/>
      <c r="IDJ515" s="379"/>
      <c r="IDK515" s="13"/>
      <c r="IDL515" s="13"/>
      <c r="IDM515" s="193"/>
      <c r="IDN515" s="379"/>
      <c r="IDO515" s="379"/>
      <c r="IDP515" s="379"/>
      <c r="IDQ515" s="379"/>
      <c r="IDR515" s="379"/>
      <c r="IDS515" s="13"/>
      <c r="IDT515" s="13"/>
      <c r="IDU515" s="193"/>
      <c r="IDV515" s="379"/>
      <c r="IDW515" s="379"/>
      <c r="IDX515" s="379"/>
      <c r="IDY515" s="379"/>
      <c r="IDZ515" s="379"/>
      <c r="IEA515" s="13"/>
      <c r="IEB515" s="13"/>
      <c r="IEC515" s="193"/>
      <c r="IED515" s="379"/>
      <c r="IEE515" s="379"/>
      <c r="IEF515" s="379"/>
      <c r="IEG515" s="379"/>
      <c r="IEH515" s="379"/>
      <c r="IEI515" s="13"/>
      <c r="IEJ515" s="13"/>
      <c r="IEK515" s="193"/>
      <c r="IEL515" s="379"/>
      <c r="IEM515" s="379"/>
      <c r="IEN515" s="379"/>
      <c r="IEO515" s="379"/>
      <c r="IEP515" s="379"/>
      <c r="IEQ515" s="13"/>
      <c r="IER515" s="13"/>
      <c r="IES515" s="193"/>
      <c r="IET515" s="379"/>
      <c r="IEU515" s="379"/>
      <c r="IEV515" s="379"/>
      <c r="IEW515" s="379"/>
      <c r="IEX515" s="379"/>
      <c r="IEY515" s="13"/>
      <c r="IEZ515" s="13"/>
      <c r="IFA515" s="193"/>
      <c r="IFB515" s="379"/>
      <c r="IFC515" s="379"/>
      <c r="IFD515" s="379"/>
      <c r="IFE515" s="379"/>
      <c r="IFF515" s="379"/>
      <c r="IFG515" s="13"/>
      <c r="IFH515" s="13"/>
      <c r="IFI515" s="193"/>
      <c r="IFJ515" s="379"/>
      <c r="IFK515" s="379"/>
      <c r="IFL515" s="379"/>
      <c r="IFM515" s="379"/>
      <c r="IFN515" s="379"/>
      <c r="IFO515" s="13"/>
      <c r="IFP515" s="13"/>
      <c r="IFQ515" s="193"/>
      <c r="IFR515" s="379"/>
      <c r="IFS515" s="379"/>
      <c r="IFT515" s="379"/>
      <c r="IFU515" s="379"/>
      <c r="IFV515" s="379"/>
      <c r="IFW515" s="13"/>
      <c r="IFX515" s="13"/>
      <c r="IFY515" s="193"/>
      <c r="IFZ515" s="379"/>
      <c r="IGA515" s="379"/>
      <c r="IGB515" s="379"/>
      <c r="IGC515" s="379"/>
      <c r="IGD515" s="379"/>
      <c r="IGE515" s="13"/>
      <c r="IGF515" s="13"/>
      <c r="IGG515" s="193"/>
      <c r="IGH515" s="379"/>
      <c r="IGI515" s="379"/>
      <c r="IGJ515" s="379"/>
      <c r="IGK515" s="379"/>
      <c r="IGL515" s="379"/>
      <c r="IGM515" s="13"/>
      <c r="IGN515" s="13"/>
      <c r="IGO515" s="193"/>
      <c r="IGP515" s="379"/>
      <c r="IGQ515" s="379"/>
      <c r="IGR515" s="379"/>
      <c r="IGS515" s="379"/>
      <c r="IGT515" s="379"/>
      <c r="IGU515" s="13"/>
      <c r="IGV515" s="13"/>
      <c r="IGW515" s="193"/>
      <c r="IGX515" s="379"/>
      <c r="IGY515" s="379"/>
      <c r="IGZ515" s="379"/>
      <c r="IHA515" s="379"/>
      <c r="IHB515" s="379"/>
      <c r="IHC515" s="13"/>
      <c r="IHD515" s="13"/>
      <c r="IHE515" s="193"/>
      <c r="IHF515" s="379"/>
      <c r="IHG515" s="379"/>
      <c r="IHH515" s="379"/>
      <c r="IHI515" s="379"/>
      <c r="IHJ515" s="379"/>
      <c r="IHK515" s="13"/>
      <c r="IHL515" s="13"/>
      <c r="IHM515" s="193"/>
      <c r="IHN515" s="379"/>
      <c r="IHO515" s="379"/>
      <c r="IHP515" s="379"/>
      <c r="IHQ515" s="379"/>
      <c r="IHR515" s="379"/>
      <c r="IHS515" s="13"/>
      <c r="IHT515" s="13"/>
      <c r="IHU515" s="193"/>
      <c r="IHV515" s="379"/>
      <c r="IHW515" s="379"/>
      <c r="IHX515" s="379"/>
      <c r="IHY515" s="379"/>
      <c r="IHZ515" s="379"/>
      <c r="IIA515" s="13"/>
      <c r="IIB515" s="13"/>
      <c r="IIC515" s="193"/>
      <c r="IID515" s="379"/>
      <c r="IIE515" s="379"/>
      <c r="IIF515" s="379"/>
      <c r="IIG515" s="379"/>
      <c r="IIH515" s="379"/>
      <c r="III515" s="13"/>
      <c r="IIJ515" s="13"/>
      <c r="IIK515" s="193"/>
      <c r="IIL515" s="379"/>
      <c r="IIM515" s="379"/>
      <c r="IIN515" s="379"/>
      <c r="IIO515" s="379"/>
      <c r="IIP515" s="379"/>
      <c r="IIQ515" s="13"/>
      <c r="IIR515" s="13"/>
      <c r="IIS515" s="193"/>
      <c r="IIT515" s="379"/>
      <c r="IIU515" s="379"/>
      <c r="IIV515" s="379"/>
      <c r="IIW515" s="379"/>
      <c r="IIX515" s="379"/>
      <c r="IIY515" s="13"/>
      <c r="IIZ515" s="13"/>
      <c r="IJA515" s="193"/>
      <c r="IJB515" s="379"/>
      <c r="IJC515" s="379"/>
      <c r="IJD515" s="379"/>
      <c r="IJE515" s="379"/>
      <c r="IJF515" s="379"/>
      <c r="IJG515" s="13"/>
      <c r="IJH515" s="13"/>
      <c r="IJI515" s="193"/>
      <c r="IJJ515" s="379"/>
      <c r="IJK515" s="379"/>
      <c r="IJL515" s="379"/>
      <c r="IJM515" s="379"/>
      <c r="IJN515" s="379"/>
      <c r="IJO515" s="13"/>
      <c r="IJP515" s="13"/>
      <c r="IJQ515" s="193"/>
      <c r="IJR515" s="379"/>
      <c r="IJS515" s="379"/>
      <c r="IJT515" s="379"/>
      <c r="IJU515" s="379"/>
      <c r="IJV515" s="379"/>
      <c r="IJW515" s="13"/>
      <c r="IJX515" s="13"/>
      <c r="IJY515" s="193"/>
      <c r="IJZ515" s="379"/>
      <c r="IKA515" s="379"/>
      <c r="IKB515" s="379"/>
      <c r="IKC515" s="379"/>
      <c r="IKD515" s="379"/>
      <c r="IKE515" s="13"/>
      <c r="IKF515" s="13"/>
      <c r="IKG515" s="193"/>
      <c r="IKH515" s="379"/>
      <c r="IKI515" s="379"/>
      <c r="IKJ515" s="379"/>
      <c r="IKK515" s="379"/>
      <c r="IKL515" s="379"/>
      <c r="IKM515" s="13"/>
      <c r="IKN515" s="13"/>
      <c r="IKO515" s="193"/>
      <c r="IKP515" s="379"/>
      <c r="IKQ515" s="379"/>
      <c r="IKR515" s="379"/>
      <c r="IKS515" s="379"/>
      <c r="IKT515" s="379"/>
      <c r="IKU515" s="13"/>
      <c r="IKV515" s="13"/>
      <c r="IKW515" s="193"/>
      <c r="IKX515" s="379"/>
      <c r="IKY515" s="379"/>
      <c r="IKZ515" s="379"/>
      <c r="ILA515" s="379"/>
      <c r="ILB515" s="379"/>
      <c r="ILC515" s="13"/>
      <c r="ILD515" s="13"/>
      <c r="ILE515" s="193"/>
      <c r="ILF515" s="379"/>
      <c r="ILG515" s="379"/>
      <c r="ILH515" s="379"/>
      <c r="ILI515" s="379"/>
      <c r="ILJ515" s="379"/>
      <c r="ILK515" s="13"/>
      <c r="ILL515" s="13"/>
      <c r="ILM515" s="193"/>
      <c r="ILN515" s="379"/>
      <c r="ILO515" s="379"/>
      <c r="ILP515" s="379"/>
      <c r="ILQ515" s="379"/>
      <c r="ILR515" s="379"/>
      <c r="ILS515" s="13"/>
      <c r="ILT515" s="13"/>
      <c r="ILU515" s="193"/>
      <c r="ILV515" s="379"/>
      <c r="ILW515" s="379"/>
      <c r="ILX515" s="379"/>
      <c r="ILY515" s="379"/>
      <c r="ILZ515" s="379"/>
      <c r="IMA515" s="13"/>
      <c r="IMB515" s="13"/>
      <c r="IMC515" s="193"/>
      <c r="IMD515" s="379"/>
      <c r="IME515" s="379"/>
      <c r="IMF515" s="379"/>
      <c r="IMG515" s="379"/>
      <c r="IMH515" s="379"/>
      <c r="IMI515" s="13"/>
      <c r="IMJ515" s="13"/>
      <c r="IMK515" s="193"/>
      <c r="IML515" s="379"/>
      <c r="IMM515" s="379"/>
      <c r="IMN515" s="379"/>
      <c r="IMO515" s="379"/>
      <c r="IMP515" s="379"/>
      <c r="IMQ515" s="13"/>
      <c r="IMR515" s="13"/>
      <c r="IMS515" s="193"/>
      <c r="IMT515" s="379"/>
      <c r="IMU515" s="379"/>
      <c r="IMV515" s="379"/>
      <c r="IMW515" s="379"/>
      <c r="IMX515" s="379"/>
      <c r="IMY515" s="13"/>
      <c r="IMZ515" s="13"/>
      <c r="INA515" s="193"/>
      <c r="INB515" s="379"/>
      <c r="INC515" s="379"/>
      <c r="IND515" s="379"/>
      <c r="INE515" s="379"/>
      <c r="INF515" s="379"/>
      <c r="ING515" s="13"/>
      <c r="INH515" s="13"/>
      <c r="INI515" s="193"/>
      <c r="INJ515" s="379"/>
      <c r="INK515" s="379"/>
      <c r="INL515" s="379"/>
      <c r="INM515" s="379"/>
      <c r="INN515" s="379"/>
      <c r="INO515" s="13"/>
      <c r="INP515" s="13"/>
      <c r="INQ515" s="193"/>
      <c r="INR515" s="379"/>
      <c r="INS515" s="379"/>
      <c r="INT515" s="379"/>
      <c r="INU515" s="379"/>
      <c r="INV515" s="379"/>
      <c r="INW515" s="13"/>
      <c r="INX515" s="13"/>
      <c r="INY515" s="193"/>
      <c r="INZ515" s="379"/>
      <c r="IOA515" s="379"/>
      <c r="IOB515" s="379"/>
      <c r="IOC515" s="379"/>
      <c r="IOD515" s="379"/>
      <c r="IOE515" s="13"/>
      <c r="IOF515" s="13"/>
      <c r="IOG515" s="193"/>
      <c r="IOH515" s="379"/>
      <c r="IOI515" s="379"/>
      <c r="IOJ515" s="379"/>
      <c r="IOK515" s="379"/>
      <c r="IOL515" s="379"/>
      <c r="IOM515" s="13"/>
      <c r="ION515" s="13"/>
      <c r="IOO515" s="193"/>
      <c r="IOP515" s="379"/>
      <c r="IOQ515" s="379"/>
      <c r="IOR515" s="379"/>
      <c r="IOS515" s="379"/>
      <c r="IOT515" s="379"/>
      <c r="IOU515" s="13"/>
      <c r="IOV515" s="13"/>
      <c r="IOW515" s="193"/>
      <c r="IOX515" s="379"/>
      <c r="IOY515" s="379"/>
      <c r="IOZ515" s="379"/>
      <c r="IPA515" s="379"/>
      <c r="IPB515" s="379"/>
      <c r="IPC515" s="13"/>
      <c r="IPD515" s="13"/>
      <c r="IPE515" s="193"/>
      <c r="IPF515" s="379"/>
      <c r="IPG515" s="379"/>
      <c r="IPH515" s="379"/>
      <c r="IPI515" s="379"/>
      <c r="IPJ515" s="379"/>
      <c r="IPK515" s="13"/>
      <c r="IPL515" s="13"/>
      <c r="IPM515" s="193"/>
      <c r="IPN515" s="379"/>
      <c r="IPO515" s="379"/>
      <c r="IPP515" s="379"/>
      <c r="IPQ515" s="379"/>
      <c r="IPR515" s="379"/>
      <c r="IPS515" s="13"/>
      <c r="IPT515" s="13"/>
      <c r="IPU515" s="193"/>
      <c r="IPV515" s="379"/>
      <c r="IPW515" s="379"/>
      <c r="IPX515" s="379"/>
      <c r="IPY515" s="379"/>
      <c r="IPZ515" s="379"/>
      <c r="IQA515" s="13"/>
      <c r="IQB515" s="13"/>
      <c r="IQC515" s="193"/>
      <c r="IQD515" s="379"/>
      <c r="IQE515" s="379"/>
      <c r="IQF515" s="379"/>
      <c r="IQG515" s="379"/>
      <c r="IQH515" s="379"/>
      <c r="IQI515" s="13"/>
      <c r="IQJ515" s="13"/>
      <c r="IQK515" s="193"/>
      <c r="IQL515" s="379"/>
      <c r="IQM515" s="379"/>
      <c r="IQN515" s="379"/>
      <c r="IQO515" s="379"/>
      <c r="IQP515" s="379"/>
      <c r="IQQ515" s="13"/>
      <c r="IQR515" s="13"/>
      <c r="IQS515" s="193"/>
      <c r="IQT515" s="379"/>
      <c r="IQU515" s="379"/>
      <c r="IQV515" s="379"/>
      <c r="IQW515" s="379"/>
      <c r="IQX515" s="379"/>
      <c r="IQY515" s="13"/>
      <c r="IQZ515" s="13"/>
      <c r="IRA515" s="193"/>
      <c r="IRB515" s="379"/>
      <c r="IRC515" s="379"/>
      <c r="IRD515" s="379"/>
      <c r="IRE515" s="379"/>
      <c r="IRF515" s="379"/>
      <c r="IRG515" s="13"/>
      <c r="IRH515" s="13"/>
      <c r="IRI515" s="193"/>
      <c r="IRJ515" s="379"/>
      <c r="IRK515" s="379"/>
      <c r="IRL515" s="379"/>
      <c r="IRM515" s="379"/>
      <c r="IRN515" s="379"/>
      <c r="IRO515" s="13"/>
      <c r="IRP515" s="13"/>
      <c r="IRQ515" s="193"/>
      <c r="IRR515" s="379"/>
      <c r="IRS515" s="379"/>
      <c r="IRT515" s="379"/>
      <c r="IRU515" s="379"/>
      <c r="IRV515" s="379"/>
      <c r="IRW515" s="13"/>
      <c r="IRX515" s="13"/>
      <c r="IRY515" s="193"/>
      <c r="IRZ515" s="379"/>
      <c r="ISA515" s="379"/>
      <c r="ISB515" s="379"/>
      <c r="ISC515" s="379"/>
      <c r="ISD515" s="379"/>
      <c r="ISE515" s="13"/>
      <c r="ISF515" s="13"/>
      <c r="ISG515" s="193"/>
      <c r="ISH515" s="379"/>
      <c r="ISI515" s="379"/>
      <c r="ISJ515" s="379"/>
      <c r="ISK515" s="379"/>
      <c r="ISL515" s="379"/>
      <c r="ISM515" s="13"/>
      <c r="ISN515" s="13"/>
      <c r="ISO515" s="193"/>
      <c r="ISP515" s="379"/>
      <c r="ISQ515" s="379"/>
      <c r="ISR515" s="379"/>
      <c r="ISS515" s="379"/>
      <c r="IST515" s="379"/>
      <c r="ISU515" s="13"/>
      <c r="ISV515" s="13"/>
      <c r="ISW515" s="193"/>
      <c r="ISX515" s="379"/>
      <c r="ISY515" s="379"/>
      <c r="ISZ515" s="379"/>
      <c r="ITA515" s="379"/>
      <c r="ITB515" s="379"/>
      <c r="ITC515" s="13"/>
      <c r="ITD515" s="13"/>
      <c r="ITE515" s="193"/>
      <c r="ITF515" s="379"/>
      <c r="ITG515" s="379"/>
      <c r="ITH515" s="379"/>
      <c r="ITI515" s="379"/>
      <c r="ITJ515" s="379"/>
      <c r="ITK515" s="13"/>
      <c r="ITL515" s="13"/>
      <c r="ITM515" s="193"/>
      <c r="ITN515" s="379"/>
      <c r="ITO515" s="379"/>
      <c r="ITP515" s="379"/>
      <c r="ITQ515" s="379"/>
      <c r="ITR515" s="379"/>
      <c r="ITS515" s="13"/>
      <c r="ITT515" s="13"/>
      <c r="ITU515" s="193"/>
      <c r="ITV515" s="379"/>
      <c r="ITW515" s="379"/>
      <c r="ITX515" s="379"/>
      <c r="ITY515" s="379"/>
      <c r="ITZ515" s="379"/>
      <c r="IUA515" s="13"/>
      <c r="IUB515" s="13"/>
      <c r="IUC515" s="193"/>
      <c r="IUD515" s="379"/>
      <c r="IUE515" s="379"/>
      <c r="IUF515" s="379"/>
      <c r="IUG515" s="379"/>
      <c r="IUH515" s="379"/>
      <c r="IUI515" s="13"/>
      <c r="IUJ515" s="13"/>
      <c r="IUK515" s="193"/>
      <c r="IUL515" s="379"/>
      <c r="IUM515" s="379"/>
      <c r="IUN515" s="379"/>
      <c r="IUO515" s="379"/>
      <c r="IUP515" s="379"/>
      <c r="IUQ515" s="13"/>
      <c r="IUR515" s="13"/>
      <c r="IUS515" s="193"/>
      <c r="IUT515" s="379"/>
      <c r="IUU515" s="379"/>
      <c r="IUV515" s="379"/>
      <c r="IUW515" s="379"/>
      <c r="IUX515" s="379"/>
      <c r="IUY515" s="13"/>
      <c r="IUZ515" s="13"/>
      <c r="IVA515" s="193"/>
      <c r="IVB515" s="379"/>
      <c r="IVC515" s="379"/>
      <c r="IVD515" s="379"/>
      <c r="IVE515" s="379"/>
      <c r="IVF515" s="379"/>
      <c r="IVG515" s="13"/>
      <c r="IVH515" s="13"/>
      <c r="IVI515" s="193"/>
      <c r="IVJ515" s="379"/>
      <c r="IVK515" s="379"/>
      <c r="IVL515" s="379"/>
      <c r="IVM515" s="379"/>
      <c r="IVN515" s="379"/>
      <c r="IVO515" s="13"/>
      <c r="IVP515" s="13"/>
      <c r="IVQ515" s="193"/>
      <c r="IVR515" s="379"/>
      <c r="IVS515" s="379"/>
      <c r="IVT515" s="379"/>
      <c r="IVU515" s="379"/>
      <c r="IVV515" s="379"/>
      <c r="IVW515" s="13"/>
      <c r="IVX515" s="13"/>
      <c r="IVY515" s="193"/>
      <c r="IVZ515" s="379"/>
      <c r="IWA515" s="379"/>
      <c r="IWB515" s="379"/>
      <c r="IWC515" s="379"/>
      <c r="IWD515" s="379"/>
      <c r="IWE515" s="13"/>
      <c r="IWF515" s="13"/>
      <c r="IWG515" s="193"/>
      <c r="IWH515" s="379"/>
      <c r="IWI515" s="379"/>
      <c r="IWJ515" s="379"/>
      <c r="IWK515" s="379"/>
      <c r="IWL515" s="379"/>
      <c r="IWM515" s="13"/>
      <c r="IWN515" s="13"/>
      <c r="IWO515" s="193"/>
      <c r="IWP515" s="379"/>
      <c r="IWQ515" s="379"/>
      <c r="IWR515" s="379"/>
      <c r="IWS515" s="379"/>
      <c r="IWT515" s="379"/>
      <c r="IWU515" s="13"/>
      <c r="IWV515" s="13"/>
      <c r="IWW515" s="193"/>
      <c r="IWX515" s="379"/>
      <c r="IWY515" s="379"/>
      <c r="IWZ515" s="379"/>
      <c r="IXA515" s="379"/>
      <c r="IXB515" s="379"/>
      <c r="IXC515" s="13"/>
      <c r="IXD515" s="13"/>
      <c r="IXE515" s="193"/>
      <c r="IXF515" s="379"/>
      <c r="IXG515" s="379"/>
      <c r="IXH515" s="379"/>
      <c r="IXI515" s="379"/>
      <c r="IXJ515" s="379"/>
      <c r="IXK515" s="13"/>
      <c r="IXL515" s="13"/>
      <c r="IXM515" s="193"/>
      <c r="IXN515" s="379"/>
      <c r="IXO515" s="379"/>
      <c r="IXP515" s="379"/>
      <c r="IXQ515" s="379"/>
      <c r="IXR515" s="379"/>
      <c r="IXS515" s="13"/>
      <c r="IXT515" s="13"/>
      <c r="IXU515" s="193"/>
      <c r="IXV515" s="379"/>
      <c r="IXW515" s="379"/>
      <c r="IXX515" s="379"/>
      <c r="IXY515" s="379"/>
      <c r="IXZ515" s="379"/>
      <c r="IYA515" s="13"/>
      <c r="IYB515" s="13"/>
      <c r="IYC515" s="193"/>
      <c r="IYD515" s="379"/>
      <c r="IYE515" s="379"/>
      <c r="IYF515" s="379"/>
      <c r="IYG515" s="379"/>
      <c r="IYH515" s="379"/>
      <c r="IYI515" s="13"/>
      <c r="IYJ515" s="13"/>
      <c r="IYK515" s="193"/>
      <c r="IYL515" s="379"/>
      <c r="IYM515" s="379"/>
      <c r="IYN515" s="379"/>
      <c r="IYO515" s="379"/>
      <c r="IYP515" s="379"/>
      <c r="IYQ515" s="13"/>
      <c r="IYR515" s="13"/>
      <c r="IYS515" s="193"/>
      <c r="IYT515" s="379"/>
      <c r="IYU515" s="379"/>
      <c r="IYV515" s="379"/>
      <c r="IYW515" s="379"/>
      <c r="IYX515" s="379"/>
      <c r="IYY515" s="13"/>
      <c r="IYZ515" s="13"/>
      <c r="IZA515" s="193"/>
      <c r="IZB515" s="379"/>
      <c r="IZC515" s="379"/>
      <c r="IZD515" s="379"/>
      <c r="IZE515" s="379"/>
      <c r="IZF515" s="379"/>
      <c r="IZG515" s="13"/>
      <c r="IZH515" s="13"/>
      <c r="IZI515" s="193"/>
      <c r="IZJ515" s="379"/>
      <c r="IZK515" s="379"/>
      <c r="IZL515" s="379"/>
      <c r="IZM515" s="379"/>
      <c r="IZN515" s="379"/>
      <c r="IZO515" s="13"/>
      <c r="IZP515" s="13"/>
      <c r="IZQ515" s="193"/>
      <c r="IZR515" s="379"/>
      <c r="IZS515" s="379"/>
      <c r="IZT515" s="379"/>
      <c r="IZU515" s="379"/>
      <c r="IZV515" s="379"/>
      <c r="IZW515" s="13"/>
      <c r="IZX515" s="13"/>
      <c r="IZY515" s="193"/>
      <c r="IZZ515" s="379"/>
      <c r="JAA515" s="379"/>
      <c r="JAB515" s="379"/>
      <c r="JAC515" s="379"/>
      <c r="JAD515" s="379"/>
      <c r="JAE515" s="13"/>
      <c r="JAF515" s="13"/>
      <c r="JAG515" s="193"/>
      <c r="JAH515" s="379"/>
      <c r="JAI515" s="379"/>
      <c r="JAJ515" s="379"/>
      <c r="JAK515" s="379"/>
      <c r="JAL515" s="379"/>
      <c r="JAM515" s="13"/>
      <c r="JAN515" s="13"/>
      <c r="JAO515" s="193"/>
      <c r="JAP515" s="379"/>
      <c r="JAQ515" s="379"/>
      <c r="JAR515" s="379"/>
      <c r="JAS515" s="379"/>
      <c r="JAT515" s="379"/>
      <c r="JAU515" s="13"/>
      <c r="JAV515" s="13"/>
      <c r="JAW515" s="193"/>
      <c r="JAX515" s="379"/>
      <c r="JAY515" s="379"/>
      <c r="JAZ515" s="379"/>
      <c r="JBA515" s="379"/>
      <c r="JBB515" s="379"/>
      <c r="JBC515" s="13"/>
      <c r="JBD515" s="13"/>
      <c r="JBE515" s="193"/>
      <c r="JBF515" s="379"/>
      <c r="JBG515" s="379"/>
      <c r="JBH515" s="379"/>
      <c r="JBI515" s="379"/>
      <c r="JBJ515" s="379"/>
      <c r="JBK515" s="13"/>
      <c r="JBL515" s="13"/>
      <c r="JBM515" s="193"/>
      <c r="JBN515" s="379"/>
      <c r="JBO515" s="379"/>
      <c r="JBP515" s="379"/>
      <c r="JBQ515" s="379"/>
      <c r="JBR515" s="379"/>
      <c r="JBS515" s="13"/>
      <c r="JBT515" s="13"/>
      <c r="JBU515" s="193"/>
      <c r="JBV515" s="379"/>
      <c r="JBW515" s="379"/>
      <c r="JBX515" s="379"/>
      <c r="JBY515" s="379"/>
      <c r="JBZ515" s="379"/>
      <c r="JCA515" s="13"/>
      <c r="JCB515" s="13"/>
      <c r="JCC515" s="193"/>
      <c r="JCD515" s="379"/>
      <c r="JCE515" s="379"/>
      <c r="JCF515" s="379"/>
      <c r="JCG515" s="379"/>
      <c r="JCH515" s="379"/>
      <c r="JCI515" s="13"/>
      <c r="JCJ515" s="13"/>
      <c r="JCK515" s="193"/>
      <c r="JCL515" s="379"/>
      <c r="JCM515" s="379"/>
      <c r="JCN515" s="379"/>
      <c r="JCO515" s="379"/>
      <c r="JCP515" s="379"/>
      <c r="JCQ515" s="13"/>
      <c r="JCR515" s="13"/>
      <c r="JCS515" s="193"/>
      <c r="JCT515" s="379"/>
      <c r="JCU515" s="379"/>
      <c r="JCV515" s="379"/>
      <c r="JCW515" s="379"/>
      <c r="JCX515" s="379"/>
      <c r="JCY515" s="13"/>
      <c r="JCZ515" s="13"/>
      <c r="JDA515" s="193"/>
      <c r="JDB515" s="379"/>
      <c r="JDC515" s="379"/>
      <c r="JDD515" s="379"/>
      <c r="JDE515" s="379"/>
      <c r="JDF515" s="379"/>
      <c r="JDG515" s="13"/>
      <c r="JDH515" s="13"/>
      <c r="JDI515" s="193"/>
      <c r="JDJ515" s="379"/>
      <c r="JDK515" s="379"/>
      <c r="JDL515" s="379"/>
      <c r="JDM515" s="379"/>
      <c r="JDN515" s="379"/>
      <c r="JDO515" s="13"/>
      <c r="JDP515" s="13"/>
      <c r="JDQ515" s="193"/>
      <c r="JDR515" s="379"/>
      <c r="JDS515" s="379"/>
      <c r="JDT515" s="379"/>
      <c r="JDU515" s="379"/>
      <c r="JDV515" s="379"/>
      <c r="JDW515" s="13"/>
      <c r="JDX515" s="13"/>
      <c r="JDY515" s="193"/>
      <c r="JDZ515" s="379"/>
      <c r="JEA515" s="379"/>
      <c r="JEB515" s="379"/>
      <c r="JEC515" s="379"/>
      <c r="JED515" s="379"/>
      <c r="JEE515" s="13"/>
      <c r="JEF515" s="13"/>
      <c r="JEG515" s="193"/>
      <c r="JEH515" s="379"/>
      <c r="JEI515" s="379"/>
      <c r="JEJ515" s="379"/>
      <c r="JEK515" s="379"/>
      <c r="JEL515" s="379"/>
      <c r="JEM515" s="13"/>
      <c r="JEN515" s="13"/>
      <c r="JEO515" s="193"/>
      <c r="JEP515" s="379"/>
      <c r="JEQ515" s="379"/>
      <c r="JER515" s="379"/>
      <c r="JES515" s="379"/>
      <c r="JET515" s="379"/>
      <c r="JEU515" s="13"/>
      <c r="JEV515" s="13"/>
      <c r="JEW515" s="193"/>
      <c r="JEX515" s="379"/>
      <c r="JEY515" s="379"/>
      <c r="JEZ515" s="379"/>
      <c r="JFA515" s="379"/>
      <c r="JFB515" s="379"/>
      <c r="JFC515" s="13"/>
      <c r="JFD515" s="13"/>
      <c r="JFE515" s="193"/>
      <c r="JFF515" s="379"/>
      <c r="JFG515" s="379"/>
      <c r="JFH515" s="379"/>
      <c r="JFI515" s="379"/>
      <c r="JFJ515" s="379"/>
      <c r="JFK515" s="13"/>
      <c r="JFL515" s="13"/>
      <c r="JFM515" s="193"/>
      <c r="JFN515" s="379"/>
      <c r="JFO515" s="379"/>
      <c r="JFP515" s="379"/>
      <c r="JFQ515" s="379"/>
      <c r="JFR515" s="379"/>
      <c r="JFS515" s="13"/>
      <c r="JFT515" s="13"/>
      <c r="JFU515" s="193"/>
      <c r="JFV515" s="379"/>
      <c r="JFW515" s="379"/>
      <c r="JFX515" s="379"/>
      <c r="JFY515" s="379"/>
      <c r="JFZ515" s="379"/>
      <c r="JGA515" s="13"/>
      <c r="JGB515" s="13"/>
      <c r="JGC515" s="193"/>
      <c r="JGD515" s="379"/>
      <c r="JGE515" s="379"/>
      <c r="JGF515" s="379"/>
      <c r="JGG515" s="379"/>
      <c r="JGH515" s="379"/>
      <c r="JGI515" s="13"/>
      <c r="JGJ515" s="13"/>
      <c r="JGK515" s="193"/>
      <c r="JGL515" s="379"/>
      <c r="JGM515" s="379"/>
      <c r="JGN515" s="379"/>
      <c r="JGO515" s="379"/>
      <c r="JGP515" s="379"/>
      <c r="JGQ515" s="13"/>
      <c r="JGR515" s="13"/>
      <c r="JGS515" s="193"/>
      <c r="JGT515" s="379"/>
      <c r="JGU515" s="379"/>
      <c r="JGV515" s="379"/>
      <c r="JGW515" s="379"/>
      <c r="JGX515" s="379"/>
      <c r="JGY515" s="13"/>
      <c r="JGZ515" s="13"/>
      <c r="JHA515" s="193"/>
      <c r="JHB515" s="379"/>
      <c r="JHC515" s="379"/>
      <c r="JHD515" s="379"/>
      <c r="JHE515" s="379"/>
      <c r="JHF515" s="379"/>
      <c r="JHG515" s="13"/>
      <c r="JHH515" s="13"/>
      <c r="JHI515" s="193"/>
      <c r="JHJ515" s="379"/>
      <c r="JHK515" s="379"/>
      <c r="JHL515" s="379"/>
      <c r="JHM515" s="379"/>
      <c r="JHN515" s="379"/>
      <c r="JHO515" s="13"/>
      <c r="JHP515" s="13"/>
      <c r="JHQ515" s="193"/>
      <c r="JHR515" s="379"/>
      <c r="JHS515" s="379"/>
      <c r="JHT515" s="379"/>
      <c r="JHU515" s="379"/>
      <c r="JHV515" s="379"/>
      <c r="JHW515" s="13"/>
      <c r="JHX515" s="13"/>
      <c r="JHY515" s="193"/>
      <c r="JHZ515" s="379"/>
      <c r="JIA515" s="379"/>
      <c r="JIB515" s="379"/>
      <c r="JIC515" s="379"/>
      <c r="JID515" s="379"/>
      <c r="JIE515" s="13"/>
      <c r="JIF515" s="13"/>
      <c r="JIG515" s="193"/>
      <c r="JIH515" s="379"/>
      <c r="JII515" s="379"/>
      <c r="JIJ515" s="379"/>
      <c r="JIK515" s="379"/>
      <c r="JIL515" s="379"/>
      <c r="JIM515" s="13"/>
      <c r="JIN515" s="13"/>
      <c r="JIO515" s="193"/>
      <c r="JIP515" s="379"/>
      <c r="JIQ515" s="379"/>
      <c r="JIR515" s="379"/>
      <c r="JIS515" s="379"/>
      <c r="JIT515" s="379"/>
      <c r="JIU515" s="13"/>
      <c r="JIV515" s="13"/>
      <c r="JIW515" s="193"/>
      <c r="JIX515" s="379"/>
      <c r="JIY515" s="379"/>
      <c r="JIZ515" s="379"/>
      <c r="JJA515" s="379"/>
      <c r="JJB515" s="379"/>
      <c r="JJC515" s="13"/>
      <c r="JJD515" s="13"/>
      <c r="JJE515" s="193"/>
      <c r="JJF515" s="379"/>
      <c r="JJG515" s="379"/>
      <c r="JJH515" s="379"/>
      <c r="JJI515" s="379"/>
      <c r="JJJ515" s="379"/>
      <c r="JJK515" s="13"/>
      <c r="JJL515" s="13"/>
      <c r="JJM515" s="193"/>
      <c r="JJN515" s="379"/>
      <c r="JJO515" s="379"/>
      <c r="JJP515" s="379"/>
      <c r="JJQ515" s="379"/>
      <c r="JJR515" s="379"/>
      <c r="JJS515" s="13"/>
      <c r="JJT515" s="13"/>
      <c r="JJU515" s="193"/>
      <c r="JJV515" s="379"/>
      <c r="JJW515" s="379"/>
      <c r="JJX515" s="379"/>
      <c r="JJY515" s="379"/>
      <c r="JJZ515" s="379"/>
      <c r="JKA515" s="13"/>
      <c r="JKB515" s="13"/>
      <c r="JKC515" s="193"/>
      <c r="JKD515" s="379"/>
      <c r="JKE515" s="379"/>
      <c r="JKF515" s="379"/>
      <c r="JKG515" s="379"/>
      <c r="JKH515" s="379"/>
      <c r="JKI515" s="13"/>
      <c r="JKJ515" s="13"/>
      <c r="JKK515" s="193"/>
      <c r="JKL515" s="379"/>
      <c r="JKM515" s="379"/>
      <c r="JKN515" s="379"/>
      <c r="JKO515" s="379"/>
      <c r="JKP515" s="379"/>
      <c r="JKQ515" s="13"/>
      <c r="JKR515" s="13"/>
      <c r="JKS515" s="193"/>
      <c r="JKT515" s="379"/>
      <c r="JKU515" s="379"/>
      <c r="JKV515" s="379"/>
      <c r="JKW515" s="379"/>
      <c r="JKX515" s="379"/>
      <c r="JKY515" s="13"/>
      <c r="JKZ515" s="13"/>
      <c r="JLA515" s="193"/>
      <c r="JLB515" s="379"/>
      <c r="JLC515" s="379"/>
      <c r="JLD515" s="379"/>
      <c r="JLE515" s="379"/>
      <c r="JLF515" s="379"/>
      <c r="JLG515" s="13"/>
      <c r="JLH515" s="13"/>
      <c r="JLI515" s="193"/>
      <c r="JLJ515" s="379"/>
      <c r="JLK515" s="379"/>
      <c r="JLL515" s="379"/>
      <c r="JLM515" s="379"/>
      <c r="JLN515" s="379"/>
      <c r="JLO515" s="13"/>
      <c r="JLP515" s="13"/>
      <c r="JLQ515" s="193"/>
      <c r="JLR515" s="379"/>
      <c r="JLS515" s="379"/>
      <c r="JLT515" s="379"/>
      <c r="JLU515" s="379"/>
      <c r="JLV515" s="379"/>
      <c r="JLW515" s="13"/>
      <c r="JLX515" s="13"/>
      <c r="JLY515" s="193"/>
      <c r="JLZ515" s="379"/>
      <c r="JMA515" s="379"/>
      <c r="JMB515" s="379"/>
      <c r="JMC515" s="379"/>
      <c r="JMD515" s="379"/>
      <c r="JME515" s="13"/>
      <c r="JMF515" s="13"/>
      <c r="JMG515" s="193"/>
      <c r="JMH515" s="379"/>
      <c r="JMI515" s="379"/>
      <c r="JMJ515" s="379"/>
      <c r="JMK515" s="379"/>
      <c r="JML515" s="379"/>
      <c r="JMM515" s="13"/>
      <c r="JMN515" s="13"/>
      <c r="JMO515" s="193"/>
      <c r="JMP515" s="379"/>
      <c r="JMQ515" s="379"/>
      <c r="JMR515" s="379"/>
      <c r="JMS515" s="379"/>
      <c r="JMT515" s="379"/>
      <c r="JMU515" s="13"/>
      <c r="JMV515" s="13"/>
      <c r="JMW515" s="193"/>
      <c r="JMX515" s="379"/>
      <c r="JMY515" s="379"/>
      <c r="JMZ515" s="379"/>
      <c r="JNA515" s="379"/>
      <c r="JNB515" s="379"/>
      <c r="JNC515" s="13"/>
      <c r="JND515" s="13"/>
      <c r="JNE515" s="193"/>
      <c r="JNF515" s="379"/>
      <c r="JNG515" s="379"/>
      <c r="JNH515" s="379"/>
      <c r="JNI515" s="379"/>
      <c r="JNJ515" s="379"/>
      <c r="JNK515" s="13"/>
      <c r="JNL515" s="13"/>
      <c r="JNM515" s="193"/>
      <c r="JNN515" s="379"/>
      <c r="JNO515" s="379"/>
      <c r="JNP515" s="379"/>
      <c r="JNQ515" s="379"/>
      <c r="JNR515" s="379"/>
      <c r="JNS515" s="13"/>
      <c r="JNT515" s="13"/>
      <c r="JNU515" s="193"/>
      <c r="JNV515" s="379"/>
      <c r="JNW515" s="379"/>
      <c r="JNX515" s="379"/>
      <c r="JNY515" s="379"/>
      <c r="JNZ515" s="379"/>
      <c r="JOA515" s="13"/>
      <c r="JOB515" s="13"/>
      <c r="JOC515" s="193"/>
      <c r="JOD515" s="379"/>
      <c r="JOE515" s="379"/>
      <c r="JOF515" s="379"/>
      <c r="JOG515" s="379"/>
      <c r="JOH515" s="379"/>
      <c r="JOI515" s="13"/>
      <c r="JOJ515" s="13"/>
      <c r="JOK515" s="193"/>
      <c r="JOL515" s="379"/>
      <c r="JOM515" s="379"/>
      <c r="JON515" s="379"/>
      <c r="JOO515" s="379"/>
      <c r="JOP515" s="379"/>
      <c r="JOQ515" s="13"/>
      <c r="JOR515" s="13"/>
      <c r="JOS515" s="193"/>
      <c r="JOT515" s="379"/>
      <c r="JOU515" s="379"/>
      <c r="JOV515" s="379"/>
      <c r="JOW515" s="379"/>
      <c r="JOX515" s="379"/>
      <c r="JOY515" s="13"/>
      <c r="JOZ515" s="13"/>
      <c r="JPA515" s="193"/>
      <c r="JPB515" s="379"/>
      <c r="JPC515" s="379"/>
      <c r="JPD515" s="379"/>
      <c r="JPE515" s="379"/>
      <c r="JPF515" s="379"/>
      <c r="JPG515" s="13"/>
      <c r="JPH515" s="13"/>
      <c r="JPI515" s="193"/>
      <c r="JPJ515" s="379"/>
      <c r="JPK515" s="379"/>
      <c r="JPL515" s="379"/>
      <c r="JPM515" s="379"/>
      <c r="JPN515" s="379"/>
      <c r="JPO515" s="13"/>
      <c r="JPP515" s="13"/>
      <c r="JPQ515" s="193"/>
      <c r="JPR515" s="379"/>
      <c r="JPS515" s="379"/>
      <c r="JPT515" s="379"/>
      <c r="JPU515" s="379"/>
      <c r="JPV515" s="379"/>
      <c r="JPW515" s="13"/>
      <c r="JPX515" s="13"/>
      <c r="JPY515" s="193"/>
      <c r="JPZ515" s="379"/>
      <c r="JQA515" s="379"/>
      <c r="JQB515" s="379"/>
      <c r="JQC515" s="379"/>
      <c r="JQD515" s="379"/>
      <c r="JQE515" s="13"/>
      <c r="JQF515" s="13"/>
      <c r="JQG515" s="193"/>
      <c r="JQH515" s="379"/>
      <c r="JQI515" s="379"/>
      <c r="JQJ515" s="379"/>
      <c r="JQK515" s="379"/>
      <c r="JQL515" s="379"/>
      <c r="JQM515" s="13"/>
      <c r="JQN515" s="13"/>
      <c r="JQO515" s="193"/>
      <c r="JQP515" s="379"/>
      <c r="JQQ515" s="379"/>
      <c r="JQR515" s="379"/>
      <c r="JQS515" s="379"/>
      <c r="JQT515" s="379"/>
      <c r="JQU515" s="13"/>
      <c r="JQV515" s="13"/>
      <c r="JQW515" s="193"/>
      <c r="JQX515" s="379"/>
      <c r="JQY515" s="379"/>
      <c r="JQZ515" s="379"/>
      <c r="JRA515" s="379"/>
      <c r="JRB515" s="379"/>
      <c r="JRC515" s="13"/>
      <c r="JRD515" s="13"/>
      <c r="JRE515" s="193"/>
      <c r="JRF515" s="379"/>
      <c r="JRG515" s="379"/>
      <c r="JRH515" s="379"/>
      <c r="JRI515" s="379"/>
      <c r="JRJ515" s="379"/>
      <c r="JRK515" s="13"/>
      <c r="JRL515" s="13"/>
      <c r="JRM515" s="193"/>
      <c r="JRN515" s="379"/>
      <c r="JRO515" s="379"/>
      <c r="JRP515" s="379"/>
      <c r="JRQ515" s="379"/>
      <c r="JRR515" s="379"/>
      <c r="JRS515" s="13"/>
      <c r="JRT515" s="13"/>
      <c r="JRU515" s="193"/>
      <c r="JRV515" s="379"/>
      <c r="JRW515" s="379"/>
      <c r="JRX515" s="379"/>
      <c r="JRY515" s="379"/>
      <c r="JRZ515" s="379"/>
      <c r="JSA515" s="13"/>
      <c r="JSB515" s="13"/>
      <c r="JSC515" s="193"/>
      <c r="JSD515" s="379"/>
      <c r="JSE515" s="379"/>
      <c r="JSF515" s="379"/>
      <c r="JSG515" s="379"/>
      <c r="JSH515" s="379"/>
      <c r="JSI515" s="13"/>
      <c r="JSJ515" s="13"/>
      <c r="JSK515" s="193"/>
      <c r="JSL515" s="379"/>
      <c r="JSM515" s="379"/>
      <c r="JSN515" s="379"/>
      <c r="JSO515" s="379"/>
      <c r="JSP515" s="379"/>
      <c r="JSQ515" s="13"/>
      <c r="JSR515" s="13"/>
      <c r="JSS515" s="193"/>
      <c r="JST515" s="379"/>
      <c r="JSU515" s="379"/>
      <c r="JSV515" s="379"/>
      <c r="JSW515" s="379"/>
      <c r="JSX515" s="379"/>
      <c r="JSY515" s="13"/>
      <c r="JSZ515" s="13"/>
      <c r="JTA515" s="193"/>
      <c r="JTB515" s="379"/>
      <c r="JTC515" s="379"/>
      <c r="JTD515" s="379"/>
      <c r="JTE515" s="379"/>
      <c r="JTF515" s="379"/>
      <c r="JTG515" s="13"/>
      <c r="JTH515" s="13"/>
      <c r="JTI515" s="193"/>
      <c r="JTJ515" s="379"/>
      <c r="JTK515" s="379"/>
      <c r="JTL515" s="379"/>
      <c r="JTM515" s="379"/>
      <c r="JTN515" s="379"/>
      <c r="JTO515" s="13"/>
      <c r="JTP515" s="13"/>
      <c r="JTQ515" s="193"/>
      <c r="JTR515" s="379"/>
      <c r="JTS515" s="379"/>
      <c r="JTT515" s="379"/>
      <c r="JTU515" s="379"/>
      <c r="JTV515" s="379"/>
      <c r="JTW515" s="13"/>
      <c r="JTX515" s="13"/>
      <c r="JTY515" s="193"/>
      <c r="JTZ515" s="379"/>
      <c r="JUA515" s="379"/>
      <c r="JUB515" s="379"/>
      <c r="JUC515" s="379"/>
      <c r="JUD515" s="379"/>
      <c r="JUE515" s="13"/>
      <c r="JUF515" s="13"/>
      <c r="JUG515" s="193"/>
      <c r="JUH515" s="379"/>
      <c r="JUI515" s="379"/>
      <c r="JUJ515" s="379"/>
      <c r="JUK515" s="379"/>
      <c r="JUL515" s="379"/>
      <c r="JUM515" s="13"/>
      <c r="JUN515" s="13"/>
      <c r="JUO515" s="193"/>
      <c r="JUP515" s="379"/>
      <c r="JUQ515" s="379"/>
      <c r="JUR515" s="379"/>
      <c r="JUS515" s="379"/>
      <c r="JUT515" s="379"/>
      <c r="JUU515" s="13"/>
      <c r="JUV515" s="13"/>
      <c r="JUW515" s="193"/>
      <c r="JUX515" s="379"/>
      <c r="JUY515" s="379"/>
      <c r="JUZ515" s="379"/>
      <c r="JVA515" s="379"/>
      <c r="JVB515" s="379"/>
      <c r="JVC515" s="13"/>
      <c r="JVD515" s="13"/>
      <c r="JVE515" s="193"/>
      <c r="JVF515" s="379"/>
      <c r="JVG515" s="379"/>
      <c r="JVH515" s="379"/>
      <c r="JVI515" s="379"/>
      <c r="JVJ515" s="379"/>
      <c r="JVK515" s="13"/>
      <c r="JVL515" s="13"/>
      <c r="JVM515" s="193"/>
      <c r="JVN515" s="379"/>
      <c r="JVO515" s="379"/>
      <c r="JVP515" s="379"/>
      <c r="JVQ515" s="379"/>
      <c r="JVR515" s="379"/>
      <c r="JVS515" s="13"/>
      <c r="JVT515" s="13"/>
      <c r="JVU515" s="193"/>
      <c r="JVV515" s="379"/>
      <c r="JVW515" s="379"/>
      <c r="JVX515" s="379"/>
      <c r="JVY515" s="379"/>
      <c r="JVZ515" s="379"/>
      <c r="JWA515" s="13"/>
      <c r="JWB515" s="13"/>
      <c r="JWC515" s="193"/>
      <c r="JWD515" s="379"/>
      <c r="JWE515" s="379"/>
      <c r="JWF515" s="379"/>
      <c r="JWG515" s="379"/>
      <c r="JWH515" s="379"/>
      <c r="JWI515" s="13"/>
      <c r="JWJ515" s="13"/>
      <c r="JWK515" s="193"/>
      <c r="JWL515" s="379"/>
      <c r="JWM515" s="379"/>
      <c r="JWN515" s="379"/>
      <c r="JWO515" s="379"/>
      <c r="JWP515" s="379"/>
      <c r="JWQ515" s="13"/>
      <c r="JWR515" s="13"/>
      <c r="JWS515" s="193"/>
      <c r="JWT515" s="379"/>
      <c r="JWU515" s="379"/>
      <c r="JWV515" s="379"/>
      <c r="JWW515" s="379"/>
      <c r="JWX515" s="379"/>
      <c r="JWY515" s="13"/>
      <c r="JWZ515" s="13"/>
      <c r="JXA515" s="193"/>
      <c r="JXB515" s="379"/>
      <c r="JXC515" s="379"/>
      <c r="JXD515" s="379"/>
      <c r="JXE515" s="379"/>
      <c r="JXF515" s="379"/>
      <c r="JXG515" s="13"/>
      <c r="JXH515" s="13"/>
      <c r="JXI515" s="193"/>
      <c r="JXJ515" s="379"/>
      <c r="JXK515" s="379"/>
      <c r="JXL515" s="379"/>
      <c r="JXM515" s="379"/>
      <c r="JXN515" s="379"/>
      <c r="JXO515" s="13"/>
      <c r="JXP515" s="13"/>
      <c r="JXQ515" s="193"/>
      <c r="JXR515" s="379"/>
      <c r="JXS515" s="379"/>
      <c r="JXT515" s="379"/>
      <c r="JXU515" s="379"/>
      <c r="JXV515" s="379"/>
      <c r="JXW515" s="13"/>
      <c r="JXX515" s="13"/>
      <c r="JXY515" s="193"/>
      <c r="JXZ515" s="379"/>
      <c r="JYA515" s="379"/>
      <c r="JYB515" s="379"/>
      <c r="JYC515" s="379"/>
      <c r="JYD515" s="379"/>
      <c r="JYE515" s="13"/>
      <c r="JYF515" s="13"/>
      <c r="JYG515" s="193"/>
      <c r="JYH515" s="379"/>
      <c r="JYI515" s="379"/>
      <c r="JYJ515" s="379"/>
      <c r="JYK515" s="379"/>
      <c r="JYL515" s="379"/>
      <c r="JYM515" s="13"/>
      <c r="JYN515" s="13"/>
      <c r="JYO515" s="193"/>
      <c r="JYP515" s="379"/>
      <c r="JYQ515" s="379"/>
      <c r="JYR515" s="379"/>
      <c r="JYS515" s="379"/>
      <c r="JYT515" s="379"/>
      <c r="JYU515" s="13"/>
      <c r="JYV515" s="13"/>
      <c r="JYW515" s="193"/>
      <c r="JYX515" s="379"/>
      <c r="JYY515" s="379"/>
      <c r="JYZ515" s="379"/>
      <c r="JZA515" s="379"/>
      <c r="JZB515" s="379"/>
      <c r="JZC515" s="13"/>
      <c r="JZD515" s="13"/>
      <c r="JZE515" s="193"/>
      <c r="JZF515" s="379"/>
      <c r="JZG515" s="379"/>
      <c r="JZH515" s="379"/>
      <c r="JZI515" s="379"/>
      <c r="JZJ515" s="379"/>
      <c r="JZK515" s="13"/>
      <c r="JZL515" s="13"/>
      <c r="JZM515" s="193"/>
      <c r="JZN515" s="379"/>
      <c r="JZO515" s="379"/>
      <c r="JZP515" s="379"/>
      <c r="JZQ515" s="379"/>
      <c r="JZR515" s="379"/>
      <c r="JZS515" s="13"/>
      <c r="JZT515" s="13"/>
      <c r="JZU515" s="193"/>
      <c r="JZV515" s="379"/>
      <c r="JZW515" s="379"/>
      <c r="JZX515" s="379"/>
      <c r="JZY515" s="379"/>
      <c r="JZZ515" s="379"/>
      <c r="KAA515" s="13"/>
      <c r="KAB515" s="13"/>
      <c r="KAC515" s="193"/>
      <c r="KAD515" s="379"/>
      <c r="KAE515" s="379"/>
      <c r="KAF515" s="379"/>
      <c r="KAG515" s="379"/>
      <c r="KAH515" s="379"/>
      <c r="KAI515" s="13"/>
      <c r="KAJ515" s="13"/>
      <c r="KAK515" s="193"/>
      <c r="KAL515" s="379"/>
      <c r="KAM515" s="379"/>
      <c r="KAN515" s="379"/>
      <c r="KAO515" s="379"/>
      <c r="KAP515" s="379"/>
      <c r="KAQ515" s="13"/>
      <c r="KAR515" s="13"/>
      <c r="KAS515" s="193"/>
      <c r="KAT515" s="379"/>
      <c r="KAU515" s="379"/>
      <c r="KAV515" s="379"/>
      <c r="KAW515" s="379"/>
      <c r="KAX515" s="379"/>
      <c r="KAY515" s="13"/>
      <c r="KAZ515" s="13"/>
      <c r="KBA515" s="193"/>
      <c r="KBB515" s="379"/>
      <c r="KBC515" s="379"/>
      <c r="KBD515" s="379"/>
      <c r="KBE515" s="379"/>
      <c r="KBF515" s="379"/>
      <c r="KBG515" s="13"/>
      <c r="KBH515" s="13"/>
      <c r="KBI515" s="193"/>
      <c r="KBJ515" s="379"/>
      <c r="KBK515" s="379"/>
      <c r="KBL515" s="379"/>
      <c r="KBM515" s="379"/>
      <c r="KBN515" s="379"/>
      <c r="KBO515" s="13"/>
      <c r="KBP515" s="13"/>
      <c r="KBQ515" s="193"/>
      <c r="KBR515" s="379"/>
      <c r="KBS515" s="379"/>
      <c r="KBT515" s="379"/>
      <c r="KBU515" s="379"/>
      <c r="KBV515" s="379"/>
      <c r="KBW515" s="13"/>
      <c r="KBX515" s="13"/>
      <c r="KBY515" s="193"/>
      <c r="KBZ515" s="379"/>
      <c r="KCA515" s="379"/>
      <c r="KCB515" s="379"/>
      <c r="KCC515" s="379"/>
      <c r="KCD515" s="379"/>
      <c r="KCE515" s="13"/>
      <c r="KCF515" s="13"/>
      <c r="KCG515" s="193"/>
      <c r="KCH515" s="379"/>
      <c r="KCI515" s="379"/>
      <c r="KCJ515" s="379"/>
      <c r="KCK515" s="379"/>
      <c r="KCL515" s="379"/>
      <c r="KCM515" s="13"/>
      <c r="KCN515" s="13"/>
      <c r="KCO515" s="193"/>
      <c r="KCP515" s="379"/>
      <c r="KCQ515" s="379"/>
      <c r="KCR515" s="379"/>
      <c r="KCS515" s="379"/>
      <c r="KCT515" s="379"/>
      <c r="KCU515" s="13"/>
      <c r="KCV515" s="13"/>
      <c r="KCW515" s="193"/>
      <c r="KCX515" s="379"/>
      <c r="KCY515" s="379"/>
      <c r="KCZ515" s="379"/>
      <c r="KDA515" s="379"/>
      <c r="KDB515" s="379"/>
      <c r="KDC515" s="13"/>
      <c r="KDD515" s="13"/>
      <c r="KDE515" s="193"/>
      <c r="KDF515" s="379"/>
      <c r="KDG515" s="379"/>
      <c r="KDH515" s="379"/>
      <c r="KDI515" s="379"/>
      <c r="KDJ515" s="379"/>
      <c r="KDK515" s="13"/>
      <c r="KDL515" s="13"/>
      <c r="KDM515" s="193"/>
      <c r="KDN515" s="379"/>
      <c r="KDO515" s="379"/>
      <c r="KDP515" s="379"/>
      <c r="KDQ515" s="379"/>
      <c r="KDR515" s="379"/>
      <c r="KDS515" s="13"/>
      <c r="KDT515" s="13"/>
      <c r="KDU515" s="193"/>
      <c r="KDV515" s="379"/>
      <c r="KDW515" s="379"/>
      <c r="KDX515" s="379"/>
      <c r="KDY515" s="379"/>
      <c r="KDZ515" s="379"/>
      <c r="KEA515" s="13"/>
      <c r="KEB515" s="13"/>
      <c r="KEC515" s="193"/>
      <c r="KED515" s="379"/>
      <c r="KEE515" s="379"/>
      <c r="KEF515" s="379"/>
      <c r="KEG515" s="379"/>
      <c r="KEH515" s="379"/>
      <c r="KEI515" s="13"/>
      <c r="KEJ515" s="13"/>
      <c r="KEK515" s="193"/>
      <c r="KEL515" s="379"/>
      <c r="KEM515" s="379"/>
      <c r="KEN515" s="379"/>
      <c r="KEO515" s="379"/>
      <c r="KEP515" s="379"/>
      <c r="KEQ515" s="13"/>
      <c r="KER515" s="13"/>
      <c r="KES515" s="193"/>
      <c r="KET515" s="379"/>
      <c r="KEU515" s="379"/>
      <c r="KEV515" s="379"/>
      <c r="KEW515" s="379"/>
      <c r="KEX515" s="379"/>
      <c r="KEY515" s="13"/>
      <c r="KEZ515" s="13"/>
      <c r="KFA515" s="193"/>
      <c r="KFB515" s="379"/>
      <c r="KFC515" s="379"/>
      <c r="KFD515" s="379"/>
      <c r="KFE515" s="379"/>
      <c r="KFF515" s="379"/>
      <c r="KFG515" s="13"/>
      <c r="KFH515" s="13"/>
      <c r="KFI515" s="193"/>
      <c r="KFJ515" s="379"/>
      <c r="KFK515" s="379"/>
      <c r="KFL515" s="379"/>
      <c r="KFM515" s="379"/>
      <c r="KFN515" s="379"/>
      <c r="KFO515" s="13"/>
      <c r="KFP515" s="13"/>
      <c r="KFQ515" s="193"/>
      <c r="KFR515" s="379"/>
      <c r="KFS515" s="379"/>
      <c r="KFT515" s="379"/>
      <c r="KFU515" s="379"/>
      <c r="KFV515" s="379"/>
      <c r="KFW515" s="13"/>
      <c r="KFX515" s="13"/>
      <c r="KFY515" s="193"/>
      <c r="KFZ515" s="379"/>
      <c r="KGA515" s="379"/>
      <c r="KGB515" s="379"/>
      <c r="KGC515" s="379"/>
      <c r="KGD515" s="379"/>
      <c r="KGE515" s="13"/>
      <c r="KGF515" s="13"/>
      <c r="KGG515" s="193"/>
      <c r="KGH515" s="379"/>
      <c r="KGI515" s="379"/>
      <c r="KGJ515" s="379"/>
      <c r="KGK515" s="379"/>
      <c r="KGL515" s="379"/>
      <c r="KGM515" s="13"/>
      <c r="KGN515" s="13"/>
      <c r="KGO515" s="193"/>
      <c r="KGP515" s="379"/>
      <c r="KGQ515" s="379"/>
      <c r="KGR515" s="379"/>
      <c r="KGS515" s="379"/>
      <c r="KGT515" s="379"/>
      <c r="KGU515" s="13"/>
      <c r="KGV515" s="13"/>
      <c r="KGW515" s="193"/>
      <c r="KGX515" s="379"/>
      <c r="KGY515" s="379"/>
      <c r="KGZ515" s="379"/>
      <c r="KHA515" s="379"/>
      <c r="KHB515" s="379"/>
      <c r="KHC515" s="13"/>
      <c r="KHD515" s="13"/>
      <c r="KHE515" s="193"/>
      <c r="KHF515" s="379"/>
      <c r="KHG515" s="379"/>
      <c r="KHH515" s="379"/>
      <c r="KHI515" s="379"/>
      <c r="KHJ515" s="379"/>
      <c r="KHK515" s="13"/>
      <c r="KHL515" s="13"/>
      <c r="KHM515" s="193"/>
      <c r="KHN515" s="379"/>
      <c r="KHO515" s="379"/>
      <c r="KHP515" s="379"/>
      <c r="KHQ515" s="379"/>
      <c r="KHR515" s="379"/>
      <c r="KHS515" s="13"/>
      <c r="KHT515" s="13"/>
      <c r="KHU515" s="193"/>
      <c r="KHV515" s="379"/>
      <c r="KHW515" s="379"/>
      <c r="KHX515" s="379"/>
      <c r="KHY515" s="379"/>
      <c r="KHZ515" s="379"/>
      <c r="KIA515" s="13"/>
      <c r="KIB515" s="13"/>
      <c r="KIC515" s="193"/>
      <c r="KID515" s="379"/>
      <c r="KIE515" s="379"/>
      <c r="KIF515" s="379"/>
      <c r="KIG515" s="379"/>
      <c r="KIH515" s="379"/>
      <c r="KII515" s="13"/>
      <c r="KIJ515" s="13"/>
      <c r="KIK515" s="193"/>
      <c r="KIL515" s="379"/>
      <c r="KIM515" s="379"/>
      <c r="KIN515" s="379"/>
      <c r="KIO515" s="379"/>
      <c r="KIP515" s="379"/>
      <c r="KIQ515" s="13"/>
      <c r="KIR515" s="13"/>
      <c r="KIS515" s="193"/>
      <c r="KIT515" s="379"/>
      <c r="KIU515" s="379"/>
      <c r="KIV515" s="379"/>
      <c r="KIW515" s="379"/>
      <c r="KIX515" s="379"/>
      <c r="KIY515" s="13"/>
      <c r="KIZ515" s="13"/>
      <c r="KJA515" s="193"/>
      <c r="KJB515" s="379"/>
      <c r="KJC515" s="379"/>
      <c r="KJD515" s="379"/>
      <c r="KJE515" s="379"/>
      <c r="KJF515" s="379"/>
      <c r="KJG515" s="13"/>
      <c r="KJH515" s="13"/>
      <c r="KJI515" s="193"/>
      <c r="KJJ515" s="379"/>
      <c r="KJK515" s="379"/>
      <c r="KJL515" s="379"/>
      <c r="KJM515" s="379"/>
      <c r="KJN515" s="379"/>
      <c r="KJO515" s="13"/>
      <c r="KJP515" s="13"/>
      <c r="KJQ515" s="193"/>
      <c r="KJR515" s="379"/>
      <c r="KJS515" s="379"/>
      <c r="KJT515" s="379"/>
      <c r="KJU515" s="379"/>
      <c r="KJV515" s="379"/>
      <c r="KJW515" s="13"/>
      <c r="KJX515" s="13"/>
      <c r="KJY515" s="193"/>
      <c r="KJZ515" s="379"/>
      <c r="KKA515" s="379"/>
      <c r="KKB515" s="379"/>
      <c r="KKC515" s="379"/>
      <c r="KKD515" s="379"/>
      <c r="KKE515" s="13"/>
      <c r="KKF515" s="13"/>
      <c r="KKG515" s="193"/>
      <c r="KKH515" s="379"/>
      <c r="KKI515" s="379"/>
      <c r="KKJ515" s="379"/>
      <c r="KKK515" s="379"/>
      <c r="KKL515" s="379"/>
      <c r="KKM515" s="13"/>
      <c r="KKN515" s="13"/>
      <c r="KKO515" s="193"/>
      <c r="KKP515" s="379"/>
      <c r="KKQ515" s="379"/>
      <c r="KKR515" s="379"/>
      <c r="KKS515" s="379"/>
      <c r="KKT515" s="379"/>
      <c r="KKU515" s="13"/>
      <c r="KKV515" s="13"/>
      <c r="KKW515" s="193"/>
      <c r="KKX515" s="379"/>
      <c r="KKY515" s="379"/>
      <c r="KKZ515" s="379"/>
      <c r="KLA515" s="379"/>
      <c r="KLB515" s="379"/>
      <c r="KLC515" s="13"/>
      <c r="KLD515" s="13"/>
      <c r="KLE515" s="193"/>
      <c r="KLF515" s="379"/>
      <c r="KLG515" s="379"/>
      <c r="KLH515" s="379"/>
      <c r="KLI515" s="379"/>
      <c r="KLJ515" s="379"/>
      <c r="KLK515" s="13"/>
      <c r="KLL515" s="13"/>
      <c r="KLM515" s="193"/>
      <c r="KLN515" s="379"/>
      <c r="KLO515" s="379"/>
      <c r="KLP515" s="379"/>
      <c r="KLQ515" s="379"/>
      <c r="KLR515" s="379"/>
      <c r="KLS515" s="13"/>
      <c r="KLT515" s="13"/>
      <c r="KLU515" s="193"/>
      <c r="KLV515" s="379"/>
      <c r="KLW515" s="379"/>
      <c r="KLX515" s="379"/>
      <c r="KLY515" s="379"/>
      <c r="KLZ515" s="379"/>
      <c r="KMA515" s="13"/>
      <c r="KMB515" s="13"/>
      <c r="KMC515" s="193"/>
      <c r="KMD515" s="379"/>
      <c r="KME515" s="379"/>
      <c r="KMF515" s="379"/>
      <c r="KMG515" s="379"/>
      <c r="KMH515" s="379"/>
      <c r="KMI515" s="13"/>
      <c r="KMJ515" s="13"/>
      <c r="KMK515" s="193"/>
      <c r="KML515" s="379"/>
      <c r="KMM515" s="379"/>
      <c r="KMN515" s="379"/>
      <c r="KMO515" s="379"/>
      <c r="KMP515" s="379"/>
      <c r="KMQ515" s="13"/>
      <c r="KMR515" s="13"/>
      <c r="KMS515" s="193"/>
      <c r="KMT515" s="379"/>
      <c r="KMU515" s="379"/>
      <c r="KMV515" s="379"/>
      <c r="KMW515" s="379"/>
      <c r="KMX515" s="379"/>
      <c r="KMY515" s="13"/>
      <c r="KMZ515" s="13"/>
      <c r="KNA515" s="193"/>
      <c r="KNB515" s="379"/>
      <c r="KNC515" s="379"/>
      <c r="KND515" s="379"/>
      <c r="KNE515" s="379"/>
      <c r="KNF515" s="379"/>
      <c r="KNG515" s="13"/>
      <c r="KNH515" s="13"/>
      <c r="KNI515" s="193"/>
      <c r="KNJ515" s="379"/>
      <c r="KNK515" s="379"/>
      <c r="KNL515" s="379"/>
      <c r="KNM515" s="379"/>
      <c r="KNN515" s="379"/>
      <c r="KNO515" s="13"/>
      <c r="KNP515" s="13"/>
      <c r="KNQ515" s="193"/>
      <c r="KNR515" s="379"/>
      <c r="KNS515" s="379"/>
      <c r="KNT515" s="379"/>
      <c r="KNU515" s="379"/>
      <c r="KNV515" s="379"/>
      <c r="KNW515" s="13"/>
      <c r="KNX515" s="13"/>
      <c r="KNY515" s="193"/>
      <c r="KNZ515" s="379"/>
      <c r="KOA515" s="379"/>
      <c r="KOB515" s="379"/>
      <c r="KOC515" s="379"/>
      <c r="KOD515" s="379"/>
      <c r="KOE515" s="13"/>
      <c r="KOF515" s="13"/>
      <c r="KOG515" s="193"/>
      <c r="KOH515" s="379"/>
      <c r="KOI515" s="379"/>
      <c r="KOJ515" s="379"/>
      <c r="KOK515" s="379"/>
      <c r="KOL515" s="379"/>
      <c r="KOM515" s="13"/>
      <c r="KON515" s="13"/>
      <c r="KOO515" s="193"/>
      <c r="KOP515" s="379"/>
      <c r="KOQ515" s="379"/>
      <c r="KOR515" s="379"/>
      <c r="KOS515" s="379"/>
      <c r="KOT515" s="379"/>
      <c r="KOU515" s="13"/>
      <c r="KOV515" s="13"/>
      <c r="KOW515" s="193"/>
      <c r="KOX515" s="379"/>
      <c r="KOY515" s="379"/>
      <c r="KOZ515" s="379"/>
      <c r="KPA515" s="379"/>
      <c r="KPB515" s="379"/>
      <c r="KPC515" s="13"/>
      <c r="KPD515" s="13"/>
      <c r="KPE515" s="193"/>
      <c r="KPF515" s="379"/>
      <c r="KPG515" s="379"/>
      <c r="KPH515" s="379"/>
      <c r="KPI515" s="379"/>
      <c r="KPJ515" s="379"/>
      <c r="KPK515" s="13"/>
      <c r="KPL515" s="13"/>
      <c r="KPM515" s="193"/>
      <c r="KPN515" s="379"/>
      <c r="KPO515" s="379"/>
      <c r="KPP515" s="379"/>
      <c r="KPQ515" s="379"/>
      <c r="KPR515" s="379"/>
      <c r="KPS515" s="13"/>
      <c r="KPT515" s="13"/>
      <c r="KPU515" s="193"/>
      <c r="KPV515" s="379"/>
      <c r="KPW515" s="379"/>
      <c r="KPX515" s="379"/>
      <c r="KPY515" s="379"/>
      <c r="KPZ515" s="379"/>
      <c r="KQA515" s="13"/>
      <c r="KQB515" s="13"/>
      <c r="KQC515" s="193"/>
      <c r="KQD515" s="379"/>
      <c r="KQE515" s="379"/>
      <c r="KQF515" s="379"/>
      <c r="KQG515" s="379"/>
      <c r="KQH515" s="379"/>
      <c r="KQI515" s="13"/>
      <c r="KQJ515" s="13"/>
      <c r="KQK515" s="193"/>
      <c r="KQL515" s="379"/>
      <c r="KQM515" s="379"/>
      <c r="KQN515" s="379"/>
      <c r="KQO515" s="379"/>
      <c r="KQP515" s="379"/>
      <c r="KQQ515" s="13"/>
      <c r="KQR515" s="13"/>
      <c r="KQS515" s="193"/>
      <c r="KQT515" s="379"/>
      <c r="KQU515" s="379"/>
      <c r="KQV515" s="379"/>
      <c r="KQW515" s="379"/>
      <c r="KQX515" s="379"/>
      <c r="KQY515" s="13"/>
      <c r="KQZ515" s="13"/>
      <c r="KRA515" s="193"/>
      <c r="KRB515" s="379"/>
      <c r="KRC515" s="379"/>
      <c r="KRD515" s="379"/>
      <c r="KRE515" s="379"/>
      <c r="KRF515" s="379"/>
      <c r="KRG515" s="13"/>
      <c r="KRH515" s="13"/>
      <c r="KRI515" s="193"/>
      <c r="KRJ515" s="379"/>
      <c r="KRK515" s="379"/>
      <c r="KRL515" s="379"/>
      <c r="KRM515" s="379"/>
      <c r="KRN515" s="379"/>
      <c r="KRO515" s="13"/>
      <c r="KRP515" s="13"/>
      <c r="KRQ515" s="193"/>
      <c r="KRR515" s="379"/>
      <c r="KRS515" s="379"/>
      <c r="KRT515" s="379"/>
      <c r="KRU515" s="379"/>
      <c r="KRV515" s="379"/>
      <c r="KRW515" s="13"/>
      <c r="KRX515" s="13"/>
      <c r="KRY515" s="193"/>
      <c r="KRZ515" s="379"/>
      <c r="KSA515" s="379"/>
      <c r="KSB515" s="379"/>
      <c r="KSC515" s="379"/>
      <c r="KSD515" s="379"/>
      <c r="KSE515" s="13"/>
      <c r="KSF515" s="13"/>
      <c r="KSG515" s="193"/>
      <c r="KSH515" s="379"/>
      <c r="KSI515" s="379"/>
      <c r="KSJ515" s="379"/>
      <c r="KSK515" s="379"/>
      <c r="KSL515" s="379"/>
      <c r="KSM515" s="13"/>
      <c r="KSN515" s="13"/>
      <c r="KSO515" s="193"/>
      <c r="KSP515" s="379"/>
      <c r="KSQ515" s="379"/>
      <c r="KSR515" s="379"/>
      <c r="KSS515" s="379"/>
      <c r="KST515" s="379"/>
      <c r="KSU515" s="13"/>
      <c r="KSV515" s="13"/>
      <c r="KSW515" s="193"/>
      <c r="KSX515" s="379"/>
      <c r="KSY515" s="379"/>
      <c r="KSZ515" s="379"/>
      <c r="KTA515" s="379"/>
      <c r="KTB515" s="379"/>
      <c r="KTC515" s="13"/>
      <c r="KTD515" s="13"/>
      <c r="KTE515" s="193"/>
      <c r="KTF515" s="379"/>
      <c r="KTG515" s="379"/>
      <c r="KTH515" s="379"/>
      <c r="KTI515" s="379"/>
      <c r="KTJ515" s="379"/>
      <c r="KTK515" s="13"/>
      <c r="KTL515" s="13"/>
      <c r="KTM515" s="193"/>
      <c r="KTN515" s="379"/>
      <c r="KTO515" s="379"/>
      <c r="KTP515" s="379"/>
      <c r="KTQ515" s="379"/>
      <c r="KTR515" s="379"/>
      <c r="KTS515" s="13"/>
      <c r="KTT515" s="13"/>
      <c r="KTU515" s="193"/>
      <c r="KTV515" s="379"/>
      <c r="KTW515" s="379"/>
      <c r="KTX515" s="379"/>
      <c r="KTY515" s="379"/>
      <c r="KTZ515" s="379"/>
      <c r="KUA515" s="13"/>
      <c r="KUB515" s="13"/>
      <c r="KUC515" s="193"/>
      <c r="KUD515" s="379"/>
      <c r="KUE515" s="379"/>
      <c r="KUF515" s="379"/>
      <c r="KUG515" s="379"/>
      <c r="KUH515" s="379"/>
      <c r="KUI515" s="13"/>
      <c r="KUJ515" s="13"/>
      <c r="KUK515" s="193"/>
      <c r="KUL515" s="379"/>
      <c r="KUM515" s="379"/>
      <c r="KUN515" s="379"/>
      <c r="KUO515" s="379"/>
      <c r="KUP515" s="379"/>
      <c r="KUQ515" s="13"/>
      <c r="KUR515" s="13"/>
      <c r="KUS515" s="193"/>
      <c r="KUT515" s="379"/>
      <c r="KUU515" s="379"/>
      <c r="KUV515" s="379"/>
      <c r="KUW515" s="379"/>
      <c r="KUX515" s="379"/>
      <c r="KUY515" s="13"/>
      <c r="KUZ515" s="13"/>
      <c r="KVA515" s="193"/>
      <c r="KVB515" s="379"/>
      <c r="KVC515" s="379"/>
      <c r="KVD515" s="379"/>
      <c r="KVE515" s="379"/>
      <c r="KVF515" s="379"/>
      <c r="KVG515" s="13"/>
      <c r="KVH515" s="13"/>
      <c r="KVI515" s="193"/>
      <c r="KVJ515" s="379"/>
      <c r="KVK515" s="379"/>
      <c r="KVL515" s="379"/>
      <c r="KVM515" s="379"/>
      <c r="KVN515" s="379"/>
      <c r="KVO515" s="13"/>
      <c r="KVP515" s="13"/>
      <c r="KVQ515" s="193"/>
      <c r="KVR515" s="379"/>
      <c r="KVS515" s="379"/>
      <c r="KVT515" s="379"/>
      <c r="KVU515" s="379"/>
      <c r="KVV515" s="379"/>
      <c r="KVW515" s="13"/>
      <c r="KVX515" s="13"/>
      <c r="KVY515" s="193"/>
      <c r="KVZ515" s="379"/>
      <c r="KWA515" s="379"/>
      <c r="KWB515" s="379"/>
      <c r="KWC515" s="379"/>
      <c r="KWD515" s="379"/>
      <c r="KWE515" s="13"/>
      <c r="KWF515" s="13"/>
      <c r="KWG515" s="193"/>
      <c r="KWH515" s="379"/>
      <c r="KWI515" s="379"/>
      <c r="KWJ515" s="379"/>
      <c r="KWK515" s="379"/>
      <c r="KWL515" s="379"/>
      <c r="KWM515" s="13"/>
      <c r="KWN515" s="13"/>
      <c r="KWO515" s="193"/>
      <c r="KWP515" s="379"/>
      <c r="KWQ515" s="379"/>
      <c r="KWR515" s="379"/>
      <c r="KWS515" s="379"/>
      <c r="KWT515" s="379"/>
      <c r="KWU515" s="13"/>
      <c r="KWV515" s="13"/>
      <c r="KWW515" s="193"/>
      <c r="KWX515" s="379"/>
      <c r="KWY515" s="379"/>
      <c r="KWZ515" s="379"/>
      <c r="KXA515" s="379"/>
      <c r="KXB515" s="379"/>
      <c r="KXC515" s="13"/>
      <c r="KXD515" s="13"/>
      <c r="KXE515" s="193"/>
      <c r="KXF515" s="379"/>
      <c r="KXG515" s="379"/>
      <c r="KXH515" s="379"/>
      <c r="KXI515" s="379"/>
      <c r="KXJ515" s="379"/>
      <c r="KXK515" s="13"/>
      <c r="KXL515" s="13"/>
      <c r="KXM515" s="193"/>
      <c r="KXN515" s="379"/>
      <c r="KXO515" s="379"/>
      <c r="KXP515" s="379"/>
      <c r="KXQ515" s="379"/>
      <c r="KXR515" s="379"/>
      <c r="KXS515" s="13"/>
      <c r="KXT515" s="13"/>
      <c r="KXU515" s="193"/>
      <c r="KXV515" s="379"/>
      <c r="KXW515" s="379"/>
      <c r="KXX515" s="379"/>
      <c r="KXY515" s="379"/>
      <c r="KXZ515" s="379"/>
      <c r="KYA515" s="13"/>
      <c r="KYB515" s="13"/>
      <c r="KYC515" s="193"/>
      <c r="KYD515" s="379"/>
      <c r="KYE515" s="379"/>
      <c r="KYF515" s="379"/>
      <c r="KYG515" s="379"/>
      <c r="KYH515" s="379"/>
      <c r="KYI515" s="13"/>
      <c r="KYJ515" s="13"/>
      <c r="KYK515" s="193"/>
      <c r="KYL515" s="379"/>
      <c r="KYM515" s="379"/>
      <c r="KYN515" s="379"/>
      <c r="KYO515" s="379"/>
      <c r="KYP515" s="379"/>
      <c r="KYQ515" s="13"/>
      <c r="KYR515" s="13"/>
      <c r="KYS515" s="193"/>
      <c r="KYT515" s="379"/>
      <c r="KYU515" s="379"/>
      <c r="KYV515" s="379"/>
      <c r="KYW515" s="379"/>
      <c r="KYX515" s="379"/>
      <c r="KYY515" s="13"/>
      <c r="KYZ515" s="13"/>
      <c r="KZA515" s="193"/>
      <c r="KZB515" s="379"/>
      <c r="KZC515" s="379"/>
      <c r="KZD515" s="379"/>
      <c r="KZE515" s="379"/>
      <c r="KZF515" s="379"/>
      <c r="KZG515" s="13"/>
      <c r="KZH515" s="13"/>
      <c r="KZI515" s="193"/>
      <c r="KZJ515" s="379"/>
      <c r="KZK515" s="379"/>
      <c r="KZL515" s="379"/>
      <c r="KZM515" s="379"/>
      <c r="KZN515" s="379"/>
      <c r="KZO515" s="13"/>
      <c r="KZP515" s="13"/>
      <c r="KZQ515" s="193"/>
      <c r="KZR515" s="379"/>
      <c r="KZS515" s="379"/>
      <c r="KZT515" s="379"/>
      <c r="KZU515" s="379"/>
      <c r="KZV515" s="379"/>
      <c r="KZW515" s="13"/>
      <c r="KZX515" s="13"/>
      <c r="KZY515" s="193"/>
      <c r="KZZ515" s="379"/>
      <c r="LAA515" s="379"/>
      <c r="LAB515" s="379"/>
      <c r="LAC515" s="379"/>
      <c r="LAD515" s="379"/>
      <c r="LAE515" s="13"/>
      <c r="LAF515" s="13"/>
      <c r="LAG515" s="193"/>
      <c r="LAH515" s="379"/>
      <c r="LAI515" s="379"/>
      <c r="LAJ515" s="379"/>
      <c r="LAK515" s="379"/>
      <c r="LAL515" s="379"/>
      <c r="LAM515" s="13"/>
      <c r="LAN515" s="13"/>
      <c r="LAO515" s="193"/>
      <c r="LAP515" s="379"/>
      <c r="LAQ515" s="379"/>
      <c r="LAR515" s="379"/>
      <c r="LAS515" s="379"/>
      <c r="LAT515" s="379"/>
      <c r="LAU515" s="13"/>
      <c r="LAV515" s="13"/>
      <c r="LAW515" s="193"/>
      <c r="LAX515" s="379"/>
      <c r="LAY515" s="379"/>
      <c r="LAZ515" s="379"/>
      <c r="LBA515" s="379"/>
      <c r="LBB515" s="379"/>
      <c r="LBC515" s="13"/>
      <c r="LBD515" s="13"/>
      <c r="LBE515" s="193"/>
      <c r="LBF515" s="379"/>
      <c r="LBG515" s="379"/>
      <c r="LBH515" s="379"/>
      <c r="LBI515" s="379"/>
      <c r="LBJ515" s="379"/>
      <c r="LBK515" s="13"/>
      <c r="LBL515" s="13"/>
      <c r="LBM515" s="193"/>
      <c r="LBN515" s="379"/>
      <c r="LBO515" s="379"/>
      <c r="LBP515" s="379"/>
      <c r="LBQ515" s="379"/>
      <c r="LBR515" s="379"/>
      <c r="LBS515" s="13"/>
      <c r="LBT515" s="13"/>
      <c r="LBU515" s="193"/>
      <c r="LBV515" s="379"/>
      <c r="LBW515" s="379"/>
      <c r="LBX515" s="379"/>
      <c r="LBY515" s="379"/>
      <c r="LBZ515" s="379"/>
      <c r="LCA515" s="13"/>
      <c r="LCB515" s="13"/>
      <c r="LCC515" s="193"/>
      <c r="LCD515" s="379"/>
      <c r="LCE515" s="379"/>
      <c r="LCF515" s="379"/>
      <c r="LCG515" s="379"/>
      <c r="LCH515" s="379"/>
      <c r="LCI515" s="13"/>
      <c r="LCJ515" s="13"/>
      <c r="LCK515" s="193"/>
      <c r="LCL515" s="379"/>
      <c r="LCM515" s="379"/>
      <c r="LCN515" s="379"/>
      <c r="LCO515" s="379"/>
      <c r="LCP515" s="379"/>
      <c r="LCQ515" s="13"/>
      <c r="LCR515" s="13"/>
      <c r="LCS515" s="193"/>
      <c r="LCT515" s="379"/>
      <c r="LCU515" s="379"/>
      <c r="LCV515" s="379"/>
      <c r="LCW515" s="379"/>
      <c r="LCX515" s="379"/>
      <c r="LCY515" s="13"/>
      <c r="LCZ515" s="13"/>
      <c r="LDA515" s="193"/>
      <c r="LDB515" s="379"/>
      <c r="LDC515" s="379"/>
      <c r="LDD515" s="379"/>
      <c r="LDE515" s="379"/>
      <c r="LDF515" s="379"/>
      <c r="LDG515" s="13"/>
      <c r="LDH515" s="13"/>
      <c r="LDI515" s="193"/>
      <c r="LDJ515" s="379"/>
      <c r="LDK515" s="379"/>
      <c r="LDL515" s="379"/>
      <c r="LDM515" s="379"/>
      <c r="LDN515" s="379"/>
      <c r="LDO515" s="13"/>
      <c r="LDP515" s="13"/>
      <c r="LDQ515" s="193"/>
      <c r="LDR515" s="379"/>
      <c r="LDS515" s="379"/>
      <c r="LDT515" s="379"/>
      <c r="LDU515" s="379"/>
      <c r="LDV515" s="379"/>
      <c r="LDW515" s="13"/>
      <c r="LDX515" s="13"/>
      <c r="LDY515" s="193"/>
      <c r="LDZ515" s="379"/>
      <c r="LEA515" s="379"/>
      <c r="LEB515" s="379"/>
      <c r="LEC515" s="379"/>
      <c r="LED515" s="379"/>
      <c r="LEE515" s="13"/>
      <c r="LEF515" s="13"/>
      <c r="LEG515" s="193"/>
      <c r="LEH515" s="379"/>
      <c r="LEI515" s="379"/>
      <c r="LEJ515" s="379"/>
      <c r="LEK515" s="379"/>
      <c r="LEL515" s="379"/>
      <c r="LEM515" s="13"/>
      <c r="LEN515" s="13"/>
      <c r="LEO515" s="193"/>
      <c r="LEP515" s="379"/>
      <c r="LEQ515" s="379"/>
      <c r="LER515" s="379"/>
      <c r="LES515" s="379"/>
      <c r="LET515" s="379"/>
      <c r="LEU515" s="13"/>
      <c r="LEV515" s="13"/>
      <c r="LEW515" s="193"/>
      <c r="LEX515" s="379"/>
      <c r="LEY515" s="379"/>
      <c r="LEZ515" s="379"/>
      <c r="LFA515" s="379"/>
      <c r="LFB515" s="379"/>
      <c r="LFC515" s="13"/>
      <c r="LFD515" s="13"/>
      <c r="LFE515" s="193"/>
      <c r="LFF515" s="379"/>
      <c r="LFG515" s="379"/>
      <c r="LFH515" s="379"/>
      <c r="LFI515" s="379"/>
      <c r="LFJ515" s="379"/>
      <c r="LFK515" s="13"/>
      <c r="LFL515" s="13"/>
      <c r="LFM515" s="193"/>
      <c r="LFN515" s="379"/>
      <c r="LFO515" s="379"/>
      <c r="LFP515" s="379"/>
      <c r="LFQ515" s="379"/>
      <c r="LFR515" s="379"/>
      <c r="LFS515" s="13"/>
      <c r="LFT515" s="13"/>
      <c r="LFU515" s="193"/>
      <c r="LFV515" s="379"/>
      <c r="LFW515" s="379"/>
      <c r="LFX515" s="379"/>
      <c r="LFY515" s="379"/>
      <c r="LFZ515" s="379"/>
      <c r="LGA515" s="13"/>
      <c r="LGB515" s="13"/>
      <c r="LGC515" s="193"/>
      <c r="LGD515" s="379"/>
      <c r="LGE515" s="379"/>
      <c r="LGF515" s="379"/>
      <c r="LGG515" s="379"/>
      <c r="LGH515" s="379"/>
      <c r="LGI515" s="13"/>
      <c r="LGJ515" s="13"/>
      <c r="LGK515" s="193"/>
      <c r="LGL515" s="379"/>
      <c r="LGM515" s="379"/>
      <c r="LGN515" s="379"/>
      <c r="LGO515" s="379"/>
      <c r="LGP515" s="379"/>
      <c r="LGQ515" s="13"/>
      <c r="LGR515" s="13"/>
      <c r="LGS515" s="193"/>
      <c r="LGT515" s="379"/>
      <c r="LGU515" s="379"/>
      <c r="LGV515" s="379"/>
      <c r="LGW515" s="379"/>
      <c r="LGX515" s="379"/>
      <c r="LGY515" s="13"/>
      <c r="LGZ515" s="13"/>
      <c r="LHA515" s="193"/>
      <c r="LHB515" s="379"/>
      <c r="LHC515" s="379"/>
      <c r="LHD515" s="379"/>
      <c r="LHE515" s="379"/>
      <c r="LHF515" s="379"/>
      <c r="LHG515" s="13"/>
      <c r="LHH515" s="13"/>
      <c r="LHI515" s="193"/>
      <c r="LHJ515" s="379"/>
      <c r="LHK515" s="379"/>
      <c r="LHL515" s="379"/>
      <c r="LHM515" s="379"/>
      <c r="LHN515" s="379"/>
      <c r="LHO515" s="13"/>
      <c r="LHP515" s="13"/>
      <c r="LHQ515" s="193"/>
      <c r="LHR515" s="379"/>
      <c r="LHS515" s="379"/>
      <c r="LHT515" s="379"/>
      <c r="LHU515" s="379"/>
      <c r="LHV515" s="379"/>
      <c r="LHW515" s="13"/>
      <c r="LHX515" s="13"/>
      <c r="LHY515" s="193"/>
      <c r="LHZ515" s="379"/>
      <c r="LIA515" s="379"/>
      <c r="LIB515" s="379"/>
      <c r="LIC515" s="379"/>
      <c r="LID515" s="379"/>
      <c r="LIE515" s="13"/>
      <c r="LIF515" s="13"/>
      <c r="LIG515" s="193"/>
      <c r="LIH515" s="379"/>
      <c r="LII515" s="379"/>
      <c r="LIJ515" s="379"/>
      <c r="LIK515" s="379"/>
      <c r="LIL515" s="379"/>
      <c r="LIM515" s="13"/>
      <c r="LIN515" s="13"/>
      <c r="LIO515" s="193"/>
      <c r="LIP515" s="379"/>
      <c r="LIQ515" s="379"/>
      <c r="LIR515" s="379"/>
      <c r="LIS515" s="379"/>
      <c r="LIT515" s="379"/>
      <c r="LIU515" s="13"/>
      <c r="LIV515" s="13"/>
      <c r="LIW515" s="193"/>
      <c r="LIX515" s="379"/>
      <c r="LIY515" s="379"/>
      <c r="LIZ515" s="379"/>
      <c r="LJA515" s="379"/>
      <c r="LJB515" s="379"/>
      <c r="LJC515" s="13"/>
      <c r="LJD515" s="13"/>
      <c r="LJE515" s="193"/>
      <c r="LJF515" s="379"/>
      <c r="LJG515" s="379"/>
      <c r="LJH515" s="379"/>
      <c r="LJI515" s="379"/>
      <c r="LJJ515" s="379"/>
      <c r="LJK515" s="13"/>
      <c r="LJL515" s="13"/>
      <c r="LJM515" s="193"/>
      <c r="LJN515" s="379"/>
      <c r="LJO515" s="379"/>
      <c r="LJP515" s="379"/>
      <c r="LJQ515" s="379"/>
      <c r="LJR515" s="379"/>
      <c r="LJS515" s="13"/>
      <c r="LJT515" s="13"/>
      <c r="LJU515" s="193"/>
      <c r="LJV515" s="379"/>
      <c r="LJW515" s="379"/>
      <c r="LJX515" s="379"/>
      <c r="LJY515" s="379"/>
      <c r="LJZ515" s="379"/>
      <c r="LKA515" s="13"/>
      <c r="LKB515" s="13"/>
      <c r="LKC515" s="193"/>
      <c r="LKD515" s="379"/>
      <c r="LKE515" s="379"/>
      <c r="LKF515" s="379"/>
      <c r="LKG515" s="379"/>
      <c r="LKH515" s="379"/>
      <c r="LKI515" s="13"/>
      <c r="LKJ515" s="13"/>
      <c r="LKK515" s="193"/>
      <c r="LKL515" s="379"/>
      <c r="LKM515" s="379"/>
      <c r="LKN515" s="379"/>
      <c r="LKO515" s="379"/>
      <c r="LKP515" s="379"/>
      <c r="LKQ515" s="13"/>
      <c r="LKR515" s="13"/>
      <c r="LKS515" s="193"/>
      <c r="LKT515" s="379"/>
      <c r="LKU515" s="379"/>
      <c r="LKV515" s="379"/>
      <c r="LKW515" s="379"/>
      <c r="LKX515" s="379"/>
      <c r="LKY515" s="13"/>
      <c r="LKZ515" s="13"/>
      <c r="LLA515" s="193"/>
      <c r="LLB515" s="379"/>
      <c r="LLC515" s="379"/>
      <c r="LLD515" s="379"/>
      <c r="LLE515" s="379"/>
      <c r="LLF515" s="379"/>
      <c r="LLG515" s="13"/>
      <c r="LLH515" s="13"/>
      <c r="LLI515" s="193"/>
      <c r="LLJ515" s="379"/>
      <c r="LLK515" s="379"/>
      <c r="LLL515" s="379"/>
      <c r="LLM515" s="379"/>
      <c r="LLN515" s="379"/>
      <c r="LLO515" s="13"/>
      <c r="LLP515" s="13"/>
      <c r="LLQ515" s="193"/>
      <c r="LLR515" s="379"/>
      <c r="LLS515" s="379"/>
      <c r="LLT515" s="379"/>
      <c r="LLU515" s="379"/>
      <c r="LLV515" s="379"/>
      <c r="LLW515" s="13"/>
      <c r="LLX515" s="13"/>
      <c r="LLY515" s="193"/>
      <c r="LLZ515" s="379"/>
      <c r="LMA515" s="379"/>
      <c r="LMB515" s="379"/>
      <c r="LMC515" s="379"/>
      <c r="LMD515" s="379"/>
      <c r="LME515" s="13"/>
      <c r="LMF515" s="13"/>
      <c r="LMG515" s="193"/>
      <c r="LMH515" s="379"/>
      <c r="LMI515" s="379"/>
      <c r="LMJ515" s="379"/>
      <c r="LMK515" s="379"/>
      <c r="LML515" s="379"/>
      <c r="LMM515" s="13"/>
      <c r="LMN515" s="13"/>
      <c r="LMO515" s="193"/>
      <c r="LMP515" s="379"/>
      <c r="LMQ515" s="379"/>
      <c r="LMR515" s="379"/>
      <c r="LMS515" s="379"/>
      <c r="LMT515" s="379"/>
      <c r="LMU515" s="13"/>
      <c r="LMV515" s="13"/>
      <c r="LMW515" s="193"/>
      <c r="LMX515" s="379"/>
      <c r="LMY515" s="379"/>
      <c r="LMZ515" s="379"/>
      <c r="LNA515" s="379"/>
      <c r="LNB515" s="379"/>
      <c r="LNC515" s="13"/>
      <c r="LND515" s="13"/>
      <c r="LNE515" s="193"/>
      <c r="LNF515" s="379"/>
      <c r="LNG515" s="379"/>
      <c r="LNH515" s="379"/>
      <c r="LNI515" s="379"/>
      <c r="LNJ515" s="379"/>
      <c r="LNK515" s="13"/>
      <c r="LNL515" s="13"/>
      <c r="LNM515" s="193"/>
      <c r="LNN515" s="379"/>
      <c r="LNO515" s="379"/>
      <c r="LNP515" s="379"/>
      <c r="LNQ515" s="379"/>
      <c r="LNR515" s="379"/>
      <c r="LNS515" s="13"/>
      <c r="LNT515" s="13"/>
      <c r="LNU515" s="193"/>
      <c r="LNV515" s="379"/>
      <c r="LNW515" s="379"/>
      <c r="LNX515" s="379"/>
      <c r="LNY515" s="379"/>
      <c r="LNZ515" s="379"/>
      <c r="LOA515" s="13"/>
      <c r="LOB515" s="13"/>
      <c r="LOC515" s="193"/>
      <c r="LOD515" s="379"/>
      <c r="LOE515" s="379"/>
      <c r="LOF515" s="379"/>
      <c r="LOG515" s="379"/>
      <c r="LOH515" s="379"/>
      <c r="LOI515" s="13"/>
      <c r="LOJ515" s="13"/>
      <c r="LOK515" s="193"/>
      <c r="LOL515" s="379"/>
      <c r="LOM515" s="379"/>
      <c r="LON515" s="379"/>
      <c r="LOO515" s="379"/>
      <c r="LOP515" s="379"/>
      <c r="LOQ515" s="13"/>
      <c r="LOR515" s="13"/>
      <c r="LOS515" s="193"/>
      <c r="LOT515" s="379"/>
      <c r="LOU515" s="379"/>
      <c r="LOV515" s="379"/>
      <c r="LOW515" s="379"/>
      <c r="LOX515" s="379"/>
      <c r="LOY515" s="13"/>
      <c r="LOZ515" s="13"/>
      <c r="LPA515" s="193"/>
      <c r="LPB515" s="379"/>
      <c r="LPC515" s="379"/>
      <c r="LPD515" s="379"/>
      <c r="LPE515" s="379"/>
      <c r="LPF515" s="379"/>
      <c r="LPG515" s="13"/>
      <c r="LPH515" s="13"/>
      <c r="LPI515" s="193"/>
      <c r="LPJ515" s="379"/>
      <c r="LPK515" s="379"/>
      <c r="LPL515" s="379"/>
      <c r="LPM515" s="379"/>
      <c r="LPN515" s="379"/>
      <c r="LPO515" s="13"/>
      <c r="LPP515" s="13"/>
      <c r="LPQ515" s="193"/>
      <c r="LPR515" s="379"/>
      <c r="LPS515" s="379"/>
      <c r="LPT515" s="379"/>
      <c r="LPU515" s="379"/>
      <c r="LPV515" s="379"/>
      <c r="LPW515" s="13"/>
      <c r="LPX515" s="13"/>
      <c r="LPY515" s="193"/>
      <c r="LPZ515" s="379"/>
      <c r="LQA515" s="379"/>
      <c r="LQB515" s="379"/>
      <c r="LQC515" s="379"/>
      <c r="LQD515" s="379"/>
      <c r="LQE515" s="13"/>
      <c r="LQF515" s="13"/>
      <c r="LQG515" s="193"/>
      <c r="LQH515" s="379"/>
      <c r="LQI515" s="379"/>
      <c r="LQJ515" s="379"/>
      <c r="LQK515" s="379"/>
      <c r="LQL515" s="379"/>
      <c r="LQM515" s="13"/>
      <c r="LQN515" s="13"/>
      <c r="LQO515" s="193"/>
      <c r="LQP515" s="379"/>
      <c r="LQQ515" s="379"/>
      <c r="LQR515" s="379"/>
      <c r="LQS515" s="379"/>
      <c r="LQT515" s="379"/>
      <c r="LQU515" s="13"/>
      <c r="LQV515" s="13"/>
      <c r="LQW515" s="193"/>
      <c r="LQX515" s="379"/>
      <c r="LQY515" s="379"/>
      <c r="LQZ515" s="379"/>
      <c r="LRA515" s="379"/>
      <c r="LRB515" s="379"/>
      <c r="LRC515" s="13"/>
      <c r="LRD515" s="13"/>
      <c r="LRE515" s="193"/>
      <c r="LRF515" s="379"/>
      <c r="LRG515" s="379"/>
      <c r="LRH515" s="379"/>
      <c r="LRI515" s="379"/>
      <c r="LRJ515" s="379"/>
      <c r="LRK515" s="13"/>
      <c r="LRL515" s="13"/>
      <c r="LRM515" s="193"/>
      <c r="LRN515" s="379"/>
      <c r="LRO515" s="379"/>
      <c r="LRP515" s="379"/>
      <c r="LRQ515" s="379"/>
      <c r="LRR515" s="379"/>
      <c r="LRS515" s="13"/>
      <c r="LRT515" s="13"/>
      <c r="LRU515" s="193"/>
      <c r="LRV515" s="379"/>
      <c r="LRW515" s="379"/>
      <c r="LRX515" s="379"/>
      <c r="LRY515" s="379"/>
      <c r="LRZ515" s="379"/>
      <c r="LSA515" s="13"/>
      <c r="LSB515" s="13"/>
      <c r="LSC515" s="193"/>
      <c r="LSD515" s="379"/>
      <c r="LSE515" s="379"/>
      <c r="LSF515" s="379"/>
      <c r="LSG515" s="379"/>
      <c r="LSH515" s="379"/>
      <c r="LSI515" s="13"/>
      <c r="LSJ515" s="13"/>
      <c r="LSK515" s="193"/>
      <c r="LSL515" s="379"/>
      <c r="LSM515" s="379"/>
      <c r="LSN515" s="379"/>
      <c r="LSO515" s="379"/>
      <c r="LSP515" s="379"/>
      <c r="LSQ515" s="13"/>
      <c r="LSR515" s="13"/>
      <c r="LSS515" s="193"/>
      <c r="LST515" s="379"/>
      <c r="LSU515" s="379"/>
      <c r="LSV515" s="379"/>
      <c r="LSW515" s="379"/>
      <c r="LSX515" s="379"/>
      <c r="LSY515" s="13"/>
      <c r="LSZ515" s="13"/>
      <c r="LTA515" s="193"/>
      <c r="LTB515" s="379"/>
      <c r="LTC515" s="379"/>
      <c r="LTD515" s="379"/>
      <c r="LTE515" s="379"/>
      <c r="LTF515" s="379"/>
      <c r="LTG515" s="13"/>
      <c r="LTH515" s="13"/>
      <c r="LTI515" s="193"/>
      <c r="LTJ515" s="379"/>
      <c r="LTK515" s="379"/>
      <c r="LTL515" s="379"/>
      <c r="LTM515" s="379"/>
      <c r="LTN515" s="379"/>
      <c r="LTO515" s="13"/>
      <c r="LTP515" s="13"/>
      <c r="LTQ515" s="193"/>
      <c r="LTR515" s="379"/>
      <c r="LTS515" s="379"/>
      <c r="LTT515" s="379"/>
      <c r="LTU515" s="379"/>
      <c r="LTV515" s="379"/>
      <c r="LTW515" s="13"/>
      <c r="LTX515" s="13"/>
      <c r="LTY515" s="193"/>
      <c r="LTZ515" s="379"/>
      <c r="LUA515" s="379"/>
      <c r="LUB515" s="379"/>
      <c r="LUC515" s="379"/>
      <c r="LUD515" s="379"/>
      <c r="LUE515" s="13"/>
      <c r="LUF515" s="13"/>
      <c r="LUG515" s="193"/>
      <c r="LUH515" s="379"/>
      <c r="LUI515" s="379"/>
      <c r="LUJ515" s="379"/>
      <c r="LUK515" s="379"/>
      <c r="LUL515" s="379"/>
      <c r="LUM515" s="13"/>
      <c r="LUN515" s="13"/>
      <c r="LUO515" s="193"/>
      <c r="LUP515" s="379"/>
      <c r="LUQ515" s="379"/>
      <c r="LUR515" s="379"/>
      <c r="LUS515" s="379"/>
      <c r="LUT515" s="379"/>
      <c r="LUU515" s="13"/>
      <c r="LUV515" s="13"/>
      <c r="LUW515" s="193"/>
      <c r="LUX515" s="379"/>
      <c r="LUY515" s="379"/>
      <c r="LUZ515" s="379"/>
      <c r="LVA515" s="379"/>
      <c r="LVB515" s="379"/>
      <c r="LVC515" s="13"/>
      <c r="LVD515" s="13"/>
      <c r="LVE515" s="193"/>
      <c r="LVF515" s="379"/>
      <c r="LVG515" s="379"/>
      <c r="LVH515" s="379"/>
      <c r="LVI515" s="379"/>
      <c r="LVJ515" s="379"/>
      <c r="LVK515" s="13"/>
      <c r="LVL515" s="13"/>
      <c r="LVM515" s="193"/>
      <c r="LVN515" s="379"/>
      <c r="LVO515" s="379"/>
      <c r="LVP515" s="379"/>
      <c r="LVQ515" s="379"/>
      <c r="LVR515" s="379"/>
      <c r="LVS515" s="13"/>
      <c r="LVT515" s="13"/>
      <c r="LVU515" s="193"/>
      <c r="LVV515" s="379"/>
      <c r="LVW515" s="379"/>
      <c r="LVX515" s="379"/>
      <c r="LVY515" s="379"/>
      <c r="LVZ515" s="379"/>
      <c r="LWA515" s="13"/>
      <c r="LWB515" s="13"/>
      <c r="LWC515" s="193"/>
      <c r="LWD515" s="379"/>
      <c r="LWE515" s="379"/>
      <c r="LWF515" s="379"/>
      <c r="LWG515" s="379"/>
      <c r="LWH515" s="379"/>
      <c r="LWI515" s="13"/>
      <c r="LWJ515" s="13"/>
      <c r="LWK515" s="193"/>
      <c r="LWL515" s="379"/>
      <c r="LWM515" s="379"/>
      <c r="LWN515" s="379"/>
      <c r="LWO515" s="379"/>
      <c r="LWP515" s="379"/>
      <c r="LWQ515" s="13"/>
      <c r="LWR515" s="13"/>
      <c r="LWS515" s="193"/>
      <c r="LWT515" s="379"/>
      <c r="LWU515" s="379"/>
      <c r="LWV515" s="379"/>
      <c r="LWW515" s="379"/>
      <c r="LWX515" s="379"/>
      <c r="LWY515" s="13"/>
      <c r="LWZ515" s="13"/>
      <c r="LXA515" s="193"/>
      <c r="LXB515" s="379"/>
      <c r="LXC515" s="379"/>
      <c r="LXD515" s="379"/>
      <c r="LXE515" s="379"/>
      <c r="LXF515" s="379"/>
      <c r="LXG515" s="13"/>
      <c r="LXH515" s="13"/>
      <c r="LXI515" s="193"/>
      <c r="LXJ515" s="379"/>
      <c r="LXK515" s="379"/>
      <c r="LXL515" s="379"/>
      <c r="LXM515" s="379"/>
      <c r="LXN515" s="379"/>
      <c r="LXO515" s="13"/>
      <c r="LXP515" s="13"/>
      <c r="LXQ515" s="193"/>
      <c r="LXR515" s="379"/>
      <c r="LXS515" s="379"/>
      <c r="LXT515" s="379"/>
      <c r="LXU515" s="379"/>
      <c r="LXV515" s="379"/>
      <c r="LXW515" s="13"/>
      <c r="LXX515" s="13"/>
      <c r="LXY515" s="193"/>
      <c r="LXZ515" s="379"/>
      <c r="LYA515" s="379"/>
      <c r="LYB515" s="379"/>
      <c r="LYC515" s="379"/>
      <c r="LYD515" s="379"/>
      <c r="LYE515" s="13"/>
      <c r="LYF515" s="13"/>
      <c r="LYG515" s="193"/>
      <c r="LYH515" s="379"/>
      <c r="LYI515" s="379"/>
      <c r="LYJ515" s="379"/>
      <c r="LYK515" s="379"/>
      <c r="LYL515" s="379"/>
      <c r="LYM515" s="13"/>
      <c r="LYN515" s="13"/>
      <c r="LYO515" s="193"/>
      <c r="LYP515" s="379"/>
      <c r="LYQ515" s="379"/>
      <c r="LYR515" s="379"/>
      <c r="LYS515" s="379"/>
      <c r="LYT515" s="379"/>
      <c r="LYU515" s="13"/>
      <c r="LYV515" s="13"/>
      <c r="LYW515" s="193"/>
      <c r="LYX515" s="379"/>
      <c r="LYY515" s="379"/>
      <c r="LYZ515" s="379"/>
      <c r="LZA515" s="379"/>
      <c r="LZB515" s="379"/>
      <c r="LZC515" s="13"/>
      <c r="LZD515" s="13"/>
      <c r="LZE515" s="193"/>
      <c r="LZF515" s="379"/>
      <c r="LZG515" s="379"/>
      <c r="LZH515" s="379"/>
      <c r="LZI515" s="379"/>
      <c r="LZJ515" s="379"/>
      <c r="LZK515" s="13"/>
      <c r="LZL515" s="13"/>
      <c r="LZM515" s="193"/>
      <c r="LZN515" s="379"/>
      <c r="LZO515" s="379"/>
      <c r="LZP515" s="379"/>
      <c r="LZQ515" s="379"/>
      <c r="LZR515" s="379"/>
      <c r="LZS515" s="13"/>
      <c r="LZT515" s="13"/>
      <c r="LZU515" s="193"/>
      <c r="LZV515" s="379"/>
      <c r="LZW515" s="379"/>
      <c r="LZX515" s="379"/>
      <c r="LZY515" s="379"/>
      <c r="LZZ515" s="379"/>
      <c r="MAA515" s="13"/>
      <c r="MAB515" s="13"/>
      <c r="MAC515" s="193"/>
      <c r="MAD515" s="379"/>
      <c r="MAE515" s="379"/>
      <c r="MAF515" s="379"/>
      <c r="MAG515" s="379"/>
      <c r="MAH515" s="379"/>
      <c r="MAI515" s="13"/>
      <c r="MAJ515" s="13"/>
      <c r="MAK515" s="193"/>
      <c r="MAL515" s="379"/>
      <c r="MAM515" s="379"/>
      <c r="MAN515" s="379"/>
      <c r="MAO515" s="379"/>
      <c r="MAP515" s="379"/>
      <c r="MAQ515" s="13"/>
      <c r="MAR515" s="13"/>
      <c r="MAS515" s="193"/>
      <c r="MAT515" s="379"/>
      <c r="MAU515" s="379"/>
      <c r="MAV515" s="379"/>
      <c r="MAW515" s="379"/>
      <c r="MAX515" s="379"/>
      <c r="MAY515" s="13"/>
      <c r="MAZ515" s="13"/>
      <c r="MBA515" s="193"/>
      <c r="MBB515" s="379"/>
      <c r="MBC515" s="379"/>
      <c r="MBD515" s="379"/>
      <c r="MBE515" s="379"/>
      <c r="MBF515" s="379"/>
      <c r="MBG515" s="13"/>
      <c r="MBH515" s="13"/>
      <c r="MBI515" s="193"/>
      <c r="MBJ515" s="379"/>
      <c r="MBK515" s="379"/>
      <c r="MBL515" s="379"/>
      <c r="MBM515" s="379"/>
      <c r="MBN515" s="379"/>
      <c r="MBO515" s="13"/>
      <c r="MBP515" s="13"/>
      <c r="MBQ515" s="193"/>
      <c r="MBR515" s="379"/>
      <c r="MBS515" s="379"/>
      <c r="MBT515" s="379"/>
      <c r="MBU515" s="379"/>
      <c r="MBV515" s="379"/>
      <c r="MBW515" s="13"/>
      <c r="MBX515" s="13"/>
      <c r="MBY515" s="193"/>
      <c r="MBZ515" s="379"/>
      <c r="MCA515" s="379"/>
      <c r="MCB515" s="379"/>
      <c r="MCC515" s="379"/>
      <c r="MCD515" s="379"/>
      <c r="MCE515" s="13"/>
      <c r="MCF515" s="13"/>
      <c r="MCG515" s="193"/>
      <c r="MCH515" s="379"/>
      <c r="MCI515" s="379"/>
      <c r="MCJ515" s="379"/>
      <c r="MCK515" s="379"/>
      <c r="MCL515" s="379"/>
      <c r="MCM515" s="13"/>
      <c r="MCN515" s="13"/>
      <c r="MCO515" s="193"/>
      <c r="MCP515" s="379"/>
      <c r="MCQ515" s="379"/>
      <c r="MCR515" s="379"/>
      <c r="MCS515" s="379"/>
      <c r="MCT515" s="379"/>
      <c r="MCU515" s="13"/>
      <c r="MCV515" s="13"/>
      <c r="MCW515" s="193"/>
      <c r="MCX515" s="379"/>
      <c r="MCY515" s="379"/>
      <c r="MCZ515" s="379"/>
      <c r="MDA515" s="379"/>
      <c r="MDB515" s="379"/>
      <c r="MDC515" s="13"/>
      <c r="MDD515" s="13"/>
      <c r="MDE515" s="193"/>
      <c r="MDF515" s="379"/>
      <c r="MDG515" s="379"/>
      <c r="MDH515" s="379"/>
      <c r="MDI515" s="379"/>
      <c r="MDJ515" s="379"/>
      <c r="MDK515" s="13"/>
      <c r="MDL515" s="13"/>
      <c r="MDM515" s="193"/>
      <c r="MDN515" s="379"/>
      <c r="MDO515" s="379"/>
      <c r="MDP515" s="379"/>
      <c r="MDQ515" s="379"/>
      <c r="MDR515" s="379"/>
      <c r="MDS515" s="13"/>
      <c r="MDT515" s="13"/>
      <c r="MDU515" s="193"/>
      <c r="MDV515" s="379"/>
      <c r="MDW515" s="379"/>
      <c r="MDX515" s="379"/>
      <c r="MDY515" s="379"/>
      <c r="MDZ515" s="379"/>
      <c r="MEA515" s="13"/>
      <c r="MEB515" s="13"/>
      <c r="MEC515" s="193"/>
      <c r="MED515" s="379"/>
      <c r="MEE515" s="379"/>
      <c r="MEF515" s="379"/>
      <c r="MEG515" s="379"/>
      <c r="MEH515" s="379"/>
      <c r="MEI515" s="13"/>
      <c r="MEJ515" s="13"/>
      <c r="MEK515" s="193"/>
      <c r="MEL515" s="379"/>
      <c r="MEM515" s="379"/>
      <c r="MEN515" s="379"/>
      <c r="MEO515" s="379"/>
      <c r="MEP515" s="379"/>
      <c r="MEQ515" s="13"/>
      <c r="MER515" s="13"/>
      <c r="MES515" s="193"/>
      <c r="MET515" s="379"/>
      <c r="MEU515" s="379"/>
      <c r="MEV515" s="379"/>
      <c r="MEW515" s="379"/>
      <c r="MEX515" s="379"/>
      <c r="MEY515" s="13"/>
      <c r="MEZ515" s="13"/>
      <c r="MFA515" s="193"/>
      <c r="MFB515" s="379"/>
      <c r="MFC515" s="379"/>
      <c r="MFD515" s="379"/>
      <c r="MFE515" s="379"/>
      <c r="MFF515" s="379"/>
      <c r="MFG515" s="13"/>
      <c r="MFH515" s="13"/>
      <c r="MFI515" s="193"/>
      <c r="MFJ515" s="379"/>
      <c r="MFK515" s="379"/>
      <c r="MFL515" s="379"/>
      <c r="MFM515" s="379"/>
      <c r="MFN515" s="379"/>
      <c r="MFO515" s="13"/>
      <c r="MFP515" s="13"/>
      <c r="MFQ515" s="193"/>
      <c r="MFR515" s="379"/>
      <c r="MFS515" s="379"/>
      <c r="MFT515" s="379"/>
      <c r="MFU515" s="379"/>
      <c r="MFV515" s="379"/>
      <c r="MFW515" s="13"/>
      <c r="MFX515" s="13"/>
      <c r="MFY515" s="193"/>
      <c r="MFZ515" s="379"/>
      <c r="MGA515" s="379"/>
      <c r="MGB515" s="379"/>
      <c r="MGC515" s="379"/>
      <c r="MGD515" s="379"/>
      <c r="MGE515" s="13"/>
      <c r="MGF515" s="13"/>
      <c r="MGG515" s="193"/>
      <c r="MGH515" s="379"/>
      <c r="MGI515" s="379"/>
      <c r="MGJ515" s="379"/>
      <c r="MGK515" s="379"/>
      <c r="MGL515" s="379"/>
      <c r="MGM515" s="13"/>
      <c r="MGN515" s="13"/>
      <c r="MGO515" s="193"/>
      <c r="MGP515" s="379"/>
      <c r="MGQ515" s="379"/>
      <c r="MGR515" s="379"/>
      <c r="MGS515" s="379"/>
      <c r="MGT515" s="379"/>
      <c r="MGU515" s="13"/>
      <c r="MGV515" s="13"/>
      <c r="MGW515" s="193"/>
      <c r="MGX515" s="379"/>
      <c r="MGY515" s="379"/>
      <c r="MGZ515" s="379"/>
      <c r="MHA515" s="379"/>
      <c r="MHB515" s="379"/>
      <c r="MHC515" s="13"/>
      <c r="MHD515" s="13"/>
      <c r="MHE515" s="193"/>
      <c r="MHF515" s="379"/>
      <c r="MHG515" s="379"/>
      <c r="MHH515" s="379"/>
      <c r="MHI515" s="379"/>
      <c r="MHJ515" s="379"/>
      <c r="MHK515" s="13"/>
      <c r="MHL515" s="13"/>
      <c r="MHM515" s="193"/>
      <c r="MHN515" s="379"/>
      <c r="MHO515" s="379"/>
      <c r="MHP515" s="379"/>
      <c r="MHQ515" s="379"/>
      <c r="MHR515" s="379"/>
      <c r="MHS515" s="13"/>
      <c r="MHT515" s="13"/>
      <c r="MHU515" s="193"/>
      <c r="MHV515" s="379"/>
      <c r="MHW515" s="379"/>
      <c r="MHX515" s="379"/>
      <c r="MHY515" s="379"/>
      <c r="MHZ515" s="379"/>
      <c r="MIA515" s="13"/>
      <c r="MIB515" s="13"/>
      <c r="MIC515" s="193"/>
      <c r="MID515" s="379"/>
      <c r="MIE515" s="379"/>
      <c r="MIF515" s="379"/>
      <c r="MIG515" s="379"/>
      <c r="MIH515" s="379"/>
      <c r="MII515" s="13"/>
      <c r="MIJ515" s="13"/>
      <c r="MIK515" s="193"/>
      <c r="MIL515" s="379"/>
      <c r="MIM515" s="379"/>
      <c r="MIN515" s="379"/>
      <c r="MIO515" s="379"/>
      <c r="MIP515" s="379"/>
      <c r="MIQ515" s="13"/>
      <c r="MIR515" s="13"/>
      <c r="MIS515" s="193"/>
      <c r="MIT515" s="379"/>
      <c r="MIU515" s="379"/>
      <c r="MIV515" s="379"/>
      <c r="MIW515" s="379"/>
      <c r="MIX515" s="379"/>
      <c r="MIY515" s="13"/>
      <c r="MIZ515" s="13"/>
      <c r="MJA515" s="193"/>
      <c r="MJB515" s="379"/>
      <c r="MJC515" s="379"/>
      <c r="MJD515" s="379"/>
      <c r="MJE515" s="379"/>
      <c r="MJF515" s="379"/>
      <c r="MJG515" s="13"/>
      <c r="MJH515" s="13"/>
      <c r="MJI515" s="193"/>
      <c r="MJJ515" s="379"/>
      <c r="MJK515" s="379"/>
      <c r="MJL515" s="379"/>
      <c r="MJM515" s="379"/>
      <c r="MJN515" s="379"/>
      <c r="MJO515" s="13"/>
      <c r="MJP515" s="13"/>
      <c r="MJQ515" s="193"/>
      <c r="MJR515" s="379"/>
      <c r="MJS515" s="379"/>
      <c r="MJT515" s="379"/>
      <c r="MJU515" s="379"/>
      <c r="MJV515" s="379"/>
      <c r="MJW515" s="13"/>
      <c r="MJX515" s="13"/>
      <c r="MJY515" s="193"/>
      <c r="MJZ515" s="379"/>
      <c r="MKA515" s="379"/>
      <c r="MKB515" s="379"/>
      <c r="MKC515" s="379"/>
      <c r="MKD515" s="379"/>
      <c r="MKE515" s="13"/>
      <c r="MKF515" s="13"/>
      <c r="MKG515" s="193"/>
      <c r="MKH515" s="379"/>
      <c r="MKI515" s="379"/>
      <c r="MKJ515" s="379"/>
      <c r="MKK515" s="379"/>
      <c r="MKL515" s="379"/>
      <c r="MKM515" s="13"/>
      <c r="MKN515" s="13"/>
      <c r="MKO515" s="193"/>
      <c r="MKP515" s="379"/>
      <c r="MKQ515" s="379"/>
      <c r="MKR515" s="379"/>
      <c r="MKS515" s="379"/>
      <c r="MKT515" s="379"/>
      <c r="MKU515" s="13"/>
      <c r="MKV515" s="13"/>
      <c r="MKW515" s="193"/>
      <c r="MKX515" s="379"/>
      <c r="MKY515" s="379"/>
      <c r="MKZ515" s="379"/>
      <c r="MLA515" s="379"/>
      <c r="MLB515" s="379"/>
      <c r="MLC515" s="13"/>
      <c r="MLD515" s="13"/>
      <c r="MLE515" s="193"/>
      <c r="MLF515" s="379"/>
      <c r="MLG515" s="379"/>
      <c r="MLH515" s="379"/>
      <c r="MLI515" s="379"/>
      <c r="MLJ515" s="379"/>
      <c r="MLK515" s="13"/>
      <c r="MLL515" s="13"/>
      <c r="MLM515" s="193"/>
      <c r="MLN515" s="379"/>
      <c r="MLO515" s="379"/>
      <c r="MLP515" s="379"/>
      <c r="MLQ515" s="379"/>
      <c r="MLR515" s="379"/>
      <c r="MLS515" s="13"/>
      <c r="MLT515" s="13"/>
      <c r="MLU515" s="193"/>
      <c r="MLV515" s="379"/>
      <c r="MLW515" s="379"/>
      <c r="MLX515" s="379"/>
      <c r="MLY515" s="379"/>
      <c r="MLZ515" s="379"/>
      <c r="MMA515" s="13"/>
      <c r="MMB515" s="13"/>
      <c r="MMC515" s="193"/>
      <c r="MMD515" s="379"/>
      <c r="MME515" s="379"/>
      <c r="MMF515" s="379"/>
      <c r="MMG515" s="379"/>
      <c r="MMH515" s="379"/>
      <c r="MMI515" s="13"/>
      <c r="MMJ515" s="13"/>
      <c r="MMK515" s="193"/>
      <c r="MML515" s="379"/>
      <c r="MMM515" s="379"/>
      <c r="MMN515" s="379"/>
      <c r="MMO515" s="379"/>
      <c r="MMP515" s="379"/>
      <c r="MMQ515" s="13"/>
      <c r="MMR515" s="13"/>
      <c r="MMS515" s="193"/>
      <c r="MMT515" s="379"/>
      <c r="MMU515" s="379"/>
      <c r="MMV515" s="379"/>
      <c r="MMW515" s="379"/>
      <c r="MMX515" s="379"/>
      <c r="MMY515" s="13"/>
      <c r="MMZ515" s="13"/>
      <c r="MNA515" s="193"/>
      <c r="MNB515" s="379"/>
      <c r="MNC515" s="379"/>
      <c r="MND515" s="379"/>
      <c r="MNE515" s="379"/>
      <c r="MNF515" s="379"/>
      <c r="MNG515" s="13"/>
      <c r="MNH515" s="13"/>
      <c r="MNI515" s="193"/>
      <c r="MNJ515" s="379"/>
      <c r="MNK515" s="379"/>
      <c r="MNL515" s="379"/>
      <c r="MNM515" s="379"/>
      <c r="MNN515" s="379"/>
      <c r="MNO515" s="13"/>
      <c r="MNP515" s="13"/>
      <c r="MNQ515" s="193"/>
      <c r="MNR515" s="379"/>
      <c r="MNS515" s="379"/>
      <c r="MNT515" s="379"/>
      <c r="MNU515" s="379"/>
      <c r="MNV515" s="379"/>
      <c r="MNW515" s="13"/>
      <c r="MNX515" s="13"/>
      <c r="MNY515" s="193"/>
      <c r="MNZ515" s="379"/>
      <c r="MOA515" s="379"/>
      <c r="MOB515" s="379"/>
      <c r="MOC515" s="379"/>
      <c r="MOD515" s="379"/>
      <c r="MOE515" s="13"/>
      <c r="MOF515" s="13"/>
      <c r="MOG515" s="193"/>
      <c r="MOH515" s="379"/>
      <c r="MOI515" s="379"/>
      <c r="MOJ515" s="379"/>
      <c r="MOK515" s="379"/>
      <c r="MOL515" s="379"/>
      <c r="MOM515" s="13"/>
      <c r="MON515" s="13"/>
      <c r="MOO515" s="193"/>
      <c r="MOP515" s="379"/>
      <c r="MOQ515" s="379"/>
      <c r="MOR515" s="379"/>
      <c r="MOS515" s="379"/>
      <c r="MOT515" s="379"/>
      <c r="MOU515" s="13"/>
      <c r="MOV515" s="13"/>
      <c r="MOW515" s="193"/>
      <c r="MOX515" s="379"/>
      <c r="MOY515" s="379"/>
      <c r="MOZ515" s="379"/>
      <c r="MPA515" s="379"/>
      <c r="MPB515" s="379"/>
      <c r="MPC515" s="13"/>
      <c r="MPD515" s="13"/>
      <c r="MPE515" s="193"/>
      <c r="MPF515" s="379"/>
      <c r="MPG515" s="379"/>
      <c r="MPH515" s="379"/>
      <c r="MPI515" s="379"/>
      <c r="MPJ515" s="379"/>
      <c r="MPK515" s="13"/>
      <c r="MPL515" s="13"/>
      <c r="MPM515" s="193"/>
      <c r="MPN515" s="379"/>
      <c r="MPO515" s="379"/>
      <c r="MPP515" s="379"/>
      <c r="MPQ515" s="379"/>
      <c r="MPR515" s="379"/>
      <c r="MPS515" s="13"/>
      <c r="MPT515" s="13"/>
      <c r="MPU515" s="193"/>
      <c r="MPV515" s="379"/>
      <c r="MPW515" s="379"/>
      <c r="MPX515" s="379"/>
      <c r="MPY515" s="379"/>
      <c r="MPZ515" s="379"/>
      <c r="MQA515" s="13"/>
      <c r="MQB515" s="13"/>
      <c r="MQC515" s="193"/>
      <c r="MQD515" s="379"/>
      <c r="MQE515" s="379"/>
      <c r="MQF515" s="379"/>
      <c r="MQG515" s="379"/>
      <c r="MQH515" s="379"/>
      <c r="MQI515" s="13"/>
      <c r="MQJ515" s="13"/>
      <c r="MQK515" s="193"/>
      <c r="MQL515" s="379"/>
      <c r="MQM515" s="379"/>
      <c r="MQN515" s="379"/>
      <c r="MQO515" s="379"/>
      <c r="MQP515" s="379"/>
      <c r="MQQ515" s="13"/>
      <c r="MQR515" s="13"/>
      <c r="MQS515" s="193"/>
      <c r="MQT515" s="379"/>
      <c r="MQU515" s="379"/>
      <c r="MQV515" s="379"/>
      <c r="MQW515" s="379"/>
      <c r="MQX515" s="379"/>
      <c r="MQY515" s="13"/>
      <c r="MQZ515" s="13"/>
      <c r="MRA515" s="193"/>
      <c r="MRB515" s="379"/>
      <c r="MRC515" s="379"/>
      <c r="MRD515" s="379"/>
      <c r="MRE515" s="379"/>
      <c r="MRF515" s="379"/>
      <c r="MRG515" s="13"/>
      <c r="MRH515" s="13"/>
      <c r="MRI515" s="193"/>
      <c r="MRJ515" s="379"/>
      <c r="MRK515" s="379"/>
      <c r="MRL515" s="379"/>
      <c r="MRM515" s="379"/>
      <c r="MRN515" s="379"/>
      <c r="MRO515" s="13"/>
      <c r="MRP515" s="13"/>
      <c r="MRQ515" s="193"/>
      <c r="MRR515" s="379"/>
      <c r="MRS515" s="379"/>
      <c r="MRT515" s="379"/>
      <c r="MRU515" s="379"/>
      <c r="MRV515" s="379"/>
      <c r="MRW515" s="13"/>
      <c r="MRX515" s="13"/>
      <c r="MRY515" s="193"/>
      <c r="MRZ515" s="379"/>
      <c r="MSA515" s="379"/>
      <c r="MSB515" s="379"/>
      <c r="MSC515" s="379"/>
      <c r="MSD515" s="379"/>
      <c r="MSE515" s="13"/>
      <c r="MSF515" s="13"/>
      <c r="MSG515" s="193"/>
      <c r="MSH515" s="379"/>
      <c r="MSI515" s="379"/>
      <c r="MSJ515" s="379"/>
      <c r="MSK515" s="379"/>
      <c r="MSL515" s="379"/>
      <c r="MSM515" s="13"/>
      <c r="MSN515" s="13"/>
      <c r="MSO515" s="193"/>
      <c r="MSP515" s="379"/>
      <c r="MSQ515" s="379"/>
      <c r="MSR515" s="379"/>
      <c r="MSS515" s="379"/>
      <c r="MST515" s="379"/>
      <c r="MSU515" s="13"/>
      <c r="MSV515" s="13"/>
      <c r="MSW515" s="193"/>
      <c r="MSX515" s="379"/>
      <c r="MSY515" s="379"/>
      <c r="MSZ515" s="379"/>
      <c r="MTA515" s="379"/>
      <c r="MTB515" s="379"/>
      <c r="MTC515" s="13"/>
      <c r="MTD515" s="13"/>
      <c r="MTE515" s="193"/>
      <c r="MTF515" s="379"/>
      <c r="MTG515" s="379"/>
      <c r="MTH515" s="379"/>
      <c r="MTI515" s="379"/>
      <c r="MTJ515" s="379"/>
      <c r="MTK515" s="13"/>
      <c r="MTL515" s="13"/>
      <c r="MTM515" s="193"/>
      <c r="MTN515" s="379"/>
      <c r="MTO515" s="379"/>
      <c r="MTP515" s="379"/>
      <c r="MTQ515" s="379"/>
      <c r="MTR515" s="379"/>
      <c r="MTS515" s="13"/>
      <c r="MTT515" s="13"/>
      <c r="MTU515" s="193"/>
      <c r="MTV515" s="379"/>
      <c r="MTW515" s="379"/>
      <c r="MTX515" s="379"/>
      <c r="MTY515" s="379"/>
      <c r="MTZ515" s="379"/>
      <c r="MUA515" s="13"/>
      <c r="MUB515" s="13"/>
      <c r="MUC515" s="193"/>
      <c r="MUD515" s="379"/>
      <c r="MUE515" s="379"/>
      <c r="MUF515" s="379"/>
      <c r="MUG515" s="379"/>
      <c r="MUH515" s="379"/>
      <c r="MUI515" s="13"/>
      <c r="MUJ515" s="13"/>
      <c r="MUK515" s="193"/>
      <c r="MUL515" s="379"/>
      <c r="MUM515" s="379"/>
      <c r="MUN515" s="379"/>
      <c r="MUO515" s="379"/>
      <c r="MUP515" s="379"/>
      <c r="MUQ515" s="13"/>
      <c r="MUR515" s="13"/>
      <c r="MUS515" s="193"/>
      <c r="MUT515" s="379"/>
      <c r="MUU515" s="379"/>
      <c r="MUV515" s="379"/>
      <c r="MUW515" s="379"/>
      <c r="MUX515" s="379"/>
      <c r="MUY515" s="13"/>
      <c r="MUZ515" s="13"/>
      <c r="MVA515" s="193"/>
      <c r="MVB515" s="379"/>
      <c r="MVC515" s="379"/>
      <c r="MVD515" s="379"/>
      <c r="MVE515" s="379"/>
      <c r="MVF515" s="379"/>
      <c r="MVG515" s="13"/>
      <c r="MVH515" s="13"/>
      <c r="MVI515" s="193"/>
      <c r="MVJ515" s="379"/>
      <c r="MVK515" s="379"/>
      <c r="MVL515" s="379"/>
      <c r="MVM515" s="379"/>
      <c r="MVN515" s="379"/>
      <c r="MVO515" s="13"/>
      <c r="MVP515" s="13"/>
      <c r="MVQ515" s="193"/>
      <c r="MVR515" s="379"/>
      <c r="MVS515" s="379"/>
      <c r="MVT515" s="379"/>
      <c r="MVU515" s="379"/>
      <c r="MVV515" s="379"/>
      <c r="MVW515" s="13"/>
      <c r="MVX515" s="13"/>
      <c r="MVY515" s="193"/>
      <c r="MVZ515" s="379"/>
      <c r="MWA515" s="379"/>
      <c r="MWB515" s="379"/>
      <c r="MWC515" s="379"/>
      <c r="MWD515" s="379"/>
      <c r="MWE515" s="13"/>
      <c r="MWF515" s="13"/>
      <c r="MWG515" s="193"/>
      <c r="MWH515" s="379"/>
      <c r="MWI515" s="379"/>
      <c r="MWJ515" s="379"/>
      <c r="MWK515" s="379"/>
      <c r="MWL515" s="379"/>
      <c r="MWM515" s="13"/>
      <c r="MWN515" s="13"/>
      <c r="MWO515" s="193"/>
      <c r="MWP515" s="379"/>
      <c r="MWQ515" s="379"/>
      <c r="MWR515" s="379"/>
      <c r="MWS515" s="379"/>
      <c r="MWT515" s="379"/>
      <c r="MWU515" s="13"/>
      <c r="MWV515" s="13"/>
      <c r="MWW515" s="193"/>
      <c r="MWX515" s="379"/>
      <c r="MWY515" s="379"/>
      <c r="MWZ515" s="379"/>
      <c r="MXA515" s="379"/>
      <c r="MXB515" s="379"/>
      <c r="MXC515" s="13"/>
      <c r="MXD515" s="13"/>
      <c r="MXE515" s="193"/>
      <c r="MXF515" s="379"/>
      <c r="MXG515" s="379"/>
      <c r="MXH515" s="379"/>
      <c r="MXI515" s="379"/>
      <c r="MXJ515" s="379"/>
      <c r="MXK515" s="13"/>
      <c r="MXL515" s="13"/>
      <c r="MXM515" s="193"/>
      <c r="MXN515" s="379"/>
      <c r="MXO515" s="379"/>
      <c r="MXP515" s="379"/>
      <c r="MXQ515" s="379"/>
      <c r="MXR515" s="379"/>
      <c r="MXS515" s="13"/>
      <c r="MXT515" s="13"/>
      <c r="MXU515" s="193"/>
      <c r="MXV515" s="379"/>
      <c r="MXW515" s="379"/>
      <c r="MXX515" s="379"/>
      <c r="MXY515" s="379"/>
      <c r="MXZ515" s="379"/>
      <c r="MYA515" s="13"/>
      <c r="MYB515" s="13"/>
      <c r="MYC515" s="193"/>
      <c r="MYD515" s="379"/>
      <c r="MYE515" s="379"/>
      <c r="MYF515" s="379"/>
      <c r="MYG515" s="379"/>
      <c r="MYH515" s="379"/>
      <c r="MYI515" s="13"/>
      <c r="MYJ515" s="13"/>
      <c r="MYK515" s="193"/>
      <c r="MYL515" s="379"/>
      <c r="MYM515" s="379"/>
      <c r="MYN515" s="379"/>
      <c r="MYO515" s="379"/>
      <c r="MYP515" s="379"/>
      <c r="MYQ515" s="13"/>
      <c r="MYR515" s="13"/>
      <c r="MYS515" s="193"/>
      <c r="MYT515" s="379"/>
      <c r="MYU515" s="379"/>
      <c r="MYV515" s="379"/>
      <c r="MYW515" s="379"/>
      <c r="MYX515" s="379"/>
      <c r="MYY515" s="13"/>
      <c r="MYZ515" s="13"/>
      <c r="MZA515" s="193"/>
      <c r="MZB515" s="379"/>
      <c r="MZC515" s="379"/>
      <c r="MZD515" s="379"/>
      <c r="MZE515" s="379"/>
      <c r="MZF515" s="379"/>
      <c r="MZG515" s="13"/>
      <c r="MZH515" s="13"/>
      <c r="MZI515" s="193"/>
      <c r="MZJ515" s="379"/>
      <c r="MZK515" s="379"/>
      <c r="MZL515" s="379"/>
      <c r="MZM515" s="379"/>
      <c r="MZN515" s="379"/>
      <c r="MZO515" s="13"/>
      <c r="MZP515" s="13"/>
      <c r="MZQ515" s="193"/>
      <c r="MZR515" s="379"/>
      <c r="MZS515" s="379"/>
      <c r="MZT515" s="379"/>
      <c r="MZU515" s="379"/>
      <c r="MZV515" s="379"/>
      <c r="MZW515" s="13"/>
      <c r="MZX515" s="13"/>
      <c r="MZY515" s="193"/>
      <c r="MZZ515" s="379"/>
      <c r="NAA515" s="379"/>
      <c r="NAB515" s="379"/>
      <c r="NAC515" s="379"/>
      <c r="NAD515" s="379"/>
      <c r="NAE515" s="13"/>
      <c r="NAF515" s="13"/>
      <c r="NAG515" s="193"/>
      <c r="NAH515" s="379"/>
      <c r="NAI515" s="379"/>
      <c r="NAJ515" s="379"/>
      <c r="NAK515" s="379"/>
      <c r="NAL515" s="379"/>
      <c r="NAM515" s="13"/>
      <c r="NAN515" s="13"/>
      <c r="NAO515" s="193"/>
      <c r="NAP515" s="379"/>
      <c r="NAQ515" s="379"/>
      <c r="NAR515" s="379"/>
      <c r="NAS515" s="379"/>
      <c r="NAT515" s="379"/>
      <c r="NAU515" s="13"/>
      <c r="NAV515" s="13"/>
      <c r="NAW515" s="193"/>
      <c r="NAX515" s="379"/>
      <c r="NAY515" s="379"/>
      <c r="NAZ515" s="379"/>
      <c r="NBA515" s="379"/>
      <c r="NBB515" s="379"/>
      <c r="NBC515" s="13"/>
      <c r="NBD515" s="13"/>
      <c r="NBE515" s="193"/>
      <c r="NBF515" s="379"/>
      <c r="NBG515" s="379"/>
      <c r="NBH515" s="379"/>
      <c r="NBI515" s="379"/>
      <c r="NBJ515" s="379"/>
      <c r="NBK515" s="13"/>
      <c r="NBL515" s="13"/>
      <c r="NBM515" s="193"/>
      <c r="NBN515" s="379"/>
      <c r="NBO515" s="379"/>
      <c r="NBP515" s="379"/>
      <c r="NBQ515" s="379"/>
      <c r="NBR515" s="379"/>
      <c r="NBS515" s="13"/>
      <c r="NBT515" s="13"/>
      <c r="NBU515" s="193"/>
      <c r="NBV515" s="379"/>
      <c r="NBW515" s="379"/>
      <c r="NBX515" s="379"/>
      <c r="NBY515" s="379"/>
      <c r="NBZ515" s="379"/>
      <c r="NCA515" s="13"/>
      <c r="NCB515" s="13"/>
      <c r="NCC515" s="193"/>
      <c r="NCD515" s="379"/>
      <c r="NCE515" s="379"/>
      <c r="NCF515" s="379"/>
      <c r="NCG515" s="379"/>
      <c r="NCH515" s="379"/>
      <c r="NCI515" s="13"/>
      <c r="NCJ515" s="13"/>
      <c r="NCK515" s="193"/>
      <c r="NCL515" s="379"/>
      <c r="NCM515" s="379"/>
      <c r="NCN515" s="379"/>
      <c r="NCO515" s="379"/>
      <c r="NCP515" s="379"/>
      <c r="NCQ515" s="13"/>
      <c r="NCR515" s="13"/>
      <c r="NCS515" s="193"/>
      <c r="NCT515" s="379"/>
      <c r="NCU515" s="379"/>
      <c r="NCV515" s="379"/>
      <c r="NCW515" s="379"/>
      <c r="NCX515" s="379"/>
      <c r="NCY515" s="13"/>
      <c r="NCZ515" s="13"/>
      <c r="NDA515" s="193"/>
      <c r="NDB515" s="379"/>
      <c r="NDC515" s="379"/>
      <c r="NDD515" s="379"/>
      <c r="NDE515" s="379"/>
      <c r="NDF515" s="379"/>
      <c r="NDG515" s="13"/>
      <c r="NDH515" s="13"/>
      <c r="NDI515" s="193"/>
      <c r="NDJ515" s="379"/>
      <c r="NDK515" s="379"/>
      <c r="NDL515" s="379"/>
      <c r="NDM515" s="379"/>
      <c r="NDN515" s="379"/>
      <c r="NDO515" s="13"/>
      <c r="NDP515" s="13"/>
      <c r="NDQ515" s="193"/>
      <c r="NDR515" s="379"/>
      <c r="NDS515" s="379"/>
      <c r="NDT515" s="379"/>
      <c r="NDU515" s="379"/>
      <c r="NDV515" s="379"/>
      <c r="NDW515" s="13"/>
      <c r="NDX515" s="13"/>
      <c r="NDY515" s="193"/>
      <c r="NDZ515" s="379"/>
      <c r="NEA515" s="379"/>
      <c r="NEB515" s="379"/>
      <c r="NEC515" s="379"/>
      <c r="NED515" s="379"/>
      <c r="NEE515" s="13"/>
      <c r="NEF515" s="13"/>
      <c r="NEG515" s="193"/>
      <c r="NEH515" s="379"/>
      <c r="NEI515" s="379"/>
      <c r="NEJ515" s="379"/>
      <c r="NEK515" s="379"/>
      <c r="NEL515" s="379"/>
      <c r="NEM515" s="13"/>
      <c r="NEN515" s="13"/>
      <c r="NEO515" s="193"/>
      <c r="NEP515" s="379"/>
      <c r="NEQ515" s="379"/>
      <c r="NER515" s="379"/>
      <c r="NES515" s="379"/>
      <c r="NET515" s="379"/>
      <c r="NEU515" s="13"/>
      <c r="NEV515" s="13"/>
      <c r="NEW515" s="193"/>
      <c r="NEX515" s="379"/>
      <c r="NEY515" s="379"/>
      <c r="NEZ515" s="379"/>
      <c r="NFA515" s="379"/>
      <c r="NFB515" s="379"/>
      <c r="NFC515" s="13"/>
      <c r="NFD515" s="13"/>
      <c r="NFE515" s="193"/>
      <c r="NFF515" s="379"/>
      <c r="NFG515" s="379"/>
      <c r="NFH515" s="379"/>
      <c r="NFI515" s="379"/>
      <c r="NFJ515" s="379"/>
      <c r="NFK515" s="13"/>
      <c r="NFL515" s="13"/>
      <c r="NFM515" s="193"/>
      <c r="NFN515" s="379"/>
      <c r="NFO515" s="379"/>
      <c r="NFP515" s="379"/>
      <c r="NFQ515" s="379"/>
      <c r="NFR515" s="379"/>
      <c r="NFS515" s="13"/>
      <c r="NFT515" s="13"/>
      <c r="NFU515" s="193"/>
      <c r="NFV515" s="379"/>
      <c r="NFW515" s="379"/>
      <c r="NFX515" s="379"/>
      <c r="NFY515" s="379"/>
      <c r="NFZ515" s="379"/>
      <c r="NGA515" s="13"/>
      <c r="NGB515" s="13"/>
      <c r="NGC515" s="193"/>
      <c r="NGD515" s="379"/>
      <c r="NGE515" s="379"/>
      <c r="NGF515" s="379"/>
      <c r="NGG515" s="379"/>
      <c r="NGH515" s="379"/>
      <c r="NGI515" s="13"/>
      <c r="NGJ515" s="13"/>
      <c r="NGK515" s="193"/>
      <c r="NGL515" s="379"/>
      <c r="NGM515" s="379"/>
      <c r="NGN515" s="379"/>
      <c r="NGO515" s="379"/>
      <c r="NGP515" s="379"/>
      <c r="NGQ515" s="13"/>
      <c r="NGR515" s="13"/>
      <c r="NGS515" s="193"/>
      <c r="NGT515" s="379"/>
      <c r="NGU515" s="379"/>
      <c r="NGV515" s="379"/>
      <c r="NGW515" s="379"/>
      <c r="NGX515" s="379"/>
      <c r="NGY515" s="13"/>
      <c r="NGZ515" s="13"/>
      <c r="NHA515" s="193"/>
      <c r="NHB515" s="379"/>
      <c r="NHC515" s="379"/>
      <c r="NHD515" s="379"/>
      <c r="NHE515" s="379"/>
      <c r="NHF515" s="379"/>
      <c r="NHG515" s="13"/>
      <c r="NHH515" s="13"/>
      <c r="NHI515" s="193"/>
      <c r="NHJ515" s="379"/>
      <c r="NHK515" s="379"/>
      <c r="NHL515" s="379"/>
      <c r="NHM515" s="379"/>
      <c r="NHN515" s="379"/>
      <c r="NHO515" s="13"/>
      <c r="NHP515" s="13"/>
      <c r="NHQ515" s="193"/>
      <c r="NHR515" s="379"/>
      <c r="NHS515" s="379"/>
      <c r="NHT515" s="379"/>
      <c r="NHU515" s="379"/>
      <c r="NHV515" s="379"/>
      <c r="NHW515" s="13"/>
      <c r="NHX515" s="13"/>
      <c r="NHY515" s="193"/>
      <c r="NHZ515" s="379"/>
      <c r="NIA515" s="379"/>
      <c r="NIB515" s="379"/>
      <c r="NIC515" s="379"/>
      <c r="NID515" s="379"/>
      <c r="NIE515" s="13"/>
      <c r="NIF515" s="13"/>
      <c r="NIG515" s="193"/>
      <c r="NIH515" s="379"/>
      <c r="NII515" s="379"/>
      <c r="NIJ515" s="379"/>
      <c r="NIK515" s="379"/>
      <c r="NIL515" s="379"/>
      <c r="NIM515" s="13"/>
      <c r="NIN515" s="13"/>
      <c r="NIO515" s="193"/>
      <c r="NIP515" s="379"/>
      <c r="NIQ515" s="379"/>
      <c r="NIR515" s="379"/>
      <c r="NIS515" s="379"/>
      <c r="NIT515" s="379"/>
      <c r="NIU515" s="13"/>
      <c r="NIV515" s="13"/>
      <c r="NIW515" s="193"/>
      <c r="NIX515" s="379"/>
      <c r="NIY515" s="379"/>
      <c r="NIZ515" s="379"/>
      <c r="NJA515" s="379"/>
      <c r="NJB515" s="379"/>
      <c r="NJC515" s="13"/>
      <c r="NJD515" s="13"/>
      <c r="NJE515" s="193"/>
      <c r="NJF515" s="379"/>
      <c r="NJG515" s="379"/>
      <c r="NJH515" s="379"/>
      <c r="NJI515" s="379"/>
      <c r="NJJ515" s="379"/>
      <c r="NJK515" s="13"/>
      <c r="NJL515" s="13"/>
      <c r="NJM515" s="193"/>
      <c r="NJN515" s="379"/>
      <c r="NJO515" s="379"/>
      <c r="NJP515" s="379"/>
      <c r="NJQ515" s="379"/>
      <c r="NJR515" s="379"/>
      <c r="NJS515" s="13"/>
      <c r="NJT515" s="13"/>
      <c r="NJU515" s="193"/>
      <c r="NJV515" s="379"/>
      <c r="NJW515" s="379"/>
      <c r="NJX515" s="379"/>
      <c r="NJY515" s="379"/>
      <c r="NJZ515" s="379"/>
      <c r="NKA515" s="13"/>
      <c r="NKB515" s="13"/>
      <c r="NKC515" s="193"/>
      <c r="NKD515" s="379"/>
      <c r="NKE515" s="379"/>
      <c r="NKF515" s="379"/>
      <c r="NKG515" s="379"/>
      <c r="NKH515" s="379"/>
      <c r="NKI515" s="13"/>
      <c r="NKJ515" s="13"/>
      <c r="NKK515" s="193"/>
      <c r="NKL515" s="379"/>
      <c r="NKM515" s="379"/>
      <c r="NKN515" s="379"/>
      <c r="NKO515" s="379"/>
      <c r="NKP515" s="379"/>
      <c r="NKQ515" s="13"/>
      <c r="NKR515" s="13"/>
      <c r="NKS515" s="193"/>
      <c r="NKT515" s="379"/>
      <c r="NKU515" s="379"/>
      <c r="NKV515" s="379"/>
      <c r="NKW515" s="379"/>
      <c r="NKX515" s="379"/>
      <c r="NKY515" s="13"/>
      <c r="NKZ515" s="13"/>
      <c r="NLA515" s="193"/>
      <c r="NLB515" s="379"/>
      <c r="NLC515" s="379"/>
      <c r="NLD515" s="379"/>
      <c r="NLE515" s="379"/>
      <c r="NLF515" s="379"/>
      <c r="NLG515" s="13"/>
      <c r="NLH515" s="13"/>
      <c r="NLI515" s="193"/>
      <c r="NLJ515" s="379"/>
      <c r="NLK515" s="379"/>
      <c r="NLL515" s="379"/>
      <c r="NLM515" s="379"/>
      <c r="NLN515" s="379"/>
      <c r="NLO515" s="13"/>
      <c r="NLP515" s="13"/>
      <c r="NLQ515" s="193"/>
      <c r="NLR515" s="379"/>
      <c r="NLS515" s="379"/>
      <c r="NLT515" s="379"/>
      <c r="NLU515" s="379"/>
      <c r="NLV515" s="379"/>
      <c r="NLW515" s="13"/>
      <c r="NLX515" s="13"/>
      <c r="NLY515" s="193"/>
      <c r="NLZ515" s="379"/>
      <c r="NMA515" s="379"/>
      <c r="NMB515" s="379"/>
      <c r="NMC515" s="379"/>
      <c r="NMD515" s="379"/>
      <c r="NME515" s="13"/>
      <c r="NMF515" s="13"/>
      <c r="NMG515" s="193"/>
      <c r="NMH515" s="379"/>
      <c r="NMI515" s="379"/>
      <c r="NMJ515" s="379"/>
      <c r="NMK515" s="379"/>
      <c r="NML515" s="379"/>
      <c r="NMM515" s="13"/>
      <c r="NMN515" s="13"/>
      <c r="NMO515" s="193"/>
      <c r="NMP515" s="379"/>
      <c r="NMQ515" s="379"/>
      <c r="NMR515" s="379"/>
      <c r="NMS515" s="379"/>
      <c r="NMT515" s="379"/>
      <c r="NMU515" s="13"/>
      <c r="NMV515" s="13"/>
      <c r="NMW515" s="193"/>
      <c r="NMX515" s="379"/>
      <c r="NMY515" s="379"/>
      <c r="NMZ515" s="379"/>
      <c r="NNA515" s="379"/>
      <c r="NNB515" s="379"/>
      <c r="NNC515" s="13"/>
      <c r="NND515" s="13"/>
      <c r="NNE515" s="193"/>
      <c r="NNF515" s="379"/>
      <c r="NNG515" s="379"/>
      <c r="NNH515" s="379"/>
      <c r="NNI515" s="379"/>
      <c r="NNJ515" s="379"/>
      <c r="NNK515" s="13"/>
      <c r="NNL515" s="13"/>
      <c r="NNM515" s="193"/>
      <c r="NNN515" s="379"/>
      <c r="NNO515" s="379"/>
      <c r="NNP515" s="379"/>
      <c r="NNQ515" s="379"/>
      <c r="NNR515" s="379"/>
      <c r="NNS515" s="13"/>
      <c r="NNT515" s="13"/>
      <c r="NNU515" s="193"/>
      <c r="NNV515" s="379"/>
      <c r="NNW515" s="379"/>
      <c r="NNX515" s="379"/>
      <c r="NNY515" s="379"/>
      <c r="NNZ515" s="379"/>
      <c r="NOA515" s="13"/>
      <c r="NOB515" s="13"/>
      <c r="NOC515" s="193"/>
      <c r="NOD515" s="379"/>
      <c r="NOE515" s="379"/>
      <c r="NOF515" s="379"/>
      <c r="NOG515" s="379"/>
      <c r="NOH515" s="379"/>
      <c r="NOI515" s="13"/>
      <c r="NOJ515" s="13"/>
      <c r="NOK515" s="193"/>
      <c r="NOL515" s="379"/>
      <c r="NOM515" s="379"/>
      <c r="NON515" s="379"/>
      <c r="NOO515" s="379"/>
      <c r="NOP515" s="379"/>
      <c r="NOQ515" s="13"/>
      <c r="NOR515" s="13"/>
      <c r="NOS515" s="193"/>
      <c r="NOT515" s="379"/>
      <c r="NOU515" s="379"/>
      <c r="NOV515" s="379"/>
      <c r="NOW515" s="379"/>
      <c r="NOX515" s="379"/>
      <c r="NOY515" s="13"/>
      <c r="NOZ515" s="13"/>
      <c r="NPA515" s="193"/>
      <c r="NPB515" s="379"/>
      <c r="NPC515" s="379"/>
      <c r="NPD515" s="379"/>
      <c r="NPE515" s="379"/>
      <c r="NPF515" s="379"/>
      <c r="NPG515" s="13"/>
      <c r="NPH515" s="13"/>
      <c r="NPI515" s="193"/>
      <c r="NPJ515" s="379"/>
      <c r="NPK515" s="379"/>
      <c r="NPL515" s="379"/>
      <c r="NPM515" s="379"/>
      <c r="NPN515" s="379"/>
      <c r="NPO515" s="13"/>
      <c r="NPP515" s="13"/>
      <c r="NPQ515" s="193"/>
      <c r="NPR515" s="379"/>
      <c r="NPS515" s="379"/>
      <c r="NPT515" s="379"/>
      <c r="NPU515" s="379"/>
      <c r="NPV515" s="379"/>
      <c r="NPW515" s="13"/>
      <c r="NPX515" s="13"/>
      <c r="NPY515" s="193"/>
      <c r="NPZ515" s="379"/>
      <c r="NQA515" s="379"/>
      <c r="NQB515" s="379"/>
      <c r="NQC515" s="379"/>
      <c r="NQD515" s="379"/>
      <c r="NQE515" s="13"/>
      <c r="NQF515" s="13"/>
      <c r="NQG515" s="193"/>
      <c r="NQH515" s="379"/>
      <c r="NQI515" s="379"/>
      <c r="NQJ515" s="379"/>
      <c r="NQK515" s="379"/>
      <c r="NQL515" s="379"/>
      <c r="NQM515" s="13"/>
      <c r="NQN515" s="13"/>
      <c r="NQO515" s="193"/>
      <c r="NQP515" s="379"/>
      <c r="NQQ515" s="379"/>
      <c r="NQR515" s="379"/>
      <c r="NQS515" s="379"/>
      <c r="NQT515" s="379"/>
      <c r="NQU515" s="13"/>
      <c r="NQV515" s="13"/>
      <c r="NQW515" s="193"/>
      <c r="NQX515" s="379"/>
      <c r="NQY515" s="379"/>
      <c r="NQZ515" s="379"/>
      <c r="NRA515" s="379"/>
      <c r="NRB515" s="379"/>
      <c r="NRC515" s="13"/>
      <c r="NRD515" s="13"/>
      <c r="NRE515" s="193"/>
      <c r="NRF515" s="379"/>
      <c r="NRG515" s="379"/>
      <c r="NRH515" s="379"/>
      <c r="NRI515" s="379"/>
      <c r="NRJ515" s="379"/>
      <c r="NRK515" s="13"/>
      <c r="NRL515" s="13"/>
      <c r="NRM515" s="193"/>
      <c r="NRN515" s="379"/>
      <c r="NRO515" s="379"/>
      <c r="NRP515" s="379"/>
      <c r="NRQ515" s="379"/>
      <c r="NRR515" s="379"/>
      <c r="NRS515" s="13"/>
      <c r="NRT515" s="13"/>
      <c r="NRU515" s="193"/>
      <c r="NRV515" s="379"/>
      <c r="NRW515" s="379"/>
      <c r="NRX515" s="379"/>
      <c r="NRY515" s="379"/>
      <c r="NRZ515" s="379"/>
      <c r="NSA515" s="13"/>
      <c r="NSB515" s="13"/>
      <c r="NSC515" s="193"/>
      <c r="NSD515" s="379"/>
      <c r="NSE515" s="379"/>
      <c r="NSF515" s="379"/>
      <c r="NSG515" s="379"/>
      <c r="NSH515" s="379"/>
      <c r="NSI515" s="13"/>
      <c r="NSJ515" s="13"/>
      <c r="NSK515" s="193"/>
      <c r="NSL515" s="379"/>
      <c r="NSM515" s="379"/>
      <c r="NSN515" s="379"/>
      <c r="NSO515" s="379"/>
      <c r="NSP515" s="379"/>
      <c r="NSQ515" s="13"/>
      <c r="NSR515" s="13"/>
      <c r="NSS515" s="193"/>
      <c r="NST515" s="379"/>
      <c r="NSU515" s="379"/>
      <c r="NSV515" s="379"/>
      <c r="NSW515" s="379"/>
      <c r="NSX515" s="379"/>
      <c r="NSY515" s="13"/>
      <c r="NSZ515" s="13"/>
      <c r="NTA515" s="193"/>
      <c r="NTB515" s="379"/>
      <c r="NTC515" s="379"/>
      <c r="NTD515" s="379"/>
      <c r="NTE515" s="379"/>
      <c r="NTF515" s="379"/>
      <c r="NTG515" s="13"/>
      <c r="NTH515" s="13"/>
      <c r="NTI515" s="193"/>
      <c r="NTJ515" s="379"/>
      <c r="NTK515" s="379"/>
      <c r="NTL515" s="379"/>
      <c r="NTM515" s="379"/>
      <c r="NTN515" s="379"/>
      <c r="NTO515" s="13"/>
      <c r="NTP515" s="13"/>
      <c r="NTQ515" s="193"/>
      <c r="NTR515" s="379"/>
      <c r="NTS515" s="379"/>
      <c r="NTT515" s="379"/>
      <c r="NTU515" s="379"/>
      <c r="NTV515" s="379"/>
      <c r="NTW515" s="13"/>
      <c r="NTX515" s="13"/>
      <c r="NTY515" s="193"/>
      <c r="NTZ515" s="379"/>
      <c r="NUA515" s="379"/>
      <c r="NUB515" s="379"/>
      <c r="NUC515" s="379"/>
      <c r="NUD515" s="379"/>
      <c r="NUE515" s="13"/>
      <c r="NUF515" s="13"/>
      <c r="NUG515" s="193"/>
      <c r="NUH515" s="379"/>
      <c r="NUI515" s="379"/>
      <c r="NUJ515" s="379"/>
      <c r="NUK515" s="379"/>
      <c r="NUL515" s="379"/>
      <c r="NUM515" s="13"/>
      <c r="NUN515" s="13"/>
      <c r="NUO515" s="193"/>
      <c r="NUP515" s="379"/>
      <c r="NUQ515" s="379"/>
      <c r="NUR515" s="379"/>
      <c r="NUS515" s="379"/>
      <c r="NUT515" s="379"/>
      <c r="NUU515" s="13"/>
      <c r="NUV515" s="13"/>
      <c r="NUW515" s="193"/>
      <c r="NUX515" s="379"/>
      <c r="NUY515" s="379"/>
      <c r="NUZ515" s="379"/>
      <c r="NVA515" s="379"/>
      <c r="NVB515" s="379"/>
      <c r="NVC515" s="13"/>
      <c r="NVD515" s="13"/>
      <c r="NVE515" s="193"/>
      <c r="NVF515" s="379"/>
      <c r="NVG515" s="379"/>
      <c r="NVH515" s="379"/>
      <c r="NVI515" s="379"/>
      <c r="NVJ515" s="379"/>
      <c r="NVK515" s="13"/>
      <c r="NVL515" s="13"/>
      <c r="NVM515" s="193"/>
      <c r="NVN515" s="379"/>
      <c r="NVO515" s="379"/>
      <c r="NVP515" s="379"/>
      <c r="NVQ515" s="379"/>
      <c r="NVR515" s="379"/>
      <c r="NVS515" s="13"/>
      <c r="NVT515" s="13"/>
      <c r="NVU515" s="193"/>
      <c r="NVV515" s="379"/>
      <c r="NVW515" s="379"/>
      <c r="NVX515" s="379"/>
      <c r="NVY515" s="379"/>
      <c r="NVZ515" s="379"/>
      <c r="NWA515" s="13"/>
      <c r="NWB515" s="13"/>
      <c r="NWC515" s="193"/>
      <c r="NWD515" s="379"/>
      <c r="NWE515" s="379"/>
      <c r="NWF515" s="379"/>
      <c r="NWG515" s="379"/>
      <c r="NWH515" s="379"/>
      <c r="NWI515" s="13"/>
      <c r="NWJ515" s="13"/>
      <c r="NWK515" s="193"/>
      <c r="NWL515" s="379"/>
      <c r="NWM515" s="379"/>
      <c r="NWN515" s="379"/>
      <c r="NWO515" s="379"/>
      <c r="NWP515" s="379"/>
      <c r="NWQ515" s="13"/>
      <c r="NWR515" s="13"/>
      <c r="NWS515" s="193"/>
      <c r="NWT515" s="379"/>
      <c r="NWU515" s="379"/>
      <c r="NWV515" s="379"/>
      <c r="NWW515" s="379"/>
      <c r="NWX515" s="379"/>
      <c r="NWY515" s="13"/>
      <c r="NWZ515" s="13"/>
      <c r="NXA515" s="193"/>
      <c r="NXB515" s="379"/>
      <c r="NXC515" s="379"/>
      <c r="NXD515" s="379"/>
      <c r="NXE515" s="379"/>
      <c r="NXF515" s="379"/>
      <c r="NXG515" s="13"/>
      <c r="NXH515" s="13"/>
      <c r="NXI515" s="193"/>
      <c r="NXJ515" s="379"/>
      <c r="NXK515" s="379"/>
      <c r="NXL515" s="379"/>
      <c r="NXM515" s="379"/>
      <c r="NXN515" s="379"/>
      <c r="NXO515" s="13"/>
      <c r="NXP515" s="13"/>
      <c r="NXQ515" s="193"/>
      <c r="NXR515" s="379"/>
      <c r="NXS515" s="379"/>
      <c r="NXT515" s="379"/>
      <c r="NXU515" s="379"/>
      <c r="NXV515" s="379"/>
      <c r="NXW515" s="13"/>
      <c r="NXX515" s="13"/>
      <c r="NXY515" s="193"/>
      <c r="NXZ515" s="379"/>
      <c r="NYA515" s="379"/>
      <c r="NYB515" s="379"/>
      <c r="NYC515" s="379"/>
      <c r="NYD515" s="379"/>
      <c r="NYE515" s="13"/>
      <c r="NYF515" s="13"/>
      <c r="NYG515" s="193"/>
      <c r="NYH515" s="379"/>
      <c r="NYI515" s="379"/>
      <c r="NYJ515" s="379"/>
      <c r="NYK515" s="379"/>
      <c r="NYL515" s="379"/>
      <c r="NYM515" s="13"/>
      <c r="NYN515" s="13"/>
      <c r="NYO515" s="193"/>
      <c r="NYP515" s="379"/>
      <c r="NYQ515" s="379"/>
      <c r="NYR515" s="379"/>
      <c r="NYS515" s="379"/>
      <c r="NYT515" s="379"/>
      <c r="NYU515" s="13"/>
      <c r="NYV515" s="13"/>
      <c r="NYW515" s="193"/>
      <c r="NYX515" s="379"/>
      <c r="NYY515" s="379"/>
      <c r="NYZ515" s="379"/>
      <c r="NZA515" s="379"/>
      <c r="NZB515" s="379"/>
      <c r="NZC515" s="13"/>
      <c r="NZD515" s="13"/>
      <c r="NZE515" s="193"/>
      <c r="NZF515" s="379"/>
      <c r="NZG515" s="379"/>
      <c r="NZH515" s="379"/>
      <c r="NZI515" s="379"/>
      <c r="NZJ515" s="379"/>
      <c r="NZK515" s="13"/>
      <c r="NZL515" s="13"/>
      <c r="NZM515" s="193"/>
      <c r="NZN515" s="379"/>
      <c r="NZO515" s="379"/>
      <c r="NZP515" s="379"/>
      <c r="NZQ515" s="379"/>
      <c r="NZR515" s="379"/>
      <c r="NZS515" s="13"/>
      <c r="NZT515" s="13"/>
      <c r="NZU515" s="193"/>
      <c r="NZV515" s="379"/>
      <c r="NZW515" s="379"/>
      <c r="NZX515" s="379"/>
      <c r="NZY515" s="379"/>
      <c r="NZZ515" s="379"/>
      <c r="OAA515" s="13"/>
      <c r="OAB515" s="13"/>
      <c r="OAC515" s="193"/>
      <c r="OAD515" s="379"/>
      <c r="OAE515" s="379"/>
      <c r="OAF515" s="379"/>
      <c r="OAG515" s="379"/>
      <c r="OAH515" s="379"/>
      <c r="OAI515" s="13"/>
      <c r="OAJ515" s="13"/>
      <c r="OAK515" s="193"/>
      <c r="OAL515" s="379"/>
      <c r="OAM515" s="379"/>
      <c r="OAN515" s="379"/>
      <c r="OAO515" s="379"/>
      <c r="OAP515" s="379"/>
      <c r="OAQ515" s="13"/>
      <c r="OAR515" s="13"/>
      <c r="OAS515" s="193"/>
      <c r="OAT515" s="379"/>
      <c r="OAU515" s="379"/>
      <c r="OAV515" s="379"/>
      <c r="OAW515" s="379"/>
      <c r="OAX515" s="379"/>
      <c r="OAY515" s="13"/>
      <c r="OAZ515" s="13"/>
      <c r="OBA515" s="193"/>
      <c r="OBB515" s="379"/>
      <c r="OBC515" s="379"/>
      <c r="OBD515" s="379"/>
      <c r="OBE515" s="379"/>
      <c r="OBF515" s="379"/>
      <c r="OBG515" s="13"/>
      <c r="OBH515" s="13"/>
      <c r="OBI515" s="193"/>
      <c r="OBJ515" s="379"/>
      <c r="OBK515" s="379"/>
      <c r="OBL515" s="379"/>
      <c r="OBM515" s="379"/>
      <c r="OBN515" s="379"/>
      <c r="OBO515" s="13"/>
      <c r="OBP515" s="13"/>
      <c r="OBQ515" s="193"/>
      <c r="OBR515" s="379"/>
      <c r="OBS515" s="379"/>
      <c r="OBT515" s="379"/>
      <c r="OBU515" s="379"/>
      <c r="OBV515" s="379"/>
      <c r="OBW515" s="13"/>
      <c r="OBX515" s="13"/>
      <c r="OBY515" s="193"/>
      <c r="OBZ515" s="379"/>
      <c r="OCA515" s="379"/>
      <c r="OCB515" s="379"/>
      <c r="OCC515" s="379"/>
      <c r="OCD515" s="379"/>
      <c r="OCE515" s="13"/>
      <c r="OCF515" s="13"/>
      <c r="OCG515" s="193"/>
      <c r="OCH515" s="379"/>
      <c r="OCI515" s="379"/>
      <c r="OCJ515" s="379"/>
      <c r="OCK515" s="379"/>
      <c r="OCL515" s="379"/>
      <c r="OCM515" s="13"/>
      <c r="OCN515" s="13"/>
      <c r="OCO515" s="193"/>
      <c r="OCP515" s="379"/>
      <c r="OCQ515" s="379"/>
      <c r="OCR515" s="379"/>
      <c r="OCS515" s="379"/>
      <c r="OCT515" s="379"/>
      <c r="OCU515" s="13"/>
      <c r="OCV515" s="13"/>
      <c r="OCW515" s="193"/>
      <c r="OCX515" s="379"/>
      <c r="OCY515" s="379"/>
      <c r="OCZ515" s="379"/>
      <c r="ODA515" s="379"/>
      <c r="ODB515" s="379"/>
      <c r="ODC515" s="13"/>
      <c r="ODD515" s="13"/>
      <c r="ODE515" s="193"/>
      <c r="ODF515" s="379"/>
      <c r="ODG515" s="379"/>
      <c r="ODH515" s="379"/>
      <c r="ODI515" s="379"/>
      <c r="ODJ515" s="379"/>
      <c r="ODK515" s="13"/>
      <c r="ODL515" s="13"/>
      <c r="ODM515" s="193"/>
      <c r="ODN515" s="379"/>
      <c r="ODO515" s="379"/>
      <c r="ODP515" s="379"/>
      <c r="ODQ515" s="379"/>
      <c r="ODR515" s="379"/>
      <c r="ODS515" s="13"/>
      <c r="ODT515" s="13"/>
      <c r="ODU515" s="193"/>
      <c r="ODV515" s="379"/>
      <c r="ODW515" s="379"/>
      <c r="ODX515" s="379"/>
      <c r="ODY515" s="379"/>
      <c r="ODZ515" s="379"/>
      <c r="OEA515" s="13"/>
      <c r="OEB515" s="13"/>
      <c r="OEC515" s="193"/>
      <c r="OED515" s="379"/>
      <c r="OEE515" s="379"/>
      <c r="OEF515" s="379"/>
      <c r="OEG515" s="379"/>
      <c r="OEH515" s="379"/>
      <c r="OEI515" s="13"/>
      <c r="OEJ515" s="13"/>
      <c r="OEK515" s="193"/>
      <c r="OEL515" s="379"/>
      <c r="OEM515" s="379"/>
      <c r="OEN515" s="379"/>
      <c r="OEO515" s="379"/>
      <c r="OEP515" s="379"/>
      <c r="OEQ515" s="13"/>
      <c r="OER515" s="13"/>
      <c r="OES515" s="193"/>
      <c r="OET515" s="379"/>
      <c r="OEU515" s="379"/>
      <c r="OEV515" s="379"/>
      <c r="OEW515" s="379"/>
      <c r="OEX515" s="379"/>
      <c r="OEY515" s="13"/>
      <c r="OEZ515" s="13"/>
      <c r="OFA515" s="193"/>
      <c r="OFB515" s="379"/>
      <c r="OFC515" s="379"/>
      <c r="OFD515" s="379"/>
      <c r="OFE515" s="379"/>
      <c r="OFF515" s="379"/>
      <c r="OFG515" s="13"/>
      <c r="OFH515" s="13"/>
      <c r="OFI515" s="193"/>
      <c r="OFJ515" s="379"/>
      <c r="OFK515" s="379"/>
      <c r="OFL515" s="379"/>
      <c r="OFM515" s="379"/>
      <c r="OFN515" s="379"/>
      <c r="OFO515" s="13"/>
      <c r="OFP515" s="13"/>
      <c r="OFQ515" s="193"/>
      <c r="OFR515" s="379"/>
      <c r="OFS515" s="379"/>
      <c r="OFT515" s="379"/>
      <c r="OFU515" s="379"/>
      <c r="OFV515" s="379"/>
      <c r="OFW515" s="13"/>
      <c r="OFX515" s="13"/>
      <c r="OFY515" s="193"/>
      <c r="OFZ515" s="379"/>
      <c r="OGA515" s="379"/>
      <c r="OGB515" s="379"/>
      <c r="OGC515" s="379"/>
      <c r="OGD515" s="379"/>
      <c r="OGE515" s="13"/>
      <c r="OGF515" s="13"/>
      <c r="OGG515" s="193"/>
      <c r="OGH515" s="379"/>
      <c r="OGI515" s="379"/>
      <c r="OGJ515" s="379"/>
      <c r="OGK515" s="379"/>
      <c r="OGL515" s="379"/>
      <c r="OGM515" s="13"/>
      <c r="OGN515" s="13"/>
      <c r="OGO515" s="193"/>
      <c r="OGP515" s="379"/>
      <c r="OGQ515" s="379"/>
      <c r="OGR515" s="379"/>
      <c r="OGS515" s="379"/>
      <c r="OGT515" s="379"/>
      <c r="OGU515" s="13"/>
      <c r="OGV515" s="13"/>
      <c r="OGW515" s="193"/>
      <c r="OGX515" s="379"/>
      <c r="OGY515" s="379"/>
      <c r="OGZ515" s="379"/>
      <c r="OHA515" s="379"/>
      <c r="OHB515" s="379"/>
      <c r="OHC515" s="13"/>
      <c r="OHD515" s="13"/>
      <c r="OHE515" s="193"/>
      <c r="OHF515" s="379"/>
      <c r="OHG515" s="379"/>
      <c r="OHH515" s="379"/>
      <c r="OHI515" s="379"/>
      <c r="OHJ515" s="379"/>
      <c r="OHK515" s="13"/>
      <c r="OHL515" s="13"/>
      <c r="OHM515" s="193"/>
      <c r="OHN515" s="379"/>
      <c r="OHO515" s="379"/>
      <c r="OHP515" s="379"/>
      <c r="OHQ515" s="379"/>
      <c r="OHR515" s="379"/>
      <c r="OHS515" s="13"/>
      <c r="OHT515" s="13"/>
      <c r="OHU515" s="193"/>
      <c r="OHV515" s="379"/>
      <c r="OHW515" s="379"/>
      <c r="OHX515" s="379"/>
      <c r="OHY515" s="379"/>
      <c r="OHZ515" s="379"/>
      <c r="OIA515" s="13"/>
      <c r="OIB515" s="13"/>
      <c r="OIC515" s="193"/>
      <c r="OID515" s="379"/>
      <c r="OIE515" s="379"/>
      <c r="OIF515" s="379"/>
      <c r="OIG515" s="379"/>
      <c r="OIH515" s="379"/>
      <c r="OII515" s="13"/>
      <c r="OIJ515" s="13"/>
      <c r="OIK515" s="193"/>
      <c r="OIL515" s="379"/>
      <c r="OIM515" s="379"/>
      <c r="OIN515" s="379"/>
      <c r="OIO515" s="379"/>
      <c r="OIP515" s="379"/>
      <c r="OIQ515" s="13"/>
      <c r="OIR515" s="13"/>
      <c r="OIS515" s="193"/>
      <c r="OIT515" s="379"/>
      <c r="OIU515" s="379"/>
      <c r="OIV515" s="379"/>
      <c r="OIW515" s="379"/>
      <c r="OIX515" s="379"/>
      <c r="OIY515" s="13"/>
      <c r="OIZ515" s="13"/>
      <c r="OJA515" s="193"/>
      <c r="OJB515" s="379"/>
      <c r="OJC515" s="379"/>
      <c r="OJD515" s="379"/>
      <c r="OJE515" s="379"/>
      <c r="OJF515" s="379"/>
      <c r="OJG515" s="13"/>
      <c r="OJH515" s="13"/>
      <c r="OJI515" s="193"/>
      <c r="OJJ515" s="379"/>
      <c r="OJK515" s="379"/>
      <c r="OJL515" s="379"/>
      <c r="OJM515" s="379"/>
      <c r="OJN515" s="379"/>
      <c r="OJO515" s="13"/>
      <c r="OJP515" s="13"/>
      <c r="OJQ515" s="193"/>
      <c r="OJR515" s="379"/>
      <c r="OJS515" s="379"/>
      <c r="OJT515" s="379"/>
      <c r="OJU515" s="379"/>
      <c r="OJV515" s="379"/>
      <c r="OJW515" s="13"/>
      <c r="OJX515" s="13"/>
      <c r="OJY515" s="193"/>
      <c r="OJZ515" s="379"/>
      <c r="OKA515" s="379"/>
      <c r="OKB515" s="379"/>
      <c r="OKC515" s="379"/>
      <c r="OKD515" s="379"/>
      <c r="OKE515" s="13"/>
      <c r="OKF515" s="13"/>
      <c r="OKG515" s="193"/>
      <c r="OKH515" s="379"/>
      <c r="OKI515" s="379"/>
      <c r="OKJ515" s="379"/>
      <c r="OKK515" s="379"/>
      <c r="OKL515" s="379"/>
      <c r="OKM515" s="13"/>
      <c r="OKN515" s="13"/>
      <c r="OKO515" s="193"/>
      <c r="OKP515" s="379"/>
      <c r="OKQ515" s="379"/>
      <c r="OKR515" s="379"/>
      <c r="OKS515" s="379"/>
      <c r="OKT515" s="379"/>
      <c r="OKU515" s="13"/>
      <c r="OKV515" s="13"/>
      <c r="OKW515" s="193"/>
      <c r="OKX515" s="379"/>
      <c r="OKY515" s="379"/>
      <c r="OKZ515" s="379"/>
      <c r="OLA515" s="379"/>
      <c r="OLB515" s="379"/>
      <c r="OLC515" s="13"/>
      <c r="OLD515" s="13"/>
      <c r="OLE515" s="193"/>
      <c r="OLF515" s="379"/>
      <c r="OLG515" s="379"/>
      <c r="OLH515" s="379"/>
      <c r="OLI515" s="379"/>
      <c r="OLJ515" s="379"/>
      <c r="OLK515" s="13"/>
      <c r="OLL515" s="13"/>
      <c r="OLM515" s="193"/>
      <c r="OLN515" s="379"/>
      <c r="OLO515" s="379"/>
      <c r="OLP515" s="379"/>
      <c r="OLQ515" s="379"/>
      <c r="OLR515" s="379"/>
      <c r="OLS515" s="13"/>
      <c r="OLT515" s="13"/>
      <c r="OLU515" s="193"/>
      <c r="OLV515" s="379"/>
      <c r="OLW515" s="379"/>
      <c r="OLX515" s="379"/>
      <c r="OLY515" s="379"/>
      <c r="OLZ515" s="379"/>
      <c r="OMA515" s="13"/>
      <c r="OMB515" s="13"/>
      <c r="OMC515" s="193"/>
      <c r="OMD515" s="379"/>
      <c r="OME515" s="379"/>
      <c r="OMF515" s="379"/>
      <c r="OMG515" s="379"/>
      <c r="OMH515" s="379"/>
      <c r="OMI515" s="13"/>
      <c r="OMJ515" s="13"/>
      <c r="OMK515" s="193"/>
      <c r="OML515" s="379"/>
      <c r="OMM515" s="379"/>
      <c r="OMN515" s="379"/>
      <c r="OMO515" s="379"/>
      <c r="OMP515" s="379"/>
      <c r="OMQ515" s="13"/>
      <c r="OMR515" s="13"/>
      <c r="OMS515" s="193"/>
      <c r="OMT515" s="379"/>
      <c r="OMU515" s="379"/>
      <c r="OMV515" s="379"/>
      <c r="OMW515" s="379"/>
      <c r="OMX515" s="379"/>
      <c r="OMY515" s="13"/>
      <c r="OMZ515" s="13"/>
      <c r="ONA515" s="193"/>
      <c r="ONB515" s="379"/>
      <c r="ONC515" s="379"/>
      <c r="OND515" s="379"/>
      <c r="ONE515" s="379"/>
      <c r="ONF515" s="379"/>
      <c r="ONG515" s="13"/>
      <c r="ONH515" s="13"/>
      <c r="ONI515" s="193"/>
      <c r="ONJ515" s="379"/>
      <c r="ONK515" s="379"/>
      <c r="ONL515" s="379"/>
      <c r="ONM515" s="379"/>
      <c r="ONN515" s="379"/>
      <c r="ONO515" s="13"/>
      <c r="ONP515" s="13"/>
      <c r="ONQ515" s="193"/>
      <c r="ONR515" s="379"/>
      <c r="ONS515" s="379"/>
      <c r="ONT515" s="379"/>
      <c r="ONU515" s="379"/>
      <c r="ONV515" s="379"/>
      <c r="ONW515" s="13"/>
      <c r="ONX515" s="13"/>
      <c r="ONY515" s="193"/>
      <c r="ONZ515" s="379"/>
      <c r="OOA515" s="379"/>
      <c r="OOB515" s="379"/>
      <c r="OOC515" s="379"/>
      <c r="OOD515" s="379"/>
      <c r="OOE515" s="13"/>
      <c r="OOF515" s="13"/>
      <c r="OOG515" s="193"/>
      <c r="OOH515" s="379"/>
      <c r="OOI515" s="379"/>
      <c r="OOJ515" s="379"/>
      <c r="OOK515" s="379"/>
      <c r="OOL515" s="379"/>
      <c r="OOM515" s="13"/>
      <c r="OON515" s="13"/>
      <c r="OOO515" s="193"/>
      <c r="OOP515" s="379"/>
      <c r="OOQ515" s="379"/>
      <c r="OOR515" s="379"/>
      <c r="OOS515" s="379"/>
      <c r="OOT515" s="379"/>
      <c r="OOU515" s="13"/>
      <c r="OOV515" s="13"/>
      <c r="OOW515" s="193"/>
      <c r="OOX515" s="379"/>
      <c r="OOY515" s="379"/>
      <c r="OOZ515" s="379"/>
      <c r="OPA515" s="379"/>
      <c r="OPB515" s="379"/>
      <c r="OPC515" s="13"/>
      <c r="OPD515" s="13"/>
      <c r="OPE515" s="193"/>
      <c r="OPF515" s="379"/>
      <c r="OPG515" s="379"/>
      <c r="OPH515" s="379"/>
      <c r="OPI515" s="379"/>
      <c r="OPJ515" s="379"/>
      <c r="OPK515" s="13"/>
      <c r="OPL515" s="13"/>
      <c r="OPM515" s="193"/>
      <c r="OPN515" s="379"/>
      <c r="OPO515" s="379"/>
      <c r="OPP515" s="379"/>
      <c r="OPQ515" s="379"/>
      <c r="OPR515" s="379"/>
      <c r="OPS515" s="13"/>
      <c r="OPT515" s="13"/>
      <c r="OPU515" s="193"/>
      <c r="OPV515" s="379"/>
      <c r="OPW515" s="379"/>
      <c r="OPX515" s="379"/>
      <c r="OPY515" s="379"/>
      <c r="OPZ515" s="379"/>
      <c r="OQA515" s="13"/>
      <c r="OQB515" s="13"/>
      <c r="OQC515" s="193"/>
      <c r="OQD515" s="379"/>
      <c r="OQE515" s="379"/>
      <c r="OQF515" s="379"/>
      <c r="OQG515" s="379"/>
      <c r="OQH515" s="379"/>
      <c r="OQI515" s="13"/>
      <c r="OQJ515" s="13"/>
      <c r="OQK515" s="193"/>
      <c r="OQL515" s="379"/>
      <c r="OQM515" s="379"/>
      <c r="OQN515" s="379"/>
      <c r="OQO515" s="379"/>
      <c r="OQP515" s="379"/>
      <c r="OQQ515" s="13"/>
      <c r="OQR515" s="13"/>
      <c r="OQS515" s="193"/>
      <c r="OQT515" s="379"/>
      <c r="OQU515" s="379"/>
      <c r="OQV515" s="379"/>
      <c r="OQW515" s="379"/>
      <c r="OQX515" s="379"/>
      <c r="OQY515" s="13"/>
      <c r="OQZ515" s="13"/>
      <c r="ORA515" s="193"/>
      <c r="ORB515" s="379"/>
      <c r="ORC515" s="379"/>
      <c r="ORD515" s="379"/>
      <c r="ORE515" s="379"/>
      <c r="ORF515" s="379"/>
      <c r="ORG515" s="13"/>
      <c r="ORH515" s="13"/>
      <c r="ORI515" s="193"/>
      <c r="ORJ515" s="379"/>
      <c r="ORK515" s="379"/>
      <c r="ORL515" s="379"/>
      <c r="ORM515" s="379"/>
      <c r="ORN515" s="379"/>
      <c r="ORO515" s="13"/>
      <c r="ORP515" s="13"/>
      <c r="ORQ515" s="193"/>
      <c r="ORR515" s="379"/>
      <c r="ORS515" s="379"/>
      <c r="ORT515" s="379"/>
      <c r="ORU515" s="379"/>
      <c r="ORV515" s="379"/>
      <c r="ORW515" s="13"/>
      <c r="ORX515" s="13"/>
      <c r="ORY515" s="193"/>
      <c r="ORZ515" s="379"/>
      <c r="OSA515" s="379"/>
      <c r="OSB515" s="379"/>
      <c r="OSC515" s="379"/>
      <c r="OSD515" s="379"/>
      <c r="OSE515" s="13"/>
      <c r="OSF515" s="13"/>
      <c r="OSG515" s="193"/>
      <c r="OSH515" s="379"/>
      <c r="OSI515" s="379"/>
      <c r="OSJ515" s="379"/>
      <c r="OSK515" s="379"/>
      <c r="OSL515" s="379"/>
      <c r="OSM515" s="13"/>
      <c r="OSN515" s="13"/>
      <c r="OSO515" s="193"/>
      <c r="OSP515" s="379"/>
      <c r="OSQ515" s="379"/>
      <c r="OSR515" s="379"/>
      <c r="OSS515" s="379"/>
      <c r="OST515" s="379"/>
      <c r="OSU515" s="13"/>
      <c r="OSV515" s="13"/>
      <c r="OSW515" s="193"/>
      <c r="OSX515" s="379"/>
      <c r="OSY515" s="379"/>
      <c r="OSZ515" s="379"/>
      <c r="OTA515" s="379"/>
      <c r="OTB515" s="379"/>
      <c r="OTC515" s="13"/>
      <c r="OTD515" s="13"/>
      <c r="OTE515" s="193"/>
      <c r="OTF515" s="379"/>
      <c r="OTG515" s="379"/>
      <c r="OTH515" s="379"/>
      <c r="OTI515" s="379"/>
      <c r="OTJ515" s="379"/>
      <c r="OTK515" s="13"/>
      <c r="OTL515" s="13"/>
      <c r="OTM515" s="193"/>
      <c r="OTN515" s="379"/>
      <c r="OTO515" s="379"/>
      <c r="OTP515" s="379"/>
      <c r="OTQ515" s="379"/>
      <c r="OTR515" s="379"/>
      <c r="OTS515" s="13"/>
      <c r="OTT515" s="13"/>
      <c r="OTU515" s="193"/>
      <c r="OTV515" s="379"/>
      <c r="OTW515" s="379"/>
      <c r="OTX515" s="379"/>
      <c r="OTY515" s="379"/>
      <c r="OTZ515" s="379"/>
      <c r="OUA515" s="13"/>
      <c r="OUB515" s="13"/>
      <c r="OUC515" s="193"/>
      <c r="OUD515" s="379"/>
      <c r="OUE515" s="379"/>
      <c r="OUF515" s="379"/>
      <c r="OUG515" s="379"/>
      <c r="OUH515" s="379"/>
      <c r="OUI515" s="13"/>
      <c r="OUJ515" s="13"/>
      <c r="OUK515" s="193"/>
      <c r="OUL515" s="379"/>
      <c r="OUM515" s="379"/>
      <c r="OUN515" s="379"/>
      <c r="OUO515" s="379"/>
      <c r="OUP515" s="379"/>
      <c r="OUQ515" s="13"/>
      <c r="OUR515" s="13"/>
      <c r="OUS515" s="193"/>
      <c r="OUT515" s="379"/>
      <c r="OUU515" s="379"/>
      <c r="OUV515" s="379"/>
      <c r="OUW515" s="379"/>
      <c r="OUX515" s="379"/>
      <c r="OUY515" s="13"/>
      <c r="OUZ515" s="13"/>
      <c r="OVA515" s="193"/>
      <c r="OVB515" s="379"/>
      <c r="OVC515" s="379"/>
      <c r="OVD515" s="379"/>
      <c r="OVE515" s="379"/>
      <c r="OVF515" s="379"/>
      <c r="OVG515" s="13"/>
      <c r="OVH515" s="13"/>
      <c r="OVI515" s="193"/>
      <c r="OVJ515" s="379"/>
      <c r="OVK515" s="379"/>
      <c r="OVL515" s="379"/>
      <c r="OVM515" s="379"/>
      <c r="OVN515" s="379"/>
      <c r="OVO515" s="13"/>
      <c r="OVP515" s="13"/>
      <c r="OVQ515" s="193"/>
      <c r="OVR515" s="379"/>
      <c r="OVS515" s="379"/>
      <c r="OVT515" s="379"/>
      <c r="OVU515" s="379"/>
      <c r="OVV515" s="379"/>
      <c r="OVW515" s="13"/>
      <c r="OVX515" s="13"/>
      <c r="OVY515" s="193"/>
      <c r="OVZ515" s="379"/>
      <c r="OWA515" s="379"/>
      <c r="OWB515" s="379"/>
      <c r="OWC515" s="379"/>
      <c r="OWD515" s="379"/>
      <c r="OWE515" s="13"/>
      <c r="OWF515" s="13"/>
      <c r="OWG515" s="193"/>
      <c r="OWH515" s="379"/>
      <c r="OWI515" s="379"/>
      <c r="OWJ515" s="379"/>
      <c r="OWK515" s="379"/>
      <c r="OWL515" s="379"/>
      <c r="OWM515" s="13"/>
      <c r="OWN515" s="13"/>
      <c r="OWO515" s="193"/>
      <c r="OWP515" s="379"/>
      <c r="OWQ515" s="379"/>
      <c r="OWR515" s="379"/>
      <c r="OWS515" s="379"/>
      <c r="OWT515" s="379"/>
      <c r="OWU515" s="13"/>
      <c r="OWV515" s="13"/>
      <c r="OWW515" s="193"/>
      <c r="OWX515" s="379"/>
      <c r="OWY515" s="379"/>
      <c r="OWZ515" s="379"/>
      <c r="OXA515" s="379"/>
      <c r="OXB515" s="379"/>
      <c r="OXC515" s="13"/>
      <c r="OXD515" s="13"/>
      <c r="OXE515" s="193"/>
      <c r="OXF515" s="379"/>
      <c r="OXG515" s="379"/>
      <c r="OXH515" s="379"/>
      <c r="OXI515" s="379"/>
      <c r="OXJ515" s="379"/>
      <c r="OXK515" s="13"/>
      <c r="OXL515" s="13"/>
      <c r="OXM515" s="193"/>
      <c r="OXN515" s="379"/>
      <c r="OXO515" s="379"/>
      <c r="OXP515" s="379"/>
      <c r="OXQ515" s="379"/>
      <c r="OXR515" s="379"/>
      <c r="OXS515" s="13"/>
      <c r="OXT515" s="13"/>
      <c r="OXU515" s="193"/>
      <c r="OXV515" s="379"/>
      <c r="OXW515" s="379"/>
      <c r="OXX515" s="379"/>
      <c r="OXY515" s="379"/>
      <c r="OXZ515" s="379"/>
      <c r="OYA515" s="13"/>
      <c r="OYB515" s="13"/>
      <c r="OYC515" s="193"/>
      <c r="OYD515" s="379"/>
      <c r="OYE515" s="379"/>
      <c r="OYF515" s="379"/>
      <c r="OYG515" s="379"/>
      <c r="OYH515" s="379"/>
      <c r="OYI515" s="13"/>
      <c r="OYJ515" s="13"/>
      <c r="OYK515" s="193"/>
      <c r="OYL515" s="379"/>
      <c r="OYM515" s="379"/>
      <c r="OYN515" s="379"/>
      <c r="OYO515" s="379"/>
      <c r="OYP515" s="379"/>
      <c r="OYQ515" s="13"/>
      <c r="OYR515" s="13"/>
      <c r="OYS515" s="193"/>
      <c r="OYT515" s="379"/>
      <c r="OYU515" s="379"/>
      <c r="OYV515" s="379"/>
      <c r="OYW515" s="379"/>
      <c r="OYX515" s="379"/>
      <c r="OYY515" s="13"/>
      <c r="OYZ515" s="13"/>
      <c r="OZA515" s="193"/>
      <c r="OZB515" s="379"/>
      <c r="OZC515" s="379"/>
      <c r="OZD515" s="379"/>
      <c r="OZE515" s="379"/>
      <c r="OZF515" s="379"/>
      <c r="OZG515" s="13"/>
      <c r="OZH515" s="13"/>
      <c r="OZI515" s="193"/>
      <c r="OZJ515" s="379"/>
      <c r="OZK515" s="379"/>
      <c r="OZL515" s="379"/>
      <c r="OZM515" s="379"/>
      <c r="OZN515" s="379"/>
      <c r="OZO515" s="13"/>
      <c r="OZP515" s="13"/>
      <c r="OZQ515" s="193"/>
      <c r="OZR515" s="379"/>
      <c r="OZS515" s="379"/>
      <c r="OZT515" s="379"/>
      <c r="OZU515" s="379"/>
      <c r="OZV515" s="379"/>
      <c r="OZW515" s="13"/>
      <c r="OZX515" s="13"/>
      <c r="OZY515" s="193"/>
      <c r="OZZ515" s="379"/>
      <c r="PAA515" s="379"/>
      <c r="PAB515" s="379"/>
      <c r="PAC515" s="379"/>
      <c r="PAD515" s="379"/>
      <c r="PAE515" s="13"/>
      <c r="PAF515" s="13"/>
      <c r="PAG515" s="193"/>
      <c r="PAH515" s="379"/>
      <c r="PAI515" s="379"/>
      <c r="PAJ515" s="379"/>
      <c r="PAK515" s="379"/>
      <c r="PAL515" s="379"/>
      <c r="PAM515" s="13"/>
      <c r="PAN515" s="13"/>
      <c r="PAO515" s="193"/>
      <c r="PAP515" s="379"/>
      <c r="PAQ515" s="379"/>
      <c r="PAR515" s="379"/>
      <c r="PAS515" s="379"/>
      <c r="PAT515" s="379"/>
      <c r="PAU515" s="13"/>
      <c r="PAV515" s="13"/>
      <c r="PAW515" s="193"/>
      <c r="PAX515" s="379"/>
      <c r="PAY515" s="379"/>
      <c r="PAZ515" s="379"/>
      <c r="PBA515" s="379"/>
      <c r="PBB515" s="379"/>
      <c r="PBC515" s="13"/>
      <c r="PBD515" s="13"/>
      <c r="PBE515" s="193"/>
      <c r="PBF515" s="379"/>
      <c r="PBG515" s="379"/>
      <c r="PBH515" s="379"/>
      <c r="PBI515" s="379"/>
      <c r="PBJ515" s="379"/>
      <c r="PBK515" s="13"/>
      <c r="PBL515" s="13"/>
      <c r="PBM515" s="193"/>
      <c r="PBN515" s="379"/>
      <c r="PBO515" s="379"/>
      <c r="PBP515" s="379"/>
      <c r="PBQ515" s="379"/>
      <c r="PBR515" s="379"/>
      <c r="PBS515" s="13"/>
      <c r="PBT515" s="13"/>
      <c r="PBU515" s="193"/>
      <c r="PBV515" s="379"/>
      <c r="PBW515" s="379"/>
      <c r="PBX515" s="379"/>
      <c r="PBY515" s="379"/>
      <c r="PBZ515" s="379"/>
      <c r="PCA515" s="13"/>
      <c r="PCB515" s="13"/>
      <c r="PCC515" s="193"/>
      <c r="PCD515" s="379"/>
      <c r="PCE515" s="379"/>
      <c r="PCF515" s="379"/>
      <c r="PCG515" s="379"/>
      <c r="PCH515" s="379"/>
      <c r="PCI515" s="13"/>
      <c r="PCJ515" s="13"/>
      <c r="PCK515" s="193"/>
      <c r="PCL515" s="379"/>
      <c r="PCM515" s="379"/>
      <c r="PCN515" s="379"/>
      <c r="PCO515" s="379"/>
      <c r="PCP515" s="379"/>
      <c r="PCQ515" s="13"/>
      <c r="PCR515" s="13"/>
      <c r="PCS515" s="193"/>
      <c r="PCT515" s="379"/>
      <c r="PCU515" s="379"/>
      <c r="PCV515" s="379"/>
      <c r="PCW515" s="379"/>
      <c r="PCX515" s="379"/>
      <c r="PCY515" s="13"/>
      <c r="PCZ515" s="13"/>
      <c r="PDA515" s="193"/>
      <c r="PDB515" s="379"/>
      <c r="PDC515" s="379"/>
      <c r="PDD515" s="379"/>
      <c r="PDE515" s="379"/>
      <c r="PDF515" s="379"/>
      <c r="PDG515" s="13"/>
      <c r="PDH515" s="13"/>
      <c r="PDI515" s="193"/>
      <c r="PDJ515" s="379"/>
      <c r="PDK515" s="379"/>
      <c r="PDL515" s="379"/>
      <c r="PDM515" s="379"/>
      <c r="PDN515" s="379"/>
      <c r="PDO515" s="13"/>
      <c r="PDP515" s="13"/>
      <c r="PDQ515" s="193"/>
      <c r="PDR515" s="379"/>
      <c r="PDS515" s="379"/>
      <c r="PDT515" s="379"/>
      <c r="PDU515" s="379"/>
      <c r="PDV515" s="379"/>
      <c r="PDW515" s="13"/>
      <c r="PDX515" s="13"/>
      <c r="PDY515" s="193"/>
      <c r="PDZ515" s="379"/>
      <c r="PEA515" s="379"/>
      <c r="PEB515" s="379"/>
      <c r="PEC515" s="379"/>
      <c r="PED515" s="379"/>
      <c r="PEE515" s="13"/>
      <c r="PEF515" s="13"/>
      <c r="PEG515" s="193"/>
      <c r="PEH515" s="379"/>
      <c r="PEI515" s="379"/>
      <c r="PEJ515" s="379"/>
      <c r="PEK515" s="379"/>
      <c r="PEL515" s="379"/>
      <c r="PEM515" s="13"/>
      <c r="PEN515" s="13"/>
      <c r="PEO515" s="193"/>
      <c r="PEP515" s="379"/>
      <c r="PEQ515" s="379"/>
      <c r="PER515" s="379"/>
      <c r="PES515" s="379"/>
      <c r="PET515" s="379"/>
      <c r="PEU515" s="13"/>
      <c r="PEV515" s="13"/>
      <c r="PEW515" s="193"/>
      <c r="PEX515" s="379"/>
      <c r="PEY515" s="379"/>
      <c r="PEZ515" s="379"/>
      <c r="PFA515" s="379"/>
      <c r="PFB515" s="379"/>
      <c r="PFC515" s="13"/>
      <c r="PFD515" s="13"/>
      <c r="PFE515" s="193"/>
      <c r="PFF515" s="379"/>
      <c r="PFG515" s="379"/>
      <c r="PFH515" s="379"/>
      <c r="PFI515" s="379"/>
      <c r="PFJ515" s="379"/>
      <c r="PFK515" s="13"/>
      <c r="PFL515" s="13"/>
      <c r="PFM515" s="193"/>
      <c r="PFN515" s="379"/>
      <c r="PFO515" s="379"/>
      <c r="PFP515" s="379"/>
      <c r="PFQ515" s="379"/>
      <c r="PFR515" s="379"/>
      <c r="PFS515" s="13"/>
      <c r="PFT515" s="13"/>
      <c r="PFU515" s="193"/>
      <c r="PFV515" s="379"/>
      <c r="PFW515" s="379"/>
      <c r="PFX515" s="379"/>
      <c r="PFY515" s="379"/>
      <c r="PFZ515" s="379"/>
      <c r="PGA515" s="13"/>
      <c r="PGB515" s="13"/>
      <c r="PGC515" s="193"/>
      <c r="PGD515" s="379"/>
      <c r="PGE515" s="379"/>
      <c r="PGF515" s="379"/>
      <c r="PGG515" s="379"/>
      <c r="PGH515" s="379"/>
      <c r="PGI515" s="13"/>
      <c r="PGJ515" s="13"/>
      <c r="PGK515" s="193"/>
      <c r="PGL515" s="379"/>
      <c r="PGM515" s="379"/>
      <c r="PGN515" s="379"/>
      <c r="PGO515" s="379"/>
      <c r="PGP515" s="379"/>
      <c r="PGQ515" s="13"/>
      <c r="PGR515" s="13"/>
      <c r="PGS515" s="193"/>
      <c r="PGT515" s="379"/>
      <c r="PGU515" s="379"/>
      <c r="PGV515" s="379"/>
      <c r="PGW515" s="379"/>
      <c r="PGX515" s="379"/>
      <c r="PGY515" s="13"/>
      <c r="PGZ515" s="13"/>
      <c r="PHA515" s="193"/>
      <c r="PHB515" s="379"/>
      <c r="PHC515" s="379"/>
      <c r="PHD515" s="379"/>
      <c r="PHE515" s="379"/>
      <c r="PHF515" s="379"/>
      <c r="PHG515" s="13"/>
      <c r="PHH515" s="13"/>
      <c r="PHI515" s="193"/>
      <c r="PHJ515" s="379"/>
      <c r="PHK515" s="379"/>
      <c r="PHL515" s="379"/>
      <c r="PHM515" s="379"/>
      <c r="PHN515" s="379"/>
      <c r="PHO515" s="13"/>
      <c r="PHP515" s="13"/>
      <c r="PHQ515" s="193"/>
      <c r="PHR515" s="379"/>
      <c r="PHS515" s="379"/>
      <c r="PHT515" s="379"/>
      <c r="PHU515" s="379"/>
      <c r="PHV515" s="379"/>
      <c r="PHW515" s="13"/>
      <c r="PHX515" s="13"/>
      <c r="PHY515" s="193"/>
      <c r="PHZ515" s="379"/>
      <c r="PIA515" s="379"/>
      <c r="PIB515" s="379"/>
      <c r="PIC515" s="379"/>
      <c r="PID515" s="379"/>
      <c r="PIE515" s="13"/>
      <c r="PIF515" s="13"/>
      <c r="PIG515" s="193"/>
      <c r="PIH515" s="379"/>
      <c r="PII515" s="379"/>
      <c r="PIJ515" s="379"/>
      <c r="PIK515" s="379"/>
      <c r="PIL515" s="379"/>
      <c r="PIM515" s="13"/>
      <c r="PIN515" s="13"/>
      <c r="PIO515" s="193"/>
      <c r="PIP515" s="379"/>
      <c r="PIQ515" s="379"/>
      <c r="PIR515" s="379"/>
      <c r="PIS515" s="379"/>
      <c r="PIT515" s="379"/>
      <c r="PIU515" s="13"/>
      <c r="PIV515" s="13"/>
      <c r="PIW515" s="193"/>
      <c r="PIX515" s="379"/>
      <c r="PIY515" s="379"/>
      <c r="PIZ515" s="379"/>
      <c r="PJA515" s="379"/>
      <c r="PJB515" s="379"/>
      <c r="PJC515" s="13"/>
      <c r="PJD515" s="13"/>
      <c r="PJE515" s="193"/>
      <c r="PJF515" s="379"/>
      <c r="PJG515" s="379"/>
      <c r="PJH515" s="379"/>
      <c r="PJI515" s="379"/>
      <c r="PJJ515" s="379"/>
      <c r="PJK515" s="13"/>
      <c r="PJL515" s="13"/>
      <c r="PJM515" s="193"/>
      <c r="PJN515" s="379"/>
      <c r="PJO515" s="379"/>
      <c r="PJP515" s="379"/>
      <c r="PJQ515" s="379"/>
      <c r="PJR515" s="379"/>
      <c r="PJS515" s="13"/>
      <c r="PJT515" s="13"/>
      <c r="PJU515" s="193"/>
      <c r="PJV515" s="379"/>
      <c r="PJW515" s="379"/>
      <c r="PJX515" s="379"/>
      <c r="PJY515" s="379"/>
      <c r="PJZ515" s="379"/>
      <c r="PKA515" s="13"/>
      <c r="PKB515" s="13"/>
      <c r="PKC515" s="193"/>
      <c r="PKD515" s="379"/>
      <c r="PKE515" s="379"/>
      <c r="PKF515" s="379"/>
      <c r="PKG515" s="379"/>
      <c r="PKH515" s="379"/>
      <c r="PKI515" s="13"/>
      <c r="PKJ515" s="13"/>
      <c r="PKK515" s="193"/>
      <c r="PKL515" s="379"/>
      <c r="PKM515" s="379"/>
      <c r="PKN515" s="379"/>
      <c r="PKO515" s="379"/>
      <c r="PKP515" s="379"/>
      <c r="PKQ515" s="13"/>
      <c r="PKR515" s="13"/>
      <c r="PKS515" s="193"/>
      <c r="PKT515" s="379"/>
      <c r="PKU515" s="379"/>
      <c r="PKV515" s="379"/>
      <c r="PKW515" s="379"/>
      <c r="PKX515" s="379"/>
      <c r="PKY515" s="13"/>
      <c r="PKZ515" s="13"/>
      <c r="PLA515" s="193"/>
      <c r="PLB515" s="379"/>
      <c r="PLC515" s="379"/>
      <c r="PLD515" s="379"/>
      <c r="PLE515" s="379"/>
      <c r="PLF515" s="379"/>
      <c r="PLG515" s="13"/>
      <c r="PLH515" s="13"/>
      <c r="PLI515" s="193"/>
      <c r="PLJ515" s="379"/>
      <c r="PLK515" s="379"/>
      <c r="PLL515" s="379"/>
      <c r="PLM515" s="379"/>
      <c r="PLN515" s="379"/>
      <c r="PLO515" s="13"/>
      <c r="PLP515" s="13"/>
      <c r="PLQ515" s="193"/>
      <c r="PLR515" s="379"/>
      <c r="PLS515" s="379"/>
      <c r="PLT515" s="379"/>
      <c r="PLU515" s="379"/>
      <c r="PLV515" s="379"/>
      <c r="PLW515" s="13"/>
      <c r="PLX515" s="13"/>
      <c r="PLY515" s="193"/>
      <c r="PLZ515" s="379"/>
      <c r="PMA515" s="379"/>
      <c r="PMB515" s="379"/>
      <c r="PMC515" s="379"/>
      <c r="PMD515" s="379"/>
      <c r="PME515" s="13"/>
      <c r="PMF515" s="13"/>
      <c r="PMG515" s="193"/>
      <c r="PMH515" s="379"/>
      <c r="PMI515" s="379"/>
      <c r="PMJ515" s="379"/>
      <c r="PMK515" s="379"/>
      <c r="PML515" s="379"/>
      <c r="PMM515" s="13"/>
      <c r="PMN515" s="13"/>
      <c r="PMO515" s="193"/>
      <c r="PMP515" s="379"/>
      <c r="PMQ515" s="379"/>
      <c r="PMR515" s="379"/>
      <c r="PMS515" s="379"/>
      <c r="PMT515" s="379"/>
      <c r="PMU515" s="13"/>
      <c r="PMV515" s="13"/>
      <c r="PMW515" s="193"/>
      <c r="PMX515" s="379"/>
      <c r="PMY515" s="379"/>
      <c r="PMZ515" s="379"/>
      <c r="PNA515" s="379"/>
      <c r="PNB515" s="379"/>
      <c r="PNC515" s="13"/>
      <c r="PND515" s="13"/>
      <c r="PNE515" s="193"/>
      <c r="PNF515" s="379"/>
      <c r="PNG515" s="379"/>
      <c r="PNH515" s="379"/>
      <c r="PNI515" s="379"/>
      <c r="PNJ515" s="379"/>
      <c r="PNK515" s="13"/>
      <c r="PNL515" s="13"/>
      <c r="PNM515" s="193"/>
      <c r="PNN515" s="379"/>
      <c r="PNO515" s="379"/>
      <c r="PNP515" s="379"/>
      <c r="PNQ515" s="379"/>
      <c r="PNR515" s="379"/>
      <c r="PNS515" s="13"/>
      <c r="PNT515" s="13"/>
      <c r="PNU515" s="193"/>
      <c r="PNV515" s="379"/>
      <c r="PNW515" s="379"/>
      <c r="PNX515" s="379"/>
      <c r="PNY515" s="379"/>
      <c r="PNZ515" s="379"/>
      <c r="POA515" s="13"/>
      <c r="POB515" s="13"/>
      <c r="POC515" s="193"/>
      <c r="POD515" s="379"/>
      <c r="POE515" s="379"/>
      <c r="POF515" s="379"/>
      <c r="POG515" s="379"/>
      <c r="POH515" s="379"/>
      <c r="POI515" s="13"/>
      <c r="POJ515" s="13"/>
      <c r="POK515" s="193"/>
      <c r="POL515" s="379"/>
      <c r="POM515" s="379"/>
      <c r="PON515" s="379"/>
      <c r="POO515" s="379"/>
      <c r="POP515" s="379"/>
      <c r="POQ515" s="13"/>
      <c r="POR515" s="13"/>
      <c r="POS515" s="193"/>
      <c r="POT515" s="379"/>
      <c r="POU515" s="379"/>
      <c r="POV515" s="379"/>
      <c r="POW515" s="379"/>
      <c r="POX515" s="379"/>
      <c r="POY515" s="13"/>
      <c r="POZ515" s="13"/>
      <c r="PPA515" s="193"/>
      <c r="PPB515" s="379"/>
      <c r="PPC515" s="379"/>
      <c r="PPD515" s="379"/>
      <c r="PPE515" s="379"/>
      <c r="PPF515" s="379"/>
      <c r="PPG515" s="13"/>
      <c r="PPH515" s="13"/>
      <c r="PPI515" s="193"/>
      <c r="PPJ515" s="379"/>
      <c r="PPK515" s="379"/>
      <c r="PPL515" s="379"/>
      <c r="PPM515" s="379"/>
      <c r="PPN515" s="379"/>
      <c r="PPO515" s="13"/>
      <c r="PPP515" s="13"/>
      <c r="PPQ515" s="193"/>
      <c r="PPR515" s="379"/>
      <c r="PPS515" s="379"/>
      <c r="PPT515" s="379"/>
      <c r="PPU515" s="379"/>
      <c r="PPV515" s="379"/>
      <c r="PPW515" s="13"/>
      <c r="PPX515" s="13"/>
      <c r="PPY515" s="193"/>
      <c r="PPZ515" s="379"/>
      <c r="PQA515" s="379"/>
      <c r="PQB515" s="379"/>
      <c r="PQC515" s="379"/>
      <c r="PQD515" s="379"/>
      <c r="PQE515" s="13"/>
      <c r="PQF515" s="13"/>
      <c r="PQG515" s="193"/>
      <c r="PQH515" s="379"/>
      <c r="PQI515" s="379"/>
      <c r="PQJ515" s="379"/>
      <c r="PQK515" s="379"/>
      <c r="PQL515" s="379"/>
      <c r="PQM515" s="13"/>
      <c r="PQN515" s="13"/>
      <c r="PQO515" s="193"/>
      <c r="PQP515" s="379"/>
      <c r="PQQ515" s="379"/>
      <c r="PQR515" s="379"/>
      <c r="PQS515" s="379"/>
      <c r="PQT515" s="379"/>
      <c r="PQU515" s="13"/>
      <c r="PQV515" s="13"/>
      <c r="PQW515" s="193"/>
      <c r="PQX515" s="379"/>
      <c r="PQY515" s="379"/>
      <c r="PQZ515" s="379"/>
      <c r="PRA515" s="379"/>
      <c r="PRB515" s="379"/>
      <c r="PRC515" s="13"/>
      <c r="PRD515" s="13"/>
      <c r="PRE515" s="193"/>
      <c r="PRF515" s="379"/>
      <c r="PRG515" s="379"/>
      <c r="PRH515" s="379"/>
      <c r="PRI515" s="379"/>
      <c r="PRJ515" s="379"/>
      <c r="PRK515" s="13"/>
      <c r="PRL515" s="13"/>
      <c r="PRM515" s="193"/>
      <c r="PRN515" s="379"/>
      <c r="PRO515" s="379"/>
      <c r="PRP515" s="379"/>
      <c r="PRQ515" s="379"/>
      <c r="PRR515" s="379"/>
      <c r="PRS515" s="13"/>
      <c r="PRT515" s="13"/>
      <c r="PRU515" s="193"/>
      <c r="PRV515" s="379"/>
      <c r="PRW515" s="379"/>
      <c r="PRX515" s="379"/>
      <c r="PRY515" s="379"/>
      <c r="PRZ515" s="379"/>
      <c r="PSA515" s="13"/>
      <c r="PSB515" s="13"/>
      <c r="PSC515" s="193"/>
      <c r="PSD515" s="379"/>
      <c r="PSE515" s="379"/>
      <c r="PSF515" s="379"/>
      <c r="PSG515" s="379"/>
      <c r="PSH515" s="379"/>
      <c r="PSI515" s="13"/>
      <c r="PSJ515" s="13"/>
      <c r="PSK515" s="193"/>
      <c r="PSL515" s="379"/>
      <c r="PSM515" s="379"/>
      <c r="PSN515" s="379"/>
      <c r="PSO515" s="379"/>
      <c r="PSP515" s="379"/>
      <c r="PSQ515" s="13"/>
      <c r="PSR515" s="13"/>
      <c r="PSS515" s="193"/>
      <c r="PST515" s="379"/>
      <c r="PSU515" s="379"/>
      <c r="PSV515" s="379"/>
      <c r="PSW515" s="379"/>
      <c r="PSX515" s="379"/>
      <c r="PSY515" s="13"/>
      <c r="PSZ515" s="13"/>
      <c r="PTA515" s="193"/>
      <c r="PTB515" s="379"/>
      <c r="PTC515" s="379"/>
      <c r="PTD515" s="379"/>
      <c r="PTE515" s="379"/>
      <c r="PTF515" s="379"/>
      <c r="PTG515" s="13"/>
      <c r="PTH515" s="13"/>
      <c r="PTI515" s="193"/>
      <c r="PTJ515" s="379"/>
      <c r="PTK515" s="379"/>
      <c r="PTL515" s="379"/>
      <c r="PTM515" s="379"/>
      <c r="PTN515" s="379"/>
      <c r="PTO515" s="13"/>
      <c r="PTP515" s="13"/>
      <c r="PTQ515" s="193"/>
      <c r="PTR515" s="379"/>
      <c r="PTS515" s="379"/>
      <c r="PTT515" s="379"/>
      <c r="PTU515" s="379"/>
      <c r="PTV515" s="379"/>
      <c r="PTW515" s="13"/>
      <c r="PTX515" s="13"/>
      <c r="PTY515" s="193"/>
      <c r="PTZ515" s="379"/>
      <c r="PUA515" s="379"/>
      <c r="PUB515" s="379"/>
      <c r="PUC515" s="379"/>
      <c r="PUD515" s="379"/>
      <c r="PUE515" s="13"/>
      <c r="PUF515" s="13"/>
      <c r="PUG515" s="193"/>
      <c r="PUH515" s="379"/>
      <c r="PUI515" s="379"/>
      <c r="PUJ515" s="379"/>
      <c r="PUK515" s="379"/>
      <c r="PUL515" s="379"/>
      <c r="PUM515" s="13"/>
      <c r="PUN515" s="13"/>
      <c r="PUO515" s="193"/>
      <c r="PUP515" s="379"/>
      <c r="PUQ515" s="379"/>
      <c r="PUR515" s="379"/>
      <c r="PUS515" s="379"/>
      <c r="PUT515" s="379"/>
      <c r="PUU515" s="13"/>
      <c r="PUV515" s="13"/>
      <c r="PUW515" s="193"/>
      <c r="PUX515" s="379"/>
      <c r="PUY515" s="379"/>
      <c r="PUZ515" s="379"/>
      <c r="PVA515" s="379"/>
      <c r="PVB515" s="379"/>
      <c r="PVC515" s="13"/>
      <c r="PVD515" s="13"/>
      <c r="PVE515" s="193"/>
      <c r="PVF515" s="379"/>
      <c r="PVG515" s="379"/>
      <c r="PVH515" s="379"/>
      <c r="PVI515" s="379"/>
      <c r="PVJ515" s="379"/>
      <c r="PVK515" s="13"/>
      <c r="PVL515" s="13"/>
      <c r="PVM515" s="193"/>
      <c r="PVN515" s="379"/>
      <c r="PVO515" s="379"/>
      <c r="PVP515" s="379"/>
      <c r="PVQ515" s="379"/>
      <c r="PVR515" s="379"/>
      <c r="PVS515" s="13"/>
      <c r="PVT515" s="13"/>
      <c r="PVU515" s="193"/>
      <c r="PVV515" s="379"/>
      <c r="PVW515" s="379"/>
      <c r="PVX515" s="379"/>
      <c r="PVY515" s="379"/>
      <c r="PVZ515" s="379"/>
      <c r="PWA515" s="13"/>
      <c r="PWB515" s="13"/>
      <c r="PWC515" s="193"/>
      <c r="PWD515" s="379"/>
      <c r="PWE515" s="379"/>
      <c r="PWF515" s="379"/>
      <c r="PWG515" s="379"/>
      <c r="PWH515" s="379"/>
      <c r="PWI515" s="13"/>
      <c r="PWJ515" s="13"/>
      <c r="PWK515" s="193"/>
      <c r="PWL515" s="379"/>
      <c r="PWM515" s="379"/>
      <c r="PWN515" s="379"/>
      <c r="PWO515" s="379"/>
      <c r="PWP515" s="379"/>
      <c r="PWQ515" s="13"/>
      <c r="PWR515" s="13"/>
      <c r="PWS515" s="193"/>
      <c r="PWT515" s="379"/>
      <c r="PWU515" s="379"/>
      <c r="PWV515" s="379"/>
      <c r="PWW515" s="379"/>
      <c r="PWX515" s="379"/>
      <c r="PWY515" s="13"/>
      <c r="PWZ515" s="13"/>
      <c r="PXA515" s="193"/>
      <c r="PXB515" s="379"/>
      <c r="PXC515" s="379"/>
      <c r="PXD515" s="379"/>
      <c r="PXE515" s="379"/>
      <c r="PXF515" s="379"/>
      <c r="PXG515" s="13"/>
      <c r="PXH515" s="13"/>
      <c r="PXI515" s="193"/>
      <c r="PXJ515" s="379"/>
      <c r="PXK515" s="379"/>
      <c r="PXL515" s="379"/>
      <c r="PXM515" s="379"/>
      <c r="PXN515" s="379"/>
      <c r="PXO515" s="13"/>
      <c r="PXP515" s="13"/>
      <c r="PXQ515" s="193"/>
      <c r="PXR515" s="379"/>
      <c r="PXS515" s="379"/>
      <c r="PXT515" s="379"/>
      <c r="PXU515" s="379"/>
      <c r="PXV515" s="379"/>
      <c r="PXW515" s="13"/>
      <c r="PXX515" s="13"/>
      <c r="PXY515" s="193"/>
      <c r="PXZ515" s="379"/>
      <c r="PYA515" s="379"/>
      <c r="PYB515" s="379"/>
      <c r="PYC515" s="379"/>
      <c r="PYD515" s="379"/>
      <c r="PYE515" s="13"/>
      <c r="PYF515" s="13"/>
      <c r="PYG515" s="193"/>
      <c r="PYH515" s="379"/>
      <c r="PYI515" s="379"/>
      <c r="PYJ515" s="379"/>
      <c r="PYK515" s="379"/>
      <c r="PYL515" s="379"/>
      <c r="PYM515" s="13"/>
      <c r="PYN515" s="13"/>
      <c r="PYO515" s="193"/>
      <c r="PYP515" s="379"/>
      <c r="PYQ515" s="379"/>
      <c r="PYR515" s="379"/>
      <c r="PYS515" s="379"/>
      <c r="PYT515" s="379"/>
      <c r="PYU515" s="13"/>
      <c r="PYV515" s="13"/>
      <c r="PYW515" s="193"/>
      <c r="PYX515" s="379"/>
      <c r="PYY515" s="379"/>
      <c r="PYZ515" s="379"/>
      <c r="PZA515" s="379"/>
      <c r="PZB515" s="379"/>
      <c r="PZC515" s="13"/>
      <c r="PZD515" s="13"/>
      <c r="PZE515" s="193"/>
      <c r="PZF515" s="379"/>
      <c r="PZG515" s="379"/>
      <c r="PZH515" s="379"/>
      <c r="PZI515" s="379"/>
      <c r="PZJ515" s="379"/>
      <c r="PZK515" s="13"/>
      <c r="PZL515" s="13"/>
      <c r="PZM515" s="193"/>
      <c r="PZN515" s="379"/>
      <c r="PZO515" s="379"/>
      <c r="PZP515" s="379"/>
      <c r="PZQ515" s="379"/>
      <c r="PZR515" s="379"/>
      <c r="PZS515" s="13"/>
      <c r="PZT515" s="13"/>
      <c r="PZU515" s="193"/>
      <c r="PZV515" s="379"/>
      <c r="PZW515" s="379"/>
      <c r="PZX515" s="379"/>
      <c r="PZY515" s="379"/>
      <c r="PZZ515" s="379"/>
      <c r="QAA515" s="13"/>
      <c r="QAB515" s="13"/>
      <c r="QAC515" s="193"/>
      <c r="QAD515" s="379"/>
      <c r="QAE515" s="379"/>
      <c r="QAF515" s="379"/>
      <c r="QAG515" s="379"/>
      <c r="QAH515" s="379"/>
      <c r="QAI515" s="13"/>
      <c r="QAJ515" s="13"/>
      <c r="QAK515" s="193"/>
      <c r="QAL515" s="379"/>
      <c r="QAM515" s="379"/>
      <c r="QAN515" s="379"/>
      <c r="QAO515" s="379"/>
      <c r="QAP515" s="379"/>
      <c r="QAQ515" s="13"/>
      <c r="QAR515" s="13"/>
      <c r="QAS515" s="193"/>
      <c r="QAT515" s="379"/>
      <c r="QAU515" s="379"/>
      <c r="QAV515" s="379"/>
      <c r="QAW515" s="379"/>
      <c r="QAX515" s="379"/>
      <c r="QAY515" s="13"/>
      <c r="QAZ515" s="13"/>
      <c r="QBA515" s="193"/>
      <c r="QBB515" s="379"/>
      <c r="QBC515" s="379"/>
      <c r="QBD515" s="379"/>
      <c r="QBE515" s="379"/>
      <c r="QBF515" s="379"/>
      <c r="QBG515" s="13"/>
      <c r="QBH515" s="13"/>
      <c r="QBI515" s="193"/>
      <c r="QBJ515" s="379"/>
      <c r="QBK515" s="379"/>
      <c r="QBL515" s="379"/>
      <c r="QBM515" s="379"/>
      <c r="QBN515" s="379"/>
      <c r="QBO515" s="13"/>
      <c r="QBP515" s="13"/>
      <c r="QBQ515" s="193"/>
      <c r="QBR515" s="379"/>
      <c r="QBS515" s="379"/>
      <c r="QBT515" s="379"/>
      <c r="QBU515" s="379"/>
      <c r="QBV515" s="379"/>
      <c r="QBW515" s="13"/>
      <c r="QBX515" s="13"/>
      <c r="QBY515" s="193"/>
      <c r="QBZ515" s="379"/>
      <c r="QCA515" s="379"/>
      <c r="QCB515" s="379"/>
      <c r="QCC515" s="379"/>
      <c r="QCD515" s="379"/>
      <c r="QCE515" s="13"/>
      <c r="QCF515" s="13"/>
      <c r="QCG515" s="193"/>
      <c r="QCH515" s="379"/>
      <c r="QCI515" s="379"/>
      <c r="QCJ515" s="379"/>
      <c r="QCK515" s="379"/>
      <c r="QCL515" s="379"/>
      <c r="QCM515" s="13"/>
      <c r="QCN515" s="13"/>
      <c r="QCO515" s="193"/>
      <c r="QCP515" s="379"/>
      <c r="QCQ515" s="379"/>
      <c r="QCR515" s="379"/>
      <c r="QCS515" s="379"/>
      <c r="QCT515" s="379"/>
      <c r="QCU515" s="13"/>
      <c r="QCV515" s="13"/>
      <c r="QCW515" s="193"/>
      <c r="QCX515" s="379"/>
      <c r="QCY515" s="379"/>
      <c r="QCZ515" s="379"/>
      <c r="QDA515" s="379"/>
      <c r="QDB515" s="379"/>
      <c r="QDC515" s="13"/>
      <c r="QDD515" s="13"/>
      <c r="QDE515" s="193"/>
      <c r="QDF515" s="379"/>
      <c r="QDG515" s="379"/>
      <c r="QDH515" s="379"/>
      <c r="QDI515" s="379"/>
      <c r="QDJ515" s="379"/>
      <c r="QDK515" s="13"/>
      <c r="QDL515" s="13"/>
      <c r="QDM515" s="193"/>
      <c r="QDN515" s="379"/>
      <c r="QDO515" s="379"/>
      <c r="QDP515" s="379"/>
      <c r="QDQ515" s="379"/>
      <c r="QDR515" s="379"/>
      <c r="QDS515" s="13"/>
      <c r="QDT515" s="13"/>
      <c r="QDU515" s="193"/>
      <c r="QDV515" s="379"/>
      <c r="QDW515" s="379"/>
      <c r="QDX515" s="379"/>
      <c r="QDY515" s="379"/>
      <c r="QDZ515" s="379"/>
      <c r="QEA515" s="13"/>
      <c r="QEB515" s="13"/>
      <c r="QEC515" s="193"/>
      <c r="QED515" s="379"/>
      <c r="QEE515" s="379"/>
      <c r="QEF515" s="379"/>
      <c r="QEG515" s="379"/>
      <c r="QEH515" s="379"/>
      <c r="QEI515" s="13"/>
      <c r="QEJ515" s="13"/>
      <c r="QEK515" s="193"/>
      <c r="QEL515" s="379"/>
      <c r="QEM515" s="379"/>
      <c r="QEN515" s="379"/>
      <c r="QEO515" s="379"/>
      <c r="QEP515" s="379"/>
      <c r="QEQ515" s="13"/>
      <c r="QER515" s="13"/>
      <c r="QES515" s="193"/>
      <c r="QET515" s="379"/>
      <c r="QEU515" s="379"/>
      <c r="QEV515" s="379"/>
      <c r="QEW515" s="379"/>
      <c r="QEX515" s="379"/>
      <c r="QEY515" s="13"/>
      <c r="QEZ515" s="13"/>
      <c r="QFA515" s="193"/>
      <c r="QFB515" s="379"/>
      <c r="QFC515" s="379"/>
      <c r="QFD515" s="379"/>
      <c r="QFE515" s="379"/>
      <c r="QFF515" s="379"/>
      <c r="QFG515" s="13"/>
      <c r="QFH515" s="13"/>
      <c r="QFI515" s="193"/>
      <c r="QFJ515" s="379"/>
      <c r="QFK515" s="379"/>
      <c r="QFL515" s="379"/>
      <c r="QFM515" s="379"/>
      <c r="QFN515" s="379"/>
      <c r="QFO515" s="13"/>
      <c r="QFP515" s="13"/>
      <c r="QFQ515" s="193"/>
      <c r="QFR515" s="379"/>
      <c r="QFS515" s="379"/>
      <c r="QFT515" s="379"/>
      <c r="QFU515" s="379"/>
      <c r="QFV515" s="379"/>
      <c r="QFW515" s="13"/>
      <c r="QFX515" s="13"/>
      <c r="QFY515" s="193"/>
      <c r="QFZ515" s="379"/>
      <c r="QGA515" s="379"/>
      <c r="QGB515" s="379"/>
      <c r="QGC515" s="379"/>
      <c r="QGD515" s="379"/>
      <c r="QGE515" s="13"/>
      <c r="QGF515" s="13"/>
      <c r="QGG515" s="193"/>
      <c r="QGH515" s="379"/>
      <c r="QGI515" s="379"/>
      <c r="QGJ515" s="379"/>
      <c r="QGK515" s="379"/>
      <c r="QGL515" s="379"/>
      <c r="QGM515" s="13"/>
      <c r="QGN515" s="13"/>
      <c r="QGO515" s="193"/>
      <c r="QGP515" s="379"/>
      <c r="QGQ515" s="379"/>
      <c r="QGR515" s="379"/>
      <c r="QGS515" s="379"/>
      <c r="QGT515" s="379"/>
      <c r="QGU515" s="13"/>
      <c r="QGV515" s="13"/>
      <c r="QGW515" s="193"/>
      <c r="QGX515" s="379"/>
      <c r="QGY515" s="379"/>
      <c r="QGZ515" s="379"/>
      <c r="QHA515" s="379"/>
      <c r="QHB515" s="379"/>
      <c r="QHC515" s="13"/>
      <c r="QHD515" s="13"/>
      <c r="QHE515" s="193"/>
      <c r="QHF515" s="379"/>
      <c r="QHG515" s="379"/>
      <c r="QHH515" s="379"/>
      <c r="QHI515" s="379"/>
      <c r="QHJ515" s="379"/>
      <c r="QHK515" s="13"/>
      <c r="QHL515" s="13"/>
      <c r="QHM515" s="193"/>
      <c r="QHN515" s="379"/>
      <c r="QHO515" s="379"/>
      <c r="QHP515" s="379"/>
      <c r="QHQ515" s="379"/>
      <c r="QHR515" s="379"/>
      <c r="QHS515" s="13"/>
      <c r="QHT515" s="13"/>
      <c r="QHU515" s="193"/>
      <c r="QHV515" s="379"/>
      <c r="QHW515" s="379"/>
      <c r="QHX515" s="379"/>
      <c r="QHY515" s="379"/>
      <c r="QHZ515" s="379"/>
      <c r="QIA515" s="13"/>
      <c r="QIB515" s="13"/>
      <c r="QIC515" s="193"/>
      <c r="QID515" s="379"/>
      <c r="QIE515" s="379"/>
      <c r="QIF515" s="379"/>
      <c r="QIG515" s="379"/>
      <c r="QIH515" s="379"/>
      <c r="QII515" s="13"/>
      <c r="QIJ515" s="13"/>
      <c r="QIK515" s="193"/>
      <c r="QIL515" s="379"/>
      <c r="QIM515" s="379"/>
      <c r="QIN515" s="379"/>
      <c r="QIO515" s="379"/>
      <c r="QIP515" s="379"/>
      <c r="QIQ515" s="13"/>
      <c r="QIR515" s="13"/>
      <c r="QIS515" s="193"/>
      <c r="QIT515" s="379"/>
      <c r="QIU515" s="379"/>
      <c r="QIV515" s="379"/>
      <c r="QIW515" s="379"/>
      <c r="QIX515" s="379"/>
      <c r="QIY515" s="13"/>
      <c r="QIZ515" s="13"/>
      <c r="QJA515" s="193"/>
      <c r="QJB515" s="379"/>
      <c r="QJC515" s="379"/>
      <c r="QJD515" s="379"/>
      <c r="QJE515" s="379"/>
      <c r="QJF515" s="379"/>
      <c r="QJG515" s="13"/>
      <c r="QJH515" s="13"/>
      <c r="QJI515" s="193"/>
      <c r="QJJ515" s="379"/>
      <c r="QJK515" s="379"/>
      <c r="QJL515" s="379"/>
      <c r="QJM515" s="379"/>
      <c r="QJN515" s="379"/>
      <c r="QJO515" s="13"/>
      <c r="QJP515" s="13"/>
      <c r="QJQ515" s="193"/>
      <c r="QJR515" s="379"/>
      <c r="QJS515" s="379"/>
      <c r="QJT515" s="379"/>
      <c r="QJU515" s="379"/>
      <c r="QJV515" s="379"/>
      <c r="QJW515" s="13"/>
      <c r="QJX515" s="13"/>
      <c r="QJY515" s="193"/>
      <c r="QJZ515" s="379"/>
      <c r="QKA515" s="379"/>
      <c r="QKB515" s="379"/>
      <c r="QKC515" s="379"/>
      <c r="QKD515" s="379"/>
      <c r="QKE515" s="13"/>
      <c r="QKF515" s="13"/>
      <c r="QKG515" s="193"/>
      <c r="QKH515" s="379"/>
      <c r="QKI515" s="379"/>
      <c r="QKJ515" s="379"/>
      <c r="QKK515" s="379"/>
      <c r="QKL515" s="379"/>
      <c r="QKM515" s="13"/>
      <c r="QKN515" s="13"/>
      <c r="QKO515" s="193"/>
      <c r="QKP515" s="379"/>
      <c r="QKQ515" s="379"/>
      <c r="QKR515" s="379"/>
      <c r="QKS515" s="379"/>
      <c r="QKT515" s="379"/>
      <c r="QKU515" s="13"/>
      <c r="QKV515" s="13"/>
      <c r="QKW515" s="193"/>
      <c r="QKX515" s="379"/>
      <c r="QKY515" s="379"/>
      <c r="QKZ515" s="379"/>
      <c r="QLA515" s="379"/>
      <c r="QLB515" s="379"/>
      <c r="QLC515" s="13"/>
      <c r="QLD515" s="13"/>
      <c r="QLE515" s="193"/>
      <c r="QLF515" s="379"/>
      <c r="QLG515" s="379"/>
      <c r="QLH515" s="379"/>
      <c r="QLI515" s="379"/>
      <c r="QLJ515" s="379"/>
      <c r="QLK515" s="13"/>
      <c r="QLL515" s="13"/>
      <c r="QLM515" s="193"/>
      <c r="QLN515" s="379"/>
      <c r="QLO515" s="379"/>
      <c r="QLP515" s="379"/>
      <c r="QLQ515" s="379"/>
      <c r="QLR515" s="379"/>
      <c r="QLS515" s="13"/>
      <c r="QLT515" s="13"/>
      <c r="QLU515" s="193"/>
      <c r="QLV515" s="379"/>
      <c r="QLW515" s="379"/>
      <c r="QLX515" s="379"/>
      <c r="QLY515" s="379"/>
      <c r="QLZ515" s="379"/>
      <c r="QMA515" s="13"/>
      <c r="QMB515" s="13"/>
      <c r="QMC515" s="193"/>
      <c r="QMD515" s="379"/>
      <c r="QME515" s="379"/>
      <c r="QMF515" s="379"/>
      <c r="QMG515" s="379"/>
      <c r="QMH515" s="379"/>
      <c r="QMI515" s="13"/>
      <c r="QMJ515" s="13"/>
      <c r="QMK515" s="193"/>
      <c r="QML515" s="379"/>
      <c r="QMM515" s="379"/>
      <c r="QMN515" s="379"/>
      <c r="QMO515" s="379"/>
      <c r="QMP515" s="379"/>
      <c r="QMQ515" s="13"/>
      <c r="QMR515" s="13"/>
      <c r="QMS515" s="193"/>
      <c r="QMT515" s="379"/>
      <c r="QMU515" s="379"/>
      <c r="QMV515" s="379"/>
      <c r="QMW515" s="379"/>
      <c r="QMX515" s="379"/>
      <c r="QMY515" s="13"/>
      <c r="QMZ515" s="13"/>
      <c r="QNA515" s="193"/>
      <c r="QNB515" s="379"/>
      <c r="QNC515" s="379"/>
      <c r="QND515" s="379"/>
      <c r="QNE515" s="379"/>
      <c r="QNF515" s="379"/>
      <c r="QNG515" s="13"/>
      <c r="QNH515" s="13"/>
      <c r="QNI515" s="193"/>
      <c r="QNJ515" s="379"/>
      <c r="QNK515" s="379"/>
      <c r="QNL515" s="379"/>
      <c r="QNM515" s="379"/>
      <c r="QNN515" s="379"/>
      <c r="QNO515" s="13"/>
      <c r="QNP515" s="13"/>
      <c r="QNQ515" s="193"/>
      <c r="QNR515" s="379"/>
      <c r="QNS515" s="379"/>
      <c r="QNT515" s="379"/>
      <c r="QNU515" s="379"/>
      <c r="QNV515" s="379"/>
      <c r="QNW515" s="13"/>
      <c r="QNX515" s="13"/>
      <c r="QNY515" s="193"/>
      <c r="QNZ515" s="379"/>
      <c r="QOA515" s="379"/>
      <c r="QOB515" s="379"/>
      <c r="QOC515" s="379"/>
      <c r="QOD515" s="379"/>
      <c r="QOE515" s="13"/>
      <c r="QOF515" s="13"/>
      <c r="QOG515" s="193"/>
      <c r="QOH515" s="379"/>
      <c r="QOI515" s="379"/>
      <c r="QOJ515" s="379"/>
      <c r="QOK515" s="379"/>
      <c r="QOL515" s="379"/>
      <c r="QOM515" s="13"/>
      <c r="QON515" s="13"/>
      <c r="QOO515" s="193"/>
      <c r="QOP515" s="379"/>
      <c r="QOQ515" s="379"/>
      <c r="QOR515" s="379"/>
      <c r="QOS515" s="379"/>
      <c r="QOT515" s="379"/>
      <c r="QOU515" s="13"/>
      <c r="QOV515" s="13"/>
      <c r="QOW515" s="193"/>
      <c r="QOX515" s="379"/>
      <c r="QOY515" s="379"/>
      <c r="QOZ515" s="379"/>
      <c r="QPA515" s="379"/>
      <c r="QPB515" s="379"/>
      <c r="QPC515" s="13"/>
      <c r="QPD515" s="13"/>
      <c r="QPE515" s="193"/>
      <c r="QPF515" s="379"/>
      <c r="QPG515" s="379"/>
      <c r="QPH515" s="379"/>
      <c r="QPI515" s="379"/>
      <c r="QPJ515" s="379"/>
      <c r="QPK515" s="13"/>
      <c r="QPL515" s="13"/>
      <c r="QPM515" s="193"/>
      <c r="QPN515" s="379"/>
      <c r="QPO515" s="379"/>
      <c r="QPP515" s="379"/>
      <c r="QPQ515" s="379"/>
      <c r="QPR515" s="379"/>
      <c r="QPS515" s="13"/>
      <c r="QPT515" s="13"/>
      <c r="QPU515" s="193"/>
      <c r="QPV515" s="379"/>
      <c r="QPW515" s="379"/>
      <c r="QPX515" s="379"/>
      <c r="QPY515" s="379"/>
      <c r="QPZ515" s="379"/>
      <c r="QQA515" s="13"/>
      <c r="QQB515" s="13"/>
      <c r="QQC515" s="193"/>
      <c r="QQD515" s="379"/>
      <c r="QQE515" s="379"/>
      <c r="QQF515" s="379"/>
      <c r="QQG515" s="379"/>
      <c r="QQH515" s="379"/>
      <c r="QQI515" s="13"/>
      <c r="QQJ515" s="13"/>
      <c r="QQK515" s="193"/>
      <c r="QQL515" s="379"/>
      <c r="QQM515" s="379"/>
      <c r="QQN515" s="379"/>
      <c r="QQO515" s="379"/>
      <c r="QQP515" s="379"/>
      <c r="QQQ515" s="13"/>
      <c r="QQR515" s="13"/>
      <c r="QQS515" s="193"/>
      <c r="QQT515" s="379"/>
      <c r="QQU515" s="379"/>
      <c r="QQV515" s="379"/>
      <c r="QQW515" s="379"/>
      <c r="QQX515" s="379"/>
      <c r="QQY515" s="13"/>
      <c r="QQZ515" s="13"/>
      <c r="QRA515" s="193"/>
      <c r="QRB515" s="379"/>
      <c r="QRC515" s="379"/>
      <c r="QRD515" s="379"/>
      <c r="QRE515" s="379"/>
      <c r="QRF515" s="379"/>
      <c r="QRG515" s="13"/>
      <c r="QRH515" s="13"/>
      <c r="QRI515" s="193"/>
      <c r="QRJ515" s="379"/>
      <c r="QRK515" s="379"/>
      <c r="QRL515" s="379"/>
      <c r="QRM515" s="379"/>
      <c r="QRN515" s="379"/>
      <c r="QRO515" s="13"/>
      <c r="QRP515" s="13"/>
      <c r="QRQ515" s="193"/>
      <c r="QRR515" s="379"/>
      <c r="QRS515" s="379"/>
      <c r="QRT515" s="379"/>
      <c r="QRU515" s="379"/>
      <c r="QRV515" s="379"/>
      <c r="QRW515" s="13"/>
      <c r="QRX515" s="13"/>
      <c r="QRY515" s="193"/>
      <c r="QRZ515" s="379"/>
      <c r="QSA515" s="379"/>
      <c r="QSB515" s="379"/>
      <c r="QSC515" s="379"/>
      <c r="QSD515" s="379"/>
      <c r="QSE515" s="13"/>
      <c r="QSF515" s="13"/>
      <c r="QSG515" s="193"/>
      <c r="QSH515" s="379"/>
      <c r="QSI515" s="379"/>
      <c r="QSJ515" s="379"/>
      <c r="QSK515" s="379"/>
      <c r="QSL515" s="379"/>
      <c r="QSM515" s="13"/>
      <c r="QSN515" s="13"/>
      <c r="QSO515" s="193"/>
      <c r="QSP515" s="379"/>
      <c r="QSQ515" s="379"/>
      <c r="QSR515" s="379"/>
      <c r="QSS515" s="379"/>
      <c r="QST515" s="379"/>
      <c r="QSU515" s="13"/>
      <c r="QSV515" s="13"/>
      <c r="QSW515" s="193"/>
      <c r="QSX515" s="379"/>
      <c r="QSY515" s="379"/>
      <c r="QSZ515" s="379"/>
      <c r="QTA515" s="379"/>
      <c r="QTB515" s="379"/>
      <c r="QTC515" s="13"/>
      <c r="QTD515" s="13"/>
      <c r="QTE515" s="193"/>
      <c r="QTF515" s="379"/>
      <c r="QTG515" s="379"/>
      <c r="QTH515" s="379"/>
      <c r="QTI515" s="379"/>
      <c r="QTJ515" s="379"/>
      <c r="QTK515" s="13"/>
      <c r="QTL515" s="13"/>
      <c r="QTM515" s="193"/>
      <c r="QTN515" s="379"/>
      <c r="QTO515" s="379"/>
      <c r="QTP515" s="379"/>
      <c r="QTQ515" s="379"/>
      <c r="QTR515" s="379"/>
      <c r="QTS515" s="13"/>
      <c r="QTT515" s="13"/>
      <c r="QTU515" s="193"/>
      <c r="QTV515" s="379"/>
      <c r="QTW515" s="379"/>
      <c r="QTX515" s="379"/>
      <c r="QTY515" s="379"/>
      <c r="QTZ515" s="379"/>
      <c r="QUA515" s="13"/>
      <c r="QUB515" s="13"/>
      <c r="QUC515" s="193"/>
      <c r="QUD515" s="379"/>
      <c r="QUE515" s="379"/>
      <c r="QUF515" s="379"/>
      <c r="QUG515" s="379"/>
      <c r="QUH515" s="379"/>
      <c r="QUI515" s="13"/>
      <c r="QUJ515" s="13"/>
      <c r="QUK515" s="193"/>
      <c r="QUL515" s="379"/>
      <c r="QUM515" s="379"/>
      <c r="QUN515" s="379"/>
      <c r="QUO515" s="379"/>
      <c r="QUP515" s="379"/>
      <c r="QUQ515" s="13"/>
      <c r="QUR515" s="13"/>
      <c r="QUS515" s="193"/>
      <c r="QUT515" s="379"/>
      <c r="QUU515" s="379"/>
      <c r="QUV515" s="379"/>
      <c r="QUW515" s="379"/>
      <c r="QUX515" s="379"/>
      <c r="QUY515" s="13"/>
      <c r="QUZ515" s="13"/>
      <c r="QVA515" s="193"/>
      <c r="QVB515" s="379"/>
      <c r="QVC515" s="379"/>
      <c r="QVD515" s="379"/>
      <c r="QVE515" s="379"/>
      <c r="QVF515" s="379"/>
      <c r="QVG515" s="13"/>
      <c r="QVH515" s="13"/>
      <c r="QVI515" s="193"/>
      <c r="QVJ515" s="379"/>
      <c r="QVK515" s="379"/>
      <c r="QVL515" s="379"/>
      <c r="QVM515" s="379"/>
      <c r="QVN515" s="379"/>
      <c r="QVO515" s="13"/>
      <c r="QVP515" s="13"/>
      <c r="QVQ515" s="193"/>
      <c r="QVR515" s="379"/>
      <c r="QVS515" s="379"/>
      <c r="QVT515" s="379"/>
      <c r="QVU515" s="379"/>
      <c r="QVV515" s="379"/>
      <c r="QVW515" s="13"/>
      <c r="QVX515" s="13"/>
      <c r="QVY515" s="193"/>
      <c r="QVZ515" s="379"/>
      <c r="QWA515" s="379"/>
      <c r="QWB515" s="379"/>
      <c r="QWC515" s="379"/>
      <c r="QWD515" s="379"/>
      <c r="QWE515" s="13"/>
      <c r="QWF515" s="13"/>
      <c r="QWG515" s="193"/>
      <c r="QWH515" s="379"/>
      <c r="QWI515" s="379"/>
      <c r="QWJ515" s="379"/>
      <c r="QWK515" s="379"/>
      <c r="QWL515" s="379"/>
      <c r="QWM515" s="13"/>
      <c r="QWN515" s="13"/>
      <c r="QWO515" s="193"/>
      <c r="QWP515" s="379"/>
      <c r="QWQ515" s="379"/>
      <c r="QWR515" s="379"/>
      <c r="QWS515" s="379"/>
      <c r="QWT515" s="379"/>
      <c r="QWU515" s="13"/>
      <c r="QWV515" s="13"/>
      <c r="QWW515" s="193"/>
      <c r="QWX515" s="379"/>
      <c r="QWY515" s="379"/>
      <c r="QWZ515" s="379"/>
      <c r="QXA515" s="379"/>
      <c r="QXB515" s="379"/>
      <c r="QXC515" s="13"/>
      <c r="QXD515" s="13"/>
      <c r="QXE515" s="193"/>
      <c r="QXF515" s="379"/>
      <c r="QXG515" s="379"/>
      <c r="QXH515" s="379"/>
      <c r="QXI515" s="379"/>
      <c r="QXJ515" s="379"/>
      <c r="QXK515" s="13"/>
      <c r="QXL515" s="13"/>
      <c r="QXM515" s="193"/>
      <c r="QXN515" s="379"/>
      <c r="QXO515" s="379"/>
      <c r="QXP515" s="379"/>
      <c r="QXQ515" s="379"/>
      <c r="QXR515" s="379"/>
      <c r="QXS515" s="13"/>
      <c r="QXT515" s="13"/>
      <c r="QXU515" s="193"/>
      <c r="QXV515" s="379"/>
      <c r="QXW515" s="379"/>
      <c r="QXX515" s="379"/>
      <c r="QXY515" s="379"/>
      <c r="QXZ515" s="379"/>
      <c r="QYA515" s="13"/>
      <c r="QYB515" s="13"/>
      <c r="QYC515" s="193"/>
      <c r="QYD515" s="379"/>
      <c r="QYE515" s="379"/>
      <c r="QYF515" s="379"/>
      <c r="QYG515" s="379"/>
      <c r="QYH515" s="379"/>
      <c r="QYI515" s="13"/>
      <c r="QYJ515" s="13"/>
      <c r="QYK515" s="193"/>
      <c r="QYL515" s="379"/>
      <c r="QYM515" s="379"/>
      <c r="QYN515" s="379"/>
      <c r="QYO515" s="379"/>
      <c r="QYP515" s="379"/>
      <c r="QYQ515" s="13"/>
      <c r="QYR515" s="13"/>
      <c r="QYS515" s="193"/>
      <c r="QYT515" s="379"/>
      <c r="QYU515" s="379"/>
      <c r="QYV515" s="379"/>
      <c r="QYW515" s="379"/>
      <c r="QYX515" s="379"/>
      <c r="QYY515" s="13"/>
      <c r="QYZ515" s="13"/>
      <c r="QZA515" s="193"/>
      <c r="QZB515" s="379"/>
      <c r="QZC515" s="379"/>
      <c r="QZD515" s="379"/>
      <c r="QZE515" s="379"/>
      <c r="QZF515" s="379"/>
      <c r="QZG515" s="13"/>
      <c r="QZH515" s="13"/>
      <c r="QZI515" s="193"/>
      <c r="QZJ515" s="379"/>
      <c r="QZK515" s="379"/>
      <c r="QZL515" s="379"/>
      <c r="QZM515" s="379"/>
      <c r="QZN515" s="379"/>
      <c r="QZO515" s="13"/>
      <c r="QZP515" s="13"/>
      <c r="QZQ515" s="193"/>
      <c r="QZR515" s="379"/>
      <c r="QZS515" s="379"/>
      <c r="QZT515" s="379"/>
      <c r="QZU515" s="379"/>
      <c r="QZV515" s="379"/>
      <c r="QZW515" s="13"/>
      <c r="QZX515" s="13"/>
      <c r="QZY515" s="193"/>
      <c r="QZZ515" s="379"/>
      <c r="RAA515" s="379"/>
      <c r="RAB515" s="379"/>
      <c r="RAC515" s="379"/>
      <c r="RAD515" s="379"/>
      <c r="RAE515" s="13"/>
      <c r="RAF515" s="13"/>
      <c r="RAG515" s="193"/>
      <c r="RAH515" s="379"/>
      <c r="RAI515" s="379"/>
      <c r="RAJ515" s="379"/>
      <c r="RAK515" s="379"/>
      <c r="RAL515" s="379"/>
      <c r="RAM515" s="13"/>
      <c r="RAN515" s="13"/>
      <c r="RAO515" s="193"/>
      <c r="RAP515" s="379"/>
      <c r="RAQ515" s="379"/>
      <c r="RAR515" s="379"/>
      <c r="RAS515" s="379"/>
      <c r="RAT515" s="379"/>
      <c r="RAU515" s="13"/>
      <c r="RAV515" s="13"/>
      <c r="RAW515" s="193"/>
      <c r="RAX515" s="379"/>
      <c r="RAY515" s="379"/>
      <c r="RAZ515" s="379"/>
      <c r="RBA515" s="379"/>
      <c r="RBB515" s="379"/>
      <c r="RBC515" s="13"/>
      <c r="RBD515" s="13"/>
      <c r="RBE515" s="193"/>
      <c r="RBF515" s="379"/>
      <c r="RBG515" s="379"/>
      <c r="RBH515" s="379"/>
      <c r="RBI515" s="379"/>
      <c r="RBJ515" s="379"/>
      <c r="RBK515" s="13"/>
      <c r="RBL515" s="13"/>
      <c r="RBM515" s="193"/>
      <c r="RBN515" s="379"/>
      <c r="RBO515" s="379"/>
      <c r="RBP515" s="379"/>
      <c r="RBQ515" s="379"/>
      <c r="RBR515" s="379"/>
      <c r="RBS515" s="13"/>
      <c r="RBT515" s="13"/>
      <c r="RBU515" s="193"/>
      <c r="RBV515" s="379"/>
      <c r="RBW515" s="379"/>
      <c r="RBX515" s="379"/>
      <c r="RBY515" s="379"/>
      <c r="RBZ515" s="379"/>
      <c r="RCA515" s="13"/>
      <c r="RCB515" s="13"/>
      <c r="RCC515" s="193"/>
      <c r="RCD515" s="379"/>
      <c r="RCE515" s="379"/>
      <c r="RCF515" s="379"/>
      <c r="RCG515" s="379"/>
      <c r="RCH515" s="379"/>
      <c r="RCI515" s="13"/>
      <c r="RCJ515" s="13"/>
      <c r="RCK515" s="193"/>
      <c r="RCL515" s="379"/>
      <c r="RCM515" s="379"/>
      <c r="RCN515" s="379"/>
      <c r="RCO515" s="379"/>
      <c r="RCP515" s="379"/>
      <c r="RCQ515" s="13"/>
      <c r="RCR515" s="13"/>
      <c r="RCS515" s="193"/>
      <c r="RCT515" s="379"/>
      <c r="RCU515" s="379"/>
      <c r="RCV515" s="379"/>
      <c r="RCW515" s="379"/>
      <c r="RCX515" s="379"/>
      <c r="RCY515" s="13"/>
      <c r="RCZ515" s="13"/>
      <c r="RDA515" s="193"/>
      <c r="RDB515" s="379"/>
      <c r="RDC515" s="379"/>
      <c r="RDD515" s="379"/>
      <c r="RDE515" s="379"/>
      <c r="RDF515" s="379"/>
      <c r="RDG515" s="13"/>
      <c r="RDH515" s="13"/>
      <c r="RDI515" s="193"/>
      <c r="RDJ515" s="379"/>
      <c r="RDK515" s="379"/>
      <c r="RDL515" s="379"/>
      <c r="RDM515" s="379"/>
      <c r="RDN515" s="379"/>
      <c r="RDO515" s="13"/>
      <c r="RDP515" s="13"/>
      <c r="RDQ515" s="193"/>
      <c r="RDR515" s="379"/>
      <c r="RDS515" s="379"/>
      <c r="RDT515" s="379"/>
      <c r="RDU515" s="379"/>
      <c r="RDV515" s="379"/>
      <c r="RDW515" s="13"/>
      <c r="RDX515" s="13"/>
      <c r="RDY515" s="193"/>
      <c r="RDZ515" s="379"/>
      <c r="REA515" s="379"/>
      <c r="REB515" s="379"/>
      <c r="REC515" s="379"/>
      <c r="RED515" s="379"/>
      <c r="REE515" s="13"/>
      <c r="REF515" s="13"/>
      <c r="REG515" s="193"/>
      <c r="REH515" s="379"/>
      <c r="REI515" s="379"/>
      <c r="REJ515" s="379"/>
      <c r="REK515" s="379"/>
      <c r="REL515" s="379"/>
      <c r="REM515" s="13"/>
      <c r="REN515" s="13"/>
      <c r="REO515" s="193"/>
      <c r="REP515" s="379"/>
      <c r="REQ515" s="379"/>
      <c r="RER515" s="379"/>
      <c r="RES515" s="379"/>
      <c r="RET515" s="379"/>
      <c r="REU515" s="13"/>
      <c r="REV515" s="13"/>
      <c r="REW515" s="193"/>
      <c r="REX515" s="379"/>
      <c r="REY515" s="379"/>
      <c r="REZ515" s="379"/>
      <c r="RFA515" s="379"/>
      <c r="RFB515" s="379"/>
      <c r="RFC515" s="13"/>
      <c r="RFD515" s="13"/>
      <c r="RFE515" s="193"/>
      <c r="RFF515" s="379"/>
      <c r="RFG515" s="379"/>
      <c r="RFH515" s="379"/>
      <c r="RFI515" s="379"/>
      <c r="RFJ515" s="379"/>
      <c r="RFK515" s="13"/>
      <c r="RFL515" s="13"/>
      <c r="RFM515" s="193"/>
      <c r="RFN515" s="379"/>
      <c r="RFO515" s="379"/>
      <c r="RFP515" s="379"/>
      <c r="RFQ515" s="379"/>
      <c r="RFR515" s="379"/>
      <c r="RFS515" s="13"/>
      <c r="RFT515" s="13"/>
      <c r="RFU515" s="193"/>
      <c r="RFV515" s="379"/>
      <c r="RFW515" s="379"/>
      <c r="RFX515" s="379"/>
      <c r="RFY515" s="379"/>
      <c r="RFZ515" s="379"/>
      <c r="RGA515" s="13"/>
      <c r="RGB515" s="13"/>
      <c r="RGC515" s="193"/>
      <c r="RGD515" s="379"/>
      <c r="RGE515" s="379"/>
      <c r="RGF515" s="379"/>
      <c r="RGG515" s="379"/>
      <c r="RGH515" s="379"/>
      <c r="RGI515" s="13"/>
      <c r="RGJ515" s="13"/>
      <c r="RGK515" s="193"/>
      <c r="RGL515" s="379"/>
      <c r="RGM515" s="379"/>
      <c r="RGN515" s="379"/>
      <c r="RGO515" s="379"/>
      <c r="RGP515" s="379"/>
      <c r="RGQ515" s="13"/>
      <c r="RGR515" s="13"/>
      <c r="RGS515" s="193"/>
      <c r="RGT515" s="379"/>
      <c r="RGU515" s="379"/>
      <c r="RGV515" s="379"/>
      <c r="RGW515" s="379"/>
      <c r="RGX515" s="379"/>
      <c r="RGY515" s="13"/>
      <c r="RGZ515" s="13"/>
      <c r="RHA515" s="193"/>
      <c r="RHB515" s="379"/>
      <c r="RHC515" s="379"/>
      <c r="RHD515" s="379"/>
      <c r="RHE515" s="379"/>
      <c r="RHF515" s="379"/>
      <c r="RHG515" s="13"/>
      <c r="RHH515" s="13"/>
      <c r="RHI515" s="193"/>
      <c r="RHJ515" s="379"/>
      <c r="RHK515" s="379"/>
      <c r="RHL515" s="379"/>
      <c r="RHM515" s="379"/>
      <c r="RHN515" s="379"/>
      <c r="RHO515" s="13"/>
      <c r="RHP515" s="13"/>
      <c r="RHQ515" s="193"/>
      <c r="RHR515" s="379"/>
      <c r="RHS515" s="379"/>
      <c r="RHT515" s="379"/>
      <c r="RHU515" s="379"/>
      <c r="RHV515" s="379"/>
      <c r="RHW515" s="13"/>
      <c r="RHX515" s="13"/>
      <c r="RHY515" s="193"/>
      <c r="RHZ515" s="379"/>
      <c r="RIA515" s="379"/>
      <c r="RIB515" s="379"/>
      <c r="RIC515" s="379"/>
      <c r="RID515" s="379"/>
      <c r="RIE515" s="13"/>
      <c r="RIF515" s="13"/>
      <c r="RIG515" s="193"/>
      <c r="RIH515" s="379"/>
      <c r="RII515" s="379"/>
      <c r="RIJ515" s="379"/>
      <c r="RIK515" s="379"/>
      <c r="RIL515" s="379"/>
      <c r="RIM515" s="13"/>
      <c r="RIN515" s="13"/>
      <c r="RIO515" s="193"/>
      <c r="RIP515" s="379"/>
      <c r="RIQ515" s="379"/>
      <c r="RIR515" s="379"/>
      <c r="RIS515" s="379"/>
      <c r="RIT515" s="379"/>
      <c r="RIU515" s="13"/>
      <c r="RIV515" s="13"/>
      <c r="RIW515" s="193"/>
      <c r="RIX515" s="379"/>
      <c r="RIY515" s="379"/>
      <c r="RIZ515" s="379"/>
      <c r="RJA515" s="379"/>
      <c r="RJB515" s="379"/>
      <c r="RJC515" s="13"/>
      <c r="RJD515" s="13"/>
      <c r="RJE515" s="193"/>
      <c r="RJF515" s="379"/>
      <c r="RJG515" s="379"/>
      <c r="RJH515" s="379"/>
      <c r="RJI515" s="379"/>
      <c r="RJJ515" s="379"/>
      <c r="RJK515" s="13"/>
      <c r="RJL515" s="13"/>
      <c r="RJM515" s="193"/>
      <c r="RJN515" s="379"/>
      <c r="RJO515" s="379"/>
      <c r="RJP515" s="379"/>
      <c r="RJQ515" s="379"/>
      <c r="RJR515" s="379"/>
      <c r="RJS515" s="13"/>
      <c r="RJT515" s="13"/>
      <c r="RJU515" s="193"/>
      <c r="RJV515" s="379"/>
      <c r="RJW515" s="379"/>
      <c r="RJX515" s="379"/>
      <c r="RJY515" s="379"/>
      <c r="RJZ515" s="379"/>
      <c r="RKA515" s="13"/>
      <c r="RKB515" s="13"/>
      <c r="RKC515" s="193"/>
      <c r="RKD515" s="379"/>
      <c r="RKE515" s="379"/>
      <c r="RKF515" s="379"/>
      <c r="RKG515" s="379"/>
      <c r="RKH515" s="379"/>
      <c r="RKI515" s="13"/>
      <c r="RKJ515" s="13"/>
      <c r="RKK515" s="193"/>
      <c r="RKL515" s="379"/>
      <c r="RKM515" s="379"/>
      <c r="RKN515" s="379"/>
      <c r="RKO515" s="379"/>
      <c r="RKP515" s="379"/>
      <c r="RKQ515" s="13"/>
      <c r="RKR515" s="13"/>
      <c r="RKS515" s="193"/>
      <c r="RKT515" s="379"/>
      <c r="RKU515" s="379"/>
      <c r="RKV515" s="379"/>
      <c r="RKW515" s="379"/>
      <c r="RKX515" s="379"/>
      <c r="RKY515" s="13"/>
      <c r="RKZ515" s="13"/>
      <c r="RLA515" s="193"/>
      <c r="RLB515" s="379"/>
      <c r="RLC515" s="379"/>
      <c r="RLD515" s="379"/>
      <c r="RLE515" s="379"/>
      <c r="RLF515" s="379"/>
      <c r="RLG515" s="13"/>
      <c r="RLH515" s="13"/>
      <c r="RLI515" s="193"/>
      <c r="RLJ515" s="379"/>
      <c r="RLK515" s="379"/>
      <c r="RLL515" s="379"/>
      <c r="RLM515" s="379"/>
      <c r="RLN515" s="379"/>
      <c r="RLO515" s="13"/>
      <c r="RLP515" s="13"/>
      <c r="RLQ515" s="193"/>
      <c r="RLR515" s="379"/>
      <c r="RLS515" s="379"/>
      <c r="RLT515" s="379"/>
      <c r="RLU515" s="379"/>
      <c r="RLV515" s="379"/>
      <c r="RLW515" s="13"/>
      <c r="RLX515" s="13"/>
      <c r="RLY515" s="193"/>
      <c r="RLZ515" s="379"/>
      <c r="RMA515" s="379"/>
      <c r="RMB515" s="379"/>
      <c r="RMC515" s="379"/>
      <c r="RMD515" s="379"/>
      <c r="RME515" s="13"/>
      <c r="RMF515" s="13"/>
      <c r="RMG515" s="193"/>
      <c r="RMH515" s="379"/>
      <c r="RMI515" s="379"/>
      <c r="RMJ515" s="379"/>
      <c r="RMK515" s="379"/>
      <c r="RML515" s="379"/>
      <c r="RMM515" s="13"/>
      <c r="RMN515" s="13"/>
      <c r="RMO515" s="193"/>
      <c r="RMP515" s="379"/>
      <c r="RMQ515" s="379"/>
      <c r="RMR515" s="379"/>
      <c r="RMS515" s="379"/>
      <c r="RMT515" s="379"/>
      <c r="RMU515" s="13"/>
      <c r="RMV515" s="13"/>
      <c r="RMW515" s="193"/>
      <c r="RMX515" s="379"/>
      <c r="RMY515" s="379"/>
      <c r="RMZ515" s="379"/>
      <c r="RNA515" s="379"/>
      <c r="RNB515" s="379"/>
      <c r="RNC515" s="13"/>
      <c r="RND515" s="13"/>
      <c r="RNE515" s="193"/>
      <c r="RNF515" s="379"/>
      <c r="RNG515" s="379"/>
      <c r="RNH515" s="379"/>
      <c r="RNI515" s="379"/>
      <c r="RNJ515" s="379"/>
      <c r="RNK515" s="13"/>
      <c r="RNL515" s="13"/>
      <c r="RNM515" s="193"/>
      <c r="RNN515" s="379"/>
      <c r="RNO515" s="379"/>
      <c r="RNP515" s="379"/>
      <c r="RNQ515" s="379"/>
      <c r="RNR515" s="379"/>
      <c r="RNS515" s="13"/>
      <c r="RNT515" s="13"/>
      <c r="RNU515" s="193"/>
      <c r="RNV515" s="379"/>
      <c r="RNW515" s="379"/>
      <c r="RNX515" s="379"/>
      <c r="RNY515" s="379"/>
      <c r="RNZ515" s="379"/>
      <c r="ROA515" s="13"/>
      <c r="ROB515" s="13"/>
      <c r="ROC515" s="193"/>
      <c r="ROD515" s="379"/>
      <c r="ROE515" s="379"/>
      <c r="ROF515" s="379"/>
      <c r="ROG515" s="379"/>
      <c r="ROH515" s="379"/>
      <c r="ROI515" s="13"/>
      <c r="ROJ515" s="13"/>
      <c r="ROK515" s="193"/>
      <c r="ROL515" s="379"/>
      <c r="ROM515" s="379"/>
      <c r="RON515" s="379"/>
      <c r="ROO515" s="379"/>
      <c r="ROP515" s="379"/>
      <c r="ROQ515" s="13"/>
      <c r="ROR515" s="13"/>
      <c r="ROS515" s="193"/>
      <c r="ROT515" s="379"/>
      <c r="ROU515" s="379"/>
      <c r="ROV515" s="379"/>
      <c r="ROW515" s="379"/>
      <c r="ROX515" s="379"/>
      <c r="ROY515" s="13"/>
      <c r="ROZ515" s="13"/>
      <c r="RPA515" s="193"/>
      <c r="RPB515" s="379"/>
      <c r="RPC515" s="379"/>
      <c r="RPD515" s="379"/>
      <c r="RPE515" s="379"/>
      <c r="RPF515" s="379"/>
      <c r="RPG515" s="13"/>
      <c r="RPH515" s="13"/>
      <c r="RPI515" s="193"/>
      <c r="RPJ515" s="379"/>
      <c r="RPK515" s="379"/>
      <c r="RPL515" s="379"/>
      <c r="RPM515" s="379"/>
      <c r="RPN515" s="379"/>
      <c r="RPO515" s="13"/>
      <c r="RPP515" s="13"/>
      <c r="RPQ515" s="193"/>
      <c r="RPR515" s="379"/>
      <c r="RPS515" s="379"/>
      <c r="RPT515" s="379"/>
      <c r="RPU515" s="379"/>
      <c r="RPV515" s="379"/>
      <c r="RPW515" s="13"/>
      <c r="RPX515" s="13"/>
      <c r="RPY515" s="193"/>
      <c r="RPZ515" s="379"/>
      <c r="RQA515" s="379"/>
      <c r="RQB515" s="379"/>
      <c r="RQC515" s="379"/>
      <c r="RQD515" s="379"/>
      <c r="RQE515" s="13"/>
      <c r="RQF515" s="13"/>
      <c r="RQG515" s="193"/>
      <c r="RQH515" s="379"/>
      <c r="RQI515" s="379"/>
      <c r="RQJ515" s="379"/>
      <c r="RQK515" s="379"/>
      <c r="RQL515" s="379"/>
      <c r="RQM515" s="13"/>
      <c r="RQN515" s="13"/>
      <c r="RQO515" s="193"/>
      <c r="RQP515" s="379"/>
      <c r="RQQ515" s="379"/>
      <c r="RQR515" s="379"/>
      <c r="RQS515" s="379"/>
      <c r="RQT515" s="379"/>
      <c r="RQU515" s="13"/>
      <c r="RQV515" s="13"/>
      <c r="RQW515" s="193"/>
      <c r="RQX515" s="379"/>
      <c r="RQY515" s="379"/>
      <c r="RQZ515" s="379"/>
      <c r="RRA515" s="379"/>
      <c r="RRB515" s="379"/>
      <c r="RRC515" s="13"/>
      <c r="RRD515" s="13"/>
      <c r="RRE515" s="193"/>
      <c r="RRF515" s="379"/>
      <c r="RRG515" s="379"/>
      <c r="RRH515" s="379"/>
      <c r="RRI515" s="379"/>
      <c r="RRJ515" s="379"/>
      <c r="RRK515" s="13"/>
      <c r="RRL515" s="13"/>
      <c r="RRM515" s="193"/>
      <c r="RRN515" s="379"/>
      <c r="RRO515" s="379"/>
      <c r="RRP515" s="379"/>
      <c r="RRQ515" s="379"/>
      <c r="RRR515" s="379"/>
      <c r="RRS515" s="13"/>
      <c r="RRT515" s="13"/>
      <c r="RRU515" s="193"/>
      <c r="RRV515" s="379"/>
      <c r="RRW515" s="379"/>
      <c r="RRX515" s="379"/>
      <c r="RRY515" s="379"/>
      <c r="RRZ515" s="379"/>
      <c r="RSA515" s="13"/>
      <c r="RSB515" s="13"/>
      <c r="RSC515" s="193"/>
      <c r="RSD515" s="379"/>
      <c r="RSE515" s="379"/>
      <c r="RSF515" s="379"/>
      <c r="RSG515" s="379"/>
      <c r="RSH515" s="379"/>
      <c r="RSI515" s="13"/>
      <c r="RSJ515" s="13"/>
      <c r="RSK515" s="193"/>
      <c r="RSL515" s="379"/>
      <c r="RSM515" s="379"/>
      <c r="RSN515" s="379"/>
      <c r="RSO515" s="379"/>
      <c r="RSP515" s="379"/>
      <c r="RSQ515" s="13"/>
      <c r="RSR515" s="13"/>
      <c r="RSS515" s="193"/>
      <c r="RST515" s="379"/>
      <c r="RSU515" s="379"/>
      <c r="RSV515" s="379"/>
      <c r="RSW515" s="379"/>
      <c r="RSX515" s="379"/>
      <c r="RSY515" s="13"/>
      <c r="RSZ515" s="13"/>
      <c r="RTA515" s="193"/>
      <c r="RTB515" s="379"/>
      <c r="RTC515" s="379"/>
      <c r="RTD515" s="379"/>
      <c r="RTE515" s="379"/>
      <c r="RTF515" s="379"/>
      <c r="RTG515" s="13"/>
      <c r="RTH515" s="13"/>
      <c r="RTI515" s="193"/>
      <c r="RTJ515" s="379"/>
      <c r="RTK515" s="379"/>
      <c r="RTL515" s="379"/>
      <c r="RTM515" s="379"/>
      <c r="RTN515" s="379"/>
      <c r="RTO515" s="13"/>
      <c r="RTP515" s="13"/>
      <c r="RTQ515" s="193"/>
      <c r="RTR515" s="379"/>
      <c r="RTS515" s="379"/>
      <c r="RTT515" s="379"/>
      <c r="RTU515" s="379"/>
      <c r="RTV515" s="379"/>
      <c r="RTW515" s="13"/>
      <c r="RTX515" s="13"/>
      <c r="RTY515" s="193"/>
      <c r="RTZ515" s="379"/>
      <c r="RUA515" s="379"/>
      <c r="RUB515" s="379"/>
      <c r="RUC515" s="379"/>
      <c r="RUD515" s="379"/>
      <c r="RUE515" s="13"/>
      <c r="RUF515" s="13"/>
      <c r="RUG515" s="193"/>
      <c r="RUH515" s="379"/>
      <c r="RUI515" s="379"/>
      <c r="RUJ515" s="379"/>
      <c r="RUK515" s="379"/>
      <c r="RUL515" s="379"/>
      <c r="RUM515" s="13"/>
      <c r="RUN515" s="13"/>
      <c r="RUO515" s="193"/>
      <c r="RUP515" s="379"/>
      <c r="RUQ515" s="379"/>
      <c r="RUR515" s="379"/>
      <c r="RUS515" s="379"/>
      <c r="RUT515" s="379"/>
      <c r="RUU515" s="13"/>
      <c r="RUV515" s="13"/>
      <c r="RUW515" s="193"/>
      <c r="RUX515" s="379"/>
      <c r="RUY515" s="379"/>
      <c r="RUZ515" s="379"/>
      <c r="RVA515" s="379"/>
      <c r="RVB515" s="379"/>
      <c r="RVC515" s="13"/>
      <c r="RVD515" s="13"/>
      <c r="RVE515" s="193"/>
      <c r="RVF515" s="379"/>
      <c r="RVG515" s="379"/>
      <c r="RVH515" s="379"/>
      <c r="RVI515" s="379"/>
      <c r="RVJ515" s="379"/>
      <c r="RVK515" s="13"/>
      <c r="RVL515" s="13"/>
      <c r="RVM515" s="193"/>
      <c r="RVN515" s="379"/>
      <c r="RVO515" s="379"/>
      <c r="RVP515" s="379"/>
      <c r="RVQ515" s="379"/>
      <c r="RVR515" s="379"/>
      <c r="RVS515" s="13"/>
      <c r="RVT515" s="13"/>
      <c r="RVU515" s="193"/>
      <c r="RVV515" s="379"/>
      <c r="RVW515" s="379"/>
      <c r="RVX515" s="379"/>
      <c r="RVY515" s="379"/>
      <c r="RVZ515" s="379"/>
      <c r="RWA515" s="13"/>
      <c r="RWB515" s="13"/>
      <c r="RWC515" s="193"/>
      <c r="RWD515" s="379"/>
      <c r="RWE515" s="379"/>
      <c r="RWF515" s="379"/>
      <c r="RWG515" s="379"/>
      <c r="RWH515" s="379"/>
      <c r="RWI515" s="13"/>
      <c r="RWJ515" s="13"/>
      <c r="RWK515" s="193"/>
      <c r="RWL515" s="379"/>
      <c r="RWM515" s="379"/>
      <c r="RWN515" s="379"/>
      <c r="RWO515" s="379"/>
      <c r="RWP515" s="379"/>
      <c r="RWQ515" s="13"/>
      <c r="RWR515" s="13"/>
      <c r="RWS515" s="193"/>
      <c r="RWT515" s="379"/>
      <c r="RWU515" s="379"/>
      <c r="RWV515" s="379"/>
      <c r="RWW515" s="379"/>
      <c r="RWX515" s="379"/>
      <c r="RWY515" s="13"/>
      <c r="RWZ515" s="13"/>
      <c r="RXA515" s="193"/>
      <c r="RXB515" s="379"/>
      <c r="RXC515" s="379"/>
      <c r="RXD515" s="379"/>
      <c r="RXE515" s="379"/>
      <c r="RXF515" s="379"/>
      <c r="RXG515" s="13"/>
      <c r="RXH515" s="13"/>
      <c r="RXI515" s="193"/>
      <c r="RXJ515" s="379"/>
      <c r="RXK515" s="379"/>
      <c r="RXL515" s="379"/>
      <c r="RXM515" s="379"/>
      <c r="RXN515" s="379"/>
      <c r="RXO515" s="13"/>
      <c r="RXP515" s="13"/>
      <c r="RXQ515" s="193"/>
      <c r="RXR515" s="379"/>
      <c r="RXS515" s="379"/>
      <c r="RXT515" s="379"/>
      <c r="RXU515" s="379"/>
      <c r="RXV515" s="379"/>
      <c r="RXW515" s="13"/>
      <c r="RXX515" s="13"/>
      <c r="RXY515" s="193"/>
      <c r="RXZ515" s="379"/>
      <c r="RYA515" s="379"/>
      <c r="RYB515" s="379"/>
      <c r="RYC515" s="379"/>
      <c r="RYD515" s="379"/>
      <c r="RYE515" s="13"/>
      <c r="RYF515" s="13"/>
      <c r="RYG515" s="193"/>
      <c r="RYH515" s="379"/>
      <c r="RYI515" s="379"/>
      <c r="RYJ515" s="379"/>
      <c r="RYK515" s="379"/>
      <c r="RYL515" s="379"/>
      <c r="RYM515" s="13"/>
      <c r="RYN515" s="13"/>
      <c r="RYO515" s="193"/>
      <c r="RYP515" s="379"/>
      <c r="RYQ515" s="379"/>
      <c r="RYR515" s="379"/>
      <c r="RYS515" s="379"/>
      <c r="RYT515" s="379"/>
      <c r="RYU515" s="13"/>
      <c r="RYV515" s="13"/>
      <c r="RYW515" s="193"/>
      <c r="RYX515" s="379"/>
      <c r="RYY515" s="379"/>
      <c r="RYZ515" s="379"/>
      <c r="RZA515" s="379"/>
      <c r="RZB515" s="379"/>
      <c r="RZC515" s="13"/>
      <c r="RZD515" s="13"/>
      <c r="RZE515" s="193"/>
      <c r="RZF515" s="379"/>
      <c r="RZG515" s="379"/>
      <c r="RZH515" s="379"/>
      <c r="RZI515" s="379"/>
      <c r="RZJ515" s="379"/>
      <c r="RZK515" s="13"/>
      <c r="RZL515" s="13"/>
      <c r="RZM515" s="193"/>
      <c r="RZN515" s="379"/>
      <c r="RZO515" s="379"/>
      <c r="RZP515" s="379"/>
      <c r="RZQ515" s="379"/>
      <c r="RZR515" s="379"/>
      <c r="RZS515" s="13"/>
      <c r="RZT515" s="13"/>
      <c r="RZU515" s="193"/>
      <c r="RZV515" s="379"/>
      <c r="RZW515" s="379"/>
      <c r="RZX515" s="379"/>
      <c r="RZY515" s="379"/>
      <c r="RZZ515" s="379"/>
      <c r="SAA515" s="13"/>
      <c r="SAB515" s="13"/>
      <c r="SAC515" s="193"/>
      <c r="SAD515" s="379"/>
      <c r="SAE515" s="379"/>
      <c r="SAF515" s="379"/>
      <c r="SAG515" s="379"/>
      <c r="SAH515" s="379"/>
      <c r="SAI515" s="13"/>
      <c r="SAJ515" s="13"/>
      <c r="SAK515" s="193"/>
      <c r="SAL515" s="379"/>
      <c r="SAM515" s="379"/>
      <c r="SAN515" s="379"/>
      <c r="SAO515" s="379"/>
      <c r="SAP515" s="379"/>
      <c r="SAQ515" s="13"/>
      <c r="SAR515" s="13"/>
      <c r="SAS515" s="193"/>
      <c r="SAT515" s="379"/>
      <c r="SAU515" s="379"/>
      <c r="SAV515" s="379"/>
      <c r="SAW515" s="379"/>
      <c r="SAX515" s="379"/>
      <c r="SAY515" s="13"/>
      <c r="SAZ515" s="13"/>
      <c r="SBA515" s="193"/>
      <c r="SBB515" s="379"/>
      <c r="SBC515" s="379"/>
      <c r="SBD515" s="379"/>
      <c r="SBE515" s="379"/>
      <c r="SBF515" s="379"/>
      <c r="SBG515" s="13"/>
      <c r="SBH515" s="13"/>
      <c r="SBI515" s="193"/>
      <c r="SBJ515" s="379"/>
      <c r="SBK515" s="379"/>
      <c r="SBL515" s="379"/>
      <c r="SBM515" s="379"/>
      <c r="SBN515" s="379"/>
      <c r="SBO515" s="13"/>
      <c r="SBP515" s="13"/>
      <c r="SBQ515" s="193"/>
      <c r="SBR515" s="379"/>
      <c r="SBS515" s="379"/>
      <c r="SBT515" s="379"/>
      <c r="SBU515" s="379"/>
      <c r="SBV515" s="379"/>
      <c r="SBW515" s="13"/>
      <c r="SBX515" s="13"/>
      <c r="SBY515" s="193"/>
      <c r="SBZ515" s="379"/>
      <c r="SCA515" s="379"/>
      <c r="SCB515" s="379"/>
      <c r="SCC515" s="379"/>
      <c r="SCD515" s="379"/>
      <c r="SCE515" s="13"/>
      <c r="SCF515" s="13"/>
      <c r="SCG515" s="193"/>
      <c r="SCH515" s="379"/>
      <c r="SCI515" s="379"/>
      <c r="SCJ515" s="379"/>
      <c r="SCK515" s="379"/>
      <c r="SCL515" s="379"/>
      <c r="SCM515" s="13"/>
      <c r="SCN515" s="13"/>
      <c r="SCO515" s="193"/>
      <c r="SCP515" s="379"/>
      <c r="SCQ515" s="379"/>
      <c r="SCR515" s="379"/>
      <c r="SCS515" s="379"/>
      <c r="SCT515" s="379"/>
      <c r="SCU515" s="13"/>
      <c r="SCV515" s="13"/>
      <c r="SCW515" s="193"/>
      <c r="SCX515" s="379"/>
      <c r="SCY515" s="379"/>
      <c r="SCZ515" s="379"/>
      <c r="SDA515" s="379"/>
      <c r="SDB515" s="379"/>
      <c r="SDC515" s="13"/>
      <c r="SDD515" s="13"/>
      <c r="SDE515" s="193"/>
      <c r="SDF515" s="379"/>
      <c r="SDG515" s="379"/>
      <c r="SDH515" s="379"/>
      <c r="SDI515" s="379"/>
      <c r="SDJ515" s="379"/>
      <c r="SDK515" s="13"/>
      <c r="SDL515" s="13"/>
      <c r="SDM515" s="193"/>
      <c r="SDN515" s="379"/>
      <c r="SDO515" s="379"/>
      <c r="SDP515" s="379"/>
      <c r="SDQ515" s="379"/>
      <c r="SDR515" s="379"/>
      <c r="SDS515" s="13"/>
      <c r="SDT515" s="13"/>
      <c r="SDU515" s="193"/>
      <c r="SDV515" s="379"/>
      <c r="SDW515" s="379"/>
      <c r="SDX515" s="379"/>
      <c r="SDY515" s="379"/>
      <c r="SDZ515" s="379"/>
      <c r="SEA515" s="13"/>
      <c r="SEB515" s="13"/>
      <c r="SEC515" s="193"/>
      <c r="SED515" s="379"/>
      <c r="SEE515" s="379"/>
      <c r="SEF515" s="379"/>
      <c r="SEG515" s="379"/>
      <c r="SEH515" s="379"/>
      <c r="SEI515" s="13"/>
      <c r="SEJ515" s="13"/>
      <c r="SEK515" s="193"/>
      <c r="SEL515" s="379"/>
      <c r="SEM515" s="379"/>
      <c r="SEN515" s="379"/>
      <c r="SEO515" s="379"/>
      <c r="SEP515" s="379"/>
      <c r="SEQ515" s="13"/>
      <c r="SER515" s="13"/>
      <c r="SES515" s="193"/>
      <c r="SET515" s="379"/>
      <c r="SEU515" s="379"/>
      <c r="SEV515" s="379"/>
      <c r="SEW515" s="379"/>
      <c r="SEX515" s="379"/>
      <c r="SEY515" s="13"/>
      <c r="SEZ515" s="13"/>
      <c r="SFA515" s="193"/>
      <c r="SFB515" s="379"/>
      <c r="SFC515" s="379"/>
      <c r="SFD515" s="379"/>
      <c r="SFE515" s="379"/>
      <c r="SFF515" s="379"/>
      <c r="SFG515" s="13"/>
      <c r="SFH515" s="13"/>
      <c r="SFI515" s="193"/>
      <c r="SFJ515" s="379"/>
      <c r="SFK515" s="379"/>
      <c r="SFL515" s="379"/>
      <c r="SFM515" s="379"/>
      <c r="SFN515" s="379"/>
      <c r="SFO515" s="13"/>
      <c r="SFP515" s="13"/>
      <c r="SFQ515" s="193"/>
      <c r="SFR515" s="379"/>
      <c r="SFS515" s="379"/>
      <c r="SFT515" s="379"/>
      <c r="SFU515" s="379"/>
      <c r="SFV515" s="379"/>
      <c r="SFW515" s="13"/>
      <c r="SFX515" s="13"/>
      <c r="SFY515" s="193"/>
      <c r="SFZ515" s="379"/>
      <c r="SGA515" s="379"/>
      <c r="SGB515" s="379"/>
      <c r="SGC515" s="379"/>
      <c r="SGD515" s="379"/>
      <c r="SGE515" s="13"/>
      <c r="SGF515" s="13"/>
      <c r="SGG515" s="193"/>
      <c r="SGH515" s="379"/>
      <c r="SGI515" s="379"/>
      <c r="SGJ515" s="379"/>
      <c r="SGK515" s="379"/>
      <c r="SGL515" s="379"/>
      <c r="SGM515" s="13"/>
      <c r="SGN515" s="13"/>
      <c r="SGO515" s="193"/>
      <c r="SGP515" s="379"/>
      <c r="SGQ515" s="379"/>
      <c r="SGR515" s="379"/>
      <c r="SGS515" s="379"/>
      <c r="SGT515" s="379"/>
      <c r="SGU515" s="13"/>
      <c r="SGV515" s="13"/>
      <c r="SGW515" s="193"/>
      <c r="SGX515" s="379"/>
      <c r="SGY515" s="379"/>
      <c r="SGZ515" s="379"/>
      <c r="SHA515" s="379"/>
      <c r="SHB515" s="379"/>
      <c r="SHC515" s="13"/>
      <c r="SHD515" s="13"/>
      <c r="SHE515" s="193"/>
      <c r="SHF515" s="379"/>
      <c r="SHG515" s="379"/>
      <c r="SHH515" s="379"/>
      <c r="SHI515" s="379"/>
      <c r="SHJ515" s="379"/>
      <c r="SHK515" s="13"/>
      <c r="SHL515" s="13"/>
      <c r="SHM515" s="193"/>
      <c r="SHN515" s="379"/>
      <c r="SHO515" s="379"/>
      <c r="SHP515" s="379"/>
      <c r="SHQ515" s="379"/>
      <c r="SHR515" s="379"/>
      <c r="SHS515" s="13"/>
      <c r="SHT515" s="13"/>
      <c r="SHU515" s="193"/>
      <c r="SHV515" s="379"/>
      <c r="SHW515" s="379"/>
      <c r="SHX515" s="379"/>
      <c r="SHY515" s="379"/>
      <c r="SHZ515" s="379"/>
      <c r="SIA515" s="13"/>
      <c r="SIB515" s="13"/>
      <c r="SIC515" s="193"/>
      <c r="SID515" s="379"/>
      <c r="SIE515" s="379"/>
      <c r="SIF515" s="379"/>
      <c r="SIG515" s="379"/>
      <c r="SIH515" s="379"/>
      <c r="SII515" s="13"/>
      <c r="SIJ515" s="13"/>
      <c r="SIK515" s="193"/>
      <c r="SIL515" s="379"/>
      <c r="SIM515" s="379"/>
      <c r="SIN515" s="379"/>
      <c r="SIO515" s="379"/>
      <c r="SIP515" s="379"/>
      <c r="SIQ515" s="13"/>
      <c r="SIR515" s="13"/>
      <c r="SIS515" s="193"/>
      <c r="SIT515" s="379"/>
      <c r="SIU515" s="379"/>
      <c r="SIV515" s="379"/>
      <c r="SIW515" s="379"/>
      <c r="SIX515" s="379"/>
      <c r="SIY515" s="13"/>
      <c r="SIZ515" s="13"/>
      <c r="SJA515" s="193"/>
      <c r="SJB515" s="379"/>
      <c r="SJC515" s="379"/>
      <c r="SJD515" s="379"/>
      <c r="SJE515" s="379"/>
      <c r="SJF515" s="379"/>
      <c r="SJG515" s="13"/>
      <c r="SJH515" s="13"/>
      <c r="SJI515" s="193"/>
      <c r="SJJ515" s="379"/>
      <c r="SJK515" s="379"/>
      <c r="SJL515" s="379"/>
      <c r="SJM515" s="379"/>
      <c r="SJN515" s="379"/>
      <c r="SJO515" s="13"/>
      <c r="SJP515" s="13"/>
      <c r="SJQ515" s="193"/>
      <c r="SJR515" s="379"/>
      <c r="SJS515" s="379"/>
      <c r="SJT515" s="379"/>
      <c r="SJU515" s="379"/>
      <c r="SJV515" s="379"/>
      <c r="SJW515" s="13"/>
      <c r="SJX515" s="13"/>
      <c r="SJY515" s="193"/>
      <c r="SJZ515" s="379"/>
      <c r="SKA515" s="379"/>
      <c r="SKB515" s="379"/>
      <c r="SKC515" s="379"/>
      <c r="SKD515" s="379"/>
      <c r="SKE515" s="13"/>
      <c r="SKF515" s="13"/>
      <c r="SKG515" s="193"/>
      <c r="SKH515" s="379"/>
      <c r="SKI515" s="379"/>
      <c r="SKJ515" s="379"/>
      <c r="SKK515" s="379"/>
      <c r="SKL515" s="379"/>
      <c r="SKM515" s="13"/>
      <c r="SKN515" s="13"/>
      <c r="SKO515" s="193"/>
      <c r="SKP515" s="379"/>
      <c r="SKQ515" s="379"/>
      <c r="SKR515" s="379"/>
      <c r="SKS515" s="379"/>
      <c r="SKT515" s="379"/>
      <c r="SKU515" s="13"/>
      <c r="SKV515" s="13"/>
      <c r="SKW515" s="193"/>
      <c r="SKX515" s="379"/>
      <c r="SKY515" s="379"/>
      <c r="SKZ515" s="379"/>
      <c r="SLA515" s="379"/>
      <c r="SLB515" s="379"/>
      <c r="SLC515" s="13"/>
      <c r="SLD515" s="13"/>
      <c r="SLE515" s="193"/>
      <c r="SLF515" s="379"/>
      <c r="SLG515" s="379"/>
      <c r="SLH515" s="379"/>
      <c r="SLI515" s="379"/>
      <c r="SLJ515" s="379"/>
      <c r="SLK515" s="13"/>
      <c r="SLL515" s="13"/>
      <c r="SLM515" s="193"/>
      <c r="SLN515" s="379"/>
      <c r="SLO515" s="379"/>
      <c r="SLP515" s="379"/>
      <c r="SLQ515" s="379"/>
      <c r="SLR515" s="379"/>
      <c r="SLS515" s="13"/>
      <c r="SLT515" s="13"/>
      <c r="SLU515" s="193"/>
      <c r="SLV515" s="379"/>
      <c r="SLW515" s="379"/>
      <c r="SLX515" s="379"/>
      <c r="SLY515" s="379"/>
      <c r="SLZ515" s="379"/>
      <c r="SMA515" s="13"/>
      <c r="SMB515" s="13"/>
      <c r="SMC515" s="193"/>
      <c r="SMD515" s="379"/>
      <c r="SME515" s="379"/>
      <c r="SMF515" s="379"/>
      <c r="SMG515" s="379"/>
      <c r="SMH515" s="379"/>
      <c r="SMI515" s="13"/>
      <c r="SMJ515" s="13"/>
      <c r="SMK515" s="193"/>
      <c r="SML515" s="379"/>
      <c r="SMM515" s="379"/>
      <c r="SMN515" s="379"/>
      <c r="SMO515" s="379"/>
      <c r="SMP515" s="379"/>
      <c r="SMQ515" s="13"/>
      <c r="SMR515" s="13"/>
      <c r="SMS515" s="193"/>
      <c r="SMT515" s="379"/>
      <c r="SMU515" s="379"/>
      <c r="SMV515" s="379"/>
      <c r="SMW515" s="379"/>
      <c r="SMX515" s="379"/>
      <c r="SMY515" s="13"/>
      <c r="SMZ515" s="13"/>
      <c r="SNA515" s="193"/>
      <c r="SNB515" s="379"/>
      <c r="SNC515" s="379"/>
      <c r="SND515" s="379"/>
      <c r="SNE515" s="379"/>
      <c r="SNF515" s="379"/>
      <c r="SNG515" s="13"/>
      <c r="SNH515" s="13"/>
      <c r="SNI515" s="193"/>
      <c r="SNJ515" s="379"/>
      <c r="SNK515" s="379"/>
      <c r="SNL515" s="379"/>
      <c r="SNM515" s="379"/>
      <c r="SNN515" s="379"/>
      <c r="SNO515" s="13"/>
      <c r="SNP515" s="13"/>
      <c r="SNQ515" s="193"/>
      <c r="SNR515" s="379"/>
      <c r="SNS515" s="379"/>
      <c r="SNT515" s="379"/>
      <c r="SNU515" s="379"/>
      <c r="SNV515" s="379"/>
      <c r="SNW515" s="13"/>
      <c r="SNX515" s="13"/>
      <c r="SNY515" s="193"/>
      <c r="SNZ515" s="379"/>
      <c r="SOA515" s="379"/>
      <c r="SOB515" s="379"/>
      <c r="SOC515" s="379"/>
      <c r="SOD515" s="379"/>
      <c r="SOE515" s="13"/>
      <c r="SOF515" s="13"/>
      <c r="SOG515" s="193"/>
      <c r="SOH515" s="379"/>
      <c r="SOI515" s="379"/>
      <c r="SOJ515" s="379"/>
      <c r="SOK515" s="379"/>
      <c r="SOL515" s="379"/>
      <c r="SOM515" s="13"/>
      <c r="SON515" s="13"/>
      <c r="SOO515" s="193"/>
      <c r="SOP515" s="379"/>
      <c r="SOQ515" s="379"/>
      <c r="SOR515" s="379"/>
      <c r="SOS515" s="379"/>
      <c r="SOT515" s="379"/>
      <c r="SOU515" s="13"/>
      <c r="SOV515" s="13"/>
      <c r="SOW515" s="193"/>
      <c r="SOX515" s="379"/>
      <c r="SOY515" s="379"/>
      <c r="SOZ515" s="379"/>
      <c r="SPA515" s="379"/>
      <c r="SPB515" s="379"/>
      <c r="SPC515" s="13"/>
      <c r="SPD515" s="13"/>
      <c r="SPE515" s="193"/>
      <c r="SPF515" s="379"/>
      <c r="SPG515" s="379"/>
      <c r="SPH515" s="379"/>
      <c r="SPI515" s="379"/>
      <c r="SPJ515" s="379"/>
      <c r="SPK515" s="13"/>
      <c r="SPL515" s="13"/>
      <c r="SPM515" s="193"/>
      <c r="SPN515" s="379"/>
      <c r="SPO515" s="379"/>
      <c r="SPP515" s="379"/>
      <c r="SPQ515" s="379"/>
      <c r="SPR515" s="379"/>
      <c r="SPS515" s="13"/>
      <c r="SPT515" s="13"/>
      <c r="SPU515" s="193"/>
      <c r="SPV515" s="379"/>
      <c r="SPW515" s="379"/>
      <c r="SPX515" s="379"/>
      <c r="SPY515" s="379"/>
      <c r="SPZ515" s="379"/>
      <c r="SQA515" s="13"/>
      <c r="SQB515" s="13"/>
      <c r="SQC515" s="193"/>
      <c r="SQD515" s="379"/>
      <c r="SQE515" s="379"/>
      <c r="SQF515" s="379"/>
      <c r="SQG515" s="379"/>
      <c r="SQH515" s="379"/>
      <c r="SQI515" s="13"/>
      <c r="SQJ515" s="13"/>
      <c r="SQK515" s="193"/>
      <c r="SQL515" s="379"/>
      <c r="SQM515" s="379"/>
      <c r="SQN515" s="379"/>
      <c r="SQO515" s="379"/>
      <c r="SQP515" s="379"/>
      <c r="SQQ515" s="13"/>
      <c r="SQR515" s="13"/>
      <c r="SQS515" s="193"/>
      <c r="SQT515" s="379"/>
      <c r="SQU515" s="379"/>
      <c r="SQV515" s="379"/>
      <c r="SQW515" s="379"/>
      <c r="SQX515" s="379"/>
      <c r="SQY515" s="13"/>
      <c r="SQZ515" s="13"/>
      <c r="SRA515" s="193"/>
      <c r="SRB515" s="379"/>
      <c r="SRC515" s="379"/>
      <c r="SRD515" s="379"/>
      <c r="SRE515" s="379"/>
      <c r="SRF515" s="379"/>
      <c r="SRG515" s="13"/>
      <c r="SRH515" s="13"/>
      <c r="SRI515" s="193"/>
      <c r="SRJ515" s="379"/>
      <c r="SRK515" s="379"/>
      <c r="SRL515" s="379"/>
      <c r="SRM515" s="379"/>
      <c r="SRN515" s="379"/>
      <c r="SRO515" s="13"/>
      <c r="SRP515" s="13"/>
      <c r="SRQ515" s="193"/>
      <c r="SRR515" s="379"/>
      <c r="SRS515" s="379"/>
      <c r="SRT515" s="379"/>
      <c r="SRU515" s="379"/>
      <c r="SRV515" s="379"/>
      <c r="SRW515" s="13"/>
      <c r="SRX515" s="13"/>
      <c r="SRY515" s="193"/>
      <c r="SRZ515" s="379"/>
      <c r="SSA515" s="379"/>
      <c r="SSB515" s="379"/>
      <c r="SSC515" s="379"/>
      <c r="SSD515" s="379"/>
      <c r="SSE515" s="13"/>
      <c r="SSF515" s="13"/>
      <c r="SSG515" s="193"/>
      <c r="SSH515" s="379"/>
      <c r="SSI515" s="379"/>
      <c r="SSJ515" s="379"/>
      <c r="SSK515" s="379"/>
      <c r="SSL515" s="379"/>
      <c r="SSM515" s="13"/>
      <c r="SSN515" s="13"/>
      <c r="SSO515" s="193"/>
      <c r="SSP515" s="379"/>
      <c r="SSQ515" s="379"/>
      <c r="SSR515" s="379"/>
      <c r="SSS515" s="379"/>
      <c r="SST515" s="379"/>
      <c r="SSU515" s="13"/>
      <c r="SSV515" s="13"/>
      <c r="SSW515" s="193"/>
      <c r="SSX515" s="379"/>
      <c r="SSY515" s="379"/>
      <c r="SSZ515" s="379"/>
      <c r="STA515" s="379"/>
      <c r="STB515" s="379"/>
      <c r="STC515" s="13"/>
      <c r="STD515" s="13"/>
      <c r="STE515" s="193"/>
      <c r="STF515" s="379"/>
      <c r="STG515" s="379"/>
      <c r="STH515" s="379"/>
      <c r="STI515" s="379"/>
      <c r="STJ515" s="379"/>
      <c r="STK515" s="13"/>
      <c r="STL515" s="13"/>
      <c r="STM515" s="193"/>
      <c r="STN515" s="379"/>
      <c r="STO515" s="379"/>
      <c r="STP515" s="379"/>
      <c r="STQ515" s="379"/>
      <c r="STR515" s="379"/>
      <c r="STS515" s="13"/>
      <c r="STT515" s="13"/>
      <c r="STU515" s="193"/>
      <c r="STV515" s="379"/>
      <c r="STW515" s="379"/>
      <c r="STX515" s="379"/>
      <c r="STY515" s="379"/>
      <c r="STZ515" s="379"/>
      <c r="SUA515" s="13"/>
      <c r="SUB515" s="13"/>
      <c r="SUC515" s="193"/>
      <c r="SUD515" s="379"/>
      <c r="SUE515" s="379"/>
      <c r="SUF515" s="379"/>
      <c r="SUG515" s="379"/>
      <c r="SUH515" s="379"/>
      <c r="SUI515" s="13"/>
      <c r="SUJ515" s="13"/>
      <c r="SUK515" s="193"/>
      <c r="SUL515" s="379"/>
      <c r="SUM515" s="379"/>
      <c r="SUN515" s="379"/>
      <c r="SUO515" s="379"/>
      <c r="SUP515" s="379"/>
      <c r="SUQ515" s="13"/>
      <c r="SUR515" s="13"/>
      <c r="SUS515" s="193"/>
      <c r="SUT515" s="379"/>
      <c r="SUU515" s="379"/>
      <c r="SUV515" s="379"/>
      <c r="SUW515" s="379"/>
      <c r="SUX515" s="379"/>
      <c r="SUY515" s="13"/>
      <c r="SUZ515" s="13"/>
      <c r="SVA515" s="193"/>
      <c r="SVB515" s="379"/>
      <c r="SVC515" s="379"/>
      <c r="SVD515" s="379"/>
      <c r="SVE515" s="379"/>
      <c r="SVF515" s="379"/>
      <c r="SVG515" s="13"/>
      <c r="SVH515" s="13"/>
      <c r="SVI515" s="193"/>
      <c r="SVJ515" s="379"/>
      <c r="SVK515" s="379"/>
      <c r="SVL515" s="379"/>
      <c r="SVM515" s="379"/>
      <c r="SVN515" s="379"/>
      <c r="SVO515" s="13"/>
      <c r="SVP515" s="13"/>
      <c r="SVQ515" s="193"/>
      <c r="SVR515" s="379"/>
      <c r="SVS515" s="379"/>
      <c r="SVT515" s="379"/>
      <c r="SVU515" s="379"/>
      <c r="SVV515" s="379"/>
      <c r="SVW515" s="13"/>
      <c r="SVX515" s="13"/>
      <c r="SVY515" s="193"/>
      <c r="SVZ515" s="379"/>
      <c r="SWA515" s="379"/>
      <c r="SWB515" s="379"/>
      <c r="SWC515" s="379"/>
      <c r="SWD515" s="379"/>
      <c r="SWE515" s="13"/>
      <c r="SWF515" s="13"/>
      <c r="SWG515" s="193"/>
      <c r="SWH515" s="379"/>
      <c r="SWI515" s="379"/>
      <c r="SWJ515" s="379"/>
      <c r="SWK515" s="379"/>
      <c r="SWL515" s="379"/>
      <c r="SWM515" s="13"/>
      <c r="SWN515" s="13"/>
      <c r="SWO515" s="193"/>
      <c r="SWP515" s="379"/>
      <c r="SWQ515" s="379"/>
      <c r="SWR515" s="379"/>
      <c r="SWS515" s="379"/>
      <c r="SWT515" s="379"/>
      <c r="SWU515" s="13"/>
      <c r="SWV515" s="13"/>
      <c r="SWW515" s="193"/>
      <c r="SWX515" s="379"/>
      <c r="SWY515" s="379"/>
      <c r="SWZ515" s="379"/>
      <c r="SXA515" s="379"/>
      <c r="SXB515" s="379"/>
      <c r="SXC515" s="13"/>
      <c r="SXD515" s="13"/>
      <c r="SXE515" s="193"/>
      <c r="SXF515" s="379"/>
      <c r="SXG515" s="379"/>
      <c r="SXH515" s="379"/>
      <c r="SXI515" s="379"/>
      <c r="SXJ515" s="379"/>
      <c r="SXK515" s="13"/>
      <c r="SXL515" s="13"/>
      <c r="SXM515" s="193"/>
      <c r="SXN515" s="379"/>
      <c r="SXO515" s="379"/>
      <c r="SXP515" s="379"/>
      <c r="SXQ515" s="379"/>
      <c r="SXR515" s="379"/>
      <c r="SXS515" s="13"/>
      <c r="SXT515" s="13"/>
      <c r="SXU515" s="193"/>
      <c r="SXV515" s="379"/>
      <c r="SXW515" s="379"/>
      <c r="SXX515" s="379"/>
      <c r="SXY515" s="379"/>
      <c r="SXZ515" s="379"/>
      <c r="SYA515" s="13"/>
      <c r="SYB515" s="13"/>
      <c r="SYC515" s="193"/>
      <c r="SYD515" s="379"/>
      <c r="SYE515" s="379"/>
      <c r="SYF515" s="379"/>
      <c r="SYG515" s="379"/>
      <c r="SYH515" s="379"/>
      <c r="SYI515" s="13"/>
      <c r="SYJ515" s="13"/>
      <c r="SYK515" s="193"/>
      <c r="SYL515" s="379"/>
      <c r="SYM515" s="379"/>
      <c r="SYN515" s="379"/>
      <c r="SYO515" s="379"/>
      <c r="SYP515" s="379"/>
      <c r="SYQ515" s="13"/>
      <c r="SYR515" s="13"/>
      <c r="SYS515" s="193"/>
      <c r="SYT515" s="379"/>
      <c r="SYU515" s="379"/>
      <c r="SYV515" s="379"/>
      <c r="SYW515" s="379"/>
      <c r="SYX515" s="379"/>
      <c r="SYY515" s="13"/>
      <c r="SYZ515" s="13"/>
      <c r="SZA515" s="193"/>
      <c r="SZB515" s="379"/>
      <c r="SZC515" s="379"/>
      <c r="SZD515" s="379"/>
      <c r="SZE515" s="379"/>
      <c r="SZF515" s="379"/>
      <c r="SZG515" s="13"/>
      <c r="SZH515" s="13"/>
      <c r="SZI515" s="193"/>
      <c r="SZJ515" s="379"/>
      <c r="SZK515" s="379"/>
      <c r="SZL515" s="379"/>
      <c r="SZM515" s="379"/>
      <c r="SZN515" s="379"/>
      <c r="SZO515" s="13"/>
      <c r="SZP515" s="13"/>
      <c r="SZQ515" s="193"/>
      <c r="SZR515" s="379"/>
      <c r="SZS515" s="379"/>
      <c r="SZT515" s="379"/>
      <c r="SZU515" s="379"/>
      <c r="SZV515" s="379"/>
      <c r="SZW515" s="13"/>
      <c r="SZX515" s="13"/>
      <c r="SZY515" s="193"/>
      <c r="SZZ515" s="379"/>
      <c r="TAA515" s="379"/>
      <c r="TAB515" s="379"/>
      <c r="TAC515" s="379"/>
      <c r="TAD515" s="379"/>
      <c r="TAE515" s="13"/>
      <c r="TAF515" s="13"/>
      <c r="TAG515" s="193"/>
      <c r="TAH515" s="379"/>
      <c r="TAI515" s="379"/>
      <c r="TAJ515" s="379"/>
      <c r="TAK515" s="379"/>
      <c r="TAL515" s="379"/>
      <c r="TAM515" s="13"/>
      <c r="TAN515" s="13"/>
      <c r="TAO515" s="193"/>
      <c r="TAP515" s="379"/>
      <c r="TAQ515" s="379"/>
      <c r="TAR515" s="379"/>
      <c r="TAS515" s="379"/>
      <c r="TAT515" s="379"/>
      <c r="TAU515" s="13"/>
      <c r="TAV515" s="13"/>
      <c r="TAW515" s="193"/>
      <c r="TAX515" s="379"/>
      <c r="TAY515" s="379"/>
      <c r="TAZ515" s="379"/>
      <c r="TBA515" s="379"/>
      <c r="TBB515" s="379"/>
      <c r="TBC515" s="13"/>
      <c r="TBD515" s="13"/>
      <c r="TBE515" s="193"/>
      <c r="TBF515" s="379"/>
      <c r="TBG515" s="379"/>
      <c r="TBH515" s="379"/>
      <c r="TBI515" s="379"/>
      <c r="TBJ515" s="379"/>
      <c r="TBK515" s="13"/>
      <c r="TBL515" s="13"/>
      <c r="TBM515" s="193"/>
      <c r="TBN515" s="379"/>
      <c r="TBO515" s="379"/>
      <c r="TBP515" s="379"/>
      <c r="TBQ515" s="379"/>
      <c r="TBR515" s="379"/>
      <c r="TBS515" s="13"/>
      <c r="TBT515" s="13"/>
      <c r="TBU515" s="193"/>
      <c r="TBV515" s="379"/>
      <c r="TBW515" s="379"/>
      <c r="TBX515" s="379"/>
      <c r="TBY515" s="379"/>
      <c r="TBZ515" s="379"/>
      <c r="TCA515" s="13"/>
      <c r="TCB515" s="13"/>
      <c r="TCC515" s="193"/>
      <c r="TCD515" s="379"/>
      <c r="TCE515" s="379"/>
      <c r="TCF515" s="379"/>
      <c r="TCG515" s="379"/>
      <c r="TCH515" s="379"/>
      <c r="TCI515" s="13"/>
      <c r="TCJ515" s="13"/>
      <c r="TCK515" s="193"/>
      <c r="TCL515" s="379"/>
      <c r="TCM515" s="379"/>
      <c r="TCN515" s="379"/>
      <c r="TCO515" s="379"/>
      <c r="TCP515" s="379"/>
      <c r="TCQ515" s="13"/>
      <c r="TCR515" s="13"/>
      <c r="TCS515" s="193"/>
      <c r="TCT515" s="379"/>
      <c r="TCU515" s="379"/>
      <c r="TCV515" s="379"/>
      <c r="TCW515" s="379"/>
      <c r="TCX515" s="379"/>
      <c r="TCY515" s="13"/>
      <c r="TCZ515" s="13"/>
      <c r="TDA515" s="193"/>
      <c r="TDB515" s="379"/>
      <c r="TDC515" s="379"/>
      <c r="TDD515" s="379"/>
      <c r="TDE515" s="379"/>
      <c r="TDF515" s="379"/>
      <c r="TDG515" s="13"/>
      <c r="TDH515" s="13"/>
      <c r="TDI515" s="193"/>
      <c r="TDJ515" s="379"/>
      <c r="TDK515" s="379"/>
      <c r="TDL515" s="379"/>
      <c r="TDM515" s="379"/>
      <c r="TDN515" s="379"/>
      <c r="TDO515" s="13"/>
      <c r="TDP515" s="13"/>
      <c r="TDQ515" s="193"/>
      <c r="TDR515" s="379"/>
      <c r="TDS515" s="379"/>
      <c r="TDT515" s="379"/>
      <c r="TDU515" s="379"/>
      <c r="TDV515" s="379"/>
      <c r="TDW515" s="13"/>
      <c r="TDX515" s="13"/>
      <c r="TDY515" s="193"/>
      <c r="TDZ515" s="379"/>
      <c r="TEA515" s="379"/>
      <c r="TEB515" s="379"/>
      <c r="TEC515" s="379"/>
      <c r="TED515" s="379"/>
      <c r="TEE515" s="13"/>
      <c r="TEF515" s="13"/>
      <c r="TEG515" s="193"/>
      <c r="TEH515" s="379"/>
      <c r="TEI515" s="379"/>
      <c r="TEJ515" s="379"/>
      <c r="TEK515" s="379"/>
      <c r="TEL515" s="379"/>
      <c r="TEM515" s="13"/>
      <c r="TEN515" s="13"/>
      <c r="TEO515" s="193"/>
      <c r="TEP515" s="379"/>
      <c r="TEQ515" s="379"/>
      <c r="TER515" s="379"/>
      <c r="TES515" s="379"/>
      <c r="TET515" s="379"/>
      <c r="TEU515" s="13"/>
      <c r="TEV515" s="13"/>
      <c r="TEW515" s="193"/>
      <c r="TEX515" s="379"/>
      <c r="TEY515" s="379"/>
      <c r="TEZ515" s="379"/>
      <c r="TFA515" s="379"/>
      <c r="TFB515" s="379"/>
      <c r="TFC515" s="13"/>
      <c r="TFD515" s="13"/>
      <c r="TFE515" s="193"/>
      <c r="TFF515" s="379"/>
      <c r="TFG515" s="379"/>
      <c r="TFH515" s="379"/>
      <c r="TFI515" s="379"/>
      <c r="TFJ515" s="379"/>
      <c r="TFK515" s="13"/>
      <c r="TFL515" s="13"/>
      <c r="TFM515" s="193"/>
      <c r="TFN515" s="379"/>
      <c r="TFO515" s="379"/>
      <c r="TFP515" s="379"/>
      <c r="TFQ515" s="379"/>
      <c r="TFR515" s="379"/>
      <c r="TFS515" s="13"/>
      <c r="TFT515" s="13"/>
      <c r="TFU515" s="193"/>
      <c r="TFV515" s="379"/>
      <c r="TFW515" s="379"/>
      <c r="TFX515" s="379"/>
      <c r="TFY515" s="379"/>
      <c r="TFZ515" s="379"/>
      <c r="TGA515" s="13"/>
      <c r="TGB515" s="13"/>
      <c r="TGC515" s="193"/>
      <c r="TGD515" s="379"/>
      <c r="TGE515" s="379"/>
      <c r="TGF515" s="379"/>
      <c r="TGG515" s="379"/>
      <c r="TGH515" s="379"/>
      <c r="TGI515" s="13"/>
      <c r="TGJ515" s="13"/>
      <c r="TGK515" s="193"/>
      <c r="TGL515" s="379"/>
      <c r="TGM515" s="379"/>
      <c r="TGN515" s="379"/>
      <c r="TGO515" s="379"/>
      <c r="TGP515" s="379"/>
      <c r="TGQ515" s="13"/>
      <c r="TGR515" s="13"/>
      <c r="TGS515" s="193"/>
      <c r="TGT515" s="379"/>
      <c r="TGU515" s="379"/>
      <c r="TGV515" s="379"/>
      <c r="TGW515" s="379"/>
      <c r="TGX515" s="379"/>
      <c r="TGY515" s="13"/>
      <c r="TGZ515" s="13"/>
      <c r="THA515" s="193"/>
      <c r="THB515" s="379"/>
      <c r="THC515" s="379"/>
      <c r="THD515" s="379"/>
      <c r="THE515" s="379"/>
      <c r="THF515" s="379"/>
      <c r="THG515" s="13"/>
      <c r="THH515" s="13"/>
      <c r="THI515" s="193"/>
      <c r="THJ515" s="379"/>
      <c r="THK515" s="379"/>
      <c r="THL515" s="379"/>
      <c r="THM515" s="379"/>
      <c r="THN515" s="379"/>
      <c r="THO515" s="13"/>
      <c r="THP515" s="13"/>
      <c r="THQ515" s="193"/>
      <c r="THR515" s="379"/>
      <c r="THS515" s="379"/>
      <c r="THT515" s="379"/>
      <c r="THU515" s="379"/>
      <c r="THV515" s="379"/>
      <c r="THW515" s="13"/>
      <c r="THX515" s="13"/>
      <c r="THY515" s="193"/>
      <c r="THZ515" s="379"/>
      <c r="TIA515" s="379"/>
      <c r="TIB515" s="379"/>
      <c r="TIC515" s="379"/>
      <c r="TID515" s="379"/>
      <c r="TIE515" s="13"/>
      <c r="TIF515" s="13"/>
      <c r="TIG515" s="193"/>
      <c r="TIH515" s="379"/>
      <c r="TII515" s="379"/>
      <c r="TIJ515" s="379"/>
      <c r="TIK515" s="379"/>
      <c r="TIL515" s="379"/>
      <c r="TIM515" s="13"/>
      <c r="TIN515" s="13"/>
      <c r="TIO515" s="193"/>
      <c r="TIP515" s="379"/>
      <c r="TIQ515" s="379"/>
      <c r="TIR515" s="379"/>
      <c r="TIS515" s="379"/>
      <c r="TIT515" s="379"/>
      <c r="TIU515" s="13"/>
      <c r="TIV515" s="13"/>
      <c r="TIW515" s="193"/>
      <c r="TIX515" s="379"/>
      <c r="TIY515" s="379"/>
      <c r="TIZ515" s="379"/>
      <c r="TJA515" s="379"/>
      <c r="TJB515" s="379"/>
      <c r="TJC515" s="13"/>
      <c r="TJD515" s="13"/>
      <c r="TJE515" s="193"/>
      <c r="TJF515" s="379"/>
      <c r="TJG515" s="379"/>
      <c r="TJH515" s="379"/>
      <c r="TJI515" s="379"/>
      <c r="TJJ515" s="379"/>
      <c r="TJK515" s="13"/>
      <c r="TJL515" s="13"/>
      <c r="TJM515" s="193"/>
      <c r="TJN515" s="379"/>
      <c r="TJO515" s="379"/>
      <c r="TJP515" s="379"/>
      <c r="TJQ515" s="379"/>
      <c r="TJR515" s="379"/>
      <c r="TJS515" s="13"/>
      <c r="TJT515" s="13"/>
      <c r="TJU515" s="193"/>
      <c r="TJV515" s="379"/>
      <c r="TJW515" s="379"/>
      <c r="TJX515" s="379"/>
      <c r="TJY515" s="379"/>
      <c r="TJZ515" s="379"/>
      <c r="TKA515" s="13"/>
      <c r="TKB515" s="13"/>
      <c r="TKC515" s="193"/>
      <c r="TKD515" s="379"/>
      <c r="TKE515" s="379"/>
      <c r="TKF515" s="379"/>
      <c r="TKG515" s="379"/>
      <c r="TKH515" s="379"/>
      <c r="TKI515" s="13"/>
      <c r="TKJ515" s="13"/>
      <c r="TKK515" s="193"/>
      <c r="TKL515" s="379"/>
      <c r="TKM515" s="379"/>
      <c r="TKN515" s="379"/>
      <c r="TKO515" s="379"/>
      <c r="TKP515" s="379"/>
      <c r="TKQ515" s="13"/>
      <c r="TKR515" s="13"/>
      <c r="TKS515" s="193"/>
      <c r="TKT515" s="379"/>
      <c r="TKU515" s="379"/>
      <c r="TKV515" s="379"/>
      <c r="TKW515" s="379"/>
      <c r="TKX515" s="379"/>
      <c r="TKY515" s="13"/>
      <c r="TKZ515" s="13"/>
      <c r="TLA515" s="193"/>
      <c r="TLB515" s="379"/>
      <c r="TLC515" s="379"/>
      <c r="TLD515" s="379"/>
      <c r="TLE515" s="379"/>
      <c r="TLF515" s="379"/>
      <c r="TLG515" s="13"/>
      <c r="TLH515" s="13"/>
      <c r="TLI515" s="193"/>
      <c r="TLJ515" s="379"/>
      <c r="TLK515" s="379"/>
      <c r="TLL515" s="379"/>
      <c r="TLM515" s="379"/>
      <c r="TLN515" s="379"/>
      <c r="TLO515" s="13"/>
      <c r="TLP515" s="13"/>
      <c r="TLQ515" s="193"/>
      <c r="TLR515" s="379"/>
      <c r="TLS515" s="379"/>
      <c r="TLT515" s="379"/>
      <c r="TLU515" s="379"/>
      <c r="TLV515" s="379"/>
      <c r="TLW515" s="13"/>
      <c r="TLX515" s="13"/>
      <c r="TLY515" s="193"/>
      <c r="TLZ515" s="379"/>
      <c r="TMA515" s="379"/>
      <c r="TMB515" s="379"/>
      <c r="TMC515" s="379"/>
      <c r="TMD515" s="379"/>
      <c r="TME515" s="13"/>
      <c r="TMF515" s="13"/>
      <c r="TMG515" s="193"/>
      <c r="TMH515" s="379"/>
      <c r="TMI515" s="379"/>
      <c r="TMJ515" s="379"/>
      <c r="TMK515" s="379"/>
      <c r="TML515" s="379"/>
      <c r="TMM515" s="13"/>
      <c r="TMN515" s="13"/>
      <c r="TMO515" s="193"/>
      <c r="TMP515" s="379"/>
      <c r="TMQ515" s="379"/>
      <c r="TMR515" s="379"/>
      <c r="TMS515" s="379"/>
      <c r="TMT515" s="379"/>
      <c r="TMU515" s="13"/>
      <c r="TMV515" s="13"/>
      <c r="TMW515" s="193"/>
      <c r="TMX515" s="379"/>
      <c r="TMY515" s="379"/>
      <c r="TMZ515" s="379"/>
      <c r="TNA515" s="379"/>
      <c r="TNB515" s="379"/>
      <c r="TNC515" s="13"/>
      <c r="TND515" s="13"/>
      <c r="TNE515" s="193"/>
      <c r="TNF515" s="379"/>
      <c r="TNG515" s="379"/>
      <c r="TNH515" s="379"/>
      <c r="TNI515" s="379"/>
      <c r="TNJ515" s="379"/>
      <c r="TNK515" s="13"/>
      <c r="TNL515" s="13"/>
      <c r="TNM515" s="193"/>
      <c r="TNN515" s="379"/>
      <c r="TNO515" s="379"/>
      <c r="TNP515" s="379"/>
      <c r="TNQ515" s="379"/>
      <c r="TNR515" s="379"/>
      <c r="TNS515" s="13"/>
      <c r="TNT515" s="13"/>
      <c r="TNU515" s="193"/>
      <c r="TNV515" s="379"/>
      <c r="TNW515" s="379"/>
      <c r="TNX515" s="379"/>
      <c r="TNY515" s="379"/>
      <c r="TNZ515" s="379"/>
      <c r="TOA515" s="13"/>
      <c r="TOB515" s="13"/>
      <c r="TOC515" s="193"/>
      <c r="TOD515" s="379"/>
      <c r="TOE515" s="379"/>
      <c r="TOF515" s="379"/>
      <c r="TOG515" s="379"/>
      <c r="TOH515" s="379"/>
      <c r="TOI515" s="13"/>
      <c r="TOJ515" s="13"/>
      <c r="TOK515" s="193"/>
      <c r="TOL515" s="379"/>
      <c r="TOM515" s="379"/>
      <c r="TON515" s="379"/>
      <c r="TOO515" s="379"/>
      <c r="TOP515" s="379"/>
      <c r="TOQ515" s="13"/>
      <c r="TOR515" s="13"/>
      <c r="TOS515" s="193"/>
      <c r="TOT515" s="379"/>
      <c r="TOU515" s="379"/>
      <c r="TOV515" s="379"/>
      <c r="TOW515" s="379"/>
      <c r="TOX515" s="379"/>
      <c r="TOY515" s="13"/>
      <c r="TOZ515" s="13"/>
      <c r="TPA515" s="193"/>
      <c r="TPB515" s="379"/>
      <c r="TPC515" s="379"/>
      <c r="TPD515" s="379"/>
      <c r="TPE515" s="379"/>
      <c r="TPF515" s="379"/>
      <c r="TPG515" s="13"/>
      <c r="TPH515" s="13"/>
      <c r="TPI515" s="193"/>
      <c r="TPJ515" s="379"/>
      <c r="TPK515" s="379"/>
      <c r="TPL515" s="379"/>
      <c r="TPM515" s="379"/>
      <c r="TPN515" s="379"/>
      <c r="TPO515" s="13"/>
      <c r="TPP515" s="13"/>
      <c r="TPQ515" s="193"/>
      <c r="TPR515" s="379"/>
      <c r="TPS515" s="379"/>
      <c r="TPT515" s="379"/>
      <c r="TPU515" s="379"/>
      <c r="TPV515" s="379"/>
      <c r="TPW515" s="13"/>
      <c r="TPX515" s="13"/>
      <c r="TPY515" s="193"/>
      <c r="TPZ515" s="379"/>
      <c r="TQA515" s="379"/>
      <c r="TQB515" s="379"/>
      <c r="TQC515" s="379"/>
      <c r="TQD515" s="379"/>
      <c r="TQE515" s="13"/>
      <c r="TQF515" s="13"/>
      <c r="TQG515" s="193"/>
      <c r="TQH515" s="379"/>
      <c r="TQI515" s="379"/>
      <c r="TQJ515" s="379"/>
      <c r="TQK515" s="379"/>
      <c r="TQL515" s="379"/>
      <c r="TQM515" s="13"/>
      <c r="TQN515" s="13"/>
      <c r="TQO515" s="193"/>
      <c r="TQP515" s="379"/>
      <c r="TQQ515" s="379"/>
      <c r="TQR515" s="379"/>
      <c r="TQS515" s="379"/>
      <c r="TQT515" s="379"/>
      <c r="TQU515" s="13"/>
      <c r="TQV515" s="13"/>
      <c r="TQW515" s="193"/>
      <c r="TQX515" s="379"/>
      <c r="TQY515" s="379"/>
      <c r="TQZ515" s="379"/>
      <c r="TRA515" s="379"/>
      <c r="TRB515" s="379"/>
      <c r="TRC515" s="13"/>
      <c r="TRD515" s="13"/>
      <c r="TRE515" s="193"/>
      <c r="TRF515" s="379"/>
      <c r="TRG515" s="379"/>
      <c r="TRH515" s="379"/>
      <c r="TRI515" s="379"/>
      <c r="TRJ515" s="379"/>
      <c r="TRK515" s="13"/>
      <c r="TRL515" s="13"/>
      <c r="TRM515" s="193"/>
      <c r="TRN515" s="379"/>
      <c r="TRO515" s="379"/>
      <c r="TRP515" s="379"/>
      <c r="TRQ515" s="379"/>
      <c r="TRR515" s="379"/>
      <c r="TRS515" s="13"/>
      <c r="TRT515" s="13"/>
      <c r="TRU515" s="193"/>
      <c r="TRV515" s="379"/>
      <c r="TRW515" s="379"/>
      <c r="TRX515" s="379"/>
      <c r="TRY515" s="379"/>
      <c r="TRZ515" s="379"/>
      <c r="TSA515" s="13"/>
      <c r="TSB515" s="13"/>
      <c r="TSC515" s="193"/>
      <c r="TSD515" s="379"/>
      <c r="TSE515" s="379"/>
      <c r="TSF515" s="379"/>
      <c r="TSG515" s="379"/>
      <c r="TSH515" s="379"/>
      <c r="TSI515" s="13"/>
      <c r="TSJ515" s="13"/>
      <c r="TSK515" s="193"/>
      <c r="TSL515" s="379"/>
      <c r="TSM515" s="379"/>
      <c r="TSN515" s="379"/>
      <c r="TSO515" s="379"/>
      <c r="TSP515" s="379"/>
      <c r="TSQ515" s="13"/>
      <c r="TSR515" s="13"/>
      <c r="TSS515" s="193"/>
      <c r="TST515" s="379"/>
      <c r="TSU515" s="379"/>
      <c r="TSV515" s="379"/>
      <c r="TSW515" s="379"/>
      <c r="TSX515" s="379"/>
      <c r="TSY515" s="13"/>
      <c r="TSZ515" s="13"/>
      <c r="TTA515" s="193"/>
      <c r="TTB515" s="379"/>
      <c r="TTC515" s="379"/>
      <c r="TTD515" s="379"/>
      <c r="TTE515" s="379"/>
      <c r="TTF515" s="379"/>
      <c r="TTG515" s="13"/>
      <c r="TTH515" s="13"/>
      <c r="TTI515" s="193"/>
      <c r="TTJ515" s="379"/>
      <c r="TTK515" s="379"/>
      <c r="TTL515" s="379"/>
      <c r="TTM515" s="379"/>
      <c r="TTN515" s="379"/>
      <c r="TTO515" s="13"/>
      <c r="TTP515" s="13"/>
      <c r="TTQ515" s="193"/>
      <c r="TTR515" s="379"/>
      <c r="TTS515" s="379"/>
      <c r="TTT515" s="379"/>
      <c r="TTU515" s="379"/>
      <c r="TTV515" s="379"/>
      <c r="TTW515" s="13"/>
      <c r="TTX515" s="13"/>
      <c r="TTY515" s="193"/>
      <c r="TTZ515" s="379"/>
      <c r="TUA515" s="379"/>
      <c r="TUB515" s="379"/>
      <c r="TUC515" s="379"/>
      <c r="TUD515" s="379"/>
      <c r="TUE515" s="13"/>
      <c r="TUF515" s="13"/>
      <c r="TUG515" s="193"/>
      <c r="TUH515" s="379"/>
      <c r="TUI515" s="379"/>
      <c r="TUJ515" s="379"/>
      <c r="TUK515" s="379"/>
      <c r="TUL515" s="379"/>
      <c r="TUM515" s="13"/>
      <c r="TUN515" s="13"/>
      <c r="TUO515" s="193"/>
      <c r="TUP515" s="379"/>
      <c r="TUQ515" s="379"/>
      <c r="TUR515" s="379"/>
      <c r="TUS515" s="379"/>
      <c r="TUT515" s="379"/>
      <c r="TUU515" s="13"/>
      <c r="TUV515" s="13"/>
      <c r="TUW515" s="193"/>
      <c r="TUX515" s="379"/>
      <c r="TUY515" s="379"/>
      <c r="TUZ515" s="379"/>
      <c r="TVA515" s="379"/>
      <c r="TVB515" s="379"/>
      <c r="TVC515" s="13"/>
      <c r="TVD515" s="13"/>
      <c r="TVE515" s="193"/>
      <c r="TVF515" s="379"/>
      <c r="TVG515" s="379"/>
      <c r="TVH515" s="379"/>
      <c r="TVI515" s="379"/>
      <c r="TVJ515" s="379"/>
      <c r="TVK515" s="13"/>
      <c r="TVL515" s="13"/>
      <c r="TVM515" s="193"/>
      <c r="TVN515" s="379"/>
      <c r="TVO515" s="379"/>
      <c r="TVP515" s="379"/>
      <c r="TVQ515" s="379"/>
      <c r="TVR515" s="379"/>
      <c r="TVS515" s="13"/>
      <c r="TVT515" s="13"/>
      <c r="TVU515" s="193"/>
      <c r="TVV515" s="379"/>
      <c r="TVW515" s="379"/>
      <c r="TVX515" s="379"/>
      <c r="TVY515" s="379"/>
      <c r="TVZ515" s="379"/>
      <c r="TWA515" s="13"/>
      <c r="TWB515" s="13"/>
      <c r="TWC515" s="193"/>
      <c r="TWD515" s="379"/>
      <c r="TWE515" s="379"/>
      <c r="TWF515" s="379"/>
      <c r="TWG515" s="379"/>
      <c r="TWH515" s="379"/>
      <c r="TWI515" s="13"/>
      <c r="TWJ515" s="13"/>
      <c r="TWK515" s="193"/>
      <c r="TWL515" s="379"/>
      <c r="TWM515" s="379"/>
      <c r="TWN515" s="379"/>
      <c r="TWO515" s="379"/>
      <c r="TWP515" s="379"/>
      <c r="TWQ515" s="13"/>
      <c r="TWR515" s="13"/>
      <c r="TWS515" s="193"/>
      <c r="TWT515" s="379"/>
      <c r="TWU515" s="379"/>
      <c r="TWV515" s="379"/>
      <c r="TWW515" s="379"/>
      <c r="TWX515" s="379"/>
      <c r="TWY515" s="13"/>
      <c r="TWZ515" s="13"/>
      <c r="TXA515" s="193"/>
      <c r="TXB515" s="379"/>
      <c r="TXC515" s="379"/>
      <c r="TXD515" s="379"/>
      <c r="TXE515" s="379"/>
      <c r="TXF515" s="379"/>
      <c r="TXG515" s="13"/>
      <c r="TXH515" s="13"/>
      <c r="TXI515" s="193"/>
      <c r="TXJ515" s="379"/>
      <c r="TXK515" s="379"/>
      <c r="TXL515" s="379"/>
      <c r="TXM515" s="379"/>
      <c r="TXN515" s="379"/>
      <c r="TXO515" s="13"/>
      <c r="TXP515" s="13"/>
      <c r="TXQ515" s="193"/>
      <c r="TXR515" s="379"/>
      <c r="TXS515" s="379"/>
      <c r="TXT515" s="379"/>
      <c r="TXU515" s="379"/>
      <c r="TXV515" s="379"/>
      <c r="TXW515" s="13"/>
      <c r="TXX515" s="13"/>
      <c r="TXY515" s="193"/>
      <c r="TXZ515" s="379"/>
      <c r="TYA515" s="379"/>
      <c r="TYB515" s="379"/>
      <c r="TYC515" s="379"/>
      <c r="TYD515" s="379"/>
      <c r="TYE515" s="13"/>
      <c r="TYF515" s="13"/>
      <c r="TYG515" s="193"/>
      <c r="TYH515" s="379"/>
      <c r="TYI515" s="379"/>
      <c r="TYJ515" s="379"/>
      <c r="TYK515" s="379"/>
      <c r="TYL515" s="379"/>
      <c r="TYM515" s="13"/>
      <c r="TYN515" s="13"/>
      <c r="TYO515" s="193"/>
      <c r="TYP515" s="379"/>
      <c r="TYQ515" s="379"/>
      <c r="TYR515" s="379"/>
      <c r="TYS515" s="379"/>
      <c r="TYT515" s="379"/>
      <c r="TYU515" s="13"/>
      <c r="TYV515" s="13"/>
      <c r="TYW515" s="193"/>
      <c r="TYX515" s="379"/>
      <c r="TYY515" s="379"/>
      <c r="TYZ515" s="379"/>
      <c r="TZA515" s="379"/>
      <c r="TZB515" s="379"/>
      <c r="TZC515" s="13"/>
      <c r="TZD515" s="13"/>
      <c r="TZE515" s="193"/>
      <c r="TZF515" s="379"/>
      <c r="TZG515" s="379"/>
      <c r="TZH515" s="379"/>
      <c r="TZI515" s="379"/>
      <c r="TZJ515" s="379"/>
      <c r="TZK515" s="13"/>
      <c r="TZL515" s="13"/>
      <c r="TZM515" s="193"/>
      <c r="TZN515" s="379"/>
      <c r="TZO515" s="379"/>
      <c r="TZP515" s="379"/>
      <c r="TZQ515" s="379"/>
      <c r="TZR515" s="379"/>
      <c r="TZS515" s="13"/>
      <c r="TZT515" s="13"/>
      <c r="TZU515" s="193"/>
      <c r="TZV515" s="379"/>
      <c r="TZW515" s="379"/>
      <c r="TZX515" s="379"/>
      <c r="TZY515" s="379"/>
      <c r="TZZ515" s="379"/>
      <c r="UAA515" s="13"/>
      <c r="UAB515" s="13"/>
      <c r="UAC515" s="193"/>
      <c r="UAD515" s="379"/>
      <c r="UAE515" s="379"/>
      <c r="UAF515" s="379"/>
      <c r="UAG515" s="379"/>
      <c r="UAH515" s="379"/>
      <c r="UAI515" s="13"/>
      <c r="UAJ515" s="13"/>
      <c r="UAK515" s="193"/>
      <c r="UAL515" s="379"/>
      <c r="UAM515" s="379"/>
      <c r="UAN515" s="379"/>
      <c r="UAO515" s="379"/>
      <c r="UAP515" s="379"/>
      <c r="UAQ515" s="13"/>
      <c r="UAR515" s="13"/>
      <c r="UAS515" s="193"/>
      <c r="UAT515" s="379"/>
      <c r="UAU515" s="379"/>
      <c r="UAV515" s="379"/>
      <c r="UAW515" s="379"/>
      <c r="UAX515" s="379"/>
      <c r="UAY515" s="13"/>
      <c r="UAZ515" s="13"/>
      <c r="UBA515" s="193"/>
      <c r="UBB515" s="379"/>
      <c r="UBC515" s="379"/>
      <c r="UBD515" s="379"/>
      <c r="UBE515" s="379"/>
      <c r="UBF515" s="379"/>
      <c r="UBG515" s="13"/>
      <c r="UBH515" s="13"/>
      <c r="UBI515" s="193"/>
      <c r="UBJ515" s="379"/>
      <c r="UBK515" s="379"/>
      <c r="UBL515" s="379"/>
      <c r="UBM515" s="379"/>
      <c r="UBN515" s="379"/>
      <c r="UBO515" s="13"/>
      <c r="UBP515" s="13"/>
      <c r="UBQ515" s="193"/>
      <c r="UBR515" s="379"/>
      <c r="UBS515" s="379"/>
      <c r="UBT515" s="379"/>
      <c r="UBU515" s="379"/>
      <c r="UBV515" s="379"/>
      <c r="UBW515" s="13"/>
      <c r="UBX515" s="13"/>
      <c r="UBY515" s="193"/>
      <c r="UBZ515" s="379"/>
      <c r="UCA515" s="379"/>
      <c r="UCB515" s="379"/>
      <c r="UCC515" s="379"/>
      <c r="UCD515" s="379"/>
      <c r="UCE515" s="13"/>
      <c r="UCF515" s="13"/>
      <c r="UCG515" s="193"/>
      <c r="UCH515" s="379"/>
      <c r="UCI515" s="379"/>
      <c r="UCJ515" s="379"/>
      <c r="UCK515" s="379"/>
      <c r="UCL515" s="379"/>
      <c r="UCM515" s="13"/>
      <c r="UCN515" s="13"/>
      <c r="UCO515" s="193"/>
      <c r="UCP515" s="379"/>
      <c r="UCQ515" s="379"/>
      <c r="UCR515" s="379"/>
      <c r="UCS515" s="379"/>
      <c r="UCT515" s="379"/>
      <c r="UCU515" s="13"/>
      <c r="UCV515" s="13"/>
      <c r="UCW515" s="193"/>
      <c r="UCX515" s="379"/>
      <c r="UCY515" s="379"/>
      <c r="UCZ515" s="379"/>
      <c r="UDA515" s="379"/>
      <c r="UDB515" s="379"/>
      <c r="UDC515" s="13"/>
      <c r="UDD515" s="13"/>
      <c r="UDE515" s="193"/>
      <c r="UDF515" s="379"/>
      <c r="UDG515" s="379"/>
      <c r="UDH515" s="379"/>
      <c r="UDI515" s="379"/>
      <c r="UDJ515" s="379"/>
      <c r="UDK515" s="13"/>
      <c r="UDL515" s="13"/>
      <c r="UDM515" s="193"/>
      <c r="UDN515" s="379"/>
      <c r="UDO515" s="379"/>
      <c r="UDP515" s="379"/>
      <c r="UDQ515" s="379"/>
      <c r="UDR515" s="379"/>
      <c r="UDS515" s="13"/>
      <c r="UDT515" s="13"/>
      <c r="UDU515" s="193"/>
      <c r="UDV515" s="379"/>
      <c r="UDW515" s="379"/>
      <c r="UDX515" s="379"/>
      <c r="UDY515" s="379"/>
      <c r="UDZ515" s="379"/>
      <c r="UEA515" s="13"/>
      <c r="UEB515" s="13"/>
      <c r="UEC515" s="193"/>
      <c r="UED515" s="379"/>
      <c r="UEE515" s="379"/>
      <c r="UEF515" s="379"/>
      <c r="UEG515" s="379"/>
      <c r="UEH515" s="379"/>
      <c r="UEI515" s="13"/>
      <c r="UEJ515" s="13"/>
      <c r="UEK515" s="193"/>
      <c r="UEL515" s="379"/>
      <c r="UEM515" s="379"/>
      <c r="UEN515" s="379"/>
      <c r="UEO515" s="379"/>
      <c r="UEP515" s="379"/>
      <c r="UEQ515" s="13"/>
      <c r="UER515" s="13"/>
      <c r="UES515" s="193"/>
      <c r="UET515" s="379"/>
      <c r="UEU515" s="379"/>
      <c r="UEV515" s="379"/>
      <c r="UEW515" s="379"/>
      <c r="UEX515" s="379"/>
      <c r="UEY515" s="13"/>
      <c r="UEZ515" s="13"/>
      <c r="UFA515" s="193"/>
      <c r="UFB515" s="379"/>
      <c r="UFC515" s="379"/>
      <c r="UFD515" s="379"/>
      <c r="UFE515" s="379"/>
      <c r="UFF515" s="379"/>
      <c r="UFG515" s="13"/>
      <c r="UFH515" s="13"/>
      <c r="UFI515" s="193"/>
      <c r="UFJ515" s="379"/>
      <c r="UFK515" s="379"/>
      <c r="UFL515" s="379"/>
      <c r="UFM515" s="379"/>
      <c r="UFN515" s="379"/>
      <c r="UFO515" s="13"/>
      <c r="UFP515" s="13"/>
      <c r="UFQ515" s="193"/>
      <c r="UFR515" s="379"/>
      <c r="UFS515" s="379"/>
      <c r="UFT515" s="379"/>
      <c r="UFU515" s="379"/>
      <c r="UFV515" s="379"/>
      <c r="UFW515" s="13"/>
      <c r="UFX515" s="13"/>
      <c r="UFY515" s="193"/>
      <c r="UFZ515" s="379"/>
      <c r="UGA515" s="379"/>
      <c r="UGB515" s="379"/>
      <c r="UGC515" s="379"/>
      <c r="UGD515" s="379"/>
      <c r="UGE515" s="13"/>
      <c r="UGF515" s="13"/>
      <c r="UGG515" s="193"/>
      <c r="UGH515" s="379"/>
      <c r="UGI515" s="379"/>
      <c r="UGJ515" s="379"/>
      <c r="UGK515" s="379"/>
      <c r="UGL515" s="379"/>
      <c r="UGM515" s="13"/>
      <c r="UGN515" s="13"/>
      <c r="UGO515" s="193"/>
      <c r="UGP515" s="379"/>
      <c r="UGQ515" s="379"/>
      <c r="UGR515" s="379"/>
      <c r="UGS515" s="379"/>
      <c r="UGT515" s="379"/>
      <c r="UGU515" s="13"/>
      <c r="UGV515" s="13"/>
      <c r="UGW515" s="193"/>
      <c r="UGX515" s="379"/>
      <c r="UGY515" s="379"/>
      <c r="UGZ515" s="379"/>
      <c r="UHA515" s="379"/>
      <c r="UHB515" s="379"/>
      <c r="UHC515" s="13"/>
      <c r="UHD515" s="13"/>
      <c r="UHE515" s="193"/>
      <c r="UHF515" s="379"/>
      <c r="UHG515" s="379"/>
      <c r="UHH515" s="379"/>
      <c r="UHI515" s="379"/>
      <c r="UHJ515" s="379"/>
      <c r="UHK515" s="13"/>
      <c r="UHL515" s="13"/>
      <c r="UHM515" s="193"/>
      <c r="UHN515" s="379"/>
      <c r="UHO515" s="379"/>
      <c r="UHP515" s="379"/>
      <c r="UHQ515" s="379"/>
      <c r="UHR515" s="379"/>
      <c r="UHS515" s="13"/>
      <c r="UHT515" s="13"/>
      <c r="UHU515" s="193"/>
      <c r="UHV515" s="379"/>
      <c r="UHW515" s="379"/>
      <c r="UHX515" s="379"/>
      <c r="UHY515" s="379"/>
      <c r="UHZ515" s="379"/>
      <c r="UIA515" s="13"/>
      <c r="UIB515" s="13"/>
      <c r="UIC515" s="193"/>
      <c r="UID515" s="379"/>
      <c r="UIE515" s="379"/>
      <c r="UIF515" s="379"/>
      <c r="UIG515" s="379"/>
      <c r="UIH515" s="379"/>
      <c r="UII515" s="13"/>
      <c r="UIJ515" s="13"/>
      <c r="UIK515" s="193"/>
      <c r="UIL515" s="379"/>
      <c r="UIM515" s="379"/>
      <c r="UIN515" s="379"/>
      <c r="UIO515" s="379"/>
      <c r="UIP515" s="379"/>
      <c r="UIQ515" s="13"/>
      <c r="UIR515" s="13"/>
      <c r="UIS515" s="193"/>
      <c r="UIT515" s="379"/>
      <c r="UIU515" s="379"/>
      <c r="UIV515" s="379"/>
      <c r="UIW515" s="379"/>
      <c r="UIX515" s="379"/>
      <c r="UIY515" s="13"/>
      <c r="UIZ515" s="13"/>
      <c r="UJA515" s="193"/>
      <c r="UJB515" s="379"/>
      <c r="UJC515" s="379"/>
      <c r="UJD515" s="379"/>
      <c r="UJE515" s="379"/>
      <c r="UJF515" s="379"/>
      <c r="UJG515" s="13"/>
      <c r="UJH515" s="13"/>
      <c r="UJI515" s="193"/>
      <c r="UJJ515" s="379"/>
      <c r="UJK515" s="379"/>
      <c r="UJL515" s="379"/>
      <c r="UJM515" s="379"/>
      <c r="UJN515" s="379"/>
      <c r="UJO515" s="13"/>
      <c r="UJP515" s="13"/>
      <c r="UJQ515" s="193"/>
      <c r="UJR515" s="379"/>
      <c r="UJS515" s="379"/>
      <c r="UJT515" s="379"/>
      <c r="UJU515" s="379"/>
      <c r="UJV515" s="379"/>
      <c r="UJW515" s="13"/>
      <c r="UJX515" s="13"/>
      <c r="UJY515" s="193"/>
      <c r="UJZ515" s="379"/>
      <c r="UKA515" s="379"/>
      <c r="UKB515" s="379"/>
      <c r="UKC515" s="379"/>
      <c r="UKD515" s="379"/>
      <c r="UKE515" s="13"/>
      <c r="UKF515" s="13"/>
      <c r="UKG515" s="193"/>
      <c r="UKH515" s="379"/>
      <c r="UKI515" s="379"/>
      <c r="UKJ515" s="379"/>
      <c r="UKK515" s="379"/>
      <c r="UKL515" s="379"/>
      <c r="UKM515" s="13"/>
      <c r="UKN515" s="13"/>
      <c r="UKO515" s="193"/>
      <c r="UKP515" s="379"/>
      <c r="UKQ515" s="379"/>
      <c r="UKR515" s="379"/>
      <c r="UKS515" s="379"/>
      <c r="UKT515" s="379"/>
      <c r="UKU515" s="13"/>
      <c r="UKV515" s="13"/>
      <c r="UKW515" s="193"/>
      <c r="UKX515" s="379"/>
      <c r="UKY515" s="379"/>
      <c r="UKZ515" s="379"/>
      <c r="ULA515" s="379"/>
      <c r="ULB515" s="379"/>
      <c r="ULC515" s="13"/>
      <c r="ULD515" s="13"/>
      <c r="ULE515" s="193"/>
      <c r="ULF515" s="379"/>
      <c r="ULG515" s="379"/>
      <c r="ULH515" s="379"/>
      <c r="ULI515" s="379"/>
      <c r="ULJ515" s="379"/>
      <c r="ULK515" s="13"/>
      <c r="ULL515" s="13"/>
      <c r="ULM515" s="193"/>
      <c r="ULN515" s="379"/>
      <c r="ULO515" s="379"/>
      <c r="ULP515" s="379"/>
      <c r="ULQ515" s="379"/>
      <c r="ULR515" s="379"/>
      <c r="ULS515" s="13"/>
      <c r="ULT515" s="13"/>
      <c r="ULU515" s="193"/>
      <c r="ULV515" s="379"/>
      <c r="ULW515" s="379"/>
      <c r="ULX515" s="379"/>
      <c r="ULY515" s="379"/>
      <c r="ULZ515" s="379"/>
      <c r="UMA515" s="13"/>
      <c r="UMB515" s="13"/>
      <c r="UMC515" s="193"/>
      <c r="UMD515" s="379"/>
      <c r="UME515" s="379"/>
      <c r="UMF515" s="379"/>
      <c r="UMG515" s="379"/>
      <c r="UMH515" s="379"/>
      <c r="UMI515" s="13"/>
      <c r="UMJ515" s="13"/>
      <c r="UMK515" s="193"/>
      <c r="UML515" s="379"/>
      <c r="UMM515" s="379"/>
      <c r="UMN515" s="379"/>
      <c r="UMO515" s="379"/>
      <c r="UMP515" s="379"/>
      <c r="UMQ515" s="13"/>
      <c r="UMR515" s="13"/>
      <c r="UMS515" s="193"/>
      <c r="UMT515" s="379"/>
      <c r="UMU515" s="379"/>
      <c r="UMV515" s="379"/>
      <c r="UMW515" s="379"/>
      <c r="UMX515" s="379"/>
      <c r="UMY515" s="13"/>
      <c r="UMZ515" s="13"/>
      <c r="UNA515" s="193"/>
      <c r="UNB515" s="379"/>
      <c r="UNC515" s="379"/>
      <c r="UND515" s="379"/>
      <c r="UNE515" s="379"/>
      <c r="UNF515" s="379"/>
      <c r="UNG515" s="13"/>
      <c r="UNH515" s="13"/>
      <c r="UNI515" s="193"/>
      <c r="UNJ515" s="379"/>
      <c r="UNK515" s="379"/>
      <c r="UNL515" s="379"/>
      <c r="UNM515" s="379"/>
      <c r="UNN515" s="379"/>
      <c r="UNO515" s="13"/>
      <c r="UNP515" s="13"/>
      <c r="UNQ515" s="193"/>
      <c r="UNR515" s="379"/>
      <c r="UNS515" s="379"/>
      <c r="UNT515" s="379"/>
      <c r="UNU515" s="379"/>
      <c r="UNV515" s="379"/>
      <c r="UNW515" s="13"/>
      <c r="UNX515" s="13"/>
      <c r="UNY515" s="193"/>
      <c r="UNZ515" s="379"/>
      <c r="UOA515" s="379"/>
      <c r="UOB515" s="379"/>
      <c r="UOC515" s="379"/>
      <c r="UOD515" s="379"/>
      <c r="UOE515" s="13"/>
      <c r="UOF515" s="13"/>
      <c r="UOG515" s="193"/>
      <c r="UOH515" s="379"/>
      <c r="UOI515" s="379"/>
      <c r="UOJ515" s="379"/>
      <c r="UOK515" s="379"/>
      <c r="UOL515" s="379"/>
      <c r="UOM515" s="13"/>
      <c r="UON515" s="13"/>
      <c r="UOO515" s="193"/>
      <c r="UOP515" s="379"/>
      <c r="UOQ515" s="379"/>
      <c r="UOR515" s="379"/>
      <c r="UOS515" s="379"/>
      <c r="UOT515" s="379"/>
      <c r="UOU515" s="13"/>
      <c r="UOV515" s="13"/>
      <c r="UOW515" s="193"/>
      <c r="UOX515" s="379"/>
      <c r="UOY515" s="379"/>
      <c r="UOZ515" s="379"/>
      <c r="UPA515" s="379"/>
      <c r="UPB515" s="379"/>
      <c r="UPC515" s="13"/>
      <c r="UPD515" s="13"/>
      <c r="UPE515" s="193"/>
      <c r="UPF515" s="379"/>
      <c r="UPG515" s="379"/>
      <c r="UPH515" s="379"/>
      <c r="UPI515" s="379"/>
      <c r="UPJ515" s="379"/>
      <c r="UPK515" s="13"/>
      <c r="UPL515" s="13"/>
      <c r="UPM515" s="193"/>
      <c r="UPN515" s="379"/>
      <c r="UPO515" s="379"/>
      <c r="UPP515" s="379"/>
      <c r="UPQ515" s="379"/>
      <c r="UPR515" s="379"/>
      <c r="UPS515" s="13"/>
      <c r="UPT515" s="13"/>
      <c r="UPU515" s="193"/>
      <c r="UPV515" s="379"/>
      <c r="UPW515" s="379"/>
      <c r="UPX515" s="379"/>
      <c r="UPY515" s="379"/>
      <c r="UPZ515" s="379"/>
      <c r="UQA515" s="13"/>
      <c r="UQB515" s="13"/>
      <c r="UQC515" s="193"/>
      <c r="UQD515" s="379"/>
      <c r="UQE515" s="379"/>
      <c r="UQF515" s="379"/>
      <c r="UQG515" s="379"/>
      <c r="UQH515" s="379"/>
      <c r="UQI515" s="13"/>
      <c r="UQJ515" s="13"/>
      <c r="UQK515" s="193"/>
      <c r="UQL515" s="379"/>
      <c r="UQM515" s="379"/>
      <c r="UQN515" s="379"/>
      <c r="UQO515" s="379"/>
      <c r="UQP515" s="379"/>
      <c r="UQQ515" s="13"/>
      <c r="UQR515" s="13"/>
      <c r="UQS515" s="193"/>
      <c r="UQT515" s="379"/>
      <c r="UQU515" s="379"/>
      <c r="UQV515" s="379"/>
      <c r="UQW515" s="379"/>
      <c r="UQX515" s="379"/>
      <c r="UQY515" s="13"/>
      <c r="UQZ515" s="13"/>
      <c r="URA515" s="193"/>
      <c r="URB515" s="379"/>
      <c r="URC515" s="379"/>
      <c r="URD515" s="379"/>
      <c r="URE515" s="379"/>
      <c r="URF515" s="379"/>
      <c r="URG515" s="13"/>
      <c r="URH515" s="13"/>
      <c r="URI515" s="193"/>
      <c r="URJ515" s="379"/>
      <c r="URK515" s="379"/>
      <c r="URL515" s="379"/>
      <c r="URM515" s="379"/>
      <c r="URN515" s="379"/>
      <c r="URO515" s="13"/>
      <c r="URP515" s="13"/>
      <c r="URQ515" s="193"/>
      <c r="URR515" s="379"/>
      <c r="URS515" s="379"/>
      <c r="URT515" s="379"/>
      <c r="URU515" s="379"/>
      <c r="URV515" s="379"/>
      <c r="URW515" s="13"/>
      <c r="URX515" s="13"/>
      <c r="URY515" s="193"/>
      <c r="URZ515" s="379"/>
      <c r="USA515" s="379"/>
      <c r="USB515" s="379"/>
      <c r="USC515" s="379"/>
      <c r="USD515" s="379"/>
      <c r="USE515" s="13"/>
      <c r="USF515" s="13"/>
      <c r="USG515" s="193"/>
      <c r="USH515" s="379"/>
      <c r="USI515" s="379"/>
      <c r="USJ515" s="379"/>
      <c r="USK515" s="379"/>
      <c r="USL515" s="379"/>
      <c r="USM515" s="13"/>
      <c r="USN515" s="13"/>
      <c r="USO515" s="193"/>
      <c r="USP515" s="379"/>
      <c r="USQ515" s="379"/>
      <c r="USR515" s="379"/>
      <c r="USS515" s="379"/>
      <c r="UST515" s="379"/>
      <c r="USU515" s="13"/>
      <c r="USV515" s="13"/>
      <c r="USW515" s="193"/>
      <c r="USX515" s="379"/>
      <c r="USY515" s="379"/>
      <c r="USZ515" s="379"/>
      <c r="UTA515" s="379"/>
      <c r="UTB515" s="379"/>
      <c r="UTC515" s="13"/>
      <c r="UTD515" s="13"/>
      <c r="UTE515" s="193"/>
      <c r="UTF515" s="379"/>
      <c r="UTG515" s="379"/>
      <c r="UTH515" s="379"/>
      <c r="UTI515" s="379"/>
      <c r="UTJ515" s="379"/>
      <c r="UTK515" s="13"/>
      <c r="UTL515" s="13"/>
      <c r="UTM515" s="193"/>
      <c r="UTN515" s="379"/>
      <c r="UTO515" s="379"/>
      <c r="UTP515" s="379"/>
      <c r="UTQ515" s="379"/>
      <c r="UTR515" s="379"/>
      <c r="UTS515" s="13"/>
      <c r="UTT515" s="13"/>
      <c r="UTU515" s="193"/>
      <c r="UTV515" s="379"/>
      <c r="UTW515" s="379"/>
      <c r="UTX515" s="379"/>
      <c r="UTY515" s="379"/>
      <c r="UTZ515" s="379"/>
      <c r="UUA515" s="13"/>
      <c r="UUB515" s="13"/>
      <c r="UUC515" s="193"/>
      <c r="UUD515" s="379"/>
      <c r="UUE515" s="379"/>
      <c r="UUF515" s="379"/>
      <c r="UUG515" s="379"/>
      <c r="UUH515" s="379"/>
      <c r="UUI515" s="13"/>
      <c r="UUJ515" s="13"/>
      <c r="UUK515" s="193"/>
      <c r="UUL515" s="379"/>
      <c r="UUM515" s="379"/>
      <c r="UUN515" s="379"/>
      <c r="UUO515" s="379"/>
      <c r="UUP515" s="379"/>
      <c r="UUQ515" s="13"/>
      <c r="UUR515" s="13"/>
      <c r="UUS515" s="193"/>
      <c r="UUT515" s="379"/>
      <c r="UUU515" s="379"/>
      <c r="UUV515" s="379"/>
      <c r="UUW515" s="379"/>
      <c r="UUX515" s="379"/>
      <c r="UUY515" s="13"/>
      <c r="UUZ515" s="13"/>
      <c r="UVA515" s="193"/>
      <c r="UVB515" s="379"/>
      <c r="UVC515" s="379"/>
      <c r="UVD515" s="379"/>
      <c r="UVE515" s="379"/>
      <c r="UVF515" s="379"/>
      <c r="UVG515" s="13"/>
      <c r="UVH515" s="13"/>
      <c r="UVI515" s="193"/>
      <c r="UVJ515" s="379"/>
      <c r="UVK515" s="379"/>
      <c r="UVL515" s="379"/>
      <c r="UVM515" s="379"/>
      <c r="UVN515" s="379"/>
      <c r="UVO515" s="13"/>
      <c r="UVP515" s="13"/>
      <c r="UVQ515" s="193"/>
      <c r="UVR515" s="379"/>
      <c r="UVS515" s="379"/>
      <c r="UVT515" s="379"/>
      <c r="UVU515" s="379"/>
      <c r="UVV515" s="379"/>
      <c r="UVW515" s="13"/>
      <c r="UVX515" s="13"/>
      <c r="UVY515" s="193"/>
      <c r="UVZ515" s="379"/>
      <c r="UWA515" s="379"/>
      <c r="UWB515" s="379"/>
      <c r="UWC515" s="379"/>
      <c r="UWD515" s="379"/>
      <c r="UWE515" s="13"/>
      <c r="UWF515" s="13"/>
      <c r="UWG515" s="193"/>
      <c r="UWH515" s="379"/>
      <c r="UWI515" s="379"/>
      <c r="UWJ515" s="379"/>
      <c r="UWK515" s="379"/>
      <c r="UWL515" s="379"/>
      <c r="UWM515" s="13"/>
      <c r="UWN515" s="13"/>
      <c r="UWO515" s="193"/>
      <c r="UWP515" s="379"/>
      <c r="UWQ515" s="379"/>
      <c r="UWR515" s="379"/>
      <c r="UWS515" s="379"/>
      <c r="UWT515" s="379"/>
      <c r="UWU515" s="13"/>
      <c r="UWV515" s="13"/>
      <c r="UWW515" s="193"/>
      <c r="UWX515" s="379"/>
      <c r="UWY515" s="379"/>
      <c r="UWZ515" s="379"/>
      <c r="UXA515" s="379"/>
      <c r="UXB515" s="379"/>
      <c r="UXC515" s="13"/>
      <c r="UXD515" s="13"/>
      <c r="UXE515" s="193"/>
      <c r="UXF515" s="379"/>
      <c r="UXG515" s="379"/>
      <c r="UXH515" s="379"/>
      <c r="UXI515" s="379"/>
      <c r="UXJ515" s="379"/>
      <c r="UXK515" s="13"/>
      <c r="UXL515" s="13"/>
      <c r="UXM515" s="193"/>
      <c r="UXN515" s="379"/>
      <c r="UXO515" s="379"/>
      <c r="UXP515" s="379"/>
      <c r="UXQ515" s="379"/>
      <c r="UXR515" s="379"/>
      <c r="UXS515" s="13"/>
      <c r="UXT515" s="13"/>
      <c r="UXU515" s="193"/>
      <c r="UXV515" s="379"/>
      <c r="UXW515" s="379"/>
      <c r="UXX515" s="379"/>
      <c r="UXY515" s="379"/>
      <c r="UXZ515" s="379"/>
      <c r="UYA515" s="13"/>
      <c r="UYB515" s="13"/>
      <c r="UYC515" s="193"/>
      <c r="UYD515" s="379"/>
      <c r="UYE515" s="379"/>
      <c r="UYF515" s="379"/>
      <c r="UYG515" s="379"/>
      <c r="UYH515" s="379"/>
      <c r="UYI515" s="13"/>
      <c r="UYJ515" s="13"/>
      <c r="UYK515" s="193"/>
      <c r="UYL515" s="379"/>
      <c r="UYM515" s="379"/>
      <c r="UYN515" s="379"/>
      <c r="UYO515" s="379"/>
      <c r="UYP515" s="379"/>
      <c r="UYQ515" s="13"/>
      <c r="UYR515" s="13"/>
      <c r="UYS515" s="193"/>
      <c r="UYT515" s="379"/>
      <c r="UYU515" s="379"/>
      <c r="UYV515" s="379"/>
      <c r="UYW515" s="379"/>
      <c r="UYX515" s="379"/>
      <c r="UYY515" s="13"/>
      <c r="UYZ515" s="13"/>
      <c r="UZA515" s="193"/>
      <c r="UZB515" s="379"/>
      <c r="UZC515" s="379"/>
      <c r="UZD515" s="379"/>
      <c r="UZE515" s="379"/>
      <c r="UZF515" s="379"/>
      <c r="UZG515" s="13"/>
      <c r="UZH515" s="13"/>
      <c r="UZI515" s="193"/>
      <c r="UZJ515" s="379"/>
      <c r="UZK515" s="379"/>
      <c r="UZL515" s="379"/>
      <c r="UZM515" s="379"/>
      <c r="UZN515" s="379"/>
      <c r="UZO515" s="13"/>
      <c r="UZP515" s="13"/>
      <c r="UZQ515" s="193"/>
      <c r="UZR515" s="379"/>
      <c r="UZS515" s="379"/>
      <c r="UZT515" s="379"/>
      <c r="UZU515" s="379"/>
      <c r="UZV515" s="379"/>
      <c r="UZW515" s="13"/>
      <c r="UZX515" s="13"/>
      <c r="UZY515" s="193"/>
      <c r="UZZ515" s="379"/>
      <c r="VAA515" s="379"/>
      <c r="VAB515" s="379"/>
      <c r="VAC515" s="379"/>
      <c r="VAD515" s="379"/>
      <c r="VAE515" s="13"/>
      <c r="VAF515" s="13"/>
      <c r="VAG515" s="193"/>
      <c r="VAH515" s="379"/>
      <c r="VAI515" s="379"/>
      <c r="VAJ515" s="379"/>
      <c r="VAK515" s="379"/>
      <c r="VAL515" s="379"/>
      <c r="VAM515" s="13"/>
      <c r="VAN515" s="13"/>
      <c r="VAO515" s="193"/>
      <c r="VAP515" s="379"/>
      <c r="VAQ515" s="379"/>
      <c r="VAR515" s="379"/>
      <c r="VAS515" s="379"/>
      <c r="VAT515" s="379"/>
      <c r="VAU515" s="13"/>
      <c r="VAV515" s="13"/>
      <c r="VAW515" s="193"/>
      <c r="VAX515" s="379"/>
      <c r="VAY515" s="379"/>
      <c r="VAZ515" s="379"/>
      <c r="VBA515" s="379"/>
      <c r="VBB515" s="379"/>
      <c r="VBC515" s="13"/>
      <c r="VBD515" s="13"/>
      <c r="VBE515" s="193"/>
      <c r="VBF515" s="379"/>
      <c r="VBG515" s="379"/>
      <c r="VBH515" s="379"/>
      <c r="VBI515" s="379"/>
      <c r="VBJ515" s="379"/>
      <c r="VBK515" s="13"/>
      <c r="VBL515" s="13"/>
      <c r="VBM515" s="193"/>
      <c r="VBN515" s="379"/>
      <c r="VBO515" s="379"/>
      <c r="VBP515" s="379"/>
      <c r="VBQ515" s="379"/>
      <c r="VBR515" s="379"/>
      <c r="VBS515" s="13"/>
      <c r="VBT515" s="13"/>
      <c r="VBU515" s="193"/>
      <c r="VBV515" s="379"/>
      <c r="VBW515" s="379"/>
      <c r="VBX515" s="379"/>
      <c r="VBY515" s="379"/>
      <c r="VBZ515" s="379"/>
      <c r="VCA515" s="13"/>
      <c r="VCB515" s="13"/>
      <c r="VCC515" s="193"/>
      <c r="VCD515" s="379"/>
      <c r="VCE515" s="379"/>
      <c r="VCF515" s="379"/>
      <c r="VCG515" s="379"/>
      <c r="VCH515" s="379"/>
      <c r="VCI515" s="13"/>
      <c r="VCJ515" s="13"/>
      <c r="VCK515" s="193"/>
      <c r="VCL515" s="379"/>
      <c r="VCM515" s="379"/>
      <c r="VCN515" s="379"/>
      <c r="VCO515" s="379"/>
      <c r="VCP515" s="379"/>
      <c r="VCQ515" s="13"/>
      <c r="VCR515" s="13"/>
      <c r="VCS515" s="193"/>
      <c r="VCT515" s="379"/>
      <c r="VCU515" s="379"/>
      <c r="VCV515" s="379"/>
      <c r="VCW515" s="379"/>
      <c r="VCX515" s="379"/>
      <c r="VCY515" s="13"/>
      <c r="VCZ515" s="13"/>
      <c r="VDA515" s="193"/>
      <c r="VDB515" s="379"/>
      <c r="VDC515" s="379"/>
      <c r="VDD515" s="379"/>
      <c r="VDE515" s="379"/>
      <c r="VDF515" s="379"/>
      <c r="VDG515" s="13"/>
      <c r="VDH515" s="13"/>
      <c r="VDI515" s="193"/>
      <c r="VDJ515" s="379"/>
      <c r="VDK515" s="379"/>
      <c r="VDL515" s="379"/>
      <c r="VDM515" s="379"/>
      <c r="VDN515" s="379"/>
      <c r="VDO515" s="13"/>
      <c r="VDP515" s="13"/>
      <c r="VDQ515" s="193"/>
      <c r="VDR515" s="379"/>
      <c r="VDS515" s="379"/>
      <c r="VDT515" s="379"/>
      <c r="VDU515" s="379"/>
      <c r="VDV515" s="379"/>
      <c r="VDW515" s="13"/>
      <c r="VDX515" s="13"/>
      <c r="VDY515" s="193"/>
      <c r="VDZ515" s="379"/>
      <c r="VEA515" s="379"/>
      <c r="VEB515" s="379"/>
      <c r="VEC515" s="379"/>
      <c r="VED515" s="379"/>
      <c r="VEE515" s="13"/>
      <c r="VEF515" s="13"/>
      <c r="VEG515" s="193"/>
      <c r="VEH515" s="379"/>
      <c r="VEI515" s="379"/>
      <c r="VEJ515" s="379"/>
      <c r="VEK515" s="379"/>
      <c r="VEL515" s="379"/>
      <c r="VEM515" s="13"/>
      <c r="VEN515" s="13"/>
      <c r="VEO515" s="193"/>
      <c r="VEP515" s="379"/>
      <c r="VEQ515" s="379"/>
      <c r="VER515" s="379"/>
      <c r="VES515" s="379"/>
      <c r="VET515" s="379"/>
      <c r="VEU515" s="13"/>
      <c r="VEV515" s="13"/>
      <c r="VEW515" s="193"/>
      <c r="VEX515" s="379"/>
      <c r="VEY515" s="379"/>
      <c r="VEZ515" s="379"/>
      <c r="VFA515" s="379"/>
      <c r="VFB515" s="379"/>
      <c r="VFC515" s="13"/>
      <c r="VFD515" s="13"/>
      <c r="VFE515" s="193"/>
      <c r="VFF515" s="379"/>
      <c r="VFG515" s="379"/>
      <c r="VFH515" s="379"/>
      <c r="VFI515" s="379"/>
      <c r="VFJ515" s="379"/>
      <c r="VFK515" s="13"/>
      <c r="VFL515" s="13"/>
      <c r="VFM515" s="193"/>
      <c r="VFN515" s="379"/>
      <c r="VFO515" s="379"/>
      <c r="VFP515" s="379"/>
      <c r="VFQ515" s="379"/>
      <c r="VFR515" s="379"/>
      <c r="VFS515" s="13"/>
      <c r="VFT515" s="13"/>
      <c r="VFU515" s="193"/>
      <c r="VFV515" s="379"/>
      <c r="VFW515" s="379"/>
      <c r="VFX515" s="379"/>
      <c r="VFY515" s="379"/>
      <c r="VFZ515" s="379"/>
      <c r="VGA515" s="13"/>
      <c r="VGB515" s="13"/>
      <c r="VGC515" s="193"/>
      <c r="VGD515" s="379"/>
      <c r="VGE515" s="379"/>
      <c r="VGF515" s="379"/>
      <c r="VGG515" s="379"/>
      <c r="VGH515" s="379"/>
      <c r="VGI515" s="13"/>
      <c r="VGJ515" s="13"/>
      <c r="VGK515" s="193"/>
      <c r="VGL515" s="379"/>
      <c r="VGM515" s="379"/>
      <c r="VGN515" s="379"/>
      <c r="VGO515" s="379"/>
      <c r="VGP515" s="379"/>
      <c r="VGQ515" s="13"/>
      <c r="VGR515" s="13"/>
      <c r="VGS515" s="193"/>
      <c r="VGT515" s="379"/>
      <c r="VGU515" s="379"/>
      <c r="VGV515" s="379"/>
      <c r="VGW515" s="379"/>
      <c r="VGX515" s="379"/>
      <c r="VGY515" s="13"/>
      <c r="VGZ515" s="13"/>
      <c r="VHA515" s="193"/>
      <c r="VHB515" s="379"/>
      <c r="VHC515" s="379"/>
      <c r="VHD515" s="379"/>
      <c r="VHE515" s="379"/>
      <c r="VHF515" s="379"/>
      <c r="VHG515" s="13"/>
      <c r="VHH515" s="13"/>
      <c r="VHI515" s="193"/>
      <c r="VHJ515" s="379"/>
      <c r="VHK515" s="379"/>
      <c r="VHL515" s="379"/>
      <c r="VHM515" s="379"/>
      <c r="VHN515" s="379"/>
      <c r="VHO515" s="13"/>
      <c r="VHP515" s="13"/>
      <c r="VHQ515" s="193"/>
      <c r="VHR515" s="379"/>
      <c r="VHS515" s="379"/>
      <c r="VHT515" s="379"/>
      <c r="VHU515" s="379"/>
      <c r="VHV515" s="379"/>
      <c r="VHW515" s="13"/>
      <c r="VHX515" s="13"/>
      <c r="VHY515" s="193"/>
      <c r="VHZ515" s="379"/>
      <c r="VIA515" s="379"/>
      <c r="VIB515" s="379"/>
      <c r="VIC515" s="379"/>
      <c r="VID515" s="379"/>
      <c r="VIE515" s="13"/>
      <c r="VIF515" s="13"/>
      <c r="VIG515" s="193"/>
      <c r="VIH515" s="379"/>
      <c r="VII515" s="379"/>
      <c r="VIJ515" s="379"/>
      <c r="VIK515" s="379"/>
      <c r="VIL515" s="379"/>
      <c r="VIM515" s="13"/>
      <c r="VIN515" s="13"/>
      <c r="VIO515" s="193"/>
      <c r="VIP515" s="379"/>
      <c r="VIQ515" s="379"/>
      <c r="VIR515" s="379"/>
      <c r="VIS515" s="379"/>
      <c r="VIT515" s="379"/>
      <c r="VIU515" s="13"/>
      <c r="VIV515" s="13"/>
      <c r="VIW515" s="193"/>
      <c r="VIX515" s="379"/>
      <c r="VIY515" s="379"/>
      <c r="VIZ515" s="379"/>
      <c r="VJA515" s="379"/>
      <c r="VJB515" s="379"/>
      <c r="VJC515" s="13"/>
      <c r="VJD515" s="13"/>
      <c r="VJE515" s="193"/>
      <c r="VJF515" s="379"/>
      <c r="VJG515" s="379"/>
      <c r="VJH515" s="379"/>
      <c r="VJI515" s="379"/>
      <c r="VJJ515" s="379"/>
      <c r="VJK515" s="13"/>
      <c r="VJL515" s="13"/>
      <c r="VJM515" s="193"/>
      <c r="VJN515" s="379"/>
      <c r="VJO515" s="379"/>
      <c r="VJP515" s="379"/>
      <c r="VJQ515" s="379"/>
      <c r="VJR515" s="379"/>
      <c r="VJS515" s="13"/>
      <c r="VJT515" s="13"/>
      <c r="VJU515" s="193"/>
      <c r="VJV515" s="379"/>
      <c r="VJW515" s="379"/>
      <c r="VJX515" s="379"/>
      <c r="VJY515" s="379"/>
      <c r="VJZ515" s="379"/>
      <c r="VKA515" s="13"/>
      <c r="VKB515" s="13"/>
      <c r="VKC515" s="193"/>
      <c r="VKD515" s="379"/>
      <c r="VKE515" s="379"/>
      <c r="VKF515" s="379"/>
      <c r="VKG515" s="379"/>
      <c r="VKH515" s="379"/>
      <c r="VKI515" s="13"/>
      <c r="VKJ515" s="13"/>
      <c r="VKK515" s="193"/>
      <c r="VKL515" s="379"/>
      <c r="VKM515" s="379"/>
      <c r="VKN515" s="379"/>
      <c r="VKO515" s="379"/>
      <c r="VKP515" s="379"/>
      <c r="VKQ515" s="13"/>
      <c r="VKR515" s="13"/>
      <c r="VKS515" s="193"/>
      <c r="VKT515" s="379"/>
      <c r="VKU515" s="379"/>
      <c r="VKV515" s="379"/>
      <c r="VKW515" s="379"/>
      <c r="VKX515" s="379"/>
      <c r="VKY515" s="13"/>
      <c r="VKZ515" s="13"/>
      <c r="VLA515" s="193"/>
      <c r="VLB515" s="379"/>
      <c r="VLC515" s="379"/>
      <c r="VLD515" s="379"/>
      <c r="VLE515" s="379"/>
      <c r="VLF515" s="379"/>
      <c r="VLG515" s="13"/>
      <c r="VLH515" s="13"/>
      <c r="VLI515" s="193"/>
      <c r="VLJ515" s="379"/>
      <c r="VLK515" s="379"/>
      <c r="VLL515" s="379"/>
      <c r="VLM515" s="379"/>
      <c r="VLN515" s="379"/>
      <c r="VLO515" s="13"/>
      <c r="VLP515" s="13"/>
      <c r="VLQ515" s="193"/>
      <c r="VLR515" s="379"/>
      <c r="VLS515" s="379"/>
      <c r="VLT515" s="379"/>
      <c r="VLU515" s="379"/>
      <c r="VLV515" s="379"/>
      <c r="VLW515" s="13"/>
      <c r="VLX515" s="13"/>
      <c r="VLY515" s="193"/>
      <c r="VLZ515" s="379"/>
      <c r="VMA515" s="379"/>
      <c r="VMB515" s="379"/>
      <c r="VMC515" s="379"/>
      <c r="VMD515" s="379"/>
      <c r="VME515" s="13"/>
      <c r="VMF515" s="13"/>
      <c r="VMG515" s="193"/>
      <c r="VMH515" s="379"/>
      <c r="VMI515" s="379"/>
      <c r="VMJ515" s="379"/>
      <c r="VMK515" s="379"/>
      <c r="VML515" s="379"/>
      <c r="VMM515" s="13"/>
      <c r="VMN515" s="13"/>
      <c r="VMO515" s="193"/>
      <c r="VMP515" s="379"/>
      <c r="VMQ515" s="379"/>
      <c r="VMR515" s="379"/>
      <c r="VMS515" s="379"/>
      <c r="VMT515" s="379"/>
      <c r="VMU515" s="13"/>
      <c r="VMV515" s="13"/>
      <c r="VMW515" s="193"/>
      <c r="VMX515" s="379"/>
      <c r="VMY515" s="379"/>
      <c r="VMZ515" s="379"/>
      <c r="VNA515" s="379"/>
      <c r="VNB515" s="379"/>
      <c r="VNC515" s="13"/>
      <c r="VND515" s="13"/>
      <c r="VNE515" s="193"/>
      <c r="VNF515" s="379"/>
      <c r="VNG515" s="379"/>
      <c r="VNH515" s="379"/>
      <c r="VNI515" s="379"/>
      <c r="VNJ515" s="379"/>
      <c r="VNK515" s="13"/>
      <c r="VNL515" s="13"/>
      <c r="VNM515" s="193"/>
      <c r="VNN515" s="379"/>
      <c r="VNO515" s="379"/>
      <c r="VNP515" s="379"/>
      <c r="VNQ515" s="379"/>
      <c r="VNR515" s="379"/>
      <c r="VNS515" s="13"/>
      <c r="VNT515" s="13"/>
      <c r="VNU515" s="193"/>
      <c r="VNV515" s="379"/>
      <c r="VNW515" s="379"/>
      <c r="VNX515" s="379"/>
      <c r="VNY515" s="379"/>
      <c r="VNZ515" s="379"/>
      <c r="VOA515" s="13"/>
      <c r="VOB515" s="13"/>
      <c r="VOC515" s="193"/>
      <c r="VOD515" s="379"/>
      <c r="VOE515" s="379"/>
      <c r="VOF515" s="379"/>
      <c r="VOG515" s="379"/>
      <c r="VOH515" s="379"/>
      <c r="VOI515" s="13"/>
      <c r="VOJ515" s="13"/>
      <c r="VOK515" s="193"/>
      <c r="VOL515" s="379"/>
      <c r="VOM515" s="379"/>
      <c r="VON515" s="379"/>
      <c r="VOO515" s="379"/>
      <c r="VOP515" s="379"/>
      <c r="VOQ515" s="13"/>
      <c r="VOR515" s="13"/>
      <c r="VOS515" s="193"/>
      <c r="VOT515" s="379"/>
      <c r="VOU515" s="379"/>
      <c r="VOV515" s="379"/>
      <c r="VOW515" s="379"/>
      <c r="VOX515" s="379"/>
      <c r="VOY515" s="13"/>
      <c r="VOZ515" s="13"/>
      <c r="VPA515" s="193"/>
      <c r="VPB515" s="379"/>
      <c r="VPC515" s="379"/>
      <c r="VPD515" s="379"/>
      <c r="VPE515" s="379"/>
      <c r="VPF515" s="379"/>
      <c r="VPG515" s="13"/>
      <c r="VPH515" s="13"/>
      <c r="VPI515" s="193"/>
      <c r="VPJ515" s="379"/>
      <c r="VPK515" s="379"/>
      <c r="VPL515" s="379"/>
      <c r="VPM515" s="379"/>
      <c r="VPN515" s="379"/>
      <c r="VPO515" s="13"/>
      <c r="VPP515" s="13"/>
      <c r="VPQ515" s="193"/>
      <c r="VPR515" s="379"/>
      <c r="VPS515" s="379"/>
      <c r="VPT515" s="379"/>
      <c r="VPU515" s="379"/>
      <c r="VPV515" s="379"/>
      <c r="VPW515" s="13"/>
      <c r="VPX515" s="13"/>
      <c r="VPY515" s="193"/>
      <c r="VPZ515" s="379"/>
      <c r="VQA515" s="379"/>
      <c r="VQB515" s="379"/>
      <c r="VQC515" s="379"/>
      <c r="VQD515" s="379"/>
      <c r="VQE515" s="13"/>
      <c r="VQF515" s="13"/>
      <c r="VQG515" s="193"/>
      <c r="VQH515" s="379"/>
      <c r="VQI515" s="379"/>
      <c r="VQJ515" s="379"/>
      <c r="VQK515" s="379"/>
      <c r="VQL515" s="379"/>
      <c r="VQM515" s="13"/>
      <c r="VQN515" s="13"/>
      <c r="VQO515" s="193"/>
      <c r="VQP515" s="379"/>
      <c r="VQQ515" s="379"/>
      <c r="VQR515" s="379"/>
      <c r="VQS515" s="379"/>
      <c r="VQT515" s="379"/>
      <c r="VQU515" s="13"/>
      <c r="VQV515" s="13"/>
      <c r="VQW515" s="193"/>
      <c r="VQX515" s="379"/>
      <c r="VQY515" s="379"/>
      <c r="VQZ515" s="379"/>
      <c r="VRA515" s="379"/>
      <c r="VRB515" s="379"/>
      <c r="VRC515" s="13"/>
      <c r="VRD515" s="13"/>
      <c r="VRE515" s="193"/>
      <c r="VRF515" s="379"/>
      <c r="VRG515" s="379"/>
      <c r="VRH515" s="379"/>
      <c r="VRI515" s="379"/>
      <c r="VRJ515" s="379"/>
      <c r="VRK515" s="13"/>
      <c r="VRL515" s="13"/>
      <c r="VRM515" s="193"/>
      <c r="VRN515" s="379"/>
      <c r="VRO515" s="379"/>
      <c r="VRP515" s="379"/>
      <c r="VRQ515" s="379"/>
      <c r="VRR515" s="379"/>
      <c r="VRS515" s="13"/>
      <c r="VRT515" s="13"/>
      <c r="VRU515" s="193"/>
      <c r="VRV515" s="379"/>
      <c r="VRW515" s="379"/>
      <c r="VRX515" s="379"/>
      <c r="VRY515" s="379"/>
      <c r="VRZ515" s="379"/>
      <c r="VSA515" s="13"/>
      <c r="VSB515" s="13"/>
      <c r="VSC515" s="193"/>
      <c r="VSD515" s="379"/>
      <c r="VSE515" s="379"/>
      <c r="VSF515" s="379"/>
      <c r="VSG515" s="379"/>
      <c r="VSH515" s="379"/>
      <c r="VSI515" s="13"/>
      <c r="VSJ515" s="13"/>
      <c r="VSK515" s="193"/>
      <c r="VSL515" s="379"/>
      <c r="VSM515" s="379"/>
      <c r="VSN515" s="379"/>
      <c r="VSO515" s="379"/>
      <c r="VSP515" s="379"/>
      <c r="VSQ515" s="13"/>
      <c r="VSR515" s="13"/>
      <c r="VSS515" s="193"/>
      <c r="VST515" s="379"/>
      <c r="VSU515" s="379"/>
      <c r="VSV515" s="379"/>
      <c r="VSW515" s="379"/>
      <c r="VSX515" s="379"/>
      <c r="VSY515" s="13"/>
      <c r="VSZ515" s="13"/>
      <c r="VTA515" s="193"/>
      <c r="VTB515" s="379"/>
      <c r="VTC515" s="379"/>
      <c r="VTD515" s="379"/>
      <c r="VTE515" s="379"/>
      <c r="VTF515" s="379"/>
      <c r="VTG515" s="13"/>
      <c r="VTH515" s="13"/>
      <c r="VTI515" s="193"/>
      <c r="VTJ515" s="379"/>
      <c r="VTK515" s="379"/>
      <c r="VTL515" s="379"/>
      <c r="VTM515" s="379"/>
      <c r="VTN515" s="379"/>
      <c r="VTO515" s="13"/>
      <c r="VTP515" s="13"/>
      <c r="VTQ515" s="193"/>
      <c r="VTR515" s="379"/>
      <c r="VTS515" s="379"/>
      <c r="VTT515" s="379"/>
      <c r="VTU515" s="379"/>
      <c r="VTV515" s="379"/>
      <c r="VTW515" s="13"/>
      <c r="VTX515" s="13"/>
      <c r="VTY515" s="193"/>
      <c r="VTZ515" s="379"/>
      <c r="VUA515" s="379"/>
      <c r="VUB515" s="379"/>
      <c r="VUC515" s="379"/>
      <c r="VUD515" s="379"/>
      <c r="VUE515" s="13"/>
      <c r="VUF515" s="13"/>
      <c r="VUG515" s="193"/>
      <c r="VUH515" s="379"/>
      <c r="VUI515" s="379"/>
      <c r="VUJ515" s="379"/>
      <c r="VUK515" s="379"/>
      <c r="VUL515" s="379"/>
      <c r="VUM515" s="13"/>
      <c r="VUN515" s="13"/>
      <c r="VUO515" s="193"/>
      <c r="VUP515" s="379"/>
      <c r="VUQ515" s="379"/>
      <c r="VUR515" s="379"/>
      <c r="VUS515" s="379"/>
      <c r="VUT515" s="379"/>
      <c r="VUU515" s="13"/>
      <c r="VUV515" s="13"/>
      <c r="VUW515" s="193"/>
      <c r="VUX515" s="379"/>
      <c r="VUY515" s="379"/>
      <c r="VUZ515" s="379"/>
      <c r="VVA515" s="379"/>
      <c r="VVB515" s="379"/>
      <c r="VVC515" s="13"/>
      <c r="VVD515" s="13"/>
      <c r="VVE515" s="193"/>
      <c r="VVF515" s="379"/>
      <c r="VVG515" s="379"/>
      <c r="VVH515" s="379"/>
      <c r="VVI515" s="379"/>
      <c r="VVJ515" s="379"/>
      <c r="VVK515" s="13"/>
      <c r="VVL515" s="13"/>
      <c r="VVM515" s="193"/>
      <c r="VVN515" s="379"/>
      <c r="VVO515" s="379"/>
      <c r="VVP515" s="379"/>
      <c r="VVQ515" s="379"/>
      <c r="VVR515" s="379"/>
      <c r="VVS515" s="13"/>
      <c r="VVT515" s="13"/>
      <c r="VVU515" s="193"/>
      <c r="VVV515" s="379"/>
      <c r="VVW515" s="379"/>
      <c r="VVX515" s="379"/>
      <c r="VVY515" s="379"/>
      <c r="VVZ515" s="379"/>
      <c r="VWA515" s="13"/>
      <c r="VWB515" s="13"/>
      <c r="VWC515" s="193"/>
      <c r="VWD515" s="379"/>
      <c r="VWE515" s="379"/>
      <c r="VWF515" s="379"/>
      <c r="VWG515" s="379"/>
      <c r="VWH515" s="379"/>
      <c r="VWI515" s="13"/>
      <c r="VWJ515" s="13"/>
      <c r="VWK515" s="193"/>
      <c r="VWL515" s="379"/>
      <c r="VWM515" s="379"/>
      <c r="VWN515" s="379"/>
      <c r="VWO515" s="379"/>
      <c r="VWP515" s="379"/>
      <c r="VWQ515" s="13"/>
      <c r="VWR515" s="13"/>
      <c r="VWS515" s="193"/>
      <c r="VWT515" s="379"/>
      <c r="VWU515" s="379"/>
      <c r="VWV515" s="379"/>
      <c r="VWW515" s="379"/>
      <c r="VWX515" s="379"/>
      <c r="VWY515" s="13"/>
      <c r="VWZ515" s="13"/>
      <c r="VXA515" s="193"/>
      <c r="VXB515" s="379"/>
      <c r="VXC515" s="379"/>
      <c r="VXD515" s="379"/>
      <c r="VXE515" s="379"/>
      <c r="VXF515" s="379"/>
      <c r="VXG515" s="13"/>
      <c r="VXH515" s="13"/>
      <c r="VXI515" s="193"/>
      <c r="VXJ515" s="379"/>
      <c r="VXK515" s="379"/>
      <c r="VXL515" s="379"/>
      <c r="VXM515" s="379"/>
      <c r="VXN515" s="379"/>
      <c r="VXO515" s="13"/>
      <c r="VXP515" s="13"/>
      <c r="VXQ515" s="193"/>
      <c r="VXR515" s="379"/>
      <c r="VXS515" s="379"/>
      <c r="VXT515" s="379"/>
      <c r="VXU515" s="379"/>
      <c r="VXV515" s="379"/>
      <c r="VXW515" s="13"/>
      <c r="VXX515" s="13"/>
      <c r="VXY515" s="193"/>
      <c r="VXZ515" s="379"/>
      <c r="VYA515" s="379"/>
      <c r="VYB515" s="379"/>
      <c r="VYC515" s="379"/>
      <c r="VYD515" s="379"/>
      <c r="VYE515" s="13"/>
      <c r="VYF515" s="13"/>
      <c r="VYG515" s="193"/>
      <c r="VYH515" s="379"/>
      <c r="VYI515" s="379"/>
      <c r="VYJ515" s="379"/>
      <c r="VYK515" s="379"/>
      <c r="VYL515" s="379"/>
      <c r="VYM515" s="13"/>
      <c r="VYN515" s="13"/>
      <c r="VYO515" s="193"/>
      <c r="VYP515" s="379"/>
      <c r="VYQ515" s="379"/>
      <c r="VYR515" s="379"/>
      <c r="VYS515" s="379"/>
      <c r="VYT515" s="379"/>
      <c r="VYU515" s="13"/>
      <c r="VYV515" s="13"/>
      <c r="VYW515" s="193"/>
      <c r="VYX515" s="379"/>
      <c r="VYY515" s="379"/>
      <c r="VYZ515" s="379"/>
      <c r="VZA515" s="379"/>
      <c r="VZB515" s="379"/>
      <c r="VZC515" s="13"/>
      <c r="VZD515" s="13"/>
      <c r="VZE515" s="193"/>
      <c r="VZF515" s="379"/>
      <c r="VZG515" s="379"/>
      <c r="VZH515" s="379"/>
      <c r="VZI515" s="379"/>
      <c r="VZJ515" s="379"/>
      <c r="VZK515" s="13"/>
      <c r="VZL515" s="13"/>
      <c r="VZM515" s="193"/>
      <c r="VZN515" s="379"/>
      <c r="VZO515" s="379"/>
      <c r="VZP515" s="379"/>
      <c r="VZQ515" s="379"/>
      <c r="VZR515" s="379"/>
      <c r="VZS515" s="13"/>
      <c r="VZT515" s="13"/>
      <c r="VZU515" s="193"/>
      <c r="VZV515" s="379"/>
      <c r="VZW515" s="379"/>
      <c r="VZX515" s="379"/>
      <c r="VZY515" s="379"/>
      <c r="VZZ515" s="379"/>
      <c r="WAA515" s="13"/>
      <c r="WAB515" s="13"/>
      <c r="WAC515" s="193"/>
      <c r="WAD515" s="379"/>
      <c r="WAE515" s="379"/>
      <c r="WAF515" s="379"/>
      <c r="WAG515" s="379"/>
      <c r="WAH515" s="379"/>
      <c r="WAI515" s="13"/>
      <c r="WAJ515" s="13"/>
      <c r="WAK515" s="193"/>
      <c r="WAL515" s="379"/>
      <c r="WAM515" s="379"/>
      <c r="WAN515" s="379"/>
      <c r="WAO515" s="379"/>
      <c r="WAP515" s="379"/>
      <c r="WAQ515" s="13"/>
      <c r="WAR515" s="13"/>
      <c r="WAS515" s="193"/>
      <c r="WAT515" s="379"/>
      <c r="WAU515" s="379"/>
      <c r="WAV515" s="379"/>
      <c r="WAW515" s="379"/>
      <c r="WAX515" s="379"/>
      <c r="WAY515" s="13"/>
      <c r="WAZ515" s="13"/>
      <c r="WBA515" s="193"/>
      <c r="WBB515" s="379"/>
      <c r="WBC515" s="379"/>
      <c r="WBD515" s="379"/>
      <c r="WBE515" s="379"/>
      <c r="WBF515" s="379"/>
      <c r="WBG515" s="13"/>
      <c r="WBH515" s="13"/>
      <c r="WBI515" s="193"/>
      <c r="WBJ515" s="379"/>
      <c r="WBK515" s="379"/>
      <c r="WBL515" s="379"/>
      <c r="WBM515" s="379"/>
      <c r="WBN515" s="379"/>
      <c r="WBO515" s="13"/>
      <c r="WBP515" s="13"/>
      <c r="WBQ515" s="193"/>
      <c r="WBR515" s="379"/>
      <c r="WBS515" s="379"/>
      <c r="WBT515" s="379"/>
      <c r="WBU515" s="379"/>
      <c r="WBV515" s="379"/>
      <c r="WBW515" s="13"/>
      <c r="WBX515" s="13"/>
      <c r="WBY515" s="193"/>
      <c r="WBZ515" s="379"/>
      <c r="WCA515" s="379"/>
      <c r="WCB515" s="379"/>
      <c r="WCC515" s="379"/>
      <c r="WCD515" s="379"/>
      <c r="WCE515" s="13"/>
      <c r="WCF515" s="13"/>
      <c r="WCG515" s="193"/>
      <c r="WCH515" s="379"/>
      <c r="WCI515" s="379"/>
      <c r="WCJ515" s="379"/>
      <c r="WCK515" s="379"/>
      <c r="WCL515" s="379"/>
      <c r="WCM515" s="13"/>
      <c r="WCN515" s="13"/>
      <c r="WCO515" s="193"/>
      <c r="WCP515" s="379"/>
      <c r="WCQ515" s="379"/>
      <c r="WCR515" s="379"/>
      <c r="WCS515" s="379"/>
      <c r="WCT515" s="379"/>
      <c r="WCU515" s="13"/>
      <c r="WCV515" s="13"/>
      <c r="WCW515" s="193"/>
      <c r="WCX515" s="379"/>
      <c r="WCY515" s="379"/>
      <c r="WCZ515" s="379"/>
      <c r="WDA515" s="379"/>
      <c r="WDB515" s="379"/>
      <c r="WDC515" s="13"/>
      <c r="WDD515" s="13"/>
      <c r="WDE515" s="193"/>
      <c r="WDF515" s="379"/>
      <c r="WDG515" s="379"/>
      <c r="WDH515" s="379"/>
      <c r="WDI515" s="379"/>
      <c r="WDJ515" s="379"/>
      <c r="WDK515" s="13"/>
      <c r="WDL515" s="13"/>
      <c r="WDM515" s="193"/>
      <c r="WDN515" s="379"/>
      <c r="WDO515" s="379"/>
      <c r="WDP515" s="379"/>
      <c r="WDQ515" s="379"/>
      <c r="WDR515" s="379"/>
      <c r="WDS515" s="13"/>
      <c r="WDT515" s="13"/>
      <c r="WDU515" s="193"/>
      <c r="WDV515" s="379"/>
      <c r="WDW515" s="379"/>
      <c r="WDX515" s="379"/>
      <c r="WDY515" s="379"/>
      <c r="WDZ515" s="379"/>
      <c r="WEA515" s="13"/>
      <c r="WEB515" s="13"/>
      <c r="WEC515" s="193"/>
      <c r="WED515" s="379"/>
      <c r="WEE515" s="379"/>
      <c r="WEF515" s="379"/>
      <c r="WEG515" s="379"/>
      <c r="WEH515" s="379"/>
      <c r="WEI515" s="13"/>
      <c r="WEJ515" s="13"/>
      <c r="WEK515" s="193"/>
      <c r="WEL515" s="379"/>
      <c r="WEM515" s="379"/>
      <c r="WEN515" s="379"/>
      <c r="WEO515" s="379"/>
      <c r="WEP515" s="379"/>
      <c r="WEQ515" s="13"/>
      <c r="WER515" s="13"/>
      <c r="WES515" s="193"/>
      <c r="WET515" s="379"/>
      <c r="WEU515" s="379"/>
      <c r="WEV515" s="379"/>
      <c r="WEW515" s="379"/>
      <c r="WEX515" s="379"/>
      <c r="WEY515" s="13"/>
      <c r="WEZ515" s="13"/>
      <c r="WFA515" s="193"/>
      <c r="WFB515" s="379"/>
      <c r="WFC515" s="379"/>
      <c r="WFD515" s="379"/>
      <c r="WFE515" s="379"/>
      <c r="WFF515" s="379"/>
      <c r="WFG515" s="13"/>
      <c r="WFH515" s="13"/>
      <c r="WFI515" s="193"/>
      <c r="WFJ515" s="379"/>
      <c r="WFK515" s="379"/>
      <c r="WFL515" s="379"/>
      <c r="WFM515" s="379"/>
      <c r="WFN515" s="379"/>
      <c r="WFO515" s="13"/>
      <c r="WFP515" s="13"/>
      <c r="WFQ515" s="193"/>
      <c r="WFR515" s="379"/>
      <c r="WFS515" s="379"/>
      <c r="WFT515" s="379"/>
      <c r="WFU515" s="379"/>
      <c r="WFV515" s="379"/>
      <c r="WFW515" s="13"/>
      <c r="WFX515" s="13"/>
      <c r="WFY515" s="193"/>
      <c r="WFZ515" s="379"/>
      <c r="WGA515" s="379"/>
      <c r="WGB515" s="379"/>
      <c r="WGC515" s="379"/>
      <c r="WGD515" s="379"/>
      <c r="WGE515" s="13"/>
      <c r="WGF515" s="13"/>
      <c r="WGG515" s="193"/>
      <c r="WGH515" s="379"/>
      <c r="WGI515" s="379"/>
      <c r="WGJ515" s="379"/>
      <c r="WGK515" s="379"/>
      <c r="WGL515" s="379"/>
      <c r="WGM515" s="13"/>
      <c r="WGN515" s="13"/>
      <c r="WGO515" s="193"/>
      <c r="WGP515" s="379"/>
      <c r="WGQ515" s="379"/>
      <c r="WGR515" s="379"/>
      <c r="WGS515" s="379"/>
      <c r="WGT515" s="379"/>
      <c r="WGU515" s="13"/>
      <c r="WGV515" s="13"/>
      <c r="WGW515" s="193"/>
      <c r="WGX515" s="379"/>
      <c r="WGY515" s="379"/>
      <c r="WGZ515" s="379"/>
      <c r="WHA515" s="379"/>
      <c r="WHB515" s="379"/>
      <c r="WHC515" s="13"/>
      <c r="WHD515" s="13"/>
      <c r="WHE515" s="193"/>
      <c r="WHF515" s="379"/>
      <c r="WHG515" s="379"/>
      <c r="WHH515" s="379"/>
      <c r="WHI515" s="379"/>
      <c r="WHJ515" s="379"/>
      <c r="WHK515" s="13"/>
      <c r="WHL515" s="13"/>
      <c r="WHM515" s="193"/>
      <c r="WHN515" s="379"/>
      <c r="WHO515" s="379"/>
      <c r="WHP515" s="379"/>
      <c r="WHQ515" s="379"/>
      <c r="WHR515" s="379"/>
      <c r="WHS515" s="13"/>
      <c r="WHT515" s="13"/>
      <c r="WHU515" s="193"/>
      <c r="WHV515" s="379"/>
      <c r="WHW515" s="379"/>
      <c r="WHX515" s="379"/>
      <c r="WHY515" s="379"/>
      <c r="WHZ515" s="379"/>
      <c r="WIA515" s="13"/>
      <c r="WIB515" s="13"/>
      <c r="WIC515" s="193"/>
      <c r="WID515" s="379"/>
      <c r="WIE515" s="379"/>
      <c r="WIF515" s="379"/>
      <c r="WIG515" s="379"/>
      <c r="WIH515" s="379"/>
      <c r="WII515" s="13"/>
      <c r="WIJ515" s="13"/>
      <c r="WIK515" s="193"/>
      <c r="WIL515" s="379"/>
      <c r="WIM515" s="379"/>
      <c r="WIN515" s="379"/>
      <c r="WIO515" s="379"/>
      <c r="WIP515" s="379"/>
      <c r="WIQ515" s="13"/>
      <c r="WIR515" s="13"/>
      <c r="WIS515" s="193"/>
      <c r="WIT515" s="379"/>
      <c r="WIU515" s="379"/>
      <c r="WIV515" s="379"/>
      <c r="WIW515" s="379"/>
      <c r="WIX515" s="379"/>
      <c r="WIY515" s="13"/>
      <c r="WIZ515" s="13"/>
      <c r="WJA515" s="193"/>
      <c r="WJB515" s="379"/>
      <c r="WJC515" s="379"/>
      <c r="WJD515" s="379"/>
      <c r="WJE515" s="379"/>
      <c r="WJF515" s="379"/>
      <c r="WJG515" s="13"/>
      <c r="WJH515" s="13"/>
      <c r="WJI515" s="193"/>
      <c r="WJJ515" s="379"/>
      <c r="WJK515" s="379"/>
      <c r="WJL515" s="379"/>
      <c r="WJM515" s="379"/>
      <c r="WJN515" s="379"/>
      <c r="WJO515" s="13"/>
      <c r="WJP515" s="13"/>
      <c r="WJQ515" s="193"/>
      <c r="WJR515" s="379"/>
      <c r="WJS515" s="379"/>
      <c r="WJT515" s="379"/>
      <c r="WJU515" s="379"/>
      <c r="WJV515" s="379"/>
      <c r="WJW515" s="13"/>
      <c r="WJX515" s="13"/>
      <c r="WJY515" s="193"/>
      <c r="WJZ515" s="379"/>
      <c r="WKA515" s="379"/>
      <c r="WKB515" s="379"/>
      <c r="WKC515" s="379"/>
      <c r="WKD515" s="379"/>
      <c r="WKE515" s="13"/>
      <c r="WKF515" s="13"/>
      <c r="WKG515" s="193"/>
      <c r="WKH515" s="379"/>
      <c r="WKI515" s="379"/>
      <c r="WKJ515" s="379"/>
      <c r="WKK515" s="379"/>
      <c r="WKL515" s="379"/>
      <c r="WKM515" s="13"/>
      <c r="WKN515" s="13"/>
      <c r="WKO515" s="193"/>
      <c r="WKP515" s="379"/>
      <c r="WKQ515" s="379"/>
      <c r="WKR515" s="379"/>
      <c r="WKS515" s="379"/>
      <c r="WKT515" s="379"/>
      <c r="WKU515" s="13"/>
      <c r="WKV515" s="13"/>
      <c r="WKW515" s="193"/>
      <c r="WKX515" s="379"/>
      <c r="WKY515" s="379"/>
      <c r="WKZ515" s="379"/>
      <c r="WLA515" s="379"/>
      <c r="WLB515" s="379"/>
      <c r="WLC515" s="13"/>
      <c r="WLD515" s="13"/>
      <c r="WLE515" s="193"/>
      <c r="WLF515" s="379"/>
      <c r="WLG515" s="379"/>
      <c r="WLH515" s="379"/>
      <c r="WLI515" s="379"/>
      <c r="WLJ515" s="379"/>
      <c r="WLK515" s="13"/>
      <c r="WLL515" s="13"/>
      <c r="WLM515" s="193"/>
      <c r="WLN515" s="379"/>
      <c r="WLO515" s="379"/>
      <c r="WLP515" s="379"/>
      <c r="WLQ515" s="379"/>
      <c r="WLR515" s="379"/>
      <c r="WLS515" s="13"/>
      <c r="WLT515" s="13"/>
      <c r="WLU515" s="193"/>
      <c r="WLV515" s="379"/>
      <c r="WLW515" s="379"/>
      <c r="WLX515" s="379"/>
      <c r="WLY515" s="379"/>
      <c r="WLZ515" s="379"/>
      <c r="WMA515" s="13"/>
      <c r="WMB515" s="13"/>
      <c r="WMC515" s="193"/>
      <c r="WMD515" s="379"/>
      <c r="WME515" s="379"/>
      <c r="WMF515" s="379"/>
      <c r="WMG515" s="379"/>
      <c r="WMH515" s="379"/>
      <c r="WMI515" s="13"/>
      <c r="WMJ515" s="13"/>
      <c r="WMK515" s="193"/>
      <c r="WML515" s="379"/>
      <c r="WMM515" s="379"/>
      <c r="WMN515" s="379"/>
      <c r="WMO515" s="379"/>
      <c r="WMP515" s="379"/>
      <c r="WMQ515" s="13"/>
      <c r="WMR515" s="13"/>
      <c r="WMS515" s="193"/>
      <c r="WMT515" s="379"/>
      <c r="WMU515" s="379"/>
      <c r="WMV515" s="379"/>
      <c r="WMW515" s="379"/>
      <c r="WMX515" s="379"/>
      <c r="WMY515" s="13"/>
      <c r="WMZ515" s="13"/>
      <c r="WNA515" s="193"/>
      <c r="WNB515" s="379"/>
      <c r="WNC515" s="379"/>
      <c r="WND515" s="379"/>
      <c r="WNE515" s="379"/>
      <c r="WNF515" s="379"/>
      <c r="WNG515" s="13"/>
      <c r="WNH515" s="13"/>
      <c r="WNI515" s="193"/>
      <c r="WNJ515" s="379"/>
      <c r="WNK515" s="379"/>
      <c r="WNL515" s="379"/>
      <c r="WNM515" s="379"/>
      <c r="WNN515" s="379"/>
      <c r="WNO515" s="13"/>
      <c r="WNP515" s="13"/>
      <c r="WNQ515" s="193"/>
      <c r="WNR515" s="379"/>
      <c r="WNS515" s="379"/>
      <c r="WNT515" s="379"/>
      <c r="WNU515" s="379"/>
      <c r="WNV515" s="379"/>
      <c r="WNW515" s="13"/>
      <c r="WNX515" s="13"/>
      <c r="WNY515" s="193"/>
      <c r="WNZ515" s="379"/>
      <c r="WOA515" s="379"/>
      <c r="WOB515" s="379"/>
      <c r="WOC515" s="379"/>
      <c r="WOD515" s="379"/>
      <c r="WOE515" s="13"/>
      <c r="WOF515" s="13"/>
      <c r="WOG515" s="193"/>
      <c r="WOH515" s="379"/>
      <c r="WOI515" s="379"/>
      <c r="WOJ515" s="379"/>
      <c r="WOK515" s="379"/>
      <c r="WOL515" s="379"/>
      <c r="WOM515" s="13"/>
      <c r="WON515" s="13"/>
      <c r="WOO515" s="193"/>
      <c r="WOP515" s="379"/>
      <c r="WOQ515" s="379"/>
      <c r="WOR515" s="379"/>
      <c r="WOS515" s="379"/>
      <c r="WOT515" s="379"/>
      <c r="WOU515" s="13"/>
      <c r="WOV515" s="13"/>
      <c r="WOW515" s="193"/>
      <c r="WOX515" s="379"/>
      <c r="WOY515" s="379"/>
      <c r="WOZ515" s="379"/>
      <c r="WPA515" s="379"/>
      <c r="WPB515" s="379"/>
      <c r="WPC515" s="13"/>
      <c r="WPD515" s="13"/>
      <c r="WPE515" s="193"/>
      <c r="WPF515" s="379"/>
      <c r="WPG515" s="379"/>
      <c r="WPH515" s="379"/>
      <c r="WPI515" s="379"/>
      <c r="WPJ515" s="379"/>
      <c r="WPK515" s="13"/>
      <c r="WPL515" s="13"/>
      <c r="WPM515" s="193"/>
      <c r="WPN515" s="379"/>
      <c r="WPO515" s="379"/>
      <c r="WPP515" s="379"/>
      <c r="WPQ515" s="379"/>
      <c r="WPR515" s="379"/>
      <c r="WPS515" s="13"/>
      <c r="WPT515" s="13"/>
      <c r="WPU515" s="193"/>
      <c r="WPV515" s="379"/>
      <c r="WPW515" s="379"/>
      <c r="WPX515" s="379"/>
      <c r="WPY515" s="379"/>
      <c r="WPZ515" s="379"/>
      <c r="WQA515" s="13"/>
      <c r="WQB515" s="13"/>
      <c r="WQC515" s="193"/>
      <c r="WQD515" s="379"/>
      <c r="WQE515" s="379"/>
      <c r="WQF515" s="379"/>
      <c r="WQG515" s="379"/>
      <c r="WQH515" s="379"/>
      <c r="WQI515" s="13"/>
      <c r="WQJ515" s="13"/>
      <c r="WQK515" s="193"/>
      <c r="WQL515" s="379"/>
      <c r="WQM515" s="379"/>
      <c r="WQN515" s="379"/>
      <c r="WQO515" s="379"/>
      <c r="WQP515" s="379"/>
      <c r="WQQ515" s="13"/>
      <c r="WQR515" s="13"/>
      <c r="WQS515" s="193"/>
      <c r="WQT515" s="379"/>
      <c r="WQU515" s="379"/>
      <c r="WQV515" s="379"/>
      <c r="WQW515" s="379"/>
      <c r="WQX515" s="379"/>
      <c r="WQY515" s="13"/>
      <c r="WQZ515" s="13"/>
      <c r="WRA515" s="193"/>
      <c r="WRB515" s="379"/>
      <c r="WRC515" s="379"/>
      <c r="WRD515" s="379"/>
      <c r="WRE515" s="379"/>
      <c r="WRF515" s="379"/>
      <c r="WRG515" s="13"/>
      <c r="WRH515" s="13"/>
      <c r="WRI515" s="193"/>
      <c r="WRJ515" s="379"/>
      <c r="WRK515" s="379"/>
      <c r="WRL515" s="379"/>
      <c r="WRM515" s="379"/>
      <c r="WRN515" s="379"/>
      <c r="WRO515" s="13"/>
      <c r="WRP515" s="13"/>
      <c r="WRQ515" s="193"/>
      <c r="WRR515" s="379"/>
      <c r="WRS515" s="379"/>
      <c r="WRT515" s="379"/>
      <c r="WRU515" s="379"/>
      <c r="WRV515" s="379"/>
      <c r="WRW515" s="13"/>
      <c r="WRX515" s="13"/>
      <c r="WRY515" s="193"/>
      <c r="WRZ515" s="379"/>
      <c r="WSA515" s="379"/>
      <c r="WSB515" s="379"/>
      <c r="WSC515" s="379"/>
      <c r="WSD515" s="379"/>
      <c r="WSE515" s="13"/>
      <c r="WSF515" s="13"/>
      <c r="WSG515" s="193"/>
      <c r="WSH515" s="379"/>
      <c r="WSI515" s="379"/>
      <c r="WSJ515" s="379"/>
      <c r="WSK515" s="379"/>
      <c r="WSL515" s="379"/>
      <c r="WSM515" s="13"/>
      <c r="WSN515" s="13"/>
      <c r="WSO515" s="193"/>
      <c r="WSP515" s="379"/>
      <c r="WSQ515" s="379"/>
      <c r="WSR515" s="379"/>
      <c r="WSS515" s="379"/>
      <c r="WST515" s="379"/>
      <c r="WSU515" s="13"/>
      <c r="WSV515" s="13"/>
      <c r="WSW515" s="193"/>
      <c r="WSX515" s="379"/>
      <c r="WSY515" s="379"/>
      <c r="WSZ515" s="379"/>
      <c r="WTA515" s="379"/>
      <c r="WTB515" s="379"/>
      <c r="WTC515" s="13"/>
      <c r="WTD515" s="13"/>
      <c r="WTE515" s="193"/>
      <c r="WTF515" s="379"/>
      <c r="WTG515" s="379"/>
      <c r="WTH515" s="379"/>
      <c r="WTI515" s="379"/>
      <c r="WTJ515" s="379"/>
      <c r="WTK515" s="13"/>
      <c r="WTL515" s="13"/>
      <c r="WTM515" s="193"/>
      <c r="WTN515" s="379"/>
      <c r="WTO515" s="379"/>
      <c r="WTP515" s="379"/>
      <c r="WTQ515" s="379"/>
      <c r="WTR515" s="379"/>
      <c r="WTS515" s="13"/>
      <c r="WTT515" s="13"/>
      <c r="WTU515" s="193"/>
      <c r="WTV515" s="379"/>
      <c r="WTW515" s="379"/>
      <c r="WTX515" s="379"/>
      <c r="WTY515" s="379"/>
      <c r="WTZ515" s="379"/>
      <c r="WUA515" s="13"/>
      <c r="WUB515" s="13"/>
      <c r="WUC515" s="193"/>
      <c r="WUD515" s="379"/>
      <c r="WUE515" s="379"/>
      <c r="WUF515" s="379"/>
      <c r="WUG515" s="379"/>
      <c r="WUH515" s="379"/>
      <c r="WUI515" s="13"/>
      <c r="WUJ515" s="13"/>
      <c r="WUK515" s="193"/>
      <c r="WUL515" s="379"/>
      <c r="WUM515" s="379"/>
      <c r="WUN515" s="379"/>
      <c r="WUO515" s="379"/>
      <c r="WUP515" s="379"/>
      <c r="WUQ515" s="13"/>
      <c r="WUR515" s="13"/>
      <c r="WUS515" s="193"/>
      <c r="WUT515" s="379"/>
      <c r="WUU515" s="379"/>
      <c r="WUV515" s="379"/>
      <c r="WUW515" s="379"/>
      <c r="WUX515" s="379"/>
      <c r="WUY515" s="13"/>
      <c r="WUZ515" s="13"/>
      <c r="WVA515" s="193"/>
      <c r="WVB515" s="379"/>
      <c r="WVC515" s="379"/>
      <c r="WVD515" s="379"/>
      <c r="WVE515" s="379"/>
      <c r="WVF515" s="379"/>
      <c r="WVG515" s="13"/>
      <c r="WVH515" s="13"/>
      <c r="WVI515" s="193"/>
      <c r="WVJ515" s="379"/>
      <c r="WVK515" s="379"/>
      <c r="WVL515" s="379"/>
      <c r="WVM515" s="379"/>
      <c r="WVN515" s="379"/>
      <c r="WVO515" s="13"/>
      <c r="WVP515" s="13"/>
      <c r="WVQ515" s="193"/>
      <c r="WVR515" s="379"/>
      <c r="WVS515" s="379"/>
      <c r="WVT515" s="379"/>
      <c r="WVU515" s="379"/>
      <c r="WVV515" s="379"/>
      <c r="WVW515" s="13"/>
      <c r="WVX515" s="13"/>
      <c r="WVY515" s="193"/>
      <c r="WVZ515" s="379"/>
      <c r="WWA515" s="379"/>
      <c r="WWB515" s="379"/>
      <c r="WWC515" s="379"/>
      <c r="WWD515" s="379"/>
      <c r="WWE515" s="13"/>
      <c r="WWF515" s="13"/>
      <c r="WWG515" s="193"/>
      <c r="WWH515" s="379"/>
      <c r="WWI515" s="379"/>
      <c r="WWJ515" s="379"/>
      <c r="WWK515" s="379"/>
      <c r="WWL515" s="379"/>
      <c r="WWM515" s="13"/>
      <c r="WWN515" s="13"/>
      <c r="WWO515" s="193"/>
      <c r="WWP515" s="379"/>
      <c r="WWQ515" s="379"/>
      <c r="WWR515" s="379"/>
      <c r="WWS515" s="379"/>
      <c r="WWT515" s="379"/>
      <c r="WWU515" s="13"/>
      <c r="WWV515" s="13"/>
      <c r="WWW515" s="193"/>
      <c r="WWX515" s="379"/>
      <c r="WWY515" s="379"/>
      <c r="WWZ515" s="379"/>
      <c r="WXA515" s="379"/>
      <c r="WXB515" s="379"/>
      <c r="WXC515" s="13"/>
      <c r="WXD515" s="13"/>
      <c r="WXE515" s="193"/>
      <c r="WXF515" s="379"/>
      <c r="WXG515" s="379"/>
      <c r="WXH515" s="379"/>
      <c r="WXI515" s="379"/>
      <c r="WXJ515" s="379"/>
      <c r="WXK515" s="13"/>
      <c r="WXL515" s="13"/>
      <c r="WXM515" s="193"/>
      <c r="WXN515" s="379"/>
      <c r="WXO515" s="379"/>
      <c r="WXP515" s="379"/>
      <c r="WXQ515" s="379"/>
      <c r="WXR515" s="379"/>
      <c r="WXS515" s="13"/>
      <c r="WXT515" s="13"/>
      <c r="WXU515" s="193"/>
      <c r="WXV515" s="379"/>
      <c r="WXW515" s="379"/>
      <c r="WXX515" s="379"/>
      <c r="WXY515" s="379"/>
      <c r="WXZ515" s="379"/>
      <c r="WYA515" s="13"/>
      <c r="WYB515" s="13"/>
      <c r="WYC515" s="193"/>
      <c r="WYD515" s="379"/>
      <c r="WYE515" s="379"/>
      <c r="WYF515" s="379"/>
      <c r="WYG515" s="379"/>
      <c r="WYH515" s="379"/>
      <c r="WYI515" s="13"/>
      <c r="WYJ515" s="13"/>
      <c r="WYK515" s="193"/>
      <c r="WYL515" s="379"/>
      <c r="WYM515" s="379"/>
      <c r="WYN515" s="379"/>
      <c r="WYO515" s="379"/>
      <c r="WYP515" s="379"/>
      <c r="WYQ515" s="13"/>
      <c r="WYR515" s="13"/>
      <c r="WYS515" s="193"/>
      <c r="WYT515" s="379"/>
      <c r="WYU515" s="379"/>
      <c r="WYV515" s="379"/>
      <c r="WYW515" s="379"/>
      <c r="WYX515" s="379"/>
      <c r="WYY515" s="13"/>
      <c r="WYZ515" s="13"/>
      <c r="WZA515" s="193"/>
      <c r="WZB515" s="379"/>
      <c r="WZC515" s="379"/>
      <c r="WZD515" s="379"/>
      <c r="WZE515" s="379"/>
      <c r="WZF515" s="379"/>
      <c r="WZG515" s="13"/>
      <c r="WZH515" s="13"/>
      <c r="WZI515" s="193"/>
      <c r="WZJ515" s="379"/>
      <c r="WZK515" s="379"/>
      <c r="WZL515" s="379"/>
      <c r="WZM515" s="379"/>
      <c r="WZN515" s="379"/>
      <c r="WZO515" s="13"/>
      <c r="WZP515" s="13"/>
      <c r="WZQ515" s="193"/>
      <c r="WZR515" s="379"/>
      <c r="WZS515" s="379"/>
      <c r="WZT515" s="379"/>
      <c r="WZU515" s="379"/>
      <c r="WZV515" s="379"/>
      <c r="WZW515" s="13"/>
      <c r="WZX515" s="13"/>
      <c r="WZY515" s="193"/>
      <c r="WZZ515" s="379"/>
      <c r="XAA515" s="379"/>
      <c r="XAB515" s="379"/>
      <c r="XAC515" s="379"/>
      <c r="XAD515" s="379"/>
      <c r="XAE515" s="13"/>
      <c r="XAF515" s="13"/>
      <c r="XAG515" s="193"/>
      <c r="XAH515" s="379"/>
      <c r="XAI515" s="379"/>
      <c r="XAJ515" s="379"/>
      <c r="XAK515" s="379"/>
      <c r="XAL515" s="379"/>
      <c r="XAM515" s="13"/>
      <c r="XAN515" s="13"/>
      <c r="XAO515" s="193"/>
      <c r="XAP515" s="379"/>
      <c r="XAQ515" s="379"/>
      <c r="XAR515" s="379"/>
      <c r="XAS515" s="379"/>
      <c r="XAT515" s="379"/>
      <c r="XAU515" s="13"/>
      <c r="XAV515" s="13"/>
      <c r="XAW515" s="193"/>
      <c r="XAX515" s="379"/>
      <c r="XAY515" s="379"/>
      <c r="XAZ515" s="379"/>
      <c r="XBA515" s="379"/>
      <c r="XBB515" s="379"/>
      <c r="XBC515" s="13"/>
      <c r="XBD515" s="13"/>
      <c r="XBE515" s="193"/>
      <c r="XBF515" s="379"/>
      <c r="XBG515" s="379"/>
      <c r="XBH515" s="379"/>
      <c r="XBI515" s="379"/>
      <c r="XBJ515" s="379"/>
      <c r="XBK515" s="13"/>
      <c r="XBL515" s="13"/>
      <c r="XBM515" s="193"/>
      <c r="XBN515" s="379"/>
      <c r="XBO515" s="379"/>
      <c r="XBP515" s="379"/>
      <c r="XBQ515" s="379"/>
      <c r="XBR515" s="379"/>
      <c r="XBS515" s="13"/>
      <c r="XBT515" s="13"/>
      <c r="XBU515" s="193"/>
      <c r="XBV515" s="379"/>
      <c r="XBW515" s="379"/>
      <c r="XBX515" s="379"/>
      <c r="XBY515" s="379"/>
      <c r="XBZ515" s="379"/>
      <c r="XCA515" s="13"/>
      <c r="XCB515" s="13"/>
      <c r="XCC515" s="193"/>
      <c r="XCD515" s="379"/>
      <c r="XCE515" s="379"/>
      <c r="XCF515" s="379"/>
      <c r="XCG515" s="379"/>
      <c r="XCH515" s="379"/>
      <c r="XCI515" s="13"/>
      <c r="XCJ515" s="13"/>
      <c r="XCK515" s="193"/>
      <c r="XCL515" s="379"/>
      <c r="XCM515" s="379"/>
      <c r="XCN515" s="379"/>
      <c r="XCO515" s="379"/>
      <c r="XCP515" s="379"/>
      <c r="XCQ515" s="13"/>
      <c r="XCR515" s="13"/>
      <c r="XCS515" s="193"/>
      <c r="XCT515" s="379"/>
      <c r="XCU515" s="379"/>
      <c r="XCV515" s="379"/>
      <c r="XCW515" s="379"/>
      <c r="XCX515" s="379"/>
      <c r="XCY515" s="13"/>
      <c r="XCZ515" s="13"/>
      <c r="XDA515" s="193"/>
      <c r="XDB515" s="379"/>
      <c r="XDC515" s="379"/>
      <c r="XDD515" s="379"/>
      <c r="XDE515" s="379"/>
      <c r="XDF515" s="379"/>
      <c r="XDG515" s="13"/>
      <c r="XDH515" s="13"/>
      <c r="XDI515" s="193"/>
      <c r="XDJ515" s="379"/>
      <c r="XDK515" s="379"/>
      <c r="XDL515" s="379"/>
      <c r="XDM515" s="379"/>
      <c r="XDN515" s="379"/>
      <c r="XDO515" s="13"/>
      <c r="XDP515" s="13"/>
      <c r="XDQ515" s="193"/>
      <c r="XDR515" s="379"/>
      <c r="XDS515" s="379"/>
      <c r="XDT515" s="379"/>
      <c r="XDU515" s="379"/>
      <c r="XDV515" s="379"/>
      <c r="XDW515" s="13"/>
      <c r="XDX515" s="13"/>
      <c r="XDY515" s="193"/>
      <c r="XDZ515" s="379"/>
      <c r="XEA515" s="379"/>
      <c r="XEB515" s="379"/>
      <c r="XEC515" s="379"/>
      <c r="XED515" s="379"/>
      <c r="XEE515" s="13"/>
      <c r="XEF515" s="13"/>
      <c r="XEG515" s="193"/>
      <c r="XEH515" s="379"/>
      <c r="XEI515" s="379"/>
      <c r="XEJ515" s="379"/>
      <c r="XEK515" s="379"/>
      <c r="XEL515" s="379"/>
      <c r="XEM515" s="13"/>
      <c r="XEN515" s="13"/>
      <c r="XEO515" s="193"/>
      <c r="XEP515" s="379"/>
      <c r="XEQ515" s="379"/>
      <c r="XER515" s="379"/>
      <c r="XES515" s="379"/>
      <c r="XET515" s="379"/>
      <c r="XEU515" s="13"/>
      <c r="XEV515" s="13"/>
      <c r="XEW515" s="193"/>
      <c r="XEX515" s="379"/>
      <c r="XEY515" s="379"/>
      <c r="XEZ515" s="379"/>
      <c r="XFA515" s="379"/>
      <c r="XFB515" s="379"/>
      <c r="XFC515" s="13"/>
      <c r="XFD515" s="13"/>
    </row>
    <row r="516" spans="1:16384" s="640" customFormat="1" ht="18" customHeight="1" x14ac:dyDescent="0.3">
      <c r="A516" s="2314"/>
      <c r="B516" s="1718"/>
      <c r="C516" s="1718"/>
      <c r="D516" s="1718"/>
      <c r="E516" s="1718"/>
      <c r="F516" s="385" t="s">
        <v>13</v>
      </c>
      <c r="G516" s="69">
        <f t="shared" ref="G516:G517" si="265">SUM(H516:L516)</f>
        <v>6682.41</v>
      </c>
      <c r="H516" s="69">
        <v>6682.41</v>
      </c>
      <c r="I516" s="69"/>
      <c r="J516" s="69"/>
      <c r="K516" s="69"/>
      <c r="L516" s="69"/>
      <c r="M516" s="677"/>
      <c r="N516" s="609"/>
      <c r="O516" s="69"/>
      <c r="P516" s="1117" t="s">
        <v>1575</v>
      </c>
      <c r="Q516" s="193"/>
      <c r="R516" s="379"/>
      <c r="S516" s="379"/>
      <c r="T516" s="379"/>
      <c r="U516" s="379"/>
      <c r="V516" s="379"/>
      <c r="W516" s="1172">
        <v>1</v>
      </c>
      <c r="X516" s="13"/>
      <c r="Y516" s="193"/>
      <c r="Z516" s="379"/>
      <c r="AA516" s="379"/>
      <c r="AB516" s="379"/>
      <c r="AC516" s="379"/>
      <c r="AD516" s="379"/>
      <c r="AE516" s="13"/>
      <c r="AF516" s="13"/>
      <c r="AG516" s="193"/>
      <c r="AH516" s="379"/>
      <c r="AI516" s="379"/>
      <c r="AJ516" s="379"/>
      <c r="AK516" s="379"/>
      <c r="AL516" s="379"/>
      <c r="AM516" s="13"/>
      <c r="AN516" s="13"/>
      <c r="AO516" s="193"/>
      <c r="AP516" s="379"/>
      <c r="AQ516" s="379"/>
      <c r="AR516" s="379"/>
      <c r="AS516" s="379"/>
      <c r="AT516" s="379"/>
      <c r="AU516" s="13"/>
      <c r="AV516" s="13"/>
      <c r="AW516" s="193"/>
      <c r="AX516" s="379"/>
      <c r="AY516" s="379"/>
      <c r="AZ516" s="379"/>
      <c r="BA516" s="379"/>
      <c r="BB516" s="379"/>
      <c r="BC516" s="13"/>
      <c r="BD516" s="13"/>
      <c r="BE516" s="193"/>
      <c r="BF516" s="379"/>
      <c r="BG516" s="379"/>
      <c r="BH516" s="379"/>
      <c r="BI516" s="379"/>
      <c r="BJ516" s="379"/>
      <c r="BK516" s="13"/>
      <c r="BL516" s="13"/>
      <c r="BM516" s="193"/>
      <c r="BN516" s="379"/>
      <c r="BO516" s="379"/>
      <c r="BP516" s="379"/>
      <c r="BQ516" s="379"/>
      <c r="BR516" s="379"/>
      <c r="BS516" s="13"/>
      <c r="BT516" s="13"/>
      <c r="BU516" s="193"/>
      <c r="BV516" s="379"/>
      <c r="BW516" s="379"/>
      <c r="BX516" s="379"/>
      <c r="BY516" s="379"/>
      <c r="BZ516" s="379"/>
      <c r="CA516" s="13"/>
      <c r="CB516" s="13"/>
      <c r="CC516" s="193"/>
      <c r="CD516" s="379"/>
      <c r="CE516" s="379"/>
      <c r="CF516" s="379"/>
      <c r="CG516" s="379"/>
      <c r="CH516" s="379"/>
      <c r="CI516" s="13"/>
      <c r="CJ516" s="13"/>
      <c r="CK516" s="193"/>
      <c r="CL516" s="379"/>
      <c r="CM516" s="379"/>
      <c r="CN516" s="379"/>
      <c r="CO516" s="379"/>
      <c r="CP516" s="379"/>
      <c r="CQ516" s="13"/>
      <c r="CR516" s="13"/>
      <c r="CS516" s="193"/>
      <c r="CT516" s="379"/>
      <c r="CU516" s="379"/>
      <c r="CV516" s="379"/>
      <c r="CW516" s="379"/>
      <c r="CX516" s="379"/>
      <c r="CY516" s="13"/>
      <c r="CZ516" s="13"/>
      <c r="DA516" s="193"/>
      <c r="DB516" s="379"/>
      <c r="DC516" s="379"/>
      <c r="DD516" s="379"/>
      <c r="DE516" s="379"/>
      <c r="DF516" s="379"/>
      <c r="DG516" s="13"/>
      <c r="DH516" s="13"/>
      <c r="DI516" s="193"/>
      <c r="DJ516" s="379"/>
      <c r="DK516" s="379"/>
      <c r="DL516" s="379"/>
      <c r="DM516" s="379"/>
      <c r="DN516" s="379"/>
      <c r="DO516" s="13"/>
      <c r="DP516" s="13"/>
      <c r="DQ516" s="193"/>
      <c r="DR516" s="379"/>
      <c r="DS516" s="379"/>
      <c r="DT516" s="379"/>
      <c r="DU516" s="379"/>
      <c r="DV516" s="379"/>
      <c r="DW516" s="13"/>
      <c r="DX516" s="13"/>
      <c r="DY516" s="193"/>
      <c r="DZ516" s="379"/>
      <c r="EA516" s="379"/>
      <c r="EB516" s="379"/>
      <c r="EC516" s="379"/>
      <c r="ED516" s="379"/>
      <c r="EE516" s="13"/>
      <c r="EF516" s="13"/>
      <c r="EG516" s="193"/>
      <c r="EH516" s="379"/>
      <c r="EI516" s="379"/>
      <c r="EJ516" s="379"/>
      <c r="EK516" s="379"/>
      <c r="EL516" s="379"/>
      <c r="EM516" s="13"/>
      <c r="EN516" s="13"/>
      <c r="EO516" s="193"/>
      <c r="EP516" s="379"/>
      <c r="EQ516" s="379"/>
      <c r="ER516" s="379"/>
      <c r="ES516" s="379"/>
      <c r="ET516" s="379"/>
      <c r="EU516" s="13"/>
      <c r="EV516" s="13"/>
      <c r="EW516" s="193"/>
      <c r="EX516" s="379"/>
      <c r="EY516" s="379"/>
      <c r="EZ516" s="379"/>
      <c r="FA516" s="379"/>
      <c r="FB516" s="379"/>
      <c r="FC516" s="13"/>
      <c r="FD516" s="13"/>
      <c r="FE516" s="193"/>
      <c r="FF516" s="379"/>
      <c r="FG516" s="379"/>
      <c r="FH516" s="379"/>
      <c r="FI516" s="379"/>
      <c r="FJ516" s="379"/>
      <c r="FK516" s="13"/>
      <c r="FL516" s="13"/>
      <c r="FM516" s="193"/>
      <c r="FN516" s="379"/>
      <c r="FO516" s="379"/>
      <c r="FP516" s="379"/>
      <c r="FQ516" s="379"/>
      <c r="FR516" s="379"/>
      <c r="FS516" s="13"/>
      <c r="FT516" s="13"/>
      <c r="FU516" s="193"/>
      <c r="FV516" s="379"/>
      <c r="FW516" s="379"/>
      <c r="FX516" s="379"/>
      <c r="FY516" s="379"/>
      <c r="FZ516" s="379"/>
      <c r="GA516" s="13"/>
      <c r="GB516" s="13"/>
      <c r="GC516" s="193"/>
      <c r="GD516" s="379"/>
      <c r="GE516" s="379"/>
      <c r="GF516" s="379"/>
      <c r="GG516" s="379"/>
      <c r="GH516" s="379"/>
      <c r="GI516" s="13"/>
      <c r="GJ516" s="13"/>
      <c r="GK516" s="193"/>
      <c r="GL516" s="379"/>
      <c r="GM516" s="379"/>
      <c r="GN516" s="379"/>
      <c r="GO516" s="379"/>
      <c r="GP516" s="379"/>
      <c r="GQ516" s="13"/>
      <c r="GR516" s="13"/>
      <c r="GS516" s="193"/>
      <c r="GT516" s="379"/>
      <c r="GU516" s="379"/>
      <c r="GV516" s="379"/>
      <c r="GW516" s="379"/>
      <c r="GX516" s="379"/>
      <c r="GY516" s="13"/>
      <c r="GZ516" s="13"/>
      <c r="HA516" s="193"/>
      <c r="HB516" s="379"/>
      <c r="HC516" s="379"/>
      <c r="HD516" s="379"/>
      <c r="HE516" s="379"/>
      <c r="HF516" s="379"/>
      <c r="HG516" s="13"/>
      <c r="HH516" s="13"/>
      <c r="HI516" s="193"/>
      <c r="HJ516" s="379"/>
      <c r="HK516" s="379"/>
      <c r="HL516" s="379"/>
      <c r="HM516" s="379"/>
      <c r="HN516" s="379"/>
      <c r="HO516" s="13"/>
      <c r="HP516" s="13"/>
      <c r="HQ516" s="193"/>
      <c r="HR516" s="379"/>
      <c r="HS516" s="379"/>
      <c r="HT516" s="379"/>
      <c r="HU516" s="379"/>
      <c r="HV516" s="379"/>
      <c r="HW516" s="13"/>
      <c r="HX516" s="13"/>
      <c r="HY516" s="193"/>
      <c r="HZ516" s="379"/>
      <c r="IA516" s="379"/>
      <c r="IB516" s="379"/>
      <c r="IC516" s="379"/>
      <c r="ID516" s="379"/>
      <c r="IE516" s="13"/>
      <c r="IF516" s="13"/>
      <c r="IG516" s="193"/>
      <c r="IH516" s="379"/>
      <c r="II516" s="379"/>
      <c r="IJ516" s="379"/>
      <c r="IK516" s="379"/>
      <c r="IL516" s="379"/>
      <c r="IM516" s="13"/>
      <c r="IN516" s="13"/>
      <c r="IO516" s="193"/>
      <c r="IP516" s="379"/>
      <c r="IQ516" s="379"/>
      <c r="IR516" s="379"/>
      <c r="IS516" s="379"/>
      <c r="IT516" s="379"/>
      <c r="IU516" s="13"/>
      <c r="IV516" s="13"/>
      <c r="IW516" s="193"/>
      <c r="IX516" s="379"/>
      <c r="IY516" s="379"/>
      <c r="IZ516" s="379"/>
      <c r="JA516" s="379"/>
      <c r="JB516" s="379"/>
      <c r="JC516" s="13"/>
      <c r="JD516" s="13"/>
      <c r="JE516" s="193"/>
      <c r="JF516" s="379"/>
      <c r="JG516" s="379"/>
      <c r="JH516" s="379"/>
      <c r="JI516" s="379"/>
      <c r="JJ516" s="379"/>
      <c r="JK516" s="13"/>
      <c r="JL516" s="13"/>
      <c r="JM516" s="193"/>
      <c r="JN516" s="379"/>
      <c r="JO516" s="379"/>
      <c r="JP516" s="379"/>
      <c r="JQ516" s="379"/>
      <c r="JR516" s="379"/>
      <c r="JS516" s="13"/>
      <c r="JT516" s="13"/>
      <c r="JU516" s="193"/>
      <c r="JV516" s="379"/>
      <c r="JW516" s="379"/>
      <c r="JX516" s="379"/>
      <c r="JY516" s="379"/>
      <c r="JZ516" s="379"/>
      <c r="KA516" s="13"/>
      <c r="KB516" s="13"/>
      <c r="KC516" s="193"/>
      <c r="KD516" s="379"/>
      <c r="KE516" s="379"/>
      <c r="KF516" s="379"/>
      <c r="KG516" s="379"/>
      <c r="KH516" s="379"/>
      <c r="KI516" s="13"/>
      <c r="KJ516" s="13"/>
      <c r="KK516" s="193"/>
      <c r="KL516" s="379"/>
      <c r="KM516" s="379"/>
      <c r="KN516" s="379"/>
      <c r="KO516" s="379"/>
      <c r="KP516" s="379"/>
      <c r="KQ516" s="13"/>
      <c r="KR516" s="13"/>
      <c r="KS516" s="193"/>
      <c r="KT516" s="379"/>
      <c r="KU516" s="379"/>
      <c r="KV516" s="379"/>
      <c r="KW516" s="379"/>
      <c r="KX516" s="379"/>
      <c r="KY516" s="13"/>
      <c r="KZ516" s="13"/>
      <c r="LA516" s="193"/>
      <c r="LB516" s="379"/>
      <c r="LC516" s="379"/>
      <c r="LD516" s="379"/>
      <c r="LE516" s="379"/>
      <c r="LF516" s="379"/>
      <c r="LG516" s="13"/>
      <c r="LH516" s="13"/>
      <c r="LI516" s="193"/>
      <c r="LJ516" s="379"/>
      <c r="LK516" s="379"/>
      <c r="LL516" s="379"/>
      <c r="LM516" s="379"/>
      <c r="LN516" s="379"/>
      <c r="LO516" s="13"/>
      <c r="LP516" s="13"/>
      <c r="LQ516" s="193"/>
      <c r="LR516" s="379"/>
      <c r="LS516" s="379"/>
      <c r="LT516" s="379"/>
      <c r="LU516" s="379"/>
      <c r="LV516" s="379"/>
      <c r="LW516" s="13"/>
      <c r="LX516" s="13"/>
      <c r="LY516" s="193"/>
      <c r="LZ516" s="379"/>
      <c r="MA516" s="379"/>
      <c r="MB516" s="379"/>
      <c r="MC516" s="379"/>
      <c r="MD516" s="379"/>
      <c r="ME516" s="13"/>
      <c r="MF516" s="13"/>
      <c r="MG516" s="193"/>
      <c r="MH516" s="379"/>
      <c r="MI516" s="379"/>
      <c r="MJ516" s="379"/>
      <c r="MK516" s="379"/>
      <c r="ML516" s="379"/>
      <c r="MM516" s="13"/>
      <c r="MN516" s="13"/>
      <c r="MO516" s="193"/>
      <c r="MP516" s="379"/>
      <c r="MQ516" s="379"/>
      <c r="MR516" s="379"/>
      <c r="MS516" s="379"/>
      <c r="MT516" s="379"/>
      <c r="MU516" s="13"/>
      <c r="MV516" s="13"/>
      <c r="MW516" s="193"/>
      <c r="MX516" s="379"/>
      <c r="MY516" s="379"/>
      <c r="MZ516" s="379"/>
      <c r="NA516" s="379"/>
      <c r="NB516" s="379"/>
      <c r="NC516" s="13"/>
      <c r="ND516" s="13"/>
      <c r="NE516" s="193"/>
      <c r="NF516" s="379"/>
      <c r="NG516" s="379"/>
      <c r="NH516" s="379"/>
      <c r="NI516" s="379"/>
      <c r="NJ516" s="379"/>
      <c r="NK516" s="13"/>
      <c r="NL516" s="13"/>
      <c r="NM516" s="193"/>
      <c r="NN516" s="379"/>
      <c r="NO516" s="379"/>
      <c r="NP516" s="379"/>
      <c r="NQ516" s="379"/>
      <c r="NR516" s="379"/>
      <c r="NS516" s="13"/>
      <c r="NT516" s="13"/>
      <c r="NU516" s="193"/>
      <c r="NV516" s="379"/>
      <c r="NW516" s="379"/>
      <c r="NX516" s="379"/>
      <c r="NY516" s="379"/>
      <c r="NZ516" s="379"/>
      <c r="OA516" s="13"/>
      <c r="OB516" s="13"/>
      <c r="OC516" s="193"/>
      <c r="OD516" s="379"/>
      <c r="OE516" s="379"/>
      <c r="OF516" s="379"/>
      <c r="OG516" s="379"/>
      <c r="OH516" s="379"/>
      <c r="OI516" s="13"/>
      <c r="OJ516" s="13"/>
      <c r="OK516" s="193"/>
      <c r="OL516" s="379"/>
      <c r="OM516" s="379"/>
      <c r="ON516" s="379"/>
      <c r="OO516" s="379"/>
      <c r="OP516" s="379"/>
      <c r="OQ516" s="13"/>
      <c r="OR516" s="13"/>
      <c r="OS516" s="193"/>
      <c r="OT516" s="379"/>
      <c r="OU516" s="379"/>
      <c r="OV516" s="379"/>
      <c r="OW516" s="379"/>
      <c r="OX516" s="379"/>
      <c r="OY516" s="13"/>
      <c r="OZ516" s="13"/>
      <c r="PA516" s="193"/>
      <c r="PB516" s="379"/>
      <c r="PC516" s="379"/>
      <c r="PD516" s="379"/>
      <c r="PE516" s="379"/>
      <c r="PF516" s="379"/>
      <c r="PG516" s="13"/>
      <c r="PH516" s="13"/>
      <c r="PI516" s="193"/>
      <c r="PJ516" s="379"/>
      <c r="PK516" s="379"/>
      <c r="PL516" s="379"/>
      <c r="PM516" s="379"/>
      <c r="PN516" s="379"/>
      <c r="PO516" s="13"/>
      <c r="PP516" s="13"/>
      <c r="PQ516" s="193"/>
      <c r="PR516" s="379"/>
      <c r="PS516" s="379"/>
      <c r="PT516" s="379"/>
      <c r="PU516" s="379"/>
      <c r="PV516" s="379"/>
      <c r="PW516" s="13"/>
      <c r="PX516" s="13"/>
      <c r="PY516" s="193"/>
      <c r="PZ516" s="379"/>
      <c r="QA516" s="379"/>
      <c r="QB516" s="379"/>
      <c r="QC516" s="379"/>
      <c r="QD516" s="379"/>
      <c r="QE516" s="13"/>
      <c r="QF516" s="13"/>
      <c r="QG516" s="193"/>
      <c r="QH516" s="379"/>
      <c r="QI516" s="379"/>
      <c r="QJ516" s="379"/>
      <c r="QK516" s="379"/>
      <c r="QL516" s="379"/>
      <c r="QM516" s="13"/>
      <c r="QN516" s="13"/>
      <c r="QO516" s="193"/>
      <c r="QP516" s="379"/>
      <c r="QQ516" s="379"/>
      <c r="QR516" s="379"/>
      <c r="QS516" s="379"/>
      <c r="QT516" s="379"/>
      <c r="QU516" s="13"/>
      <c r="QV516" s="13"/>
      <c r="QW516" s="193"/>
      <c r="QX516" s="379"/>
      <c r="QY516" s="379"/>
      <c r="QZ516" s="379"/>
      <c r="RA516" s="379"/>
      <c r="RB516" s="379"/>
      <c r="RC516" s="13"/>
      <c r="RD516" s="13"/>
      <c r="RE516" s="193"/>
      <c r="RF516" s="379"/>
      <c r="RG516" s="379"/>
      <c r="RH516" s="379"/>
      <c r="RI516" s="379"/>
      <c r="RJ516" s="379"/>
      <c r="RK516" s="13"/>
      <c r="RL516" s="13"/>
      <c r="RM516" s="193"/>
      <c r="RN516" s="379"/>
      <c r="RO516" s="379"/>
      <c r="RP516" s="379"/>
      <c r="RQ516" s="379"/>
      <c r="RR516" s="379"/>
      <c r="RS516" s="13"/>
      <c r="RT516" s="13"/>
      <c r="RU516" s="193"/>
      <c r="RV516" s="379"/>
      <c r="RW516" s="379"/>
      <c r="RX516" s="379"/>
      <c r="RY516" s="379"/>
      <c r="RZ516" s="379"/>
      <c r="SA516" s="13"/>
      <c r="SB516" s="13"/>
      <c r="SC516" s="193"/>
      <c r="SD516" s="379"/>
      <c r="SE516" s="379"/>
      <c r="SF516" s="379"/>
      <c r="SG516" s="379"/>
      <c r="SH516" s="379"/>
      <c r="SI516" s="13"/>
      <c r="SJ516" s="13"/>
      <c r="SK516" s="193"/>
      <c r="SL516" s="379"/>
      <c r="SM516" s="379"/>
      <c r="SN516" s="379"/>
      <c r="SO516" s="379"/>
      <c r="SP516" s="379"/>
      <c r="SQ516" s="13"/>
      <c r="SR516" s="13"/>
      <c r="SS516" s="193"/>
      <c r="ST516" s="379"/>
      <c r="SU516" s="379"/>
      <c r="SV516" s="379"/>
      <c r="SW516" s="379"/>
      <c r="SX516" s="379"/>
      <c r="SY516" s="13"/>
      <c r="SZ516" s="13"/>
      <c r="TA516" s="193"/>
      <c r="TB516" s="379"/>
      <c r="TC516" s="379"/>
      <c r="TD516" s="379"/>
      <c r="TE516" s="379"/>
      <c r="TF516" s="379"/>
      <c r="TG516" s="13"/>
      <c r="TH516" s="13"/>
      <c r="TI516" s="193"/>
      <c r="TJ516" s="379"/>
      <c r="TK516" s="379"/>
      <c r="TL516" s="379"/>
      <c r="TM516" s="379"/>
      <c r="TN516" s="379"/>
      <c r="TO516" s="13"/>
      <c r="TP516" s="13"/>
      <c r="TQ516" s="193"/>
      <c r="TR516" s="379"/>
      <c r="TS516" s="379"/>
      <c r="TT516" s="379"/>
      <c r="TU516" s="379"/>
      <c r="TV516" s="379"/>
      <c r="TW516" s="13"/>
      <c r="TX516" s="13"/>
      <c r="TY516" s="193"/>
      <c r="TZ516" s="379"/>
      <c r="UA516" s="379"/>
      <c r="UB516" s="379"/>
      <c r="UC516" s="379"/>
      <c r="UD516" s="379"/>
      <c r="UE516" s="13"/>
      <c r="UF516" s="13"/>
      <c r="UG516" s="193"/>
      <c r="UH516" s="379"/>
      <c r="UI516" s="379"/>
      <c r="UJ516" s="379"/>
      <c r="UK516" s="379"/>
      <c r="UL516" s="379"/>
      <c r="UM516" s="13"/>
      <c r="UN516" s="13"/>
      <c r="UO516" s="193"/>
      <c r="UP516" s="379"/>
      <c r="UQ516" s="379"/>
      <c r="UR516" s="379"/>
      <c r="US516" s="379"/>
      <c r="UT516" s="379"/>
      <c r="UU516" s="13"/>
      <c r="UV516" s="13"/>
      <c r="UW516" s="193"/>
      <c r="UX516" s="379"/>
      <c r="UY516" s="379"/>
      <c r="UZ516" s="379"/>
      <c r="VA516" s="379"/>
      <c r="VB516" s="379"/>
      <c r="VC516" s="13"/>
      <c r="VD516" s="13"/>
      <c r="VE516" s="193"/>
      <c r="VF516" s="379"/>
      <c r="VG516" s="379"/>
      <c r="VH516" s="379"/>
      <c r="VI516" s="379"/>
      <c r="VJ516" s="379"/>
      <c r="VK516" s="13"/>
      <c r="VL516" s="13"/>
      <c r="VM516" s="193"/>
      <c r="VN516" s="379"/>
      <c r="VO516" s="379"/>
      <c r="VP516" s="379"/>
      <c r="VQ516" s="379"/>
      <c r="VR516" s="379"/>
      <c r="VS516" s="13"/>
      <c r="VT516" s="13"/>
      <c r="VU516" s="193"/>
      <c r="VV516" s="379"/>
      <c r="VW516" s="379"/>
      <c r="VX516" s="379"/>
      <c r="VY516" s="379"/>
      <c r="VZ516" s="379"/>
      <c r="WA516" s="13"/>
      <c r="WB516" s="13"/>
      <c r="WC516" s="193"/>
      <c r="WD516" s="379"/>
      <c r="WE516" s="379"/>
      <c r="WF516" s="379"/>
      <c r="WG516" s="379"/>
      <c r="WH516" s="379"/>
      <c r="WI516" s="13"/>
      <c r="WJ516" s="13"/>
      <c r="WK516" s="193"/>
      <c r="WL516" s="379"/>
      <c r="WM516" s="379"/>
      <c r="WN516" s="379"/>
      <c r="WO516" s="379"/>
      <c r="WP516" s="379"/>
      <c r="WQ516" s="13"/>
      <c r="WR516" s="13"/>
      <c r="WS516" s="193"/>
      <c r="WT516" s="379"/>
      <c r="WU516" s="379"/>
      <c r="WV516" s="379"/>
      <c r="WW516" s="379"/>
      <c r="WX516" s="379"/>
      <c r="WY516" s="13"/>
      <c r="WZ516" s="13"/>
      <c r="XA516" s="193"/>
      <c r="XB516" s="379"/>
      <c r="XC516" s="379"/>
      <c r="XD516" s="379"/>
      <c r="XE516" s="379"/>
      <c r="XF516" s="379"/>
      <c r="XG516" s="13"/>
      <c r="XH516" s="13"/>
      <c r="XI516" s="193"/>
      <c r="XJ516" s="379"/>
      <c r="XK516" s="379"/>
      <c r="XL516" s="379"/>
      <c r="XM516" s="379"/>
      <c r="XN516" s="379"/>
      <c r="XO516" s="13"/>
      <c r="XP516" s="13"/>
      <c r="XQ516" s="193"/>
      <c r="XR516" s="379"/>
      <c r="XS516" s="379"/>
      <c r="XT516" s="379"/>
      <c r="XU516" s="379"/>
      <c r="XV516" s="379"/>
      <c r="XW516" s="13"/>
      <c r="XX516" s="13"/>
      <c r="XY516" s="193"/>
      <c r="XZ516" s="379"/>
      <c r="YA516" s="379"/>
      <c r="YB516" s="379"/>
      <c r="YC516" s="379"/>
      <c r="YD516" s="379"/>
      <c r="YE516" s="13"/>
      <c r="YF516" s="13"/>
      <c r="YG516" s="193"/>
      <c r="YH516" s="379"/>
      <c r="YI516" s="379"/>
      <c r="YJ516" s="379"/>
      <c r="YK516" s="379"/>
      <c r="YL516" s="379"/>
      <c r="YM516" s="13"/>
      <c r="YN516" s="13"/>
      <c r="YO516" s="193"/>
      <c r="YP516" s="379"/>
      <c r="YQ516" s="379"/>
      <c r="YR516" s="379"/>
      <c r="YS516" s="379"/>
      <c r="YT516" s="379"/>
      <c r="YU516" s="13"/>
      <c r="YV516" s="13"/>
      <c r="YW516" s="193"/>
      <c r="YX516" s="379"/>
      <c r="YY516" s="379"/>
      <c r="YZ516" s="379"/>
      <c r="ZA516" s="379"/>
      <c r="ZB516" s="379"/>
      <c r="ZC516" s="13"/>
      <c r="ZD516" s="13"/>
      <c r="ZE516" s="193"/>
      <c r="ZF516" s="379"/>
      <c r="ZG516" s="379"/>
      <c r="ZH516" s="379"/>
      <c r="ZI516" s="379"/>
      <c r="ZJ516" s="379"/>
      <c r="ZK516" s="13"/>
      <c r="ZL516" s="13"/>
      <c r="ZM516" s="193"/>
      <c r="ZN516" s="379"/>
      <c r="ZO516" s="379"/>
      <c r="ZP516" s="379"/>
      <c r="ZQ516" s="379"/>
      <c r="ZR516" s="379"/>
      <c r="ZS516" s="13"/>
      <c r="ZT516" s="13"/>
      <c r="ZU516" s="193"/>
      <c r="ZV516" s="379"/>
      <c r="ZW516" s="379"/>
      <c r="ZX516" s="379"/>
      <c r="ZY516" s="379"/>
      <c r="ZZ516" s="379"/>
      <c r="AAA516" s="13"/>
      <c r="AAB516" s="13"/>
      <c r="AAC516" s="193"/>
      <c r="AAD516" s="379"/>
      <c r="AAE516" s="379"/>
      <c r="AAF516" s="379"/>
      <c r="AAG516" s="379"/>
      <c r="AAH516" s="379"/>
      <c r="AAI516" s="13"/>
      <c r="AAJ516" s="13"/>
      <c r="AAK516" s="193"/>
      <c r="AAL516" s="379"/>
      <c r="AAM516" s="379"/>
      <c r="AAN516" s="379"/>
      <c r="AAO516" s="379"/>
      <c r="AAP516" s="379"/>
      <c r="AAQ516" s="13"/>
      <c r="AAR516" s="13"/>
      <c r="AAS516" s="193"/>
      <c r="AAT516" s="379"/>
      <c r="AAU516" s="379"/>
      <c r="AAV516" s="379"/>
      <c r="AAW516" s="379"/>
      <c r="AAX516" s="379"/>
      <c r="AAY516" s="13"/>
      <c r="AAZ516" s="13"/>
      <c r="ABA516" s="193"/>
      <c r="ABB516" s="379"/>
      <c r="ABC516" s="379"/>
      <c r="ABD516" s="379"/>
      <c r="ABE516" s="379"/>
      <c r="ABF516" s="379"/>
      <c r="ABG516" s="13"/>
      <c r="ABH516" s="13"/>
      <c r="ABI516" s="193"/>
      <c r="ABJ516" s="379"/>
      <c r="ABK516" s="379"/>
      <c r="ABL516" s="379"/>
      <c r="ABM516" s="379"/>
      <c r="ABN516" s="379"/>
      <c r="ABO516" s="13"/>
      <c r="ABP516" s="13"/>
      <c r="ABQ516" s="193"/>
      <c r="ABR516" s="379"/>
      <c r="ABS516" s="379"/>
      <c r="ABT516" s="379"/>
      <c r="ABU516" s="379"/>
      <c r="ABV516" s="379"/>
      <c r="ABW516" s="13"/>
      <c r="ABX516" s="13"/>
      <c r="ABY516" s="193"/>
      <c r="ABZ516" s="379"/>
      <c r="ACA516" s="379"/>
      <c r="ACB516" s="379"/>
      <c r="ACC516" s="379"/>
      <c r="ACD516" s="379"/>
      <c r="ACE516" s="13"/>
      <c r="ACF516" s="13"/>
      <c r="ACG516" s="193"/>
      <c r="ACH516" s="379"/>
      <c r="ACI516" s="379"/>
      <c r="ACJ516" s="379"/>
      <c r="ACK516" s="379"/>
      <c r="ACL516" s="379"/>
      <c r="ACM516" s="13"/>
      <c r="ACN516" s="13"/>
      <c r="ACO516" s="193"/>
      <c r="ACP516" s="379"/>
      <c r="ACQ516" s="379"/>
      <c r="ACR516" s="379"/>
      <c r="ACS516" s="379"/>
      <c r="ACT516" s="379"/>
      <c r="ACU516" s="13"/>
      <c r="ACV516" s="13"/>
      <c r="ACW516" s="193"/>
      <c r="ACX516" s="379"/>
      <c r="ACY516" s="379"/>
      <c r="ACZ516" s="379"/>
      <c r="ADA516" s="379"/>
      <c r="ADB516" s="379"/>
      <c r="ADC516" s="13"/>
      <c r="ADD516" s="13"/>
      <c r="ADE516" s="193"/>
      <c r="ADF516" s="379"/>
      <c r="ADG516" s="379"/>
      <c r="ADH516" s="379"/>
      <c r="ADI516" s="379"/>
      <c r="ADJ516" s="379"/>
      <c r="ADK516" s="13"/>
      <c r="ADL516" s="13"/>
      <c r="ADM516" s="193"/>
      <c r="ADN516" s="379"/>
      <c r="ADO516" s="379"/>
      <c r="ADP516" s="379"/>
      <c r="ADQ516" s="379"/>
      <c r="ADR516" s="379"/>
      <c r="ADS516" s="13"/>
      <c r="ADT516" s="13"/>
      <c r="ADU516" s="193"/>
      <c r="ADV516" s="379"/>
      <c r="ADW516" s="379"/>
      <c r="ADX516" s="379"/>
      <c r="ADY516" s="379"/>
      <c r="ADZ516" s="379"/>
      <c r="AEA516" s="13"/>
      <c r="AEB516" s="13"/>
      <c r="AEC516" s="193"/>
      <c r="AED516" s="379"/>
      <c r="AEE516" s="379"/>
      <c r="AEF516" s="379"/>
      <c r="AEG516" s="379"/>
      <c r="AEH516" s="379"/>
      <c r="AEI516" s="13"/>
      <c r="AEJ516" s="13"/>
      <c r="AEK516" s="193"/>
      <c r="AEL516" s="379"/>
      <c r="AEM516" s="379"/>
      <c r="AEN516" s="379"/>
      <c r="AEO516" s="379"/>
      <c r="AEP516" s="379"/>
      <c r="AEQ516" s="13"/>
      <c r="AER516" s="13"/>
      <c r="AES516" s="193"/>
      <c r="AET516" s="379"/>
      <c r="AEU516" s="379"/>
      <c r="AEV516" s="379"/>
      <c r="AEW516" s="379"/>
      <c r="AEX516" s="379"/>
      <c r="AEY516" s="13"/>
      <c r="AEZ516" s="13"/>
      <c r="AFA516" s="193"/>
      <c r="AFB516" s="379"/>
      <c r="AFC516" s="379"/>
      <c r="AFD516" s="379"/>
      <c r="AFE516" s="379"/>
      <c r="AFF516" s="379"/>
      <c r="AFG516" s="13"/>
      <c r="AFH516" s="13"/>
      <c r="AFI516" s="193"/>
      <c r="AFJ516" s="379"/>
      <c r="AFK516" s="379"/>
      <c r="AFL516" s="379"/>
      <c r="AFM516" s="379"/>
      <c r="AFN516" s="379"/>
      <c r="AFO516" s="13"/>
      <c r="AFP516" s="13"/>
      <c r="AFQ516" s="193"/>
      <c r="AFR516" s="379"/>
      <c r="AFS516" s="379"/>
      <c r="AFT516" s="379"/>
      <c r="AFU516" s="379"/>
      <c r="AFV516" s="379"/>
      <c r="AFW516" s="13"/>
      <c r="AFX516" s="13"/>
      <c r="AFY516" s="193"/>
      <c r="AFZ516" s="379"/>
      <c r="AGA516" s="379"/>
      <c r="AGB516" s="379"/>
      <c r="AGC516" s="379"/>
      <c r="AGD516" s="379"/>
      <c r="AGE516" s="13"/>
      <c r="AGF516" s="13"/>
      <c r="AGG516" s="193"/>
      <c r="AGH516" s="379"/>
      <c r="AGI516" s="379"/>
      <c r="AGJ516" s="379"/>
      <c r="AGK516" s="379"/>
      <c r="AGL516" s="379"/>
      <c r="AGM516" s="13"/>
      <c r="AGN516" s="13"/>
      <c r="AGO516" s="193"/>
      <c r="AGP516" s="379"/>
      <c r="AGQ516" s="379"/>
      <c r="AGR516" s="379"/>
      <c r="AGS516" s="379"/>
      <c r="AGT516" s="379"/>
      <c r="AGU516" s="13"/>
      <c r="AGV516" s="13"/>
      <c r="AGW516" s="193"/>
      <c r="AGX516" s="379"/>
      <c r="AGY516" s="379"/>
      <c r="AGZ516" s="379"/>
      <c r="AHA516" s="379"/>
      <c r="AHB516" s="379"/>
      <c r="AHC516" s="13"/>
      <c r="AHD516" s="13"/>
      <c r="AHE516" s="193"/>
      <c r="AHF516" s="379"/>
      <c r="AHG516" s="379"/>
      <c r="AHH516" s="379"/>
      <c r="AHI516" s="379"/>
      <c r="AHJ516" s="379"/>
      <c r="AHK516" s="13"/>
      <c r="AHL516" s="13"/>
      <c r="AHM516" s="193"/>
      <c r="AHN516" s="379"/>
      <c r="AHO516" s="379"/>
      <c r="AHP516" s="379"/>
      <c r="AHQ516" s="379"/>
      <c r="AHR516" s="379"/>
      <c r="AHS516" s="13"/>
      <c r="AHT516" s="13"/>
      <c r="AHU516" s="193"/>
      <c r="AHV516" s="379"/>
      <c r="AHW516" s="379"/>
      <c r="AHX516" s="379"/>
      <c r="AHY516" s="379"/>
      <c r="AHZ516" s="379"/>
      <c r="AIA516" s="13"/>
      <c r="AIB516" s="13"/>
      <c r="AIC516" s="193"/>
      <c r="AID516" s="379"/>
      <c r="AIE516" s="379"/>
      <c r="AIF516" s="379"/>
      <c r="AIG516" s="379"/>
      <c r="AIH516" s="379"/>
      <c r="AII516" s="13"/>
      <c r="AIJ516" s="13"/>
      <c r="AIK516" s="193"/>
      <c r="AIL516" s="379"/>
      <c r="AIM516" s="379"/>
      <c r="AIN516" s="379"/>
      <c r="AIO516" s="379"/>
      <c r="AIP516" s="379"/>
      <c r="AIQ516" s="13"/>
      <c r="AIR516" s="13"/>
      <c r="AIS516" s="193"/>
      <c r="AIT516" s="379"/>
      <c r="AIU516" s="379"/>
      <c r="AIV516" s="379"/>
      <c r="AIW516" s="379"/>
      <c r="AIX516" s="379"/>
      <c r="AIY516" s="13"/>
      <c r="AIZ516" s="13"/>
      <c r="AJA516" s="193"/>
      <c r="AJB516" s="379"/>
      <c r="AJC516" s="379"/>
      <c r="AJD516" s="379"/>
      <c r="AJE516" s="379"/>
      <c r="AJF516" s="379"/>
      <c r="AJG516" s="13"/>
      <c r="AJH516" s="13"/>
      <c r="AJI516" s="193"/>
      <c r="AJJ516" s="379"/>
      <c r="AJK516" s="379"/>
      <c r="AJL516" s="379"/>
      <c r="AJM516" s="379"/>
      <c r="AJN516" s="379"/>
      <c r="AJO516" s="13"/>
      <c r="AJP516" s="13"/>
      <c r="AJQ516" s="193"/>
      <c r="AJR516" s="379"/>
      <c r="AJS516" s="379"/>
      <c r="AJT516" s="379"/>
      <c r="AJU516" s="379"/>
      <c r="AJV516" s="379"/>
      <c r="AJW516" s="13"/>
      <c r="AJX516" s="13"/>
      <c r="AJY516" s="193"/>
      <c r="AJZ516" s="379"/>
      <c r="AKA516" s="379"/>
      <c r="AKB516" s="379"/>
      <c r="AKC516" s="379"/>
      <c r="AKD516" s="379"/>
      <c r="AKE516" s="13"/>
      <c r="AKF516" s="13"/>
      <c r="AKG516" s="193"/>
      <c r="AKH516" s="379"/>
      <c r="AKI516" s="379"/>
      <c r="AKJ516" s="379"/>
      <c r="AKK516" s="379"/>
      <c r="AKL516" s="379"/>
      <c r="AKM516" s="13"/>
      <c r="AKN516" s="13"/>
      <c r="AKO516" s="193"/>
      <c r="AKP516" s="379"/>
      <c r="AKQ516" s="379"/>
      <c r="AKR516" s="379"/>
      <c r="AKS516" s="379"/>
      <c r="AKT516" s="379"/>
      <c r="AKU516" s="13"/>
      <c r="AKV516" s="13"/>
      <c r="AKW516" s="193"/>
      <c r="AKX516" s="379"/>
      <c r="AKY516" s="379"/>
      <c r="AKZ516" s="379"/>
      <c r="ALA516" s="379"/>
      <c r="ALB516" s="379"/>
      <c r="ALC516" s="13"/>
      <c r="ALD516" s="13"/>
      <c r="ALE516" s="193"/>
      <c r="ALF516" s="379"/>
      <c r="ALG516" s="379"/>
      <c r="ALH516" s="379"/>
      <c r="ALI516" s="379"/>
      <c r="ALJ516" s="379"/>
      <c r="ALK516" s="13"/>
      <c r="ALL516" s="13"/>
      <c r="ALM516" s="193"/>
      <c r="ALN516" s="379"/>
      <c r="ALO516" s="379"/>
      <c r="ALP516" s="379"/>
      <c r="ALQ516" s="379"/>
      <c r="ALR516" s="379"/>
      <c r="ALS516" s="13"/>
      <c r="ALT516" s="13"/>
      <c r="ALU516" s="193"/>
      <c r="ALV516" s="379"/>
      <c r="ALW516" s="379"/>
      <c r="ALX516" s="379"/>
      <c r="ALY516" s="379"/>
      <c r="ALZ516" s="379"/>
      <c r="AMA516" s="13"/>
      <c r="AMB516" s="13"/>
      <c r="AMC516" s="193"/>
      <c r="AMD516" s="379"/>
      <c r="AME516" s="379"/>
      <c r="AMF516" s="379"/>
      <c r="AMG516" s="379"/>
      <c r="AMH516" s="379"/>
      <c r="AMI516" s="13"/>
      <c r="AMJ516" s="13"/>
      <c r="AMK516" s="193"/>
      <c r="AML516" s="379"/>
      <c r="AMM516" s="379"/>
      <c r="AMN516" s="379"/>
      <c r="AMO516" s="379"/>
      <c r="AMP516" s="379"/>
      <c r="AMQ516" s="13"/>
      <c r="AMR516" s="13"/>
      <c r="AMS516" s="193"/>
      <c r="AMT516" s="379"/>
      <c r="AMU516" s="379"/>
      <c r="AMV516" s="379"/>
      <c r="AMW516" s="379"/>
      <c r="AMX516" s="379"/>
      <c r="AMY516" s="13"/>
      <c r="AMZ516" s="13"/>
      <c r="ANA516" s="193"/>
      <c r="ANB516" s="379"/>
      <c r="ANC516" s="379"/>
      <c r="AND516" s="379"/>
      <c r="ANE516" s="379"/>
      <c r="ANF516" s="379"/>
      <c r="ANG516" s="13"/>
      <c r="ANH516" s="13"/>
      <c r="ANI516" s="193"/>
      <c r="ANJ516" s="379"/>
      <c r="ANK516" s="379"/>
      <c r="ANL516" s="379"/>
      <c r="ANM516" s="379"/>
      <c r="ANN516" s="379"/>
      <c r="ANO516" s="13"/>
      <c r="ANP516" s="13"/>
      <c r="ANQ516" s="193"/>
      <c r="ANR516" s="379"/>
      <c r="ANS516" s="379"/>
      <c r="ANT516" s="379"/>
      <c r="ANU516" s="379"/>
      <c r="ANV516" s="379"/>
      <c r="ANW516" s="13"/>
      <c r="ANX516" s="13"/>
      <c r="ANY516" s="193"/>
      <c r="ANZ516" s="379"/>
      <c r="AOA516" s="379"/>
      <c r="AOB516" s="379"/>
      <c r="AOC516" s="379"/>
      <c r="AOD516" s="379"/>
      <c r="AOE516" s="13"/>
      <c r="AOF516" s="13"/>
      <c r="AOG516" s="193"/>
      <c r="AOH516" s="379"/>
      <c r="AOI516" s="379"/>
      <c r="AOJ516" s="379"/>
      <c r="AOK516" s="379"/>
      <c r="AOL516" s="379"/>
      <c r="AOM516" s="13"/>
      <c r="AON516" s="13"/>
      <c r="AOO516" s="193"/>
      <c r="AOP516" s="379"/>
      <c r="AOQ516" s="379"/>
      <c r="AOR516" s="379"/>
      <c r="AOS516" s="379"/>
      <c r="AOT516" s="379"/>
      <c r="AOU516" s="13"/>
      <c r="AOV516" s="13"/>
      <c r="AOW516" s="193"/>
      <c r="AOX516" s="379"/>
      <c r="AOY516" s="379"/>
      <c r="AOZ516" s="379"/>
      <c r="APA516" s="379"/>
      <c r="APB516" s="379"/>
      <c r="APC516" s="13"/>
      <c r="APD516" s="13"/>
      <c r="APE516" s="193"/>
      <c r="APF516" s="379"/>
      <c r="APG516" s="379"/>
      <c r="APH516" s="379"/>
      <c r="API516" s="379"/>
      <c r="APJ516" s="379"/>
      <c r="APK516" s="13"/>
      <c r="APL516" s="13"/>
      <c r="APM516" s="193"/>
      <c r="APN516" s="379"/>
      <c r="APO516" s="379"/>
      <c r="APP516" s="379"/>
      <c r="APQ516" s="379"/>
      <c r="APR516" s="379"/>
      <c r="APS516" s="13"/>
      <c r="APT516" s="13"/>
      <c r="APU516" s="193"/>
      <c r="APV516" s="379"/>
      <c r="APW516" s="379"/>
      <c r="APX516" s="379"/>
      <c r="APY516" s="379"/>
      <c r="APZ516" s="379"/>
      <c r="AQA516" s="13"/>
      <c r="AQB516" s="13"/>
      <c r="AQC516" s="193"/>
      <c r="AQD516" s="379"/>
      <c r="AQE516" s="379"/>
      <c r="AQF516" s="379"/>
      <c r="AQG516" s="379"/>
      <c r="AQH516" s="379"/>
      <c r="AQI516" s="13"/>
      <c r="AQJ516" s="13"/>
      <c r="AQK516" s="193"/>
      <c r="AQL516" s="379"/>
      <c r="AQM516" s="379"/>
      <c r="AQN516" s="379"/>
      <c r="AQO516" s="379"/>
      <c r="AQP516" s="379"/>
      <c r="AQQ516" s="13"/>
      <c r="AQR516" s="13"/>
      <c r="AQS516" s="193"/>
      <c r="AQT516" s="379"/>
      <c r="AQU516" s="379"/>
      <c r="AQV516" s="379"/>
      <c r="AQW516" s="379"/>
      <c r="AQX516" s="379"/>
      <c r="AQY516" s="13"/>
      <c r="AQZ516" s="13"/>
      <c r="ARA516" s="193"/>
      <c r="ARB516" s="379"/>
      <c r="ARC516" s="379"/>
      <c r="ARD516" s="379"/>
      <c r="ARE516" s="379"/>
      <c r="ARF516" s="379"/>
      <c r="ARG516" s="13"/>
      <c r="ARH516" s="13"/>
      <c r="ARI516" s="193"/>
      <c r="ARJ516" s="379"/>
      <c r="ARK516" s="379"/>
      <c r="ARL516" s="379"/>
      <c r="ARM516" s="379"/>
      <c r="ARN516" s="379"/>
      <c r="ARO516" s="13"/>
      <c r="ARP516" s="13"/>
      <c r="ARQ516" s="193"/>
      <c r="ARR516" s="379"/>
      <c r="ARS516" s="379"/>
      <c r="ART516" s="379"/>
      <c r="ARU516" s="379"/>
      <c r="ARV516" s="379"/>
      <c r="ARW516" s="13"/>
      <c r="ARX516" s="13"/>
      <c r="ARY516" s="193"/>
      <c r="ARZ516" s="379"/>
      <c r="ASA516" s="379"/>
      <c r="ASB516" s="379"/>
      <c r="ASC516" s="379"/>
      <c r="ASD516" s="379"/>
      <c r="ASE516" s="13"/>
      <c r="ASF516" s="13"/>
      <c r="ASG516" s="193"/>
      <c r="ASH516" s="379"/>
      <c r="ASI516" s="379"/>
      <c r="ASJ516" s="379"/>
      <c r="ASK516" s="379"/>
      <c r="ASL516" s="379"/>
      <c r="ASM516" s="13"/>
      <c r="ASN516" s="13"/>
      <c r="ASO516" s="193"/>
      <c r="ASP516" s="379"/>
      <c r="ASQ516" s="379"/>
      <c r="ASR516" s="379"/>
      <c r="ASS516" s="379"/>
      <c r="AST516" s="379"/>
      <c r="ASU516" s="13"/>
      <c r="ASV516" s="13"/>
      <c r="ASW516" s="193"/>
      <c r="ASX516" s="379"/>
      <c r="ASY516" s="379"/>
      <c r="ASZ516" s="379"/>
      <c r="ATA516" s="379"/>
      <c r="ATB516" s="379"/>
      <c r="ATC516" s="13"/>
      <c r="ATD516" s="13"/>
      <c r="ATE516" s="193"/>
      <c r="ATF516" s="379"/>
      <c r="ATG516" s="379"/>
      <c r="ATH516" s="379"/>
      <c r="ATI516" s="379"/>
      <c r="ATJ516" s="379"/>
      <c r="ATK516" s="13"/>
      <c r="ATL516" s="13"/>
      <c r="ATM516" s="193"/>
      <c r="ATN516" s="379"/>
      <c r="ATO516" s="379"/>
      <c r="ATP516" s="379"/>
      <c r="ATQ516" s="379"/>
      <c r="ATR516" s="379"/>
      <c r="ATS516" s="13"/>
      <c r="ATT516" s="13"/>
      <c r="ATU516" s="193"/>
      <c r="ATV516" s="379"/>
      <c r="ATW516" s="379"/>
      <c r="ATX516" s="379"/>
      <c r="ATY516" s="379"/>
      <c r="ATZ516" s="379"/>
      <c r="AUA516" s="13"/>
      <c r="AUB516" s="13"/>
      <c r="AUC516" s="193"/>
      <c r="AUD516" s="379"/>
      <c r="AUE516" s="379"/>
      <c r="AUF516" s="379"/>
      <c r="AUG516" s="379"/>
      <c r="AUH516" s="379"/>
      <c r="AUI516" s="13"/>
      <c r="AUJ516" s="13"/>
      <c r="AUK516" s="193"/>
      <c r="AUL516" s="379"/>
      <c r="AUM516" s="379"/>
      <c r="AUN516" s="379"/>
      <c r="AUO516" s="379"/>
      <c r="AUP516" s="379"/>
      <c r="AUQ516" s="13"/>
      <c r="AUR516" s="13"/>
      <c r="AUS516" s="193"/>
      <c r="AUT516" s="379"/>
      <c r="AUU516" s="379"/>
      <c r="AUV516" s="379"/>
      <c r="AUW516" s="379"/>
      <c r="AUX516" s="379"/>
      <c r="AUY516" s="13"/>
      <c r="AUZ516" s="13"/>
      <c r="AVA516" s="193"/>
      <c r="AVB516" s="379"/>
      <c r="AVC516" s="379"/>
      <c r="AVD516" s="379"/>
      <c r="AVE516" s="379"/>
      <c r="AVF516" s="379"/>
      <c r="AVG516" s="13"/>
      <c r="AVH516" s="13"/>
      <c r="AVI516" s="193"/>
      <c r="AVJ516" s="379"/>
      <c r="AVK516" s="379"/>
      <c r="AVL516" s="379"/>
      <c r="AVM516" s="379"/>
      <c r="AVN516" s="379"/>
      <c r="AVO516" s="13"/>
      <c r="AVP516" s="13"/>
      <c r="AVQ516" s="193"/>
      <c r="AVR516" s="379"/>
      <c r="AVS516" s="379"/>
      <c r="AVT516" s="379"/>
      <c r="AVU516" s="379"/>
      <c r="AVV516" s="379"/>
      <c r="AVW516" s="13"/>
      <c r="AVX516" s="13"/>
      <c r="AVY516" s="193"/>
      <c r="AVZ516" s="379"/>
      <c r="AWA516" s="379"/>
      <c r="AWB516" s="379"/>
      <c r="AWC516" s="379"/>
      <c r="AWD516" s="379"/>
      <c r="AWE516" s="13"/>
      <c r="AWF516" s="13"/>
      <c r="AWG516" s="193"/>
      <c r="AWH516" s="379"/>
      <c r="AWI516" s="379"/>
      <c r="AWJ516" s="379"/>
      <c r="AWK516" s="379"/>
      <c r="AWL516" s="379"/>
      <c r="AWM516" s="13"/>
      <c r="AWN516" s="13"/>
      <c r="AWO516" s="193"/>
      <c r="AWP516" s="379"/>
      <c r="AWQ516" s="379"/>
      <c r="AWR516" s="379"/>
      <c r="AWS516" s="379"/>
      <c r="AWT516" s="379"/>
      <c r="AWU516" s="13"/>
      <c r="AWV516" s="13"/>
      <c r="AWW516" s="193"/>
      <c r="AWX516" s="379"/>
      <c r="AWY516" s="379"/>
      <c r="AWZ516" s="379"/>
      <c r="AXA516" s="379"/>
      <c r="AXB516" s="379"/>
      <c r="AXC516" s="13"/>
      <c r="AXD516" s="13"/>
      <c r="AXE516" s="193"/>
      <c r="AXF516" s="379"/>
      <c r="AXG516" s="379"/>
      <c r="AXH516" s="379"/>
      <c r="AXI516" s="379"/>
      <c r="AXJ516" s="379"/>
      <c r="AXK516" s="13"/>
      <c r="AXL516" s="13"/>
      <c r="AXM516" s="193"/>
      <c r="AXN516" s="379"/>
      <c r="AXO516" s="379"/>
      <c r="AXP516" s="379"/>
      <c r="AXQ516" s="379"/>
      <c r="AXR516" s="379"/>
      <c r="AXS516" s="13"/>
      <c r="AXT516" s="13"/>
      <c r="AXU516" s="193"/>
      <c r="AXV516" s="379"/>
      <c r="AXW516" s="379"/>
      <c r="AXX516" s="379"/>
      <c r="AXY516" s="379"/>
      <c r="AXZ516" s="379"/>
      <c r="AYA516" s="13"/>
      <c r="AYB516" s="13"/>
      <c r="AYC516" s="193"/>
      <c r="AYD516" s="379"/>
      <c r="AYE516" s="379"/>
      <c r="AYF516" s="379"/>
      <c r="AYG516" s="379"/>
      <c r="AYH516" s="379"/>
      <c r="AYI516" s="13"/>
      <c r="AYJ516" s="13"/>
      <c r="AYK516" s="193"/>
      <c r="AYL516" s="379"/>
      <c r="AYM516" s="379"/>
      <c r="AYN516" s="379"/>
      <c r="AYO516" s="379"/>
      <c r="AYP516" s="379"/>
      <c r="AYQ516" s="13"/>
      <c r="AYR516" s="13"/>
      <c r="AYS516" s="193"/>
      <c r="AYT516" s="379"/>
      <c r="AYU516" s="379"/>
      <c r="AYV516" s="379"/>
      <c r="AYW516" s="379"/>
      <c r="AYX516" s="379"/>
      <c r="AYY516" s="13"/>
      <c r="AYZ516" s="13"/>
      <c r="AZA516" s="193"/>
      <c r="AZB516" s="379"/>
      <c r="AZC516" s="379"/>
      <c r="AZD516" s="379"/>
      <c r="AZE516" s="379"/>
      <c r="AZF516" s="379"/>
      <c r="AZG516" s="13"/>
      <c r="AZH516" s="13"/>
      <c r="AZI516" s="193"/>
      <c r="AZJ516" s="379"/>
      <c r="AZK516" s="379"/>
      <c r="AZL516" s="379"/>
      <c r="AZM516" s="379"/>
      <c r="AZN516" s="379"/>
      <c r="AZO516" s="13"/>
      <c r="AZP516" s="13"/>
      <c r="AZQ516" s="193"/>
      <c r="AZR516" s="379"/>
      <c r="AZS516" s="379"/>
      <c r="AZT516" s="379"/>
      <c r="AZU516" s="379"/>
      <c r="AZV516" s="379"/>
      <c r="AZW516" s="13"/>
      <c r="AZX516" s="13"/>
      <c r="AZY516" s="193"/>
      <c r="AZZ516" s="379"/>
      <c r="BAA516" s="379"/>
      <c r="BAB516" s="379"/>
      <c r="BAC516" s="379"/>
      <c r="BAD516" s="379"/>
      <c r="BAE516" s="13"/>
      <c r="BAF516" s="13"/>
      <c r="BAG516" s="193"/>
      <c r="BAH516" s="379"/>
      <c r="BAI516" s="379"/>
      <c r="BAJ516" s="379"/>
      <c r="BAK516" s="379"/>
      <c r="BAL516" s="379"/>
      <c r="BAM516" s="13"/>
      <c r="BAN516" s="13"/>
      <c r="BAO516" s="193"/>
      <c r="BAP516" s="379"/>
      <c r="BAQ516" s="379"/>
      <c r="BAR516" s="379"/>
      <c r="BAS516" s="379"/>
      <c r="BAT516" s="379"/>
      <c r="BAU516" s="13"/>
      <c r="BAV516" s="13"/>
      <c r="BAW516" s="193"/>
      <c r="BAX516" s="379"/>
      <c r="BAY516" s="379"/>
      <c r="BAZ516" s="379"/>
      <c r="BBA516" s="379"/>
      <c r="BBB516" s="379"/>
      <c r="BBC516" s="13"/>
      <c r="BBD516" s="13"/>
      <c r="BBE516" s="193"/>
      <c r="BBF516" s="379"/>
      <c r="BBG516" s="379"/>
      <c r="BBH516" s="379"/>
      <c r="BBI516" s="379"/>
      <c r="BBJ516" s="379"/>
      <c r="BBK516" s="13"/>
      <c r="BBL516" s="13"/>
      <c r="BBM516" s="193"/>
      <c r="BBN516" s="379"/>
      <c r="BBO516" s="379"/>
      <c r="BBP516" s="379"/>
      <c r="BBQ516" s="379"/>
      <c r="BBR516" s="379"/>
      <c r="BBS516" s="13"/>
      <c r="BBT516" s="13"/>
      <c r="BBU516" s="193"/>
      <c r="BBV516" s="379"/>
      <c r="BBW516" s="379"/>
      <c r="BBX516" s="379"/>
      <c r="BBY516" s="379"/>
      <c r="BBZ516" s="379"/>
      <c r="BCA516" s="13"/>
      <c r="BCB516" s="13"/>
      <c r="BCC516" s="193"/>
      <c r="BCD516" s="379"/>
      <c r="BCE516" s="379"/>
      <c r="BCF516" s="379"/>
      <c r="BCG516" s="379"/>
      <c r="BCH516" s="379"/>
      <c r="BCI516" s="13"/>
      <c r="BCJ516" s="13"/>
      <c r="BCK516" s="193"/>
      <c r="BCL516" s="379"/>
      <c r="BCM516" s="379"/>
      <c r="BCN516" s="379"/>
      <c r="BCO516" s="379"/>
      <c r="BCP516" s="379"/>
      <c r="BCQ516" s="13"/>
      <c r="BCR516" s="13"/>
      <c r="BCS516" s="193"/>
      <c r="BCT516" s="379"/>
      <c r="BCU516" s="379"/>
      <c r="BCV516" s="379"/>
      <c r="BCW516" s="379"/>
      <c r="BCX516" s="379"/>
      <c r="BCY516" s="13"/>
      <c r="BCZ516" s="13"/>
      <c r="BDA516" s="193"/>
      <c r="BDB516" s="379"/>
      <c r="BDC516" s="379"/>
      <c r="BDD516" s="379"/>
      <c r="BDE516" s="379"/>
      <c r="BDF516" s="379"/>
      <c r="BDG516" s="13"/>
      <c r="BDH516" s="13"/>
      <c r="BDI516" s="193"/>
      <c r="BDJ516" s="379"/>
      <c r="BDK516" s="379"/>
      <c r="BDL516" s="379"/>
      <c r="BDM516" s="379"/>
      <c r="BDN516" s="379"/>
      <c r="BDO516" s="13"/>
      <c r="BDP516" s="13"/>
      <c r="BDQ516" s="193"/>
      <c r="BDR516" s="379"/>
      <c r="BDS516" s="379"/>
      <c r="BDT516" s="379"/>
      <c r="BDU516" s="379"/>
      <c r="BDV516" s="379"/>
      <c r="BDW516" s="13"/>
      <c r="BDX516" s="13"/>
      <c r="BDY516" s="193"/>
      <c r="BDZ516" s="379"/>
      <c r="BEA516" s="379"/>
      <c r="BEB516" s="379"/>
      <c r="BEC516" s="379"/>
      <c r="BED516" s="379"/>
      <c r="BEE516" s="13"/>
      <c r="BEF516" s="13"/>
      <c r="BEG516" s="193"/>
      <c r="BEH516" s="379"/>
      <c r="BEI516" s="379"/>
      <c r="BEJ516" s="379"/>
      <c r="BEK516" s="379"/>
      <c r="BEL516" s="379"/>
      <c r="BEM516" s="13"/>
      <c r="BEN516" s="13"/>
      <c r="BEO516" s="193"/>
      <c r="BEP516" s="379"/>
      <c r="BEQ516" s="379"/>
      <c r="BER516" s="379"/>
      <c r="BES516" s="379"/>
      <c r="BET516" s="379"/>
      <c r="BEU516" s="13"/>
      <c r="BEV516" s="13"/>
      <c r="BEW516" s="193"/>
      <c r="BEX516" s="379"/>
      <c r="BEY516" s="379"/>
      <c r="BEZ516" s="379"/>
      <c r="BFA516" s="379"/>
      <c r="BFB516" s="379"/>
      <c r="BFC516" s="13"/>
      <c r="BFD516" s="13"/>
      <c r="BFE516" s="193"/>
      <c r="BFF516" s="379"/>
      <c r="BFG516" s="379"/>
      <c r="BFH516" s="379"/>
      <c r="BFI516" s="379"/>
      <c r="BFJ516" s="379"/>
      <c r="BFK516" s="13"/>
      <c r="BFL516" s="13"/>
      <c r="BFM516" s="193"/>
      <c r="BFN516" s="379"/>
      <c r="BFO516" s="379"/>
      <c r="BFP516" s="379"/>
      <c r="BFQ516" s="379"/>
      <c r="BFR516" s="379"/>
      <c r="BFS516" s="13"/>
      <c r="BFT516" s="13"/>
      <c r="BFU516" s="193"/>
      <c r="BFV516" s="379"/>
      <c r="BFW516" s="379"/>
      <c r="BFX516" s="379"/>
      <c r="BFY516" s="379"/>
      <c r="BFZ516" s="379"/>
      <c r="BGA516" s="13"/>
      <c r="BGB516" s="13"/>
      <c r="BGC516" s="193"/>
      <c r="BGD516" s="379"/>
      <c r="BGE516" s="379"/>
      <c r="BGF516" s="379"/>
      <c r="BGG516" s="379"/>
      <c r="BGH516" s="379"/>
      <c r="BGI516" s="13"/>
      <c r="BGJ516" s="13"/>
      <c r="BGK516" s="193"/>
      <c r="BGL516" s="379"/>
      <c r="BGM516" s="379"/>
      <c r="BGN516" s="379"/>
      <c r="BGO516" s="379"/>
      <c r="BGP516" s="379"/>
      <c r="BGQ516" s="13"/>
      <c r="BGR516" s="13"/>
      <c r="BGS516" s="193"/>
      <c r="BGT516" s="379"/>
      <c r="BGU516" s="379"/>
      <c r="BGV516" s="379"/>
      <c r="BGW516" s="379"/>
      <c r="BGX516" s="379"/>
      <c r="BGY516" s="13"/>
      <c r="BGZ516" s="13"/>
      <c r="BHA516" s="193"/>
      <c r="BHB516" s="379"/>
      <c r="BHC516" s="379"/>
      <c r="BHD516" s="379"/>
      <c r="BHE516" s="379"/>
      <c r="BHF516" s="379"/>
      <c r="BHG516" s="13"/>
      <c r="BHH516" s="13"/>
      <c r="BHI516" s="193"/>
      <c r="BHJ516" s="379"/>
      <c r="BHK516" s="379"/>
      <c r="BHL516" s="379"/>
      <c r="BHM516" s="379"/>
      <c r="BHN516" s="379"/>
      <c r="BHO516" s="13"/>
      <c r="BHP516" s="13"/>
      <c r="BHQ516" s="193"/>
      <c r="BHR516" s="379"/>
      <c r="BHS516" s="379"/>
      <c r="BHT516" s="379"/>
      <c r="BHU516" s="379"/>
      <c r="BHV516" s="379"/>
      <c r="BHW516" s="13"/>
      <c r="BHX516" s="13"/>
      <c r="BHY516" s="193"/>
      <c r="BHZ516" s="379"/>
      <c r="BIA516" s="379"/>
      <c r="BIB516" s="379"/>
      <c r="BIC516" s="379"/>
      <c r="BID516" s="379"/>
      <c r="BIE516" s="13"/>
      <c r="BIF516" s="13"/>
      <c r="BIG516" s="193"/>
      <c r="BIH516" s="379"/>
      <c r="BII516" s="379"/>
      <c r="BIJ516" s="379"/>
      <c r="BIK516" s="379"/>
      <c r="BIL516" s="379"/>
      <c r="BIM516" s="13"/>
      <c r="BIN516" s="13"/>
      <c r="BIO516" s="193"/>
      <c r="BIP516" s="379"/>
      <c r="BIQ516" s="379"/>
      <c r="BIR516" s="379"/>
      <c r="BIS516" s="379"/>
      <c r="BIT516" s="379"/>
      <c r="BIU516" s="13"/>
      <c r="BIV516" s="13"/>
      <c r="BIW516" s="193"/>
      <c r="BIX516" s="379"/>
      <c r="BIY516" s="379"/>
      <c r="BIZ516" s="379"/>
      <c r="BJA516" s="379"/>
      <c r="BJB516" s="379"/>
      <c r="BJC516" s="13"/>
      <c r="BJD516" s="13"/>
      <c r="BJE516" s="193"/>
      <c r="BJF516" s="379"/>
      <c r="BJG516" s="379"/>
      <c r="BJH516" s="379"/>
      <c r="BJI516" s="379"/>
      <c r="BJJ516" s="379"/>
      <c r="BJK516" s="13"/>
      <c r="BJL516" s="13"/>
      <c r="BJM516" s="193"/>
      <c r="BJN516" s="379"/>
      <c r="BJO516" s="379"/>
      <c r="BJP516" s="379"/>
      <c r="BJQ516" s="379"/>
      <c r="BJR516" s="379"/>
      <c r="BJS516" s="13"/>
      <c r="BJT516" s="13"/>
      <c r="BJU516" s="193"/>
      <c r="BJV516" s="379"/>
      <c r="BJW516" s="379"/>
      <c r="BJX516" s="379"/>
      <c r="BJY516" s="379"/>
      <c r="BJZ516" s="379"/>
      <c r="BKA516" s="13"/>
      <c r="BKB516" s="13"/>
      <c r="BKC516" s="193"/>
      <c r="BKD516" s="379"/>
      <c r="BKE516" s="379"/>
      <c r="BKF516" s="379"/>
      <c r="BKG516" s="379"/>
      <c r="BKH516" s="379"/>
      <c r="BKI516" s="13"/>
      <c r="BKJ516" s="13"/>
      <c r="BKK516" s="193"/>
      <c r="BKL516" s="379"/>
      <c r="BKM516" s="379"/>
      <c r="BKN516" s="379"/>
      <c r="BKO516" s="379"/>
      <c r="BKP516" s="379"/>
      <c r="BKQ516" s="13"/>
      <c r="BKR516" s="13"/>
      <c r="BKS516" s="193"/>
      <c r="BKT516" s="379"/>
      <c r="BKU516" s="379"/>
      <c r="BKV516" s="379"/>
      <c r="BKW516" s="379"/>
      <c r="BKX516" s="379"/>
      <c r="BKY516" s="13"/>
      <c r="BKZ516" s="13"/>
      <c r="BLA516" s="193"/>
      <c r="BLB516" s="379"/>
      <c r="BLC516" s="379"/>
      <c r="BLD516" s="379"/>
      <c r="BLE516" s="379"/>
      <c r="BLF516" s="379"/>
      <c r="BLG516" s="13"/>
      <c r="BLH516" s="13"/>
      <c r="BLI516" s="193"/>
      <c r="BLJ516" s="379"/>
      <c r="BLK516" s="379"/>
      <c r="BLL516" s="379"/>
      <c r="BLM516" s="379"/>
      <c r="BLN516" s="379"/>
      <c r="BLO516" s="13"/>
      <c r="BLP516" s="13"/>
      <c r="BLQ516" s="193"/>
      <c r="BLR516" s="379"/>
      <c r="BLS516" s="379"/>
      <c r="BLT516" s="379"/>
      <c r="BLU516" s="379"/>
      <c r="BLV516" s="379"/>
      <c r="BLW516" s="13"/>
      <c r="BLX516" s="13"/>
      <c r="BLY516" s="193"/>
      <c r="BLZ516" s="379"/>
      <c r="BMA516" s="379"/>
      <c r="BMB516" s="379"/>
      <c r="BMC516" s="379"/>
      <c r="BMD516" s="379"/>
      <c r="BME516" s="13"/>
      <c r="BMF516" s="13"/>
      <c r="BMG516" s="193"/>
      <c r="BMH516" s="379"/>
      <c r="BMI516" s="379"/>
      <c r="BMJ516" s="379"/>
      <c r="BMK516" s="379"/>
      <c r="BML516" s="379"/>
      <c r="BMM516" s="13"/>
      <c r="BMN516" s="13"/>
      <c r="BMO516" s="193"/>
      <c r="BMP516" s="379"/>
      <c r="BMQ516" s="379"/>
      <c r="BMR516" s="379"/>
      <c r="BMS516" s="379"/>
      <c r="BMT516" s="379"/>
      <c r="BMU516" s="13"/>
      <c r="BMV516" s="13"/>
      <c r="BMW516" s="193"/>
      <c r="BMX516" s="379"/>
      <c r="BMY516" s="379"/>
      <c r="BMZ516" s="379"/>
      <c r="BNA516" s="379"/>
      <c r="BNB516" s="379"/>
      <c r="BNC516" s="13"/>
      <c r="BND516" s="13"/>
      <c r="BNE516" s="193"/>
      <c r="BNF516" s="379"/>
      <c r="BNG516" s="379"/>
      <c r="BNH516" s="379"/>
      <c r="BNI516" s="379"/>
      <c r="BNJ516" s="379"/>
      <c r="BNK516" s="13"/>
      <c r="BNL516" s="13"/>
      <c r="BNM516" s="193"/>
      <c r="BNN516" s="379"/>
      <c r="BNO516" s="379"/>
      <c r="BNP516" s="379"/>
      <c r="BNQ516" s="379"/>
      <c r="BNR516" s="379"/>
      <c r="BNS516" s="13"/>
      <c r="BNT516" s="13"/>
      <c r="BNU516" s="193"/>
      <c r="BNV516" s="379"/>
      <c r="BNW516" s="379"/>
      <c r="BNX516" s="379"/>
      <c r="BNY516" s="379"/>
      <c r="BNZ516" s="379"/>
      <c r="BOA516" s="13"/>
      <c r="BOB516" s="13"/>
      <c r="BOC516" s="193"/>
      <c r="BOD516" s="379"/>
      <c r="BOE516" s="379"/>
      <c r="BOF516" s="379"/>
      <c r="BOG516" s="379"/>
      <c r="BOH516" s="379"/>
      <c r="BOI516" s="13"/>
      <c r="BOJ516" s="13"/>
      <c r="BOK516" s="193"/>
      <c r="BOL516" s="379"/>
      <c r="BOM516" s="379"/>
      <c r="BON516" s="379"/>
      <c r="BOO516" s="379"/>
      <c r="BOP516" s="379"/>
      <c r="BOQ516" s="13"/>
      <c r="BOR516" s="13"/>
      <c r="BOS516" s="193"/>
      <c r="BOT516" s="379"/>
      <c r="BOU516" s="379"/>
      <c r="BOV516" s="379"/>
      <c r="BOW516" s="379"/>
      <c r="BOX516" s="379"/>
      <c r="BOY516" s="13"/>
      <c r="BOZ516" s="13"/>
      <c r="BPA516" s="193"/>
      <c r="BPB516" s="379"/>
      <c r="BPC516" s="379"/>
      <c r="BPD516" s="379"/>
      <c r="BPE516" s="379"/>
      <c r="BPF516" s="379"/>
      <c r="BPG516" s="13"/>
      <c r="BPH516" s="13"/>
      <c r="BPI516" s="193"/>
      <c r="BPJ516" s="379"/>
      <c r="BPK516" s="379"/>
      <c r="BPL516" s="379"/>
      <c r="BPM516" s="379"/>
      <c r="BPN516" s="379"/>
      <c r="BPO516" s="13"/>
      <c r="BPP516" s="13"/>
      <c r="BPQ516" s="193"/>
      <c r="BPR516" s="379"/>
      <c r="BPS516" s="379"/>
      <c r="BPT516" s="379"/>
      <c r="BPU516" s="379"/>
      <c r="BPV516" s="379"/>
      <c r="BPW516" s="13"/>
      <c r="BPX516" s="13"/>
      <c r="BPY516" s="193"/>
      <c r="BPZ516" s="379"/>
      <c r="BQA516" s="379"/>
      <c r="BQB516" s="379"/>
      <c r="BQC516" s="379"/>
      <c r="BQD516" s="379"/>
      <c r="BQE516" s="13"/>
      <c r="BQF516" s="13"/>
      <c r="BQG516" s="193"/>
      <c r="BQH516" s="379"/>
      <c r="BQI516" s="379"/>
      <c r="BQJ516" s="379"/>
      <c r="BQK516" s="379"/>
      <c r="BQL516" s="379"/>
      <c r="BQM516" s="13"/>
      <c r="BQN516" s="13"/>
      <c r="BQO516" s="193"/>
      <c r="BQP516" s="379"/>
      <c r="BQQ516" s="379"/>
      <c r="BQR516" s="379"/>
      <c r="BQS516" s="379"/>
      <c r="BQT516" s="379"/>
      <c r="BQU516" s="13"/>
      <c r="BQV516" s="13"/>
      <c r="BQW516" s="193"/>
      <c r="BQX516" s="379"/>
      <c r="BQY516" s="379"/>
      <c r="BQZ516" s="379"/>
      <c r="BRA516" s="379"/>
      <c r="BRB516" s="379"/>
      <c r="BRC516" s="13"/>
      <c r="BRD516" s="13"/>
      <c r="BRE516" s="193"/>
      <c r="BRF516" s="379"/>
      <c r="BRG516" s="379"/>
      <c r="BRH516" s="379"/>
      <c r="BRI516" s="379"/>
      <c r="BRJ516" s="379"/>
      <c r="BRK516" s="13"/>
      <c r="BRL516" s="13"/>
      <c r="BRM516" s="193"/>
      <c r="BRN516" s="379"/>
      <c r="BRO516" s="379"/>
      <c r="BRP516" s="379"/>
      <c r="BRQ516" s="379"/>
      <c r="BRR516" s="379"/>
      <c r="BRS516" s="13"/>
      <c r="BRT516" s="13"/>
      <c r="BRU516" s="193"/>
      <c r="BRV516" s="379"/>
      <c r="BRW516" s="379"/>
      <c r="BRX516" s="379"/>
      <c r="BRY516" s="379"/>
      <c r="BRZ516" s="379"/>
      <c r="BSA516" s="13"/>
      <c r="BSB516" s="13"/>
      <c r="BSC516" s="193"/>
      <c r="BSD516" s="379"/>
      <c r="BSE516" s="379"/>
      <c r="BSF516" s="379"/>
      <c r="BSG516" s="379"/>
      <c r="BSH516" s="379"/>
      <c r="BSI516" s="13"/>
      <c r="BSJ516" s="13"/>
      <c r="BSK516" s="193"/>
      <c r="BSL516" s="379"/>
      <c r="BSM516" s="379"/>
      <c r="BSN516" s="379"/>
      <c r="BSO516" s="379"/>
      <c r="BSP516" s="379"/>
      <c r="BSQ516" s="13"/>
      <c r="BSR516" s="13"/>
      <c r="BSS516" s="193"/>
      <c r="BST516" s="379"/>
      <c r="BSU516" s="379"/>
      <c r="BSV516" s="379"/>
      <c r="BSW516" s="379"/>
      <c r="BSX516" s="379"/>
      <c r="BSY516" s="13"/>
      <c r="BSZ516" s="13"/>
      <c r="BTA516" s="193"/>
      <c r="BTB516" s="379"/>
      <c r="BTC516" s="379"/>
      <c r="BTD516" s="379"/>
      <c r="BTE516" s="379"/>
      <c r="BTF516" s="379"/>
      <c r="BTG516" s="13"/>
      <c r="BTH516" s="13"/>
      <c r="BTI516" s="193"/>
      <c r="BTJ516" s="379"/>
      <c r="BTK516" s="379"/>
      <c r="BTL516" s="379"/>
      <c r="BTM516" s="379"/>
      <c r="BTN516" s="379"/>
      <c r="BTO516" s="13"/>
      <c r="BTP516" s="13"/>
      <c r="BTQ516" s="193"/>
      <c r="BTR516" s="379"/>
      <c r="BTS516" s="379"/>
      <c r="BTT516" s="379"/>
      <c r="BTU516" s="379"/>
      <c r="BTV516" s="379"/>
      <c r="BTW516" s="13"/>
      <c r="BTX516" s="13"/>
      <c r="BTY516" s="193"/>
      <c r="BTZ516" s="379"/>
      <c r="BUA516" s="379"/>
      <c r="BUB516" s="379"/>
      <c r="BUC516" s="379"/>
      <c r="BUD516" s="379"/>
      <c r="BUE516" s="13"/>
      <c r="BUF516" s="13"/>
      <c r="BUG516" s="193"/>
      <c r="BUH516" s="379"/>
      <c r="BUI516" s="379"/>
      <c r="BUJ516" s="379"/>
      <c r="BUK516" s="379"/>
      <c r="BUL516" s="379"/>
      <c r="BUM516" s="13"/>
      <c r="BUN516" s="13"/>
      <c r="BUO516" s="193"/>
      <c r="BUP516" s="379"/>
      <c r="BUQ516" s="379"/>
      <c r="BUR516" s="379"/>
      <c r="BUS516" s="379"/>
      <c r="BUT516" s="379"/>
      <c r="BUU516" s="13"/>
      <c r="BUV516" s="13"/>
      <c r="BUW516" s="193"/>
      <c r="BUX516" s="379"/>
      <c r="BUY516" s="379"/>
      <c r="BUZ516" s="379"/>
      <c r="BVA516" s="379"/>
      <c r="BVB516" s="379"/>
      <c r="BVC516" s="13"/>
      <c r="BVD516" s="13"/>
      <c r="BVE516" s="193"/>
      <c r="BVF516" s="379"/>
      <c r="BVG516" s="379"/>
      <c r="BVH516" s="379"/>
      <c r="BVI516" s="379"/>
      <c r="BVJ516" s="379"/>
      <c r="BVK516" s="13"/>
      <c r="BVL516" s="13"/>
      <c r="BVM516" s="193"/>
      <c r="BVN516" s="379"/>
      <c r="BVO516" s="379"/>
      <c r="BVP516" s="379"/>
      <c r="BVQ516" s="379"/>
      <c r="BVR516" s="379"/>
      <c r="BVS516" s="13"/>
      <c r="BVT516" s="13"/>
      <c r="BVU516" s="193"/>
      <c r="BVV516" s="379"/>
      <c r="BVW516" s="379"/>
      <c r="BVX516" s="379"/>
      <c r="BVY516" s="379"/>
      <c r="BVZ516" s="379"/>
      <c r="BWA516" s="13"/>
      <c r="BWB516" s="13"/>
      <c r="BWC516" s="193"/>
      <c r="BWD516" s="379"/>
      <c r="BWE516" s="379"/>
      <c r="BWF516" s="379"/>
      <c r="BWG516" s="379"/>
      <c r="BWH516" s="379"/>
      <c r="BWI516" s="13"/>
      <c r="BWJ516" s="13"/>
      <c r="BWK516" s="193"/>
      <c r="BWL516" s="379"/>
      <c r="BWM516" s="379"/>
      <c r="BWN516" s="379"/>
      <c r="BWO516" s="379"/>
      <c r="BWP516" s="379"/>
      <c r="BWQ516" s="13"/>
      <c r="BWR516" s="13"/>
      <c r="BWS516" s="193"/>
      <c r="BWT516" s="379"/>
      <c r="BWU516" s="379"/>
      <c r="BWV516" s="379"/>
      <c r="BWW516" s="379"/>
      <c r="BWX516" s="379"/>
      <c r="BWY516" s="13"/>
      <c r="BWZ516" s="13"/>
      <c r="BXA516" s="193"/>
      <c r="BXB516" s="379"/>
      <c r="BXC516" s="379"/>
      <c r="BXD516" s="379"/>
      <c r="BXE516" s="379"/>
      <c r="BXF516" s="379"/>
      <c r="BXG516" s="13"/>
      <c r="BXH516" s="13"/>
      <c r="BXI516" s="193"/>
      <c r="BXJ516" s="379"/>
      <c r="BXK516" s="379"/>
      <c r="BXL516" s="379"/>
      <c r="BXM516" s="379"/>
      <c r="BXN516" s="379"/>
      <c r="BXO516" s="13"/>
      <c r="BXP516" s="13"/>
      <c r="BXQ516" s="193"/>
      <c r="BXR516" s="379"/>
      <c r="BXS516" s="379"/>
      <c r="BXT516" s="379"/>
      <c r="BXU516" s="379"/>
      <c r="BXV516" s="379"/>
      <c r="BXW516" s="13"/>
      <c r="BXX516" s="13"/>
      <c r="BXY516" s="193"/>
      <c r="BXZ516" s="379"/>
      <c r="BYA516" s="379"/>
      <c r="BYB516" s="379"/>
      <c r="BYC516" s="379"/>
      <c r="BYD516" s="379"/>
      <c r="BYE516" s="13"/>
      <c r="BYF516" s="13"/>
      <c r="BYG516" s="193"/>
      <c r="BYH516" s="379"/>
      <c r="BYI516" s="379"/>
      <c r="BYJ516" s="379"/>
      <c r="BYK516" s="379"/>
      <c r="BYL516" s="379"/>
      <c r="BYM516" s="13"/>
      <c r="BYN516" s="13"/>
      <c r="BYO516" s="193"/>
      <c r="BYP516" s="379"/>
      <c r="BYQ516" s="379"/>
      <c r="BYR516" s="379"/>
      <c r="BYS516" s="379"/>
      <c r="BYT516" s="379"/>
      <c r="BYU516" s="13"/>
      <c r="BYV516" s="13"/>
      <c r="BYW516" s="193"/>
      <c r="BYX516" s="379"/>
      <c r="BYY516" s="379"/>
      <c r="BYZ516" s="379"/>
      <c r="BZA516" s="379"/>
      <c r="BZB516" s="379"/>
      <c r="BZC516" s="13"/>
      <c r="BZD516" s="13"/>
      <c r="BZE516" s="193"/>
      <c r="BZF516" s="379"/>
      <c r="BZG516" s="379"/>
      <c r="BZH516" s="379"/>
      <c r="BZI516" s="379"/>
      <c r="BZJ516" s="379"/>
      <c r="BZK516" s="13"/>
      <c r="BZL516" s="13"/>
      <c r="BZM516" s="193"/>
      <c r="BZN516" s="379"/>
      <c r="BZO516" s="379"/>
      <c r="BZP516" s="379"/>
      <c r="BZQ516" s="379"/>
      <c r="BZR516" s="379"/>
      <c r="BZS516" s="13"/>
      <c r="BZT516" s="13"/>
      <c r="BZU516" s="193"/>
      <c r="BZV516" s="379"/>
      <c r="BZW516" s="379"/>
      <c r="BZX516" s="379"/>
      <c r="BZY516" s="379"/>
      <c r="BZZ516" s="379"/>
      <c r="CAA516" s="13"/>
      <c r="CAB516" s="13"/>
      <c r="CAC516" s="193"/>
      <c r="CAD516" s="379"/>
      <c r="CAE516" s="379"/>
      <c r="CAF516" s="379"/>
      <c r="CAG516" s="379"/>
      <c r="CAH516" s="379"/>
      <c r="CAI516" s="13"/>
      <c r="CAJ516" s="13"/>
      <c r="CAK516" s="193"/>
      <c r="CAL516" s="379"/>
      <c r="CAM516" s="379"/>
      <c r="CAN516" s="379"/>
      <c r="CAO516" s="379"/>
      <c r="CAP516" s="379"/>
      <c r="CAQ516" s="13"/>
      <c r="CAR516" s="13"/>
      <c r="CAS516" s="193"/>
      <c r="CAT516" s="379"/>
      <c r="CAU516" s="379"/>
      <c r="CAV516" s="379"/>
      <c r="CAW516" s="379"/>
      <c r="CAX516" s="379"/>
      <c r="CAY516" s="13"/>
      <c r="CAZ516" s="13"/>
      <c r="CBA516" s="193"/>
      <c r="CBB516" s="379"/>
      <c r="CBC516" s="379"/>
      <c r="CBD516" s="379"/>
      <c r="CBE516" s="379"/>
      <c r="CBF516" s="379"/>
      <c r="CBG516" s="13"/>
      <c r="CBH516" s="13"/>
      <c r="CBI516" s="193"/>
      <c r="CBJ516" s="379"/>
      <c r="CBK516" s="379"/>
      <c r="CBL516" s="379"/>
      <c r="CBM516" s="379"/>
      <c r="CBN516" s="379"/>
      <c r="CBO516" s="13"/>
      <c r="CBP516" s="13"/>
      <c r="CBQ516" s="193"/>
      <c r="CBR516" s="379"/>
      <c r="CBS516" s="379"/>
      <c r="CBT516" s="379"/>
      <c r="CBU516" s="379"/>
      <c r="CBV516" s="379"/>
      <c r="CBW516" s="13"/>
      <c r="CBX516" s="13"/>
      <c r="CBY516" s="193"/>
      <c r="CBZ516" s="379"/>
      <c r="CCA516" s="379"/>
      <c r="CCB516" s="379"/>
      <c r="CCC516" s="379"/>
      <c r="CCD516" s="379"/>
      <c r="CCE516" s="13"/>
      <c r="CCF516" s="13"/>
      <c r="CCG516" s="193"/>
      <c r="CCH516" s="379"/>
      <c r="CCI516" s="379"/>
      <c r="CCJ516" s="379"/>
      <c r="CCK516" s="379"/>
      <c r="CCL516" s="379"/>
      <c r="CCM516" s="13"/>
      <c r="CCN516" s="13"/>
      <c r="CCO516" s="193"/>
      <c r="CCP516" s="379"/>
      <c r="CCQ516" s="379"/>
      <c r="CCR516" s="379"/>
      <c r="CCS516" s="379"/>
      <c r="CCT516" s="379"/>
      <c r="CCU516" s="13"/>
      <c r="CCV516" s="13"/>
      <c r="CCW516" s="193"/>
      <c r="CCX516" s="379"/>
      <c r="CCY516" s="379"/>
      <c r="CCZ516" s="379"/>
      <c r="CDA516" s="379"/>
      <c r="CDB516" s="379"/>
      <c r="CDC516" s="13"/>
      <c r="CDD516" s="13"/>
      <c r="CDE516" s="193"/>
      <c r="CDF516" s="379"/>
      <c r="CDG516" s="379"/>
      <c r="CDH516" s="379"/>
      <c r="CDI516" s="379"/>
      <c r="CDJ516" s="379"/>
      <c r="CDK516" s="13"/>
      <c r="CDL516" s="13"/>
      <c r="CDM516" s="193"/>
      <c r="CDN516" s="379"/>
      <c r="CDO516" s="379"/>
      <c r="CDP516" s="379"/>
      <c r="CDQ516" s="379"/>
      <c r="CDR516" s="379"/>
      <c r="CDS516" s="13"/>
      <c r="CDT516" s="13"/>
      <c r="CDU516" s="193"/>
      <c r="CDV516" s="379"/>
      <c r="CDW516" s="379"/>
      <c r="CDX516" s="379"/>
      <c r="CDY516" s="379"/>
      <c r="CDZ516" s="379"/>
      <c r="CEA516" s="13"/>
      <c r="CEB516" s="13"/>
      <c r="CEC516" s="193"/>
      <c r="CED516" s="379"/>
      <c r="CEE516" s="379"/>
      <c r="CEF516" s="379"/>
      <c r="CEG516" s="379"/>
      <c r="CEH516" s="379"/>
      <c r="CEI516" s="13"/>
      <c r="CEJ516" s="13"/>
      <c r="CEK516" s="193"/>
      <c r="CEL516" s="379"/>
      <c r="CEM516" s="379"/>
      <c r="CEN516" s="379"/>
      <c r="CEO516" s="379"/>
      <c r="CEP516" s="379"/>
      <c r="CEQ516" s="13"/>
      <c r="CER516" s="13"/>
      <c r="CES516" s="193"/>
      <c r="CET516" s="379"/>
      <c r="CEU516" s="379"/>
      <c r="CEV516" s="379"/>
      <c r="CEW516" s="379"/>
      <c r="CEX516" s="379"/>
      <c r="CEY516" s="13"/>
      <c r="CEZ516" s="13"/>
      <c r="CFA516" s="193"/>
      <c r="CFB516" s="379"/>
      <c r="CFC516" s="379"/>
      <c r="CFD516" s="379"/>
      <c r="CFE516" s="379"/>
      <c r="CFF516" s="379"/>
      <c r="CFG516" s="13"/>
      <c r="CFH516" s="13"/>
      <c r="CFI516" s="193"/>
      <c r="CFJ516" s="379"/>
      <c r="CFK516" s="379"/>
      <c r="CFL516" s="379"/>
      <c r="CFM516" s="379"/>
      <c r="CFN516" s="379"/>
      <c r="CFO516" s="13"/>
      <c r="CFP516" s="13"/>
      <c r="CFQ516" s="193"/>
      <c r="CFR516" s="379"/>
      <c r="CFS516" s="379"/>
      <c r="CFT516" s="379"/>
      <c r="CFU516" s="379"/>
      <c r="CFV516" s="379"/>
      <c r="CFW516" s="13"/>
      <c r="CFX516" s="13"/>
      <c r="CFY516" s="193"/>
      <c r="CFZ516" s="379"/>
      <c r="CGA516" s="379"/>
      <c r="CGB516" s="379"/>
      <c r="CGC516" s="379"/>
      <c r="CGD516" s="379"/>
      <c r="CGE516" s="13"/>
      <c r="CGF516" s="13"/>
      <c r="CGG516" s="193"/>
      <c r="CGH516" s="379"/>
      <c r="CGI516" s="379"/>
      <c r="CGJ516" s="379"/>
      <c r="CGK516" s="379"/>
      <c r="CGL516" s="379"/>
      <c r="CGM516" s="13"/>
      <c r="CGN516" s="13"/>
      <c r="CGO516" s="193"/>
      <c r="CGP516" s="379"/>
      <c r="CGQ516" s="379"/>
      <c r="CGR516" s="379"/>
      <c r="CGS516" s="379"/>
      <c r="CGT516" s="379"/>
      <c r="CGU516" s="13"/>
      <c r="CGV516" s="13"/>
      <c r="CGW516" s="193"/>
      <c r="CGX516" s="379"/>
      <c r="CGY516" s="379"/>
      <c r="CGZ516" s="379"/>
      <c r="CHA516" s="379"/>
      <c r="CHB516" s="379"/>
      <c r="CHC516" s="13"/>
      <c r="CHD516" s="13"/>
      <c r="CHE516" s="193"/>
      <c r="CHF516" s="379"/>
      <c r="CHG516" s="379"/>
      <c r="CHH516" s="379"/>
      <c r="CHI516" s="379"/>
      <c r="CHJ516" s="379"/>
      <c r="CHK516" s="13"/>
      <c r="CHL516" s="13"/>
      <c r="CHM516" s="193"/>
      <c r="CHN516" s="379"/>
      <c r="CHO516" s="379"/>
      <c r="CHP516" s="379"/>
      <c r="CHQ516" s="379"/>
      <c r="CHR516" s="379"/>
      <c r="CHS516" s="13"/>
      <c r="CHT516" s="13"/>
      <c r="CHU516" s="193"/>
      <c r="CHV516" s="379"/>
      <c r="CHW516" s="379"/>
      <c r="CHX516" s="379"/>
      <c r="CHY516" s="379"/>
      <c r="CHZ516" s="379"/>
      <c r="CIA516" s="13"/>
      <c r="CIB516" s="13"/>
      <c r="CIC516" s="193"/>
      <c r="CID516" s="379"/>
      <c r="CIE516" s="379"/>
      <c r="CIF516" s="379"/>
      <c r="CIG516" s="379"/>
      <c r="CIH516" s="379"/>
      <c r="CII516" s="13"/>
      <c r="CIJ516" s="13"/>
      <c r="CIK516" s="193"/>
      <c r="CIL516" s="379"/>
      <c r="CIM516" s="379"/>
      <c r="CIN516" s="379"/>
      <c r="CIO516" s="379"/>
      <c r="CIP516" s="379"/>
      <c r="CIQ516" s="13"/>
      <c r="CIR516" s="13"/>
      <c r="CIS516" s="193"/>
      <c r="CIT516" s="379"/>
      <c r="CIU516" s="379"/>
      <c r="CIV516" s="379"/>
      <c r="CIW516" s="379"/>
      <c r="CIX516" s="379"/>
      <c r="CIY516" s="13"/>
      <c r="CIZ516" s="13"/>
      <c r="CJA516" s="193"/>
      <c r="CJB516" s="379"/>
      <c r="CJC516" s="379"/>
      <c r="CJD516" s="379"/>
      <c r="CJE516" s="379"/>
      <c r="CJF516" s="379"/>
      <c r="CJG516" s="13"/>
      <c r="CJH516" s="13"/>
      <c r="CJI516" s="193"/>
      <c r="CJJ516" s="379"/>
      <c r="CJK516" s="379"/>
      <c r="CJL516" s="379"/>
      <c r="CJM516" s="379"/>
      <c r="CJN516" s="379"/>
      <c r="CJO516" s="13"/>
      <c r="CJP516" s="13"/>
      <c r="CJQ516" s="193"/>
      <c r="CJR516" s="379"/>
      <c r="CJS516" s="379"/>
      <c r="CJT516" s="379"/>
      <c r="CJU516" s="379"/>
      <c r="CJV516" s="379"/>
      <c r="CJW516" s="13"/>
      <c r="CJX516" s="13"/>
      <c r="CJY516" s="193"/>
      <c r="CJZ516" s="379"/>
      <c r="CKA516" s="379"/>
      <c r="CKB516" s="379"/>
      <c r="CKC516" s="379"/>
      <c r="CKD516" s="379"/>
      <c r="CKE516" s="13"/>
      <c r="CKF516" s="13"/>
      <c r="CKG516" s="193"/>
      <c r="CKH516" s="379"/>
      <c r="CKI516" s="379"/>
      <c r="CKJ516" s="379"/>
      <c r="CKK516" s="379"/>
      <c r="CKL516" s="379"/>
      <c r="CKM516" s="13"/>
      <c r="CKN516" s="13"/>
      <c r="CKO516" s="193"/>
      <c r="CKP516" s="379"/>
      <c r="CKQ516" s="379"/>
      <c r="CKR516" s="379"/>
      <c r="CKS516" s="379"/>
      <c r="CKT516" s="379"/>
      <c r="CKU516" s="13"/>
      <c r="CKV516" s="13"/>
      <c r="CKW516" s="193"/>
      <c r="CKX516" s="379"/>
      <c r="CKY516" s="379"/>
      <c r="CKZ516" s="379"/>
      <c r="CLA516" s="379"/>
      <c r="CLB516" s="379"/>
      <c r="CLC516" s="13"/>
      <c r="CLD516" s="13"/>
      <c r="CLE516" s="193"/>
      <c r="CLF516" s="379"/>
      <c r="CLG516" s="379"/>
      <c r="CLH516" s="379"/>
      <c r="CLI516" s="379"/>
      <c r="CLJ516" s="379"/>
      <c r="CLK516" s="13"/>
      <c r="CLL516" s="13"/>
      <c r="CLM516" s="193"/>
      <c r="CLN516" s="379"/>
      <c r="CLO516" s="379"/>
      <c r="CLP516" s="379"/>
      <c r="CLQ516" s="379"/>
      <c r="CLR516" s="379"/>
      <c r="CLS516" s="13"/>
      <c r="CLT516" s="13"/>
      <c r="CLU516" s="193"/>
      <c r="CLV516" s="379"/>
      <c r="CLW516" s="379"/>
      <c r="CLX516" s="379"/>
      <c r="CLY516" s="379"/>
      <c r="CLZ516" s="379"/>
      <c r="CMA516" s="13"/>
      <c r="CMB516" s="13"/>
      <c r="CMC516" s="193"/>
      <c r="CMD516" s="379"/>
      <c r="CME516" s="379"/>
      <c r="CMF516" s="379"/>
      <c r="CMG516" s="379"/>
      <c r="CMH516" s="379"/>
      <c r="CMI516" s="13"/>
      <c r="CMJ516" s="13"/>
      <c r="CMK516" s="193"/>
      <c r="CML516" s="379"/>
      <c r="CMM516" s="379"/>
      <c r="CMN516" s="379"/>
      <c r="CMO516" s="379"/>
      <c r="CMP516" s="379"/>
      <c r="CMQ516" s="13"/>
      <c r="CMR516" s="13"/>
      <c r="CMS516" s="193"/>
      <c r="CMT516" s="379"/>
      <c r="CMU516" s="379"/>
      <c r="CMV516" s="379"/>
      <c r="CMW516" s="379"/>
      <c r="CMX516" s="379"/>
      <c r="CMY516" s="13"/>
      <c r="CMZ516" s="13"/>
      <c r="CNA516" s="193"/>
      <c r="CNB516" s="379"/>
      <c r="CNC516" s="379"/>
      <c r="CND516" s="379"/>
      <c r="CNE516" s="379"/>
      <c r="CNF516" s="379"/>
      <c r="CNG516" s="13"/>
      <c r="CNH516" s="13"/>
      <c r="CNI516" s="193"/>
      <c r="CNJ516" s="379"/>
      <c r="CNK516" s="379"/>
      <c r="CNL516" s="379"/>
      <c r="CNM516" s="379"/>
      <c r="CNN516" s="379"/>
      <c r="CNO516" s="13"/>
      <c r="CNP516" s="13"/>
      <c r="CNQ516" s="193"/>
      <c r="CNR516" s="379"/>
      <c r="CNS516" s="379"/>
      <c r="CNT516" s="379"/>
      <c r="CNU516" s="379"/>
      <c r="CNV516" s="379"/>
      <c r="CNW516" s="13"/>
      <c r="CNX516" s="13"/>
      <c r="CNY516" s="193"/>
      <c r="CNZ516" s="379"/>
      <c r="COA516" s="379"/>
      <c r="COB516" s="379"/>
      <c r="COC516" s="379"/>
      <c r="COD516" s="379"/>
      <c r="COE516" s="13"/>
      <c r="COF516" s="13"/>
      <c r="COG516" s="193"/>
      <c r="COH516" s="379"/>
      <c r="COI516" s="379"/>
      <c r="COJ516" s="379"/>
      <c r="COK516" s="379"/>
      <c r="COL516" s="379"/>
      <c r="COM516" s="13"/>
      <c r="CON516" s="13"/>
      <c r="COO516" s="193"/>
      <c r="COP516" s="379"/>
      <c r="COQ516" s="379"/>
      <c r="COR516" s="379"/>
      <c r="COS516" s="379"/>
      <c r="COT516" s="379"/>
      <c r="COU516" s="13"/>
      <c r="COV516" s="13"/>
      <c r="COW516" s="193"/>
      <c r="COX516" s="379"/>
      <c r="COY516" s="379"/>
      <c r="COZ516" s="379"/>
      <c r="CPA516" s="379"/>
      <c r="CPB516" s="379"/>
      <c r="CPC516" s="13"/>
      <c r="CPD516" s="13"/>
      <c r="CPE516" s="193"/>
      <c r="CPF516" s="379"/>
      <c r="CPG516" s="379"/>
      <c r="CPH516" s="379"/>
      <c r="CPI516" s="379"/>
      <c r="CPJ516" s="379"/>
      <c r="CPK516" s="13"/>
      <c r="CPL516" s="13"/>
      <c r="CPM516" s="193"/>
      <c r="CPN516" s="379"/>
      <c r="CPO516" s="379"/>
      <c r="CPP516" s="379"/>
      <c r="CPQ516" s="379"/>
      <c r="CPR516" s="379"/>
      <c r="CPS516" s="13"/>
      <c r="CPT516" s="13"/>
      <c r="CPU516" s="193"/>
      <c r="CPV516" s="379"/>
      <c r="CPW516" s="379"/>
      <c r="CPX516" s="379"/>
      <c r="CPY516" s="379"/>
      <c r="CPZ516" s="379"/>
      <c r="CQA516" s="13"/>
      <c r="CQB516" s="13"/>
      <c r="CQC516" s="193"/>
      <c r="CQD516" s="379"/>
      <c r="CQE516" s="379"/>
      <c r="CQF516" s="379"/>
      <c r="CQG516" s="379"/>
      <c r="CQH516" s="379"/>
      <c r="CQI516" s="13"/>
      <c r="CQJ516" s="13"/>
      <c r="CQK516" s="193"/>
      <c r="CQL516" s="379"/>
      <c r="CQM516" s="379"/>
      <c r="CQN516" s="379"/>
      <c r="CQO516" s="379"/>
      <c r="CQP516" s="379"/>
      <c r="CQQ516" s="13"/>
      <c r="CQR516" s="13"/>
      <c r="CQS516" s="193"/>
      <c r="CQT516" s="379"/>
      <c r="CQU516" s="379"/>
      <c r="CQV516" s="379"/>
      <c r="CQW516" s="379"/>
      <c r="CQX516" s="379"/>
      <c r="CQY516" s="13"/>
      <c r="CQZ516" s="13"/>
      <c r="CRA516" s="193"/>
      <c r="CRB516" s="379"/>
      <c r="CRC516" s="379"/>
      <c r="CRD516" s="379"/>
      <c r="CRE516" s="379"/>
      <c r="CRF516" s="379"/>
      <c r="CRG516" s="13"/>
      <c r="CRH516" s="13"/>
      <c r="CRI516" s="193"/>
      <c r="CRJ516" s="379"/>
      <c r="CRK516" s="379"/>
      <c r="CRL516" s="379"/>
      <c r="CRM516" s="379"/>
      <c r="CRN516" s="379"/>
      <c r="CRO516" s="13"/>
      <c r="CRP516" s="13"/>
      <c r="CRQ516" s="193"/>
      <c r="CRR516" s="379"/>
      <c r="CRS516" s="379"/>
      <c r="CRT516" s="379"/>
      <c r="CRU516" s="379"/>
      <c r="CRV516" s="379"/>
      <c r="CRW516" s="13"/>
      <c r="CRX516" s="13"/>
      <c r="CRY516" s="193"/>
      <c r="CRZ516" s="379"/>
      <c r="CSA516" s="379"/>
      <c r="CSB516" s="379"/>
      <c r="CSC516" s="379"/>
      <c r="CSD516" s="379"/>
      <c r="CSE516" s="13"/>
      <c r="CSF516" s="13"/>
      <c r="CSG516" s="193"/>
      <c r="CSH516" s="379"/>
      <c r="CSI516" s="379"/>
      <c r="CSJ516" s="379"/>
      <c r="CSK516" s="379"/>
      <c r="CSL516" s="379"/>
      <c r="CSM516" s="13"/>
      <c r="CSN516" s="13"/>
      <c r="CSO516" s="193"/>
      <c r="CSP516" s="379"/>
      <c r="CSQ516" s="379"/>
      <c r="CSR516" s="379"/>
      <c r="CSS516" s="379"/>
      <c r="CST516" s="379"/>
      <c r="CSU516" s="13"/>
      <c r="CSV516" s="13"/>
      <c r="CSW516" s="193"/>
      <c r="CSX516" s="379"/>
      <c r="CSY516" s="379"/>
      <c r="CSZ516" s="379"/>
      <c r="CTA516" s="379"/>
      <c r="CTB516" s="379"/>
      <c r="CTC516" s="13"/>
      <c r="CTD516" s="13"/>
      <c r="CTE516" s="193"/>
      <c r="CTF516" s="379"/>
      <c r="CTG516" s="379"/>
      <c r="CTH516" s="379"/>
      <c r="CTI516" s="379"/>
      <c r="CTJ516" s="379"/>
      <c r="CTK516" s="13"/>
      <c r="CTL516" s="13"/>
      <c r="CTM516" s="193"/>
      <c r="CTN516" s="379"/>
      <c r="CTO516" s="379"/>
      <c r="CTP516" s="379"/>
      <c r="CTQ516" s="379"/>
      <c r="CTR516" s="379"/>
      <c r="CTS516" s="13"/>
      <c r="CTT516" s="13"/>
      <c r="CTU516" s="193"/>
      <c r="CTV516" s="379"/>
      <c r="CTW516" s="379"/>
      <c r="CTX516" s="379"/>
      <c r="CTY516" s="379"/>
      <c r="CTZ516" s="379"/>
      <c r="CUA516" s="13"/>
      <c r="CUB516" s="13"/>
      <c r="CUC516" s="193"/>
      <c r="CUD516" s="379"/>
      <c r="CUE516" s="379"/>
      <c r="CUF516" s="379"/>
      <c r="CUG516" s="379"/>
      <c r="CUH516" s="379"/>
      <c r="CUI516" s="13"/>
      <c r="CUJ516" s="13"/>
      <c r="CUK516" s="193"/>
      <c r="CUL516" s="379"/>
      <c r="CUM516" s="379"/>
      <c r="CUN516" s="379"/>
      <c r="CUO516" s="379"/>
      <c r="CUP516" s="379"/>
      <c r="CUQ516" s="13"/>
      <c r="CUR516" s="13"/>
      <c r="CUS516" s="193"/>
      <c r="CUT516" s="379"/>
      <c r="CUU516" s="379"/>
      <c r="CUV516" s="379"/>
      <c r="CUW516" s="379"/>
      <c r="CUX516" s="379"/>
      <c r="CUY516" s="13"/>
      <c r="CUZ516" s="13"/>
      <c r="CVA516" s="193"/>
      <c r="CVB516" s="379"/>
      <c r="CVC516" s="379"/>
      <c r="CVD516" s="379"/>
      <c r="CVE516" s="379"/>
      <c r="CVF516" s="379"/>
      <c r="CVG516" s="13"/>
      <c r="CVH516" s="13"/>
      <c r="CVI516" s="193"/>
      <c r="CVJ516" s="379"/>
      <c r="CVK516" s="379"/>
      <c r="CVL516" s="379"/>
      <c r="CVM516" s="379"/>
      <c r="CVN516" s="379"/>
      <c r="CVO516" s="13"/>
      <c r="CVP516" s="13"/>
      <c r="CVQ516" s="193"/>
      <c r="CVR516" s="379"/>
      <c r="CVS516" s="379"/>
      <c r="CVT516" s="379"/>
      <c r="CVU516" s="379"/>
      <c r="CVV516" s="379"/>
      <c r="CVW516" s="13"/>
      <c r="CVX516" s="13"/>
      <c r="CVY516" s="193"/>
      <c r="CVZ516" s="379"/>
      <c r="CWA516" s="379"/>
      <c r="CWB516" s="379"/>
      <c r="CWC516" s="379"/>
      <c r="CWD516" s="379"/>
      <c r="CWE516" s="13"/>
      <c r="CWF516" s="13"/>
      <c r="CWG516" s="193"/>
      <c r="CWH516" s="379"/>
      <c r="CWI516" s="379"/>
      <c r="CWJ516" s="379"/>
      <c r="CWK516" s="379"/>
      <c r="CWL516" s="379"/>
      <c r="CWM516" s="13"/>
      <c r="CWN516" s="13"/>
      <c r="CWO516" s="193"/>
      <c r="CWP516" s="379"/>
      <c r="CWQ516" s="379"/>
      <c r="CWR516" s="379"/>
      <c r="CWS516" s="379"/>
      <c r="CWT516" s="379"/>
      <c r="CWU516" s="13"/>
      <c r="CWV516" s="13"/>
      <c r="CWW516" s="193"/>
      <c r="CWX516" s="379"/>
      <c r="CWY516" s="379"/>
      <c r="CWZ516" s="379"/>
      <c r="CXA516" s="379"/>
      <c r="CXB516" s="379"/>
      <c r="CXC516" s="13"/>
      <c r="CXD516" s="13"/>
      <c r="CXE516" s="193"/>
      <c r="CXF516" s="379"/>
      <c r="CXG516" s="379"/>
      <c r="CXH516" s="379"/>
      <c r="CXI516" s="379"/>
      <c r="CXJ516" s="379"/>
      <c r="CXK516" s="13"/>
      <c r="CXL516" s="13"/>
      <c r="CXM516" s="193"/>
      <c r="CXN516" s="379"/>
      <c r="CXO516" s="379"/>
      <c r="CXP516" s="379"/>
      <c r="CXQ516" s="379"/>
      <c r="CXR516" s="379"/>
      <c r="CXS516" s="13"/>
      <c r="CXT516" s="13"/>
      <c r="CXU516" s="193"/>
      <c r="CXV516" s="379"/>
      <c r="CXW516" s="379"/>
      <c r="CXX516" s="379"/>
      <c r="CXY516" s="379"/>
      <c r="CXZ516" s="379"/>
      <c r="CYA516" s="13"/>
      <c r="CYB516" s="13"/>
      <c r="CYC516" s="193"/>
      <c r="CYD516" s="379"/>
      <c r="CYE516" s="379"/>
      <c r="CYF516" s="379"/>
      <c r="CYG516" s="379"/>
      <c r="CYH516" s="379"/>
      <c r="CYI516" s="13"/>
      <c r="CYJ516" s="13"/>
      <c r="CYK516" s="193"/>
      <c r="CYL516" s="379"/>
      <c r="CYM516" s="379"/>
      <c r="CYN516" s="379"/>
      <c r="CYO516" s="379"/>
      <c r="CYP516" s="379"/>
      <c r="CYQ516" s="13"/>
      <c r="CYR516" s="13"/>
      <c r="CYS516" s="193"/>
      <c r="CYT516" s="379"/>
      <c r="CYU516" s="379"/>
      <c r="CYV516" s="379"/>
      <c r="CYW516" s="379"/>
      <c r="CYX516" s="379"/>
      <c r="CYY516" s="13"/>
      <c r="CYZ516" s="13"/>
      <c r="CZA516" s="193"/>
      <c r="CZB516" s="379"/>
      <c r="CZC516" s="379"/>
      <c r="CZD516" s="379"/>
      <c r="CZE516" s="379"/>
      <c r="CZF516" s="379"/>
      <c r="CZG516" s="13"/>
      <c r="CZH516" s="13"/>
      <c r="CZI516" s="193"/>
      <c r="CZJ516" s="379"/>
      <c r="CZK516" s="379"/>
      <c r="CZL516" s="379"/>
      <c r="CZM516" s="379"/>
      <c r="CZN516" s="379"/>
      <c r="CZO516" s="13"/>
      <c r="CZP516" s="13"/>
      <c r="CZQ516" s="193"/>
      <c r="CZR516" s="379"/>
      <c r="CZS516" s="379"/>
      <c r="CZT516" s="379"/>
      <c r="CZU516" s="379"/>
      <c r="CZV516" s="379"/>
      <c r="CZW516" s="13"/>
      <c r="CZX516" s="13"/>
      <c r="CZY516" s="193"/>
      <c r="CZZ516" s="379"/>
      <c r="DAA516" s="379"/>
      <c r="DAB516" s="379"/>
      <c r="DAC516" s="379"/>
      <c r="DAD516" s="379"/>
      <c r="DAE516" s="13"/>
      <c r="DAF516" s="13"/>
      <c r="DAG516" s="193"/>
      <c r="DAH516" s="379"/>
      <c r="DAI516" s="379"/>
      <c r="DAJ516" s="379"/>
      <c r="DAK516" s="379"/>
      <c r="DAL516" s="379"/>
      <c r="DAM516" s="13"/>
      <c r="DAN516" s="13"/>
      <c r="DAO516" s="193"/>
      <c r="DAP516" s="379"/>
      <c r="DAQ516" s="379"/>
      <c r="DAR516" s="379"/>
      <c r="DAS516" s="379"/>
      <c r="DAT516" s="379"/>
      <c r="DAU516" s="13"/>
      <c r="DAV516" s="13"/>
      <c r="DAW516" s="193"/>
      <c r="DAX516" s="379"/>
      <c r="DAY516" s="379"/>
      <c r="DAZ516" s="379"/>
      <c r="DBA516" s="379"/>
      <c r="DBB516" s="379"/>
      <c r="DBC516" s="13"/>
      <c r="DBD516" s="13"/>
      <c r="DBE516" s="193"/>
      <c r="DBF516" s="379"/>
      <c r="DBG516" s="379"/>
      <c r="DBH516" s="379"/>
      <c r="DBI516" s="379"/>
      <c r="DBJ516" s="379"/>
      <c r="DBK516" s="13"/>
      <c r="DBL516" s="13"/>
      <c r="DBM516" s="193"/>
      <c r="DBN516" s="379"/>
      <c r="DBO516" s="379"/>
      <c r="DBP516" s="379"/>
      <c r="DBQ516" s="379"/>
      <c r="DBR516" s="379"/>
      <c r="DBS516" s="13"/>
      <c r="DBT516" s="13"/>
      <c r="DBU516" s="193"/>
      <c r="DBV516" s="379"/>
      <c r="DBW516" s="379"/>
      <c r="DBX516" s="379"/>
      <c r="DBY516" s="379"/>
      <c r="DBZ516" s="379"/>
      <c r="DCA516" s="13"/>
      <c r="DCB516" s="13"/>
      <c r="DCC516" s="193"/>
      <c r="DCD516" s="379"/>
      <c r="DCE516" s="379"/>
      <c r="DCF516" s="379"/>
      <c r="DCG516" s="379"/>
      <c r="DCH516" s="379"/>
      <c r="DCI516" s="13"/>
      <c r="DCJ516" s="13"/>
      <c r="DCK516" s="193"/>
      <c r="DCL516" s="379"/>
      <c r="DCM516" s="379"/>
      <c r="DCN516" s="379"/>
      <c r="DCO516" s="379"/>
      <c r="DCP516" s="379"/>
      <c r="DCQ516" s="13"/>
      <c r="DCR516" s="13"/>
      <c r="DCS516" s="193"/>
      <c r="DCT516" s="379"/>
      <c r="DCU516" s="379"/>
      <c r="DCV516" s="379"/>
      <c r="DCW516" s="379"/>
      <c r="DCX516" s="379"/>
      <c r="DCY516" s="13"/>
      <c r="DCZ516" s="13"/>
      <c r="DDA516" s="193"/>
      <c r="DDB516" s="379"/>
      <c r="DDC516" s="379"/>
      <c r="DDD516" s="379"/>
      <c r="DDE516" s="379"/>
      <c r="DDF516" s="379"/>
      <c r="DDG516" s="13"/>
      <c r="DDH516" s="13"/>
      <c r="DDI516" s="193"/>
      <c r="DDJ516" s="379"/>
      <c r="DDK516" s="379"/>
      <c r="DDL516" s="379"/>
      <c r="DDM516" s="379"/>
      <c r="DDN516" s="379"/>
      <c r="DDO516" s="13"/>
      <c r="DDP516" s="13"/>
      <c r="DDQ516" s="193"/>
      <c r="DDR516" s="379"/>
      <c r="DDS516" s="379"/>
      <c r="DDT516" s="379"/>
      <c r="DDU516" s="379"/>
      <c r="DDV516" s="379"/>
      <c r="DDW516" s="13"/>
      <c r="DDX516" s="13"/>
      <c r="DDY516" s="193"/>
      <c r="DDZ516" s="379"/>
      <c r="DEA516" s="379"/>
      <c r="DEB516" s="379"/>
      <c r="DEC516" s="379"/>
      <c r="DED516" s="379"/>
      <c r="DEE516" s="13"/>
      <c r="DEF516" s="13"/>
      <c r="DEG516" s="193"/>
      <c r="DEH516" s="379"/>
      <c r="DEI516" s="379"/>
      <c r="DEJ516" s="379"/>
      <c r="DEK516" s="379"/>
      <c r="DEL516" s="379"/>
      <c r="DEM516" s="13"/>
      <c r="DEN516" s="13"/>
      <c r="DEO516" s="193"/>
      <c r="DEP516" s="379"/>
      <c r="DEQ516" s="379"/>
      <c r="DER516" s="379"/>
      <c r="DES516" s="379"/>
      <c r="DET516" s="379"/>
      <c r="DEU516" s="13"/>
      <c r="DEV516" s="13"/>
      <c r="DEW516" s="193"/>
      <c r="DEX516" s="379"/>
      <c r="DEY516" s="379"/>
      <c r="DEZ516" s="379"/>
      <c r="DFA516" s="379"/>
      <c r="DFB516" s="379"/>
      <c r="DFC516" s="13"/>
      <c r="DFD516" s="13"/>
      <c r="DFE516" s="193"/>
      <c r="DFF516" s="379"/>
      <c r="DFG516" s="379"/>
      <c r="DFH516" s="379"/>
      <c r="DFI516" s="379"/>
      <c r="DFJ516" s="379"/>
      <c r="DFK516" s="13"/>
      <c r="DFL516" s="13"/>
      <c r="DFM516" s="193"/>
      <c r="DFN516" s="379"/>
      <c r="DFO516" s="379"/>
      <c r="DFP516" s="379"/>
      <c r="DFQ516" s="379"/>
      <c r="DFR516" s="379"/>
      <c r="DFS516" s="13"/>
      <c r="DFT516" s="13"/>
      <c r="DFU516" s="193"/>
      <c r="DFV516" s="379"/>
      <c r="DFW516" s="379"/>
      <c r="DFX516" s="379"/>
      <c r="DFY516" s="379"/>
      <c r="DFZ516" s="379"/>
      <c r="DGA516" s="13"/>
      <c r="DGB516" s="13"/>
      <c r="DGC516" s="193"/>
      <c r="DGD516" s="379"/>
      <c r="DGE516" s="379"/>
      <c r="DGF516" s="379"/>
      <c r="DGG516" s="379"/>
      <c r="DGH516" s="379"/>
      <c r="DGI516" s="13"/>
      <c r="DGJ516" s="13"/>
      <c r="DGK516" s="193"/>
      <c r="DGL516" s="379"/>
      <c r="DGM516" s="379"/>
      <c r="DGN516" s="379"/>
      <c r="DGO516" s="379"/>
      <c r="DGP516" s="379"/>
      <c r="DGQ516" s="13"/>
      <c r="DGR516" s="13"/>
      <c r="DGS516" s="193"/>
      <c r="DGT516" s="379"/>
      <c r="DGU516" s="379"/>
      <c r="DGV516" s="379"/>
      <c r="DGW516" s="379"/>
      <c r="DGX516" s="379"/>
      <c r="DGY516" s="13"/>
      <c r="DGZ516" s="13"/>
      <c r="DHA516" s="193"/>
      <c r="DHB516" s="379"/>
      <c r="DHC516" s="379"/>
      <c r="DHD516" s="379"/>
      <c r="DHE516" s="379"/>
      <c r="DHF516" s="379"/>
      <c r="DHG516" s="13"/>
      <c r="DHH516" s="13"/>
      <c r="DHI516" s="193"/>
      <c r="DHJ516" s="379"/>
      <c r="DHK516" s="379"/>
      <c r="DHL516" s="379"/>
      <c r="DHM516" s="379"/>
      <c r="DHN516" s="379"/>
      <c r="DHO516" s="13"/>
      <c r="DHP516" s="13"/>
      <c r="DHQ516" s="193"/>
      <c r="DHR516" s="379"/>
      <c r="DHS516" s="379"/>
      <c r="DHT516" s="379"/>
      <c r="DHU516" s="379"/>
      <c r="DHV516" s="379"/>
      <c r="DHW516" s="13"/>
      <c r="DHX516" s="13"/>
      <c r="DHY516" s="193"/>
      <c r="DHZ516" s="379"/>
      <c r="DIA516" s="379"/>
      <c r="DIB516" s="379"/>
      <c r="DIC516" s="379"/>
      <c r="DID516" s="379"/>
      <c r="DIE516" s="13"/>
      <c r="DIF516" s="13"/>
      <c r="DIG516" s="193"/>
      <c r="DIH516" s="379"/>
      <c r="DII516" s="379"/>
      <c r="DIJ516" s="379"/>
      <c r="DIK516" s="379"/>
      <c r="DIL516" s="379"/>
      <c r="DIM516" s="13"/>
      <c r="DIN516" s="13"/>
      <c r="DIO516" s="193"/>
      <c r="DIP516" s="379"/>
      <c r="DIQ516" s="379"/>
      <c r="DIR516" s="379"/>
      <c r="DIS516" s="379"/>
      <c r="DIT516" s="379"/>
      <c r="DIU516" s="13"/>
      <c r="DIV516" s="13"/>
      <c r="DIW516" s="193"/>
      <c r="DIX516" s="379"/>
      <c r="DIY516" s="379"/>
      <c r="DIZ516" s="379"/>
      <c r="DJA516" s="379"/>
      <c r="DJB516" s="379"/>
      <c r="DJC516" s="13"/>
      <c r="DJD516" s="13"/>
      <c r="DJE516" s="193"/>
      <c r="DJF516" s="379"/>
      <c r="DJG516" s="379"/>
      <c r="DJH516" s="379"/>
      <c r="DJI516" s="379"/>
      <c r="DJJ516" s="379"/>
      <c r="DJK516" s="13"/>
      <c r="DJL516" s="13"/>
      <c r="DJM516" s="193"/>
      <c r="DJN516" s="379"/>
      <c r="DJO516" s="379"/>
      <c r="DJP516" s="379"/>
      <c r="DJQ516" s="379"/>
      <c r="DJR516" s="379"/>
      <c r="DJS516" s="13"/>
      <c r="DJT516" s="13"/>
      <c r="DJU516" s="193"/>
      <c r="DJV516" s="379"/>
      <c r="DJW516" s="379"/>
      <c r="DJX516" s="379"/>
      <c r="DJY516" s="379"/>
      <c r="DJZ516" s="379"/>
      <c r="DKA516" s="13"/>
      <c r="DKB516" s="13"/>
      <c r="DKC516" s="193"/>
      <c r="DKD516" s="379"/>
      <c r="DKE516" s="379"/>
      <c r="DKF516" s="379"/>
      <c r="DKG516" s="379"/>
      <c r="DKH516" s="379"/>
      <c r="DKI516" s="13"/>
      <c r="DKJ516" s="13"/>
      <c r="DKK516" s="193"/>
      <c r="DKL516" s="379"/>
      <c r="DKM516" s="379"/>
      <c r="DKN516" s="379"/>
      <c r="DKO516" s="379"/>
      <c r="DKP516" s="379"/>
      <c r="DKQ516" s="13"/>
      <c r="DKR516" s="13"/>
      <c r="DKS516" s="193"/>
      <c r="DKT516" s="379"/>
      <c r="DKU516" s="379"/>
      <c r="DKV516" s="379"/>
      <c r="DKW516" s="379"/>
      <c r="DKX516" s="379"/>
      <c r="DKY516" s="13"/>
      <c r="DKZ516" s="13"/>
      <c r="DLA516" s="193"/>
      <c r="DLB516" s="379"/>
      <c r="DLC516" s="379"/>
      <c r="DLD516" s="379"/>
      <c r="DLE516" s="379"/>
      <c r="DLF516" s="379"/>
      <c r="DLG516" s="13"/>
      <c r="DLH516" s="13"/>
      <c r="DLI516" s="193"/>
      <c r="DLJ516" s="379"/>
      <c r="DLK516" s="379"/>
      <c r="DLL516" s="379"/>
      <c r="DLM516" s="379"/>
      <c r="DLN516" s="379"/>
      <c r="DLO516" s="13"/>
      <c r="DLP516" s="13"/>
      <c r="DLQ516" s="193"/>
      <c r="DLR516" s="379"/>
      <c r="DLS516" s="379"/>
      <c r="DLT516" s="379"/>
      <c r="DLU516" s="379"/>
      <c r="DLV516" s="379"/>
      <c r="DLW516" s="13"/>
      <c r="DLX516" s="13"/>
      <c r="DLY516" s="193"/>
      <c r="DLZ516" s="379"/>
      <c r="DMA516" s="379"/>
      <c r="DMB516" s="379"/>
      <c r="DMC516" s="379"/>
      <c r="DMD516" s="379"/>
      <c r="DME516" s="13"/>
      <c r="DMF516" s="13"/>
      <c r="DMG516" s="193"/>
      <c r="DMH516" s="379"/>
      <c r="DMI516" s="379"/>
      <c r="DMJ516" s="379"/>
      <c r="DMK516" s="379"/>
      <c r="DML516" s="379"/>
      <c r="DMM516" s="13"/>
      <c r="DMN516" s="13"/>
      <c r="DMO516" s="193"/>
      <c r="DMP516" s="379"/>
      <c r="DMQ516" s="379"/>
      <c r="DMR516" s="379"/>
      <c r="DMS516" s="379"/>
      <c r="DMT516" s="379"/>
      <c r="DMU516" s="13"/>
      <c r="DMV516" s="13"/>
      <c r="DMW516" s="193"/>
      <c r="DMX516" s="379"/>
      <c r="DMY516" s="379"/>
      <c r="DMZ516" s="379"/>
      <c r="DNA516" s="379"/>
      <c r="DNB516" s="379"/>
      <c r="DNC516" s="13"/>
      <c r="DND516" s="13"/>
      <c r="DNE516" s="193"/>
      <c r="DNF516" s="379"/>
      <c r="DNG516" s="379"/>
      <c r="DNH516" s="379"/>
      <c r="DNI516" s="379"/>
      <c r="DNJ516" s="379"/>
      <c r="DNK516" s="13"/>
      <c r="DNL516" s="13"/>
      <c r="DNM516" s="193"/>
      <c r="DNN516" s="379"/>
      <c r="DNO516" s="379"/>
      <c r="DNP516" s="379"/>
      <c r="DNQ516" s="379"/>
      <c r="DNR516" s="379"/>
      <c r="DNS516" s="13"/>
      <c r="DNT516" s="13"/>
      <c r="DNU516" s="193"/>
      <c r="DNV516" s="379"/>
      <c r="DNW516" s="379"/>
      <c r="DNX516" s="379"/>
      <c r="DNY516" s="379"/>
      <c r="DNZ516" s="379"/>
      <c r="DOA516" s="13"/>
      <c r="DOB516" s="13"/>
      <c r="DOC516" s="193"/>
      <c r="DOD516" s="379"/>
      <c r="DOE516" s="379"/>
      <c r="DOF516" s="379"/>
      <c r="DOG516" s="379"/>
      <c r="DOH516" s="379"/>
      <c r="DOI516" s="13"/>
      <c r="DOJ516" s="13"/>
      <c r="DOK516" s="193"/>
      <c r="DOL516" s="379"/>
      <c r="DOM516" s="379"/>
      <c r="DON516" s="379"/>
      <c r="DOO516" s="379"/>
      <c r="DOP516" s="379"/>
      <c r="DOQ516" s="13"/>
      <c r="DOR516" s="13"/>
      <c r="DOS516" s="193"/>
      <c r="DOT516" s="379"/>
      <c r="DOU516" s="379"/>
      <c r="DOV516" s="379"/>
      <c r="DOW516" s="379"/>
      <c r="DOX516" s="379"/>
      <c r="DOY516" s="13"/>
      <c r="DOZ516" s="13"/>
      <c r="DPA516" s="193"/>
      <c r="DPB516" s="379"/>
      <c r="DPC516" s="379"/>
      <c r="DPD516" s="379"/>
      <c r="DPE516" s="379"/>
      <c r="DPF516" s="379"/>
      <c r="DPG516" s="13"/>
      <c r="DPH516" s="13"/>
      <c r="DPI516" s="193"/>
      <c r="DPJ516" s="379"/>
      <c r="DPK516" s="379"/>
      <c r="DPL516" s="379"/>
      <c r="DPM516" s="379"/>
      <c r="DPN516" s="379"/>
      <c r="DPO516" s="13"/>
      <c r="DPP516" s="13"/>
      <c r="DPQ516" s="193"/>
      <c r="DPR516" s="379"/>
      <c r="DPS516" s="379"/>
      <c r="DPT516" s="379"/>
      <c r="DPU516" s="379"/>
      <c r="DPV516" s="379"/>
      <c r="DPW516" s="13"/>
      <c r="DPX516" s="13"/>
      <c r="DPY516" s="193"/>
      <c r="DPZ516" s="379"/>
      <c r="DQA516" s="379"/>
      <c r="DQB516" s="379"/>
      <c r="DQC516" s="379"/>
      <c r="DQD516" s="379"/>
      <c r="DQE516" s="13"/>
      <c r="DQF516" s="13"/>
      <c r="DQG516" s="193"/>
      <c r="DQH516" s="379"/>
      <c r="DQI516" s="379"/>
      <c r="DQJ516" s="379"/>
      <c r="DQK516" s="379"/>
      <c r="DQL516" s="379"/>
      <c r="DQM516" s="13"/>
      <c r="DQN516" s="13"/>
      <c r="DQO516" s="193"/>
      <c r="DQP516" s="379"/>
      <c r="DQQ516" s="379"/>
      <c r="DQR516" s="379"/>
      <c r="DQS516" s="379"/>
      <c r="DQT516" s="379"/>
      <c r="DQU516" s="13"/>
      <c r="DQV516" s="13"/>
      <c r="DQW516" s="193"/>
      <c r="DQX516" s="379"/>
      <c r="DQY516" s="379"/>
      <c r="DQZ516" s="379"/>
      <c r="DRA516" s="379"/>
      <c r="DRB516" s="379"/>
      <c r="DRC516" s="13"/>
      <c r="DRD516" s="13"/>
      <c r="DRE516" s="193"/>
      <c r="DRF516" s="379"/>
      <c r="DRG516" s="379"/>
      <c r="DRH516" s="379"/>
      <c r="DRI516" s="379"/>
      <c r="DRJ516" s="379"/>
      <c r="DRK516" s="13"/>
      <c r="DRL516" s="13"/>
      <c r="DRM516" s="193"/>
      <c r="DRN516" s="379"/>
      <c r="DRO516" s="379"/>
      <c r="DRP516" s="379"/>
      <c r="DRQ516" s="379"/>
      <c r="DRR516" s="379"/>
      <c r="DRS516" s="13"/>
      <c r="DRT516" s="13"/>
      <c r="DRU516" s="193"/>
      <c r="DRV516" s="379"/>
      <c r="DRW516" s="379"/>
      <c r="DRX516" s="379"/>
      <c r="DRY516" s="379"/>
      <c r="DRZ516" s="379"/>
      <c r="DSA516" s="13"/>
      <c r="DSB516" s="13"/>
      <c r="DSC516" s="193"/>
      <c r="DSD516" s="379"/>
      <c r="DSE516" s="379"/>
      <c r="DSF516" s="379"/>
      <c r="DSG516" s="379"/>
      <c r="DSH516" s="379"/>
      <c r="DSI516" s="13"/>
      <c r="DSJ516" s="13"/>
      <c r="DSK516" s="193"/>
      <c r="DSL516" s="379"/>
      <c r="DSM516" s="379"/>
      <c r="DSN516" s="379"/>
      <c r="DSO516" s="379"/>
      <c r="DSP516" s="379"/>
      <c r="DSQ516" s="13"/>
      <c r="DSR516" s="13"/>
      <c r="DSS516" s="193"/>
      <c r="DST516" s="379"/>
      <c r="DSU516" s="379"/>
      <c r="DSV516" s="379"/>
      <c r="DSW516" s="379"/>
      <c r="DSX516" s="379"/>
      <c r="DSY516" s="13"/>
      <c r="DSZ516" s="13"/>
      <c r="DTA516" s="193"/>
      <c r="DTB516" s="379"/>
      <c r="DTC516" s="379"/>
      <c r="DTD516" s="379"/>
      <c r="DTE516" s="379"/>
      <c r="DTF516" s="379"/>
      <c r="DTG516" s="13"/>
      <c r="DTH516" s="13"/>
      <c r="DTI516" s="193"/>
      <c r="DTJ516" s="379"/>
      <c r="DTK516" s="379"/>
      <c r="DTL516" s="379"/>
      <c r="DTM516" s="379"/>
      <c r="DTN516" s="379"/>
      <c r="DTO516" s="13"/>
      <c r="DTP516" s="13"/>
      <c r="DTQ516" s="193"/>
      <c r="DTR516" s="379"/>
      <c r="DTS516" s="379"/>
      <c r="DTT516" s="379"/>
      <c r="DTU516" s="379"/>
      <c r="DTV516" s="379"/>
      <c r="DTW516" s="13"/>
      <c r="DTX516" s="13"/>
      <c r="DTY516" s="193"/>
      <c r="DTZ516" s="379"/>
      <c r="DUA516" s="379"/>
      <c r="DUB516" s="379"/>
      <c r="DUC516" s="379"/>
      <c r="DUD516" s="379"/>
      <c r="DUE516" s="13"/>
      <c r="DUF516" s="13"/>
      <c r="DUG516" s="193"/>
      <c r="DUH516" s="379"/>
      <c r="DUI516" s="379"/>
      <c r="DUJ516" s="379"/>
      <c r="DUK516" s="379"/>
      <c r="DUL516" s="379"/>
      <c r="DUM516" s="13"/>
      <c r="DUN516" s="13"/>
      <c r="DUO516" s="193"/>
      <c r="DUP516" s="379"/>
      <c r="DUQ516" s="379"/>
      <c r="DUR516" s="379"/>
      <c r="DUS516" s="379"/>
      <c r="DUT516" s="379"/>
      <c r="DUU516" s="13"/>
      <c r="DUV516" s="13"/>
      <c r="DUW516" s="193"/>
      <c r="DUX516" s="379"/>
      <c r="DUY516" s="379"/>
      <c r="DUZ516" s="379"/>
      <c r="DVA516" s="379"/>
      <c r="DVB516" s="379"/>
      <c r="DVC516" s="13"/>
      <c r="DVD516" s="13"/>
      <c r="DVE516" s="193"/>
      <c r="DVF516" s="379"/>
      <c r="DVG516" s="379"/>
      <c r="DVH516" s="379"/>
      <c r="DVI516" s="379"/>
      <c r="DVJ516" s="379"/>
      <c r="DVK516" s="13"/>
      <c r="DVL516" s="13"/>
      <c r="DVM516" s="193"/>
      <c r="DVN516" s="379"/>
      <c r="DVO516" s="379"/>
      <c r="DVP516" s="379"/>
      <c r="DVQ516" s="379"/>
      <c r="DVR516" s="379"/>
      <c r="DVS516" s="13"/>
      <c r="DVT516" s="13"/>
      <c r="DVU516" s="193"/>
      <c r="DVV516" s="379"/>
      <c r="DVW516" s="379"/>
      <c r="DVX516" s="379"/>
      <c r="DVY516" s="379"/>
      <c r="DVZ516" s="379"/>
      <c r="DWA516" s="13"/>
      <c r="DWB516" s="13"/>
      <c r="DWC516" s="193"/>
      <c r="DWD516" s="379"/>
      <c r="DWE516" s="379"/>
      <c r="DWF516" s="379"/>
      <c r="DWG516" s="379"/>
      <c r="DWH516" s="379"/>
      <c r="DWI516" s="13"/>
      <c r="DWJ516" s="13"/>
      <c r="DWK516" s="193"/>
      <c r="DWL516" s="379"/>
      <c r="DWM516" s="379"/>
      <c r="DWN516" s="379"/>
      <c r="DWO516" s="379"/>
      <c r="DWP516" s="379"/>
      <c r="DWQ516" s="13"/>
      <c r="DWR516" s="13"/>
      <c r="DWS516" s="193"/>
      <c r="DWT516" s="379"/>
      <c r="DWU516" s="379"/>
      <c r="DWV516" s="379"/>
      <c r="DWW516" s="379"/>
      <c r="DWX516" s="379"/>
      <c r="DWY516" s="13"/>
      <c r="DWZ516" s="13"/>
      <c r="DXA516" s="193"/>
      <c r="DXB516" s="379"/>
      <c r="DXC516" s="379"/>
      <c r="DXD516" s="379"/>
      <c r="DXE516" s="379"/>
      <c r="DXF516" s="379"/>
      <c r="DXG516" s="13"/>
      <c r="DXH516" s="13"/>
      <c r="DXI516" s="193"/>
      <c r="DXJ516" s="379"/>
      <c r="DXK516" s="379"/>
      <c r="DXL516" s="379"/>
      <c r="DXM516" s="379"/>
      <c r="DXN516" s="379"/>
      <c r="DXO516" s="13"/>
      <c r="DXP516" s="13"/>
      <c r="DXQ516" s="193"/>
      <c r="DXR516" s="379"/>
      <c r="DXS516" s="379"/>
      <c r="DXT516" s="379"/>
      <c r="DXU516" s="379"/>
      <c r="DXV516" s="379"/>
      <c r="DXW516" s="13"/>
      <c r="DXX516" s="13"/>
      <c r="DXY516" s="193"/>
      <c r="DXZ516" s="379"/>
      <c r="DYA516" s="379"/>
      <c r="DYB516" s="379"/>
      <c r="DYC516" s="379"/>
      <c r="DYD516" s="379"/>
      <c r="DYE516" s="13"/>
      <c r="DYF516" s="13"/>
      <c r="DYG516" s="193"/>
      <c r="DYH516" s="379"/>
      <c r="DYI516" s="379"/>
      <c r="DYJ516" s="379"/>
      <c r="DYK516" s="379"/>
      <c r="DYL516" s="379"/>
      <c r="DYM516" s="13"/>
      <c r="DYN516" s="13"/>
      <c r="DYO516" s="193"/>
      <c r="DYP516" s="379"/>
      <c r="DYQ516" s="379"/>
      <c r="DYR516" s="379"/>
      <c r="DYS516" s="379"/>
      <c r="DYT516" s="379"/>
      <c r="DYU516" s="13"/>
      <c r="DYV516" s="13"/>
      <c r="DYW516" s="193"/>
      <c r="DYX516" s="379"/>
      <c r="DYY516" s="379"/>
      <c r="DYZ516" s="379"/>
      <c r="DZA516" s="379"/>
      <c r="DZB516" s="379"/>
      <c r="DZC516" s="13"/>
      <c r="DZD516" s="13"/>
      <c r="DZE516" s="193"/>
      <c r="DZF516" s="379"/>
      <c r="DZG516" s="379"/>
      <c r="DZH516" s="379"/>
      <c r="DZI516" s="379"/>
      <c r="DZJ516" s="379"/>
      <c r="DZK516" s="13"/>
      <c r="DZL516" s="13"/>
      <c r="DZM516" s="193"/>
      <c r="DZN516" s="379"/>
      <c r="DZO516" s="379"/>
      <c r="DZP516" s="379"/>
      <c r="DZQ516" s="379"/>
      <c r="DZR516" s="379"/>
      <c r="DZS516" s="13"/>
      <c r="DZT516" s="13"/>
      <c r="DZU516" s="193"/>
      <c r="DZV516" s="379"/>
      <c r="DZW516" s="379"/>
      <c r="DZX516" s="379"/>
      <c r="DZY516" s="379"/>
      <c r="DZZ516" s="379"/>
      <c r="EAA516" s="13"/>
      <c r="EAB516" s="13"/>
      <c r="EAC516" s="193"/>
      <c r="EAD516" s="379"/>
      <c r="EAE516" s="379"/>
      <c r="EAF516" s="379"/>
      <c r="EAG516" s="379"/>
      <c r="EAH516" s="379"/>
      <c r="EAI516" s="13"/>
      <c r="EAJ516" s="13"/>
      <c r="EAK516" s="193"/>
      <c r="EAL516" s="379"/>
      <c r="EAM516" s="379"/>
      <c r="EAN516" s="379"/>
      <c r="EAO516" s="379"/>
      <c r="EAP516" s="379"/>
      <c r="EAQ516" s="13"/>
      <c r="EAR516" s="13"/>
      <c r="EAS516" s="193"/>
      <c r="EAT516" s="379"/>
      <c r="EAU516" s="379"/>
      <c r="EAV516" s="379"/>
      <c r="EAW516" s="379"/>
      <c r="EAX516" s="379"/>
      <c r="EAY516" s="13"/>
      <c r="EAZ516" s="13"/>
      <c r="EBA516" s="193"/>
      <c r="EBB516" s="379"/>
      <c r="EBC516" s="379"/>
      <c r="EBD516" s="379"/>
      <c r="EBE516" s="379"/>
      <c r="EBF516" s="379"/>
      <c r="EBG516" s="13"/>
      <c r="EBH516" s="13"/>
      <c r="EBI516" s="193"/>
      <c r="EBJ516" s="379"/>
      <c r="EBK516" s="379"/>
      <c r="EBL516" s="379"/>
      <c r="EBM516" s="379"/>
      <c r="EBN516" s="379"/>
      <c r="EBO516" s="13"/>
      <c r="EBP516" s="13"/>
      <c r="EBQ516" s="193"/>
      <c r="EBR516" s="379"/>
      <c r="EBS516" s="379"/>
      <c r="EBT516" s="379"/>
      <c r="EBU516" s="379"/>
      <c r="EBV516" s="379"/>
      <c r="EBW516" s="13"/>
      <c r="EBX516" s="13"/>
      <c r="EBY516" s="193"/>
      <c r="EBZ516" s="379"/>
      <c r="ECA516" s="379"/>
      <c r="ECB516" s="379"/>
      <c r="ECC516" s="379"/>
      <c r="ECD516" s="379"/>
      <c r="ECE516" s="13"/>
      <c r="ECF516" s="13"/>
      <c r="ECG516" s="193"/>
      <c r="ECH516" s="379"/>
      <c r="ECI516" s="379"/>
      <c r="ECJ516" s="379"/>
      <c r="ECK516" s="379"/>
      <c r="ECL516" s="379"/>
      <c r="ECM516" s="13"/>
      <c r="ECN516" s="13"/>
      <c r="ECO516" s="193"/>
      <c r="ECP516" s="379"/>
      <c r="ECQ516" s="379"/>
      <c r="ECR516" s="379"/>
      <c r="ECS516" s="379"/>
      <c r="ECT516" s="379"/>
      <c r="ECU516" s="13"/>
      <c r="ECV516" s="13"/>
      <c r="ECW516" s="193"/>
      <c r="ECX516" s="379"/>
      <c r="ECY516" s="379"/>
      <c r="ECZ516" s="379"/>
      <c r="EDA516" s="379"/>
      <c r="EDB516" s="379"/>
      <c r="EDC516" s="13"/>
      <c r="EDD516" s="13"/>
      <c r="EDE516" s="193"/>
      <c r="EDF516" s="379"/>
      <c r="EDG516" s="379"/>
      <c r="EDH516" s="379"/>
      <c r="EDI516" s="379"/>
      <c r="EDJ516" s="379"/>
      <c r="EDK516" s="13"/>
      <c r="EDL516" s="13"/>
      <c r="EDM516" s="193"/>
      <c r="EDN516" s="379"/>
      <c r="EDO516" s="379"/>
      <c r="EDP516" s="379"/>
      <c r="EDQ516" s="379"/>
      <c r="EDR516" s="379"/>
      <c r="EDS516" s="13"/>
      <c r="EDT516" s="13"/>
      <c r="EDU516" s="193"/>
      <c r="EDV516" s="379"/>
      <c r="EDW516" s="379"/>
      <c r="EDX516" s="379"/>
      <c r="EDY516" s="379"/>
      <c r="EDZ516" s="379"/>
      <c r="EEA516" s="13"/>
      <c r="EEB516" s="13"/>
      <c r="EEC516" s="193"/>
      <c r="EED516" s="379"/>
      <c r="EEE516" s="379"/>
      <c r="EEF516" s="379"/>
      <c r="EEG516" s="379"/>
      <c r="EEH516" s="379"/>
      <c r="EEI516" s="13"/>
      <c r="EEJ516" s="13"/>
      <c r="EEK516" s="193"/>
      <c r="EEL516" s="379"/>
      <c r="EEM516" s="379"/>
      <c r="EEN516" s="379"/>
      <c r="EEO516" s="379"/>
      <c r="EEP516" s="379"/>
      <c r="EEQ516" s="13"/>
      <c r="EER516" s="13"/>
      <c r="EES516" s="193"/>
      <c r="EET516" s="379"/>
      <c r="EEU516" s="379"/>
      <c r="EEV516" s="379"/>
      <c r="EEW516" s="379"/>
      <c r="EEX516" s="379"/>
      <c r="EEY516" s="13"/>
      <c r="EEZ516" s="13"/>
      <c r="EFA516" s="193"/>
      <c r="EFB516" s="379"/>
      <c r="EFC516" s="379"/>
      <c r="EFD516" s="379"/>
      <c r="EFE516" s="379"/>
      <c r="EFF516" s="379"/>
      <c r="EFG516" s="13"/>
      <c r="EFH516" s="13"/>
      <c r="EFI516" s="193"/>
      <c r="EFJ516" s="379"/>
      <c r="EFK516" s="379"/>
      <c r="EFL516" s="379"/>
      <c r="EFM516" s="379"/>
      <c r="EFN516" s="379"/>
      <c r="EFO516" s="13"/>
      <c r="EFP516" s="13"/>
      <c r="EFQ516" s="193"/>
      <c r="EFR516" s="379"/>
      <c r="EFS516" s="379"/>
      <c r="EFT516" s="379"/>
      <c r="EFU516" s="379"/>
      <c r="EFV516" s="379"/>
      <c r="EFW516" s="13"/>
      <c r="EFX516" s="13"/>
      <c r="EFY516" s="193"/>
      <c r="EFZ516" s="379"/>
      <c r="EGA516" s="379"/>
      <c r="EGB516" s="379"/>
      <c r="EGC516" s="379"/>
      <c r="EGD516" s="379"/>
      <c r="EGE516" s="13"/>
      <c r="EGF516" s="13"/>
      <c r="EGG516" s="193"/>
      <c r="EGH516" s="379"/>
      <c r="EGI516" s="379"/>
      <c r="EGJ516" s="379"/>
      <c r="EGK516" s="379"/>
      <c r="EGL516" s="379"/>
      <c r="EGM516" s="13"/>
      <c r="EGN516" s="13"/>
      <c r="EGO516" s="193"/>
      <c r="EGP516" s="379"/>
      <c r="EGQ516" s="379"/>
      <c r="EGR516" s="379"/>
      <c r="EGS516" s="379"/>
      <c r="EGT516" s="379"/>
      <c r="EGU516" s="13"/>
      <c r="EGV516" s="13"/>
      <c r="EGW516" s="193"/>
      <c r="EGX516" s="379"/>
      <c r="EGY516" s="379"/>
      <c r="EGZ516" s="379"/>
      <c r="EHA516" s="379"/>
      <c r="EHB516" s="379"/>
      <c r="EHC516" s="13"/>
      <c r="EHD516" s="13"/>
      <c r="EHE516" s="193"/>
      <c r="EHF516" s="379"/>
      <c r="EHG516" s="379"/>
      <c r="EHH516" s="379"/>
      <c r="EHI516" s="379"/>
      <c r="EHJ516" s="379"/>
      <c r="EHK516" s="13"/>
      <c r="EHL516" s="13"/>
      <c r="EHM516" s="193"/>
      <c r="EHN516" s="379"/>
      <c r="EHO516" s="379"/>
      <c r="EHP516" s="379"/>
      <c r="EHQ516" s="379"/>
      <c r="EHR516" s="379"/>
      <c r="EHS516" s="13"/>
      <c r="EHT516" s="13"/>
      <c r="EHU516" s="193"/>
      <c r="EHV516" s="379"/>
      <c r="EHW516" s="379"/>
      <c r="EHX516" s="379"/>
      <c r="EHY516" s="379"/>
      <c r="EHZ516" s="379"/>
      <c r="EIA516" s="13"/>
      <c r="EIB516" s="13"/>
      <c r="EIC516" s="193"/>
      <c r="EID516" s="379"/>
      <c r="EIE516" s="379"/>
      <c r="EIF516" s="379"/>
      <c r="EIG516" s="379"/>
      <c r="EIH516" s="379"/>
      <c r="EII516" s="13"/>
      <c r="EIJ516" s="13"/>
      <c r="EIK516" s="193"/>
      <c r="EIL516" s="379"/>
      <c r="EIM516" s="379"/>
      <c r="EIN516" s="379"/>
      <c r="EIO516" s="379"/>
      <c r="EIP516" s="379"/>
      <c r="EIQ516" s="13"/>
      <c r="EIR516" s="13"/>
      <c r="EIS516" s="193"/>
      <c r="EIT516" s="379"/>
      <c r="EIU516" s="379"/>
      <c r="EIV516" s="379"/>
      <c r="EIW516" s="379"/>
      <c r="EIX516" s="379"/>
      <c r="EIY516" s="13"/>
      <c r="EIZ516" s="13"/>
      <c r="EJA516" s="193"/>
      <c r="EJB516" s="379"/>
      <c r="EJC516" s="379"/>
      <c r="EJD516" s="379"/>
      <c r="EJE516" s="379"/>
      <c r="EJF516" s="379"/>
      <c r="EJG516" s="13"/>
      <c r="EJH516" s="13"/>
      <c r="EJI516" s="193"/>
      <c r="EJJ516" s="379"/>
      <c r="EJK516" s="379"/>
      <c r="EJL516" s="379"/>
      <c r="EJM516" s="379"/>
      <c r="EJN516" s="379"/>
      <c r="EJO516" s="13"/>
      <c r="EJP516" s="13"/>
      <c r="EJQ516" s="193"/>
      <c r="EJR516" s="379"/>
      <c r="EJS516" s="379"/>
      <c r="EJT516" s="379"/>
      <c r="EJU516" s="379"/>
      <c r="EJV516" s="379"/>
      <c r="EJW516" s="13"/>
      <c r="EJX516" s="13"/>
      <c r="EJY516" s="193"/>
      <c r="EJZ516" s="379"/>
      <c r="EKA516" s="379"/>
      <c r="EKB516" s="379"/>
      <c r="EKC516" s="379"/>
      <c r="EKD516" s="379"/>
      <c r="EKE516" s="13"/>
      <c r="EKF516" s="13"/>
      <c r="EKG516" s="193"/>
      <c r="EKH516" s="379"/>
      <c r="EKI516" s="379"/>
      <c r="EKJ516" s="379"/>
      <c r="EKK516" s="379"/>
      <c r="EKL516" s="379"/>
      <c r="EKM516" s="13"/>
      <c r="EKN516" s="13"/>
      <c r="EKO516" s="193"/>
      <c r="EKP516" s="379"/>
      <c r="EKQ516" s="379"/>
      <c r="EKR516" s="379"/>
      <c r="EKS516" s="379"/>
      <c r="EKT516" s="379"/>
      <c r="EKU516" s="13"/>
      <c r="EKV516" s="13"/>
      <c r="EKW516" s="193"/>
      <c r="EKX516" s="379"/>
      <c r="EKY516" s="379"/>
      <c r="EKZ516" s="379"/>
      <c r="ELA516" s="379"/>
      <c r="ELB516" s="379"/>
      <c r="ELC516" s="13"/>
      <c r="ELD516" s="13"/>
      <c r="ELE516" s="193"/>
      <c r="ELF516" s="379"/>
      <c r="ELG516" s="379"/>
      <c r="ELH516" s="379"/>
      <c r="ELI516" s="379"/>
      <c r="ELJ516" s="379"/>
      <c r="ELK516" s="13"/>
      <c r="ELL516" s="13"/>
      <c r="ELM516" s="193"/>
      <c r="ELN516" s="379"/>
      <c r="ELO516" s="379"/>
      <c r="ELP516" s="379"/>
      <c r="ELQ516" s="379"/>
      <c r="ELR516" s="379"/>
      <c r="ELS516" s="13"/>
      <c r="ELT516" s="13"/>
      <c r="ELU516" s="193"/>
      <c r="ELV516" s="379"/>
      <c r="ELW516" s="379"/>
      <c r="ELX516" s="379"/>
      <c r="ELY516" s="379"/>
      <c r="ELZ516" s="379"/>
      <c r="EMA516" s="13"/>
      <c r="EMB516" s="13"/>
      <c r="EMC516" s="193"/>
      <c r="EMD516" s="379"/>
      <c r="EME516" s="379"/>
      <c r="EMF516" s="379"/>
      <c r="EMG516" s="379"/>
      <c r="EMH516" s="379"/>
      <c r="EMI516" s="13"/>
      <c r="EMJ516" s="13"/>
      <c r="EMK516" s="193"/>
      <c r="EML516" s="379"/>
      <c r="EMM516" s="379"/>
      <c r="EMN516" s="379"/>
      <c r="EMO516" s="379"/>
      <c r="EMP516" s="379"/>
      <c r="EMQ516" s="13"/>
      <c r="EMR516" s="13"/>
      <c r="EMS516" s="193"/>
      <c r="EMT516" s="379"/>
      <c r="EMU516" s="379"/>
      <c r="EMV516" s="379"/>
      <c r="EMW516" s="379"/>
      <c r="EMX516" s="379"/>
      <c r="EMY516" s="13"/>
      <c r="EMZ516" s="13"/>
      <c r="ENA516" s="193"/>
      <c r="ENB516" s="379"/>
      <c r="ENC516" s="379"/>
      <c r="END516" s="379"/>
      <c r="ENE516" s="379"/>
      <c r="ENF516" s="379"/>
      <c r="ENG516" s="13"/>
      <c r="ENH516" s="13"/>
      <c r="ENI516" s="193"/>
      <c r="ENJ516" s="379"/>
      <c r="ENK516" s="379"/>
      <c r="ENL516" s="379"/>
      <c r="ENM516" s="379"/>
      <c r="ENN516" s="379"/>
      <c r="ENO516" s="13"/>
      <c r="ENP516" s="13"/>
      <c r="ENQ516" s="193"/>
      <c r="ENR516" s="379"/>
      <c r="ENS516" s="379"/>
      <c r="ENT516" s="379"/>
      <c r="ENU516" s="379"/>
      <c r="ENV516" s="379"/>
      <c r="ENW516" s="13"/>
      <c r="ENX516" s="13"/>
      <c r="ENY516" s="193"/>
      <c r="ENZ516" s="379"/>
      <c r="EOA516" s="379"/>
      <c r="EOB516" s="379"/>
      <c r="EOC516" s="379"/>
      <c r="EOD516" s="379"/>
      <c r="EOE516" s="13"/>
      <c r="EOF516" s="13"/>
      <c r="EOG516" s="193"/>
      <c r="EOH516" s="379"/>
      <c r="EOI516" s="379"/>
      <c r="EOJ516" s="379"/>
      <c r="EOK516" s="379"/>
      <c r="EOL516" s="379"/>
      <c r="EOM516" s="13"/>
      <c r="EON516" s="13"/>
      <c r="EOO516" s="193"/>
      <c r="EOP516" s="379"/>
      <c r="EOQ516" s="379"/>
      <c r="EOR516" s="379"/>
      <c r="EOS516" s="379"/>
      <c r="EOT516" s="379"/>
      <c r="EOU516" s="13"/>
      <c r="EOV516" s="13"/>
      <c r="EOW516" s="193"/>
      <c r="EOX516" s="379"/>
      <c r="EOY516" s="379"/>
      <c r="EOZ516" s="379"/>
      <c r="EPA516" s="379"/>
      <c r="EPB516" s="379"/>
      <c r="EPC516" s="13"/>
      <c r="EPD516" s="13"/>
      <c r="EPE516" s="193"/>
      <c r="EPF516" s="379"/>
      <c r="EPG516" s="379"/>
      <c r="EPH516" s="379"/>
      <c r="EPI516" s="379"/>
      <c r="EPJ516" s="379"/>
      <c r="EPK516" s="13"/>
      <c r="EPL516" s="13"/>
      <c r="EPM516" s="193"/>
      <c r="EPN516" s="379"/>
      <c r="EPO516" s="379"/>
      <c r="EPP516" s="379"/>
      <c r="EPQ516" s="379"/>
      <c r="EPR516" s="379"/>
      <c r="EPS516" s="13"/>
      <c r="EPT516" s="13"/>
      <c r="EPU516" s="193"/>
      <c r="EPV516" s="379"/>
      <c r="EPW516" s="379"/>
      <c r="EPX516" s="379"/>
      <c r="EPY516" s="379"/>
      <c r="EPZ516" s="379"/>
      <c r="EQA516" s="13"/>
      <c r="EQB516" s="13"/>
      <c r="EQC516" s="193"/>
      <c r="EQD516" s="379"/>
      <c r="EQE516" s="379"/>
      <c r="EQF516" s="379"/>
      <c r="EQG516" s="379"/>
      <c r="EQH516" s="379"/>
      <c r="EQI516" s="13"/>
      <c r="EQJ516" s="13"/>
      <c r="EQK516" s="193"/>
      <c r="EQL516" s="379"/>
      <c r="EQM516" s="379"/>
      <c r="EQN516" s="379"/>
      <c r="EQO516" s="379"/>
      <c r="EQP516" s="379"/>
      <c r="EQQ516" s="13"/>
      <c r="EQR516" s="13"/>
      <c r="EQS516" s="193"/>
      <c r="EQT516" s="379"/>
      <c r="EQU516" s="379"/>
      <c r="EQV516" s="379"/>
      <c r="EQW516" s="379"/>
      <c r="EQX516" s="379"/>
      <c r="EQY516" s="13"/>
      <c r="EQZ516" s="13"/>
      <c r="ERA516" s="193"/>
      <c r="ERB516" s="379"/>
      <c r="ERC516" s="379"/>
      <c r="ERD516" s="379"/>
      <c r="ERE516" s="379"/>
      <c r="ERF516" s="379"/>
      <c r="ERG516" s="13"/>
      <c r="ERH516" s="13"/>
      <c r="ERI516" s="193"/>
      <c r="ERJ516" s="379"/>
      <c r="ERK516" s="379"/>
      <c r="ERL516" s="379"/>
      <c r="ERM516" s="379"/>
      <c r="ERN516" s="379"/>
      <c r="ERO516" s="13"/>
      <c r="ERP516" s="13"/>
      <c r="ERQ516" s="193"/>
      <c r="ERR516" s="379"/>
      <c r="ERS516" s="379"/>
      <c r="ERT516" s="379"/>
      <c r="ERU516" s="379"/>
      <c r="ERV516" s="379"/>
      <c r="ERW516" s="13"/>
      <c r="ERX516" s="13"/>
      <c r="ERY516" s="193"/>
      <c r="ERZ516" s="379"/>
      <c r="ESA516" s="379"/>
      <c r="ESB516" s="379"/>
      <c r="ESC516" s="379"/>
      <c r="ESD516" s="379"/>
      <c r="ESE516" s="13"/>
      <c r="ESF516" s="13"/>
      <c r="ESG516" s="193"/>
      <c r="ESH516" s="379"/>
      <c r="ESI516" s="379"/>
      <c r="ESJ516" s="379"/>
      <c r="ESK516" s="379"/>
      <c r="ESL516" s="379"/>
      <c r="ESM516" s="13"/>
      <c r="ESN516" s="13"/>
      <c r="ESO516" s="193"/>
      <c r="ESP516" s="379"/>
      <c r="ESQ516" s="379"/>
      <c r="ESR516" s="379"/>
      <c r="ESS516" s="379"/>
      <c r="EST516" s="379"/>
      <c r="ESU516" s="13"/>
      <c r="ESV516" s="13"/>
      <c r="ESW516" s="193"/>
      <c r="ESX516" s="379"/>
      <c r="ESY516" s="379"/>
      <c r="ESZ516" s="379"/>
      <c r="ETA516" s="379"/>
      <c r="ETB516" s="379"/>
      <c r="ETC516" s="13"/>
      <c r="ETD516" s="13"/>
      <c r="ETE516" s="193"/>
      <c r="ETF516" s="379"/>
      <c r="ETG516" s="379"/>
      <c r="ETH516" s="379"/>
      <c r="ETI516" s="379"/>
      <c r="ETJ516" s="379"/>
      <c r="ETK516" s="13"/>
      <c r="ETL516" s="13"/>
      <c r="ETM516" s="193"/>
      <c r="ETN516" s="379"/>
      <c r="ETO516" s="379"/>
      <c r="ETP516" s="379"/>
      <c r="ETQ516" s="379"/>
      <c r="ETR516" s="379"/>
      <c r="ETS516" s="13"/>
      <c r="ETT516" s="13"/>
      <c r="ETU516" s="193"/>
      <c r="ETV516" s="379"/>
      <c r="ETW516" s="379"/>
      <c r="ETX516" s="379"/>
      <c r="ETY516" s="379"/>
      <c r="ETZ516" s="379"/>
      <c r="EUA516" s="13"/>
      <c r="EUB516" s="13"/>
      <c r="EUC516" s="193"/>
      <c r="EUD516" s="379"/>
      <c r="EUE516" s="379"/>
      <c r="EUF516" s="379"/>
      <c r="EUG516" s="379"/>
      <c r="EUH516" s="379"/>
      <c r="EUI516" s="13"/>
      <c r="EUJ516" s="13"/>
      <c r="EUK516" s="193"/>
      <c r="EUL516" s="379"/>
      <c r="EUM516" s="379"/>
      <c r="EUN516" s="379"/>
      <c r="EUO516" s="379"/>
      <c r="EUP516" s="379"/>
      <c r="EUQ516" s="13"/>
      <c r="EUR516" s="13"/>
      <c r="EUS516" s="193"/>
      <c r="EUT516" s="379"/>
      <c r="EUU516" s="379"/>
      <c r="EUV516" s="379"/>
      <c r="EUW516" s="379"/>
      <c r="EUX516" s="379"/>
      <c r="EUY516" s="13"/>
      <c r="EUZ516" s="13"/>
      <c r="EVA516" s="193"/>
      <c r="EVB516" s="379"/>
      <c r="EVC516" s="379"/>
      <c r="EVD516" s="379"/>
      <c r="EVE516" s="379"/>
      <c r="EVF516" s="379"/>
      <c r="EVG516" s="13"/>
      <c r="EVH516" s="13"/>
      <c r="EVI516" s="193"/>
      <c r="EVJ516" s="379"/>
      <c r="EVK516" s="379"/>
      <c r="EVL516" s="379"/>
      <c r="EVM516" s="379"/>
      <c r="EVN516" s="379"/>
      <c r="EVO516" s="13"/>
      <c r="EVP516" s="13"/>
      <c r="EVQ516" s="193"/>
      <c r="EVR516" s="379"/>
      <c r="EVS516" s="379"/>
      <c r="EVT516" s="379"/>
      <c r="EVU516" s="379"/>
      <c r="EVV516" s="379"/>
      <c r="EVW516" s="13"/>
      <c r="EVX516" s="13"/>
      <c r="EVY516" s="193"/>
      <c r="EVZ516" s="379"/>
      <c r="EWA516" s="379"/>
      <c r="EWB516" s="379"/>
      <c r="EWC516" s="379"/>
      <c r="EWD516" s="379"/>
      <c r="EWE516" s="13"/>
      <c r="EWF516" s="13"/>
      <c r="EWG516" s="193"/>
      <c r="EWH516" s="379"/>
      <c r="EWI516" s="379"/>
      <c r="EWJ516" s="379"/>
      <c r="EWK516" s="379"/>
      <c r="EWL516" s="379"/>
      <c r="EWM516" s="13"/>
      <c r="EWN516" s="13"/>
      <c r="EWO516" s="193"/>
      <c r="EWP516" s="379"/>
      <c r="EWQ516" s="379"/>
      <c r="EWR516" s="379"/>
      <c r="EWS516" s="379"/>
      <c r="EWT516" s="379"/>
      <c r="EWU516" s="13"/>
      <c r="EWV516" s="13"/>
      <c r="EWW516" s="193"/>
      <c r="EWX516" s="379"/>
      <c r="EWY516" s="379"/>
      <c r="EWZ516" s="379"/>
      <c r="EXA516" s="379"/>
      <c r="EXB516" s="379"/>
      <c r="EXC516" s="13"/>
      <c r="EXD516" s="13"/>
      <c r="EXE516" s="193"/>
      <c r="EXF516" s="379"/>
      <c r="EXG516" s="379"/>
      <c r="EXH516" s="379"/>
      <c r="EXI516" s="379"/>
      <c r="EXJ516" s="379"/>
      <c r="EXK516" s="13"/>
      <c r="EXL516" s="13"/>
      <c r="EXM516" s="193"/>
      <c r="EXN516" s="379"/>
      <c r="EXO516" s="379"/>
      <c r="EXP516" s="379"/>
      <c r="EXQ516" s="379"/>
      <c r="EXR516" s="379"/>
      <c r="EXS516" s="13"/>
      <c r="EXT516" s="13"/>
      <c r="EXU516" s="193"/>
      <c r="EXV516" s="379"/>
      <c r="EXW516" s="379"/>
      <c r="EXX516" s="379"/>
      <c r="EXY516" s="379"/>
      <c r="EXZ516" s="379"/>
      <c r="EYA516" s="13"/>
      <c r="EYB516" s="13"/>
      <c r="EYC516" s="193"/>
      <c r="EYD516" s="379"/>
      <c r="EYE516" s="379"/>
      <c r="EYF516" s="379"/>
      <c r="EYG516" s="379"/>
      <c r="EYH516" s="379"/>
      <c r="EYI516" s="13"/>
      <c r="EYJ516" s="13"/>
      <c r="EYK516" s="193"/>
      <c r="EYL516" s="379"/>
      <c r="EYM516" s="379"/>
      <c r="EYN516" s="379"/>
      <c r="EYO516" s="379"/>
      <c r="EYP516" s="379"/>
      <c r="EYQ516" s="13"/>
      <c r="EYR516" s="13"/>
      <c r="EYS516" s="193"/>
      <c r="EYT516" s="379"/>
      <c r="EYU516" s="379"/>
      <c r="EYV516" s="379"/>
      <c r="EYW516" s="379"/>
      <c r="EYX516" s="379"/>
      <c r="EYY516" s="13"/>
      <c r="EYZ516" s="13"/>
      <c r="EZA516" s="193"/>
      <c r="EZB516" s="379"/>
      <c r="EZC516" s="379"/>
      <c r="EZD516" s="379"/>
      <c r="EZE516" s="379"/>
      <c r="EZF516" s="379"/>
      <c r="EZG516" s="13"/>
      <c r="EZH516" s="13"/>
      <c r="EZI516" s="193"/>
      <c r="EZJ516" s="379"/>
      <c r="EZK516" s="379"/>
      <c r="EZL516" s="379"/>
      <c r="EZM516" s="379"/>
      <c r="EZN516" s="379"/>
      <c r="EZO516" s="13"/>
      <c r="EZP516" s="13"/>
      <c r="EZQ516" s="193"/>
      <c r="EZR516" s="379"/>
      <c r="EZS516" s="379"/>
      <c r="EZT516" s="379"/>
      <c r="EZU516" s="379"/>
      <c r="EZV516" s="379"/>
      <c r="EZW516" s="13"/>
      <c r="EZX516" s="13"/>
      <c r="EZY516" s="193"/>
      <c r="EZZ516" s="379"/>
      <c r="FAA516" s="379"/>
      <c r="FAB516" s="379"/>
      <c r="FAC516" s="379"/>
      <c r="FAD516" s="379"/>
      <c r="FAE516" s="13"/>
      <c r="FAF516" s="13"/>
      <c r="FAG516" s="193"/>
      <c r="FAH516" s="379"/>
      <c r="FAI516" s="379"/>
      <c r="FAJ516" s="379"/>
      <c r="FAK516" s="379"/>
      <c r="FAL516" s="379"/>
      <c r="FAM516" s="13"/>
      <c r="FAN516" s="13"/>
      <c r="FAO516" s="193"/>
      <c r="FAP516" s="379"/>
      <c r="FAQ516" s="379"/>
      <c r="FAR516" s="379"/>
      <c r="FAS516" s="379"/>
      <c r="FAT516" s="379"/>
      <c r="FAU516" s="13"/>
      <c r="FAV516" s="13"/>
      <c r="FAW516" s="193"/>
      <c r="FAX516" s="379"/>
      <c r="FAY516" s="379"/>
      <c r="FAZ516" s="379"/>
      <c r="FBA516" s="379"/>
      <c r="FBB516" s="379"/>
      <c r="FBC516" s="13"/>
      <c r="FBD516" s="13"/>
      <c r="FBE516" s="193"/>
      <c r="FBF516" s="379"/>
      <c r="FBG516" s="379"/>
      <c r="FBH516" s="379"/>
      <c r="FBI516" s="379"/>
      <c r="FBJ516" s="379"/>
      <c r="FBK516" s="13"/>
      <c r="FBL516" s="13"/>
      <c r="FBM516" s="193"/>
      <c r="FBN516" s="379"/>
      <c r="FBO516" s="379"/>
      <c r="FBP516" s="379"/>
      <c r="FBQ516" s="379"/>
      <c r="FBR516" s="379"/>
      <c r="FBS516" s="13"/>
      <c r="FBT516" s="13"/>
      <c r="FBU516" s="193"/>
      <c r="FBV516" s="379"/>
      <c r="FBW516" s="379"/>
      <c r="FBX516" s="379"/>
      <c r="FBY516" s="379"/>
      <c r="FBZ516" s="379"/>
      <c r="FCA516" s="13"/>
      <c r="FCB516" s="13"/>
      <c r="FCC516" s="193"/>
      <c r="FCD516" s="379"/>
      <c r="FCE516" s="379"/>
      <c r="FCF516" s="379"/>
      <c r="FCG516" s="379"/>
      <c r="FCH516" s="379"/>
      <c r="FCI516" s="13"/>
      <c r="FCJ516" s="13"/>
      <c r="FCK516" s="193"/>
      <c r="FCL516" s="379"/>
      <c r="FCM516" s="379"/>
      <c r="FCN516" s="379"/>
      <c r="FCO516" s="379"/>
      <c r="FCP516" s="379"/>
      <c r="FCQ516" s="13"/>
      <c r="FCR516" s="13"/>
      <c r="FCS516" s="193"/>
      <c r="FCT516" s="379"/>
      <c r="FCU516" s="379"/>
      <c r="FCV516" s="379"/>
      <c r="FCW516" s="379"/>
      <c r="FCX516" s="379"/>
      <c r="FCY516" s="13"/>
      <c r="FCZ516" s="13"/>
      <c r="FDA516" s="193"/>
      <c r="FDB516" s="379"/>
      <c r="FDC516" s="379"/>
      <c r="FDD516" s="379"/>
      <c r="FDE516" s="379"/>
      <c r="FDF516" s="379"/>
      <c r="FDG516" s="13"/>
      <c r="FDH516" s="13"/>
      <c r="FDI516" s="193"/>
      <c r="FDJ516" s="379"/>
      <c r="FDK516" s="379"/>
      <c r="FDL516" s="379"/>
      <c r="FDM516" s="379"/>
      <c r="FDN516" s="379"/>
      <c r="FDO516" s="13"/>
      <c r="FDP516" s="13"/>
      <c r="FDQ516" s="193"/>
      <c r="FDR516" s="379"/>
      <c r="FDS516" s="379"/>
      <c r="FDT516" s="379"/>
      <c r="FDU516" s="379"/>
      <c r="FDV516" s="379"/>
      <c r="FDW516" s="13"/>
      <c r="FDX516" s="13"/>
      <c r="FDY516" s="193"/>
      <c r="FDZ516" s="379"/>
      <c r="FEA516" s="379"/>
      <c r="FEB516" s="379"/>
      <c r="FEC516" s="379"/>
      <c r="FED516" s="379"/>
      <c r="FEE516" s="13"/>
      <c r="FEF516" s="13"/>
      <c r="FEG516" s="193"/>
      <c r="FEH516" s="379"/>
      <c r="FEI516" s="379"/>
      <c r="FEJ516" s="379"/>
      <c r="FEK516" s="379"/>
      <c r="FEL516" s="379"/>
      <c r="FEM516" s="13"/>
      <c r="FEN516" s="13"/>
      <c r="FEO516" s="193"/>
      <c r="FEP516" s="379"/>
      <c r="FEQ516" s="379"/>
      <c r="FER516" s="379"/>
      <c r="FES516" s="379"/>
      <c r="FET516" s="379"/>
      <c r="FEU516" s="13"/>
      <c r="FEV516" s="13"/>
      <c r="FEW516" s="193"/>
      <c r="FEX516" s="379"/>
      <c r="FEY516" s="379"/>
      <c r="FEZ516" s="379"/>
      <c r="FFA516" s="379"/>
      <c r="FFB516" s="379"/>
      <c r="FFC516" s="13"/>
      <c r="FFD516" s="13"/>
      <c r="FFE516" s="193"/>
      <c r="FFF516" s="379"/>
      <c r="FFG516" s="379"/>
      <c r="FFH516" s="379"/>
      <c r="FFI516" s="379"/>
      <c r="FFJ516" s="379"/>
      <c r="FFK516" s="13"/>
      <c r="FFL516" s="13"/>
      <c r="FFM516" s="193"/>
      <c r="FFN516" s="379"/>
      <c r="FFO516" s="379"/>
      <c r="FFP516" s="379"/>
      <c r="FFQ516" s="379"/>
      <c r="FFR516" s="379"/>
      <c r="FFS516" s="13"/>
      <c r="FFT516" s="13"/>
      <c r="FFU516" s="193"/>
      <c r="FFV516" s="379"/>
      <c r="FFW516" s="379"/>
      <c r="FFX516" s="379"/>
      <c r="FFY516" s="379"/>
      <c r="FFZ516" s="379"/>
      <c r="FGA516" s="13"/>
      <c r="FGB516" s="13"/>
      <c r="FGC516" s="193"/>
      <c r="FGD516" s="379"/>
      <c r="FGE516" s="379"/>
      <c r="FGF516" s="379"/>
      <c r="FGG516" s="379"/>
      <c r="FGH516" s="379"/>
      <c r="FGI516" s="13"/>
      <c r="FGJ516" s="13"/>
      <c r="FGK516" s="193"/>
      <c r="FGL516" s="379"/>
      <c r="FGM516" s="379"/>
      <c r="FGN516" s="379"/>
      <c r="FGO516" s="379"/>
      <c r="FGP516" s="379"/>
      <c r="FGQ516" s="13"/>
      <c r="FGR516" s="13"/>
      <c r="FGS516" s="193"/>
      <c r="FGT516" s="379"/>
      <c r="FGU516" s="379"/>
      <c r="FGV516" s="379"/>
      <c r="FGW516" s="379"/>
      <c r="FGX516" s="379"/>
      <c r="FGY516" s="13"/>
      <c r="FGZ516" s="13"/>
      <c r="FHA516" s="193"/>
      <c r="FHB516" s="379"/>
      <c r="FHC516" s="379"/>
      <c r="FHD516" s="379"/>
      <c r="FHE516" s="379"/>
      <c r="FHF516" s="379"/>
      <c r="FHG516" s="13"/>
      <c r="FHH516" s="13"/>
      <c r="FHI516" s="193"/>
      <c r="FHJ516" s="379"/>
      <c r="FHK516" s="379"/>
      <c r="FHL516" s="379"/>
      <c r="FHM516" s="379"/>
      <c r="FHN516" s="379"/>
      <c r="FHO516" s="13"/>
      <c r="FHP516" s="13"/>
      <c r="FHQ516" s="193"/>
      <c r="FHR516" s="379"/>
      <c r="FHS516" s="379"/>
      <c r="FHT516" s="379"/>
      <c r="FHU516" s="379"/>
      <c r="FHV516" s="379"/>
      <c r="FHW516" s="13"/>
      <c r="FHX516" s="13"/>
      <c r="FHY516" s="193"/>
      <c r="FHZ516" s="379"/>
      <c r="FIA516" s="379"/>
      <c r="FIB516" s="379"/>
      <c r="FIC516" s="379"/>
      <c r="FID516" s="379"/>
      <c r="FIE516" s="13"/>
      <c r="FIF516" s="13"/>
      <c r="FIG516" s="193"/>
      <c r="FIH516" s="379"/>
      <c r="FII516" s="379"/>
      <c r="FIJ516" s="379"/>
      <c r="FIK516" s="379"/>
      <c r="FIL516" s="379"/>
      <c r="FIM516" s="13"/>
      <c r="FIN516" s="13"/>
      <c r="FIO516" s="193"/>
      <c r="FIP516" s="379"/>
      <c r="FIQ516" s="379"/>
      <c r="FIR516" s="379"/>
      <c r="FIS516" s="379"/>
      <c r="FIT516" s="379"/>
      <c r="FIU516" s="13"/>
      <c r="FIV516" s="13"/>
      <c r="FIW516" s="193"/>
      <c r="FIX516" s="379"/>
      <c r="FIY516" s="379"/>
      <c r="FIZ516" s="379"/>
      <c r="FJA516" s="379"/>
      <c r="FJB516" s="379"/>
      <c r="FJC516" s="13"/>
      <c r="FJD516" s="13"/>
      <c r="FJE516" s="193"/>
      <c r="FJF516" s="379"/>
      <c r="FJG516" s="379"/>
      <c r="FJH516" s="379"/>
      <c r="FJI516" s="379"/>
      <c r="FJJ516" s="379"/>
      <c r="FJK516" s="13"/>
      <c r="FJL516" s="13"/>
      <c r="FJM516" s="193"/>
      <c r="FJN516" s="379"/>
      <c r="FJO516" s="379"/>
      <c r="FJP516" s="379"/>
      <c r="FJQ516" s="379"/>
      <c r="FJR516" s="379"/>
      <c r="FJS516" s="13"/>
      <c r="FJT516" s="13"/>
      <c r="FJU516" s="193"/>
      <c r="FJV516" s="379"/>
      <c r="FJW516" s="379"/>
      <c r="FJX516" s="379"/>
      <c r="FJY516" s="379"/>
      <c r="FJZ516" s="379"/>
      <c r="FKA516" s="13"/>
      <c r="FKB516" s="13"/>
      <c r="FKC516" s="193"/>
      <c r="FKD516" s="379"/>
      <c r="FKE516" s="379"/>
      <c r="FKF516" s="379"/>
      <c r="FKG516" s="379"/>
      <c r="FKH516" s="379"/>
      <c r="FKI516" s="13"/>
      <c r="FKJ516" s="13"/>
      <c r="FKK516" s="193"/>
      <c r="FKL516" s="379"/>
      <c r="FKM516" s="379"/>
      <c r="FKN516" s="379"/>
      <c r="FKO516" s="379"/>
      <c r="FKP516" s="379"/>
      <c r="FKQ516" s="13"/>
      <c r="FKR516" s="13"/>
      <c r="FKS516" s="193"/>
      <c r="FKT516" s="379"/>
      <c r="FKU516" s="379"/>
      <c r="FKV516" s="379"/>
      <c r="FKW516" s="379"/>
      <c r="FKX516" s="379"/>
      <c r="FKY516" s="13"/>
      <c r="FKZ516" s="13"/>
      <c r="FLA516" s="193"/>
      <c r="FLB516" s="379"/>
      <c r="FLC516" s="379"/>
      <c r="FLD516" s="379"/>
      <c r="FLE516" s="379"/>
      <c r="FLF516" s="379"/>
      <c r="FLG516" s="13"/>
      <c r="FLH516" s="13"/>
      <c r="FLI516" s="193"/>
      <c r="FLJ516" s="379"/>
      <c r="FLK516" s="379"/>
      <c r="FLL516" s="379"/>
      <c r="FLM516" s="379"/>
      <c r="FLN516" s="379"/>
      <c r="FLO516" s="13"/>
      <c r="FLP516" s="13"/>
      <c r="FLQ516" s="193"/>
      <c r="FLR516" s="379"/>
      <c r="FLS516" s="379"/>
      <c r="FLT516" s="379"/>
      <c r="FLU516" s="379"/>
      <c r="FLV516" s="379"/>
      <c r="FLW516" s="13"/>
      <c r="FLX516" s="13"/>
      <c r="FLY516" s="193"/>
      <c r="FLZ516" s="379"/>
      <c r="FMA516" s="379"/>
      <c r="FMB516" s="379"/>
      <c r="FMC516" s="379"/>
      <c r="FMD516" s="379"/>
      <c r="FME516" s="13"/>
      <c r="FMF516" s="13"/>
      <c r="FMG516" s="193"/>
      <c r="FMH516" s="379"/>
      <c r="FMI516" s="379"/>
      <c r="FMJ516" s="379"/>
      <c r="FMK516" s="379"/>
      <c r="FML516" s="379"/>
      <c r="FMM516" s="13"/>
      <c r="FMN516" s="13"/>
      <c r="FMO516" s="193"/>
      <c r="FMP516" s="379"/>
      <c r="FMQ516" s="379"/>
      <c r="FMR516" s="379"/>
      <c r="FMS516" s="379"/>
      <c r="FMT516" s="379"/>
      <c r="FMU516" s="13"/>
      <c r="FMV516" s="13"/>
      <c r="FMW516" s="193"/>
      <c r="FMX516" s="379"/>
      <c r="FMY516" s="379"/>
      <c r="FMZ516" s="379"/>
      <c r="FNA516" s="379"/>
      <c r="FNB516" s="379"/>
      <c r="FNC516" s="13"/>
      <c r="FND516" s="13"/>
      <c r="FNE516" s="193"/>
      <c r="FNF516" s="379"/>
      <c r="FNG516" s="379"/>
      <c r="FNH516" s="379"/>
      <c r="FNI516" s="379"/>
      <c r="FNJ516" s="379"/>
      <c r="FNK516" s="13"/>
      <c r="FNL516" s="13"/>
      <c r="FNM516" s="193"/>
      <c r="FNN516" s="379"/>
      <c r="FNO516" s="379"/>
      <c r="FNP516" s="379"/>
      <c r="FNQ516" s="379"/>
      <c r="FNR516" s="379"/>
      <c r="FNS516" s="13"/>
      <c r="FNT516" s="13"/>
      <c r="FNU516" s="193"/>
      <c r="FNV516" s="379"/>
      <c r="FNW516" s="379"/>
      <c r="FNX516" s="379"/>
      <c r="FNY516" s="379"/>
      <c r="FNZ516" s="379"/>
      <c r="FOA516" s="13"/>
      <c r="FOB516" s="13"/>
      <c r="FOC516" s="193"/>
      <c r="FOD516" s="379"/>
      <c r="FOE516" s="379"/>
      <c r="FOF516" s="379"/>
      <c r="FOG516" s="379"/>
      <c r="FOH516" s="379"/>
      <c r="FOI516" s="13"/>
      <c r="FOJ516" s="13"/>
      <c r="FOK516" s="193"/>
      <c r="FOL516" s="379"/>
      <c r="FOM516" s="379"/>
      <c r="FON516" s="379"/>
      <c r="FOO516" s="379"/>
      <c r="FOP516" s="379"/>
      <c r="FOQ516" s="13"/>
      <c r="FOR516" s="13"/>
      <c r="FOS516" s="193"/>
      <c r="FOT516" s="379"/>
      <c r="FOU516" s="379"/>
      <c r="FOV516" s="379"/>
      <c r="FOW516" s="379"/>
      <c r="FOX516" s="379"/>
      <c r="FOY516" s="13"/>
      <c r="FOZ516" s="13"/>
      <c r="FPA516" s="193"/>
      <c r="FPB516" s="379"/>
      <c r="FPC516" s="379"/>
      <c r="FPD516" s="379"/>
      <c r="FPE516" s="379"/>
      <c r="FPF516" s="379"/>
      <c r="FPG516" s="13"/>
      <c r="FPH516" s="13"/>
      <c r="FPI516" s="193"/>
      <c r="FPJ516" s="379"/>
      <c r="FPK516" s="379"/>
      <c r="FPL516" s="379"/>
      <c r="FPM516" s="379"/>
      <c r="FPN516" s="379"/>
      <c r="FPO516" s="13"/>
      <c r="FPP516" s="13"/>
      <c r="FPQ516" s="193"/>
      <c r="FPR516" s="379"/>
      <c r="FPS516" s="379"/>
      <c r="FPT516" s="379"/>
      <c r="FPU516" s="379"/>
      <c r="FPV516" s="379"/>
      <c r="FPW516" s="13"/>
      <c r="FPX516" s="13"/>
      <c r="FPY516" s="193"/>
      <c r="FPZ516" s="379"/>
      <c r="FQA516" s="379"/>
      <c r="FQB516" s="379"/>
      <c r="FQC516" s="379"/>
      <c r="FQD516" s="379"/>
      <c r="FQE516" s="13"/>
      <c r="FQF516" s="13"/>
      <c r="FQG516" s="193"/>
      <c r="FQH516" s="379"/>
      <c r="FQI516" s="379"/>
      <c r="FQJ516" s="379"/>
      <c r="FQK516" s="379"/>
      <c r="FQL516" s="379"/>
      <c r="FQM516" s="13"/>
      <c r="FQN516" s="13"/>
      <c r="FQO516" s="193"/>
      <c r="FQP516" s="379"/>
      <c r="FQQ516" s="379"/>
      <c r="FQR516" s="379"/>
      <c r="FQS516" s="379"/>
      <c r="FQT516" s="379"/>
      <c r="FQU516" s="13"/>
      <c r="FQV516" s="13"/>
      <c r="FQW516" s="193"/>
      <c r="FQX516" s="379"/>
      <c r="FQY516" s="379"/>
      <c r="FQZ516" s="379"/>
      <c r="FRA516" s="379"/>
      <c r="FRB516" s="379"/>
      <c r="FRC516" s="13"/>
      <c r="FRD516" s="13"/>
      <c r="FRE516" s="193"/>
      <c r="FRF516" s="379"/>
      <c r="FRG516" s="379"/>
      <c r="FRH516" s="379"/>
      <c r="FRI516" s="379"/>
      <c r="FRJ516" s="379"/>
      <c r="FRK516" s="13"/>
      <c r="FRL516" s="13"/>
      <c r="FRM516" s="193"/>
      <c r="FRN516" s="379"/>
      <c r="FRO516" s="379"/>
      <c r="FRP516" s="379"/>
      <c r="FRQ516" s="379"/>
      <c r="FRR516" s="379"/>
      <c r="FRS516" s="13"/>
      <c r="FRT516" s="13"/>
      <c r="FRU516" s="193"/>
      <c r="FRV516" s="379"/>
      <c r="FRW516" s="379"/>
      <c r="FRX516" s="379"/>
      <c r="FRY516" s="379"/>
      <c r="FRZ516" s="379"/>
      <c r="FSA516" s="13"/>
      <c r="FSB516" s="13"/>
      <c r="FSC516" s="193"/>
      <c r="FSD516" s="379"/>
      <c r="FSE516" s="379"/>
      <c r="FSF516" s="379"/>
      <c r="FSG516" s="379"/>
      <c r="FSH516" s="379"/>
      <c r="FSI516" s="13"/>
      <c r="FSJ516" s="13"/>
      <c r="FSK516" s="193"/>
      <c r="FSL516" s="379"/>
      <c r="FSM516" s="379"/>
      <c r="FSN516" s="379"/>
      <c r="FSO516" s="379"/>
      <c r="FSP516" s="379"/>
      <c r="FSQ516" s="13"/>
      <c r="FSR516" s="13"/>
      <c r="FSS516" s="193"/>
      <c r="FST516" s="379"/>
      <c r="FSU516" s="379"/>
      <c r="FSV516" s="379"/>
      <c r="FSW516" s="379"/>
      <c r="FSX516" s="379"/>
      <c r="FSY516" s="13"/>
      <c r="FSZ516" s="13"/>
      <c r="FTA516" s="193"/>
      <c r="FTB516" s="379"/>
      <c r="FTC516" s="379"/>
      <c r="FTD516" s="379"/>
      <c r="FTE516" s="379"/>
      <c r="FTF516" s="379"/>
      <c r="FTG516" s="13"/>
      <c r="FTH516" s="13"/>
      <c r="FTI516" s="193"/>
      <c r="FTJ516" s="379"/>
      <c r="FTK516" s="379"/>
      <c r="FTL516" s="379"/>
      <c r="FTM516" s="379"/>
      <c r="FTN516" s="379"/>
      <c r="FTO516" s="13"/>
      <c r="FTP516" s="13"/>
      <c r="FTQ516" s="193"/>
      <c r="FTR516" s="379"/>
      <c r="FTS516" s="379"/>
      <c r="FTT516" s="379"/>
      <c r="FTU516" s="379"/>
      <c r="FTV516" s="379"/>
      <c r="FTW516" s="13"/>
      <c r="FTX516" s="13"/>
      <c r="FTY516" s="193"/>
      <c r="FTZ516" s="379"/>
      <c r="FUA516" s="379"/>
      <c r="FUB516" s="379"/>
      <c r="FUC516" s="379"/>
      <c r="FUD516" s="379"/>
      <c r="FUE516" s="13"/>
      <c r="FUF516" s="13"/>
      <c r="FUG516" s="193"/>
      <c r="FUH516" s="379"/>
      <c r="FUI516" s="379"/>
      <c r="FUJ516" s="379"/>
      <c r="FUK516" s="379"/>
      <c r="FUL516" s="379"/>
      <c r="FUM516" s="13"/>
      <c r="FUN516" s="13"/>
      <c r="FUO516" s="193"/>
      <c r="FUP516" s="379"/>
      <c r="FUQ516" s="379"/>
      <c r="FUR516" s="379"/>
      <c r="FUS516" s="379"/>
      <c r="FUT516" s="379"/>
      <c r="FUU516" s="13"/>
      <c r="FUV516" s="13"/>
      <c r="FUW516" s="193"/>
      <c r="FUX516" s="379"/>
      <c r="FUY516" s="379"/>
      <c r="FUZ516" s="379"/>
      <c r="FVA516" s="379"/>
      <c r="FVB516" s="379"/>
      <c r="FVC516" s="13"/>
      <c r="FVD516" s="13"/>
      <c r="FVE516" s="193"/>
      <c r="FVF516" s="379"/>
      <c r="FVG516" s="379"/>
      <c r="FVH516" s="379"/>
      <c r="FVI516" s="379"/>
      <c r="FVJ516" s="379"/>
      <c r="FVK516" s="13"/>
      <c r="FVL516" s="13"/>
      <c r="FVM516" s="193"/>
      <c r="FVN516" s="379"/>
      <c r="FVO516" s="379"/>
      <c r="FVP516" s="379"/>
      <c r="FVQ516" s="379"/>
      <c r="FVR516" s="379"/>
      <c r="FVS516" s="13"/>
      <c r="FVT516" s="13"/>
      <c r="FVU516" s="193"/>
      <c r="FVV516" s="379"/>
      <c r="FVW516" s="379"/>
      <c r="FVX516" s="379"/>
      <c r="FVY516" s="379"/>
      <c r="FVZ516" s="379"/>
      <c r="FWA516" s="13"/>
      <c r="FWB516" s="13"/>
      <c r="FWC516" s="193"/>
      <c r="FWD516" s="379"/>
      <c r="FWE516" s="379"/>
      <c r="FWF516" s="379"/>
      <c r="FWG516" s="379"/>
      <c r="FWH516" s="379"/>
      <c r="FWI516" s="13"/>
      <c r="FWJ516" s="13"/>
      <c r="FWK516" s="193"/>
      <c r="FWL516" s="379"/>
      <c r="FWM516" s="379"/>
      <c r="FWN516" s="379"/>
      <c r="FWO516" s="379"/>
      <c r="FWP516" s="379"/>
      <c r="FWQ516" s="13"/>
      <c r="FWR516" s="13"/>
      <c r="FWS516" s="193"/>
      <c r="FWT516" s="379"/>
      <c r="FWU516" s="379"/>
      <c r="FWV516" s="379"/>
      <c r="FWW516" s="379"/>
      <c r="FWX516" s="379"/>
      <c r="FWY516" s="13"/>
      <c r="FWZ516" s="13"/>
      <c r="FXA516" s="193"/>
      <c r="FXB516" s="379"/>
      <c r="FXC516" s="379"/>
      <c r="FXD516" s="379"/>
      <c r="FXE516" s="379"/>
      <c r="FXF516" s="379"/>
      <c r="FXG516" s="13"/>
      <c r="FXH516" s="13"/>
      <c r="FXI516" s="193"/>
      <c r="FXJ516" s="379"/>
      <c r="FXK516" s="379"/>
      <c r="FXL516" s="379"/>
      <c r="FXM516" s="379"/>
      <c r="FXN516" s="379"/>
      <c r="FXO516" s="13"/>
      <c r="FXP516" s="13"/>
      <c r="FXQ516" s="193"/>
      <c r="FXR516" s="379"/>
      <c r="FXS516" s="379"/>
      <c r="FXT516" s="379"/>
      <c r="FXU516" s="379"/>
      <c r="FXV516" s="379"/>
      <c r="FXW516" s="13"/>
      <c r="FXX516" s="13"/>
      <c r="FXY516" s="193"/>
      <c r="FXZ516" s="379"/>
      <c r="FYA516" s="379"/>
      <c r="FYB516" s="379"/>
      <c r="FYC516" s="379"/>
      <c r="FYD516" s="379"/>
      <c r="FYE516" s="13"/>
      <c r="FYF516" s="13"/>
      <c r="FYG516" s="193"/>
      <c r="FYH516" s="379"/>
      <c r="FYI516" s="379"/>
      <c r="FYJ516" s="379"/>
      <c r="FYK516" s="379"/>
      <c r="FYL516" s="379"/>
      <c r="FYM516" s="13"/>
      <c r="FYN516" s="13"/>
      <c r="FYO516" s="193"/>
      <c r="FYP516" s="379"/>
      <c r="FYQ516" s="379"/>
      <c r="FYR516" s="379"/>
      <c r="FYS516" s="379"/>
      <c r="FYT516" s="379"/>
      <c r="FYU516" s="13"/>
      <c r="FYV516" s="13"/>
      <c r="FYW516" s="193"/>
      <c r="FYX516" s="379"/>
      <c r="FYY516" s="379"/>
      <c r="FYZ516" s="379"/>
      <c r="FZA516" s="379"/>
      <c r="FZB516" s="379"/>
      <c r="FZC516" s="13"/>
      <c r="FZD516" s="13"/>
      <c r="FZE516" s="193"/>
      <c r="FZF516" s="379"/>
      <c r="FZG516" s="379"/>
      <c r="FZH516" s="379"/>
      <c r="FZI516" s="379"/>
      <c r="FZJ516" s="379"/>
      <c r="FZK516" s="13"/>
      <c r="FZL516" s="13"/>
      <c r="FZM516" s="193"/>
      <c r="FZN516" s="379"/>
      <c r="FZO516" s="379"/>
      <c r="FZP516" s="379"/>
      <c r="FZQ516" s="379"/>
      <c r="FZR516" s="379"/>
      <c r="FZS516" s="13"/>
      <c r="FZT516" s="13"/>
      <c r="FZU516" s="193"/>
      <c r="FZV516" s="379"/>
      <c r="FZW516" s="379"/>
      <c r="FZX516" s="379"/>
      <c r="FZY516" s="379"/>
      <c r="FZZ516" s="379"/>
      <c r="GAA516" s="13"/>
      <c r="GAB516" s="13"/>
      <c r="GAC516" s="193"/>
      <c r="GAD516" s="379"/>
      <c r="GAE516" s="379"/>
      <c r="GAF516" s="379"/>
      <c r="GAG516" s="379"/>
      <c r="GAH516" s="379"/>
      <c r="GAI516" s="13"/>
      <c r="GAJ516" s="13"/>
      <c r="GAK516" s="193"/>
      <c r="GAL516" s="379"/>
      <c r="GAM516" s="379"/>
      <c r="GAN516" s="379"/>
      <c r="GAO516" s="379"/>
      <c r="GAP516" s="379"/>
      <c r="GAQ516" s="13"/>
      <c r="GAR516" s="13"/>
      <c r="GAS516" s="193"/>
      <c r="GAT516" s="379"/>
      <c r="GAU516" s="379"/>
      <c r="GAV516" s="379"/>
      <c r="GAW516" s="379"/>
      <c r="GAX516" s="379"/>
      <c r="GAY516" s="13"/>
      <c r="GAZ516" s="13"/>
      <c r="GBA516" s="193"/>
      <c r="GBB516" s="379"/>
      <c r="GBC516" s="379"/>
      <c r="GBD516" s="379"/>
      <c r="GBE516" s="379"/>
      <c r="GBF516" s="379"/>
      <c r="GBG516" s="13"/>
      <c r="GBH516" s="13"/>
      <c r="GBI516" s="193"/>
      <c r="GBJ516" s="379"/>
      <c r="GBK516" s="379"/>
      <c r="GBL516" s="379"/>
      <c r="GBM516" s="379"/>
      <c r="GBN516" s="379"/>
      <c r="GBO516" s="13"/>
      <c r="GBP516" s="13"/>
      <c r="GBQ516" s="193"/>
      <c r="GBR516" s="379"/>
      <c r="GBS516" s="379"/>
      <c r="GBT516" s="379"/>
      <c r="GBU516" s="379"/>
      <c r="GBV516" s="379"/>
      <c r="GBW516" s="13"/>
      <c r="GBX516" s="13"/>
      <c r="GBY516" s="193"/>
      <c r="GBZ516" s="379"/>
      <c r="GCA516" s="379"/>
      <c r="GCB516" s="379"/>
      <c r="GCC516" s="379"/>
      <c r="GCD516" s="379"/>
      <c r="GCE516" s="13"/>
      <c r="GCF516" s="13"/>
      <c r="GCG516" s="193"/>
      <c r="GCH516" s="379"/>
      <c r="GCI516" s="379"/>
      <c r="GCJ516" s="379"/>
      <c r="GCK516" s="379"/>
      <c r="GCL516" s="379"/>
      <c r="GCM516" s="13"/>
      <c r="GCN516" s="13"/>
      <c r="GCO516" s="193"/>
      <c r="GCP516" s="379"/>
      <c r="GCQ516" s="379"/>
      <c r="GCR516" s="379"/>
      <c r="GCS516" s="379"/>
      <c r="GCT516" s="379"/>
      <c r="GCU516" s="13"/>
      <c r="GCV516" s="13"/>
      <c r="GCW516" s="193"/>
      <c r="GCX516" s="379"/>
      <c r="GCY516" s="379"/>
      <c r="GCZ516" s="379"/>
      <c r="GDA516" s="379"/>
      <c r="GDB516" s="379"/>
      <c r="GDC516" s="13"/>
      <c r="GDD516" s="13"/>
      <c r="GDE516" s="193"/>
      <c r="GDF516" s="379"/>
      <c r="GDG516" s="379"/>
      <c r="GDH516" s="379"/>
      <c r="GDI516" s="379"/>
      <c r="GDJ516" s="379"/>
      <c r="GDK516" s="13"/>
      <c r="GDL516" s="13"/>
      <c r="GDM516" s="193"/>
      <c r="GDN516" s="379"/>
      <c r="GDO516" s="379"/>
      <c r="GDP516" s="379"/>
      <c r="GDQ516" s="379"/>
      <c r="GDR516" s="379"/>
      <c r="GDS516" s="13"/>
      <c r="GDT516" s="13"/>
      <c r="GDU516" s="193"/>
      <c r="GDV516" s="379"/>
      <c r="GDW516" s="379"/>
      <c r="GDX516" s="379"/>
      <c r="GDY516" s="379"/>
      <c r="GDZ516" s="379"/>
      <c r="GEA516" s="13"/>
      <c r="GEB516" s="13"/>
      <c r="GEC516" s="193"/>
      <c r="GED516" s="379"/>
      <c r="GEE516" s="379"/>
      <c r="GEF516" s="379"/>
      <c r="GEG516" s="379"/>
      <c r="GEH516" s="379"/>
      <c r="GEI516" s="13"/>
      <c r="GEJ516" s="13"/>
      <c r="GEK516" s="193"/>
      <c r="GEL516" s="379"/>
      <c r="GEM516" s="379"/>
      <c r="GEN516" s="379"/>
      <c r="GEO516" s="379"/>
      <c r="GEP516" s="379"/>
      <c r="GEQ516" s="13"/>
      <c r="GER516" s="13"/>
      <c r="GES516" s="193"/>
      <c r="GET516" s="379"/>
      <c r="GEU516" s="379"/>
      <c r="GEV516" s="379"/>
      <c r="GEW516" s="379"/>
      <c r="GEX516" s="379"/>
      <c r="GEY516" s="13"/>
      <c r="GEZ516" s="13"/>
      <c r="GFA516" s="193"/>
      <c r="GFB516" s="379"/>
      <c r="GFC516" s="379"/>
      <c r="GFD516" s="379"/>
      <c r="GFE516" s="379"/>
      <c r="GFF516" s="379"/>
      <c r="GFG516" s="13"/>
      <c r="GFH516" s="13"/>
      <c r="GFI516" s="193"/>
      <c r="GFJ516" s="379"/>
      <c r="GFK516" s="379"/>
      <c r="GFL516" s="379"/>
      <c r="GFM516" s="379"/>
      <c r="GFN516" s="379"/>
      <c r="GFO516" s="13"/>
      <c r="GFP516" s="13"/>
      <c r="GFQ516" s="193"/>
      <c r="GFR516" s="379"/>
      <c r="GFS516" s="379"/>
      <c r="GFT516" s="379"/>
      <c r="GFU516" s="379"/>
      <c r="GFV516" s="379"/>
      <c r="GFW516" s="13"/>
      <c r="GFX516" s="13"/>
      <c r="GFY516" s="193"/>
      <c r="GFZ516" s="379"/>
      <c r="GGA516" s="379"/>
      <c r="GGB516" s="379"/>
      <c r="GGC516" s="379"/>
      <c r="GGD516" s="379"/>
      <c r="GGE516" s="13"/>
      <c r="GGF516" s="13"/>
      <c r="GGG516" s="193"/>
      <c r="GGH516" s="379"/>
      <c r="GGI516" s="379"/>
      <c r="GGJ516" s="379"/>
      <c r="GGK516" s="379"/>
      <c r="GGL516" s="379"/>
      <c r="GGM516" s="13"/>
      <c r="GGN516" s="13"/>
      <c r="GGO516" s="193"/>
      <c r="GGP516" s="379"/>
      <c r="GGQ516" s="379"/>
      <c r="GGR516" s="379"/>
      <c r="GGS516" s="379"/>
      <c r="GGT516" s="379"/>
      <c r="GGU516" s="13"/>
      <c r="GGV516" s="13"/>
      <c r="GGW516" s="193"/>
      <c r="GGX516" s="379"/>
      <c r="GGY516" s="379"/>
      <c r="GGZ516" s="379"/>
      <c r="GHA516" s="379"/>
      <c r="GHB516" s="379"/>
      <c r="GHC516" s="13"/>
      <c r="GHD516" s="13"/>
      <c r="GHE516" s="193"/>
      <c r="GHF516" s="379"/>
      <c r="GHG516" s="379"/>
      <c r="GHH516" s="379"/>
      <c r="GHI516" s="379"/>
      <c r="GHJ516" s="379"/>
      <c r="GHK516" s="13"/>
      <c r="GHL516" s="13"/>
      <c r="GHM516" s="193"/>
      <c r="GHN516" s="379"/>
      <c r="GHO516" s="379"/>
      <c r="GHP516" s="379"/>
      <c r="GHQ516" s="379"/>
      <c r="GHR516" s="379"/>
      <c r="GHS516" s="13"/>
      <c r="GHT516" s="13"/>
      <c r="GHU516" s="193"/>
      <c r="GHV516" s="379"/>
      <c r="GHW516" s="379"/>
      <c r="GHX516" s="379"/>
      <c r="GHY516" s="379"/>
      <c r="GHZ516" s="379"/>
      <c r="GIA516" s="13"/>
      <c r="GIB516" s="13"/>
      <c r="GIC516" s="193"/>
      <c r="GID516" s="379"/>
      <c r="GIE516" s="379"/>
      <c r="GIF516" s="379"/>
      <c r="GIG516" s="379"/>
      <c r="GIH516" s="379"/>
      <c r="GII516" s="13"/>
      <c r="GIJ516" s="13"/>
      <c r="GIK516" s="193"/>
      <c r="GIL516" s="379"/>
      <c r="GIM516" s="379"/>
      <c r="GIN516" s="379"/>
      <c r="GIO516" s="379"/>
      <c r="GIP516" s="379"/>
      <c r="GIQ516" s="13"/>
      <c r="GIR516" s="13"/>
      <c r="GIS516" s="193"/>
      <c r="GIT516" s="379"/>
      <c r="GIU516" s="379"/>
      <c r="GIV516" s="379"/>
      <c r="GIW516" s="379"/>
      <c r="GIX516" s="379"/>
      <c r="GIY516" s="13"/>
      <c r="GIZ516" s="13"/>
      <c r="GJA516" s="193"/>
      <c r="GJB516" s="379"/>
      <c r="GJC516" s="379"/>
      <c r="GJD516" s="379"/>
      <c r="GJE516" s="379"/>
      <c r="GJF516" s="379"/>
      <c r="GJG516" s="13"/>
      <c r="GJH516" s="13"/>
      <c r="GJI516" s="193"/>
      <c r="GJJ516" s="379"/>
      <c r="GJK516" s="379"/>
      <c r="GJL516" s="379"/>
      <c r="GJM516" s="379"/>
      <c r="GJN516" s="379"/>
      <c r="GJO516" s="13"/>
      <c r="GJP516" s="13"/>
      <c r="GJQ516" s="193"/>
      <c r="GJR516" s="379"/>
      <c r="GJS516" s="379"/>
      <c r="GJT516" s="379"/>
      <c r="GJU516" s="379"/>
      <c r="GJV516" s="379"/>
      <c r="GJW516" s="13"/>
      <c r="GJX516" s="13"/>
      <c r="GJY516" s="193"/>
      <c r="GJZ516" s="379"/>
      <c r="GKA516" s="379"/>
      <c r="GKB516" s="379"/>
      <c r="GKC516" s="379"/>
      <c r="GKD516" s="379"/>
      <c r="GKE516" s="13"/>
      <c r="GKF516" s="13"/>
      <c r="GKG516" s="193"/>
      <c r="GKH516" s="379"/>
      <c r="GKI516" s="379"/>
      <c r="GKJ516" s="379"/>
      <c r="GKK516" s="379"/>
      <c r="GKL516" s="379"/>
      <c r="GKM516" s="13"/>
      <c r="GKN516" s="13"/>
      <c r="GKO516" s="193"/>
      <c r="GKP516" s="379"/>
      <c r="GKQ516" s="379"/>
      <c r="GKR516" s="379"/>
      <c r="GKS516" s="379"/>
      <c r="GKT516" s="379"/>
      <c r="GKU516" s="13"/>
      <c r="GKV516" s="13"/>
      <c r="GKW516" s="193"/>
      <c r="GKX516" s="379"/>
      <c r="GKY516" s="379"/>
      <c r="GKZ516" s="379"/>
      <c r="GLA516" s="379"/>
      <c r="GLB516" s="379"/>
      <c r="GLC516" s="13"/>
      <c r="GLD516" s="13"/>
      <c r="GLE516" s="193"/>
      <c r="GLF516" s="379"/>
      <c r="GLG516" s="379"/>
      <c r="GLH516" s="379"/>
      <c r="GLI516" s="379"/>
      <c r="GLJ516" s="379"/>
      <c r="GLK516" s="13"/>
      <c r="GLL516" s="13"/>
      <c r="GLM516" s="193"/>
      <c r="GLN516" s="379"/>
      <c r="GLO516" s="379"/>
      <c r="GLP516" s="379"/>
      <c r="GLQ516" s="379"/>
      <c r="GLR516" s="379"/>
      <c r="GLS516" s="13"/>
      <c r="GLT516" s="13"/>
      <c r="GLU516" s="193"/>
      <c r="GLV516" s="379"/>
      <c r="GLW516" s="379"/>
      <c r="GLX516" s="379"/>
      <c r="GLY516" s="379"/>
      <c r="GLZ516" s="379"/>
      <c r="GMA516" s="13"/>
      <c r="GMB516" s="13"/>
      <c r="GMC516" s="193"/>
      <c r="GMD516" s="379"/>
      <c r="GME516" s="379"/>
      <c r="GMF516" s="379"/>
      <c r="GMG516" s="379"/>
      <c r="GMH516" s="379"/>
      <c r="GMI516" s="13"/>
      <c r="GMJ516" s="13"/>
      <c r="GMK516" s="193"/>
      <c r="GML516" s="379"/>
      <c r="GMM516" s="379"/>
      <c r="GMN516" s="379"/>
      <c r="GMO516" s="379"/>
      <c r="GMP516" s="379"/>
      <c r="GMQ516" s="13"/>
      <c r="GMR516" s="13"/>
      <c r="GMS516" s="193"/>
      <c r="GMT516" s="379"/>
      <c r="GMU516" s="379"/>
      <c r="GMV516" s="379"/>
      <c r="GMW516" s="379"/>
      <c r="GMX516" s="379"/>
      <c r="GMY516" s="13"/>
      <c r="GMZ516" s="13"/>
      <c r="GNA516" s="193"/>
      <c r="GNB516" s="379"/>
      <c r="GNC516" s="379"/>
      <c r="GND516" s="379"/>
      <c r="GNE516" s="379"/>
      <c r="GNF516" s="379"/>
      <c r="GNG516" s="13"/>
      <c r="GNH516" s="13"/>
      <c r="GNI516" s="193"/>
      <c r="GNJ516" s="379"/>
      <c r="GNK516" s="379"/>
      <c r="GNL516" s="379"/>
      <c r="GNM516" s="379"/>
      <c r="GNN516" s="379"/>
      <c r="GNO516" s="13"/>
      <c r="GNP516" s="13"/>
      <c r="GNQ516" s="193"/>
      <c r="GNR516" s="379"/>
      <c r="GNS516" s="379"/>
      <c r="GNT516" s="379"/>
      <c r="GNU516" s="379"/>
      <c r="GNV516" s="379"/>
      <c r="GNW516" s="13"/>
      <c r="GNX516" s="13"/>
      <c r="GNY516" s="193"/>
      <c r="GNZ516" s="379"/>
      <c r="GOA516" s="379"/>
      <c r="GOB516" s="379"/>
      <c r="GOC516" s="379"/>
      <c r="GOD516" s="379"/>
      <c r="GOE516" s="13"/>
      <c r="GOF516" s="13"/>
      <c r="GOG516" s="193"/>
      <c r="GOH516" s="379"/>
      <c r="GOI516" s="379"/>
      <c r="GOJ516" s="379"/>
      <c r="GOK516" s="379"/>
      <c r="GOL516" s="379"/>
      <c r="GOM516" s="13"/>
      <c r="GON516" s="13"/>
      <c r="GOO516" s="193"/>
      <c r="GOP516" s="379"/>
      <c r="GOQ516" s="379"/>
      <c r="GOR516" s="379"/>
      <c r="GOS516" s="379"/>
      <c r="GOT516" s="379"/>
      <c r="GOU516" s="13"/>
      <c r="GOV516" s="13"/>
      <c r="GOW516" s="193"/>
      <c r="GOX516" s="379"/>
      <c r="GOY516" s="379"/>
      <c r="GOZ516" s="379"/>
      <c r="GPA516" s="379"/>
      <c r="GPB516" s="379"/>
      <c r="GPC516" s="13"/>
      <c r="GPD516" s="13"/>
      <c r="GPE516" s="193"/>
      <c r="GPF516" s="379"/>
      <c r="GPG516" s="379"/>
      <c r="GPH516" s="379"/>
      <c r="GPI516" s="379"/>
      <c r="GPJ516" s="379"/>
      <c r="GPK516" s="13"/>
      <c r="GPL516" s="13"/>
      <c r="GPM516" s="193"/>
      <c r="GPN516" s="379"/>
      <c r="GPO516" s="379"/>
      <c r="GPP516" s="379"/>
      <c r="GPQ516" s="379"/>
      <c r="GPR516" s="379"/>
      <c r="GPS516" s="13"/>
      <c r="GPT516" s="13"/>
      <c r="GPU516" s="193"/>
      <c r="GPV516" s="379"/>
      <c r="GPW516" s="379"/>
      <c r="GPX516" s="379"/>
      <c r="GPY516" s="379"/>
      <c r="GPZ516" s="379"/>
      <c r="GQA516" s="13"/>
      <c r="GQB516" s="13"/>
      <c r="GQC516" s="193"/>
      <c r="GQD516" s="379"/>
      <c r="GQE516" s="379"/>
      <c r="GQF516" s="379"/>
      <c r="GQG516" s="379"/>
      <c r="GQH516" s="379"/>
      <c r="GQI516" s="13"/>
      <c r="GQJ516" s="13"/>
      <c r="GQK516" s="193"/>
      <c r="GQL516" s="379"/>
      <c r="GQM516" s="379"/>
      <c r="GQN516" s="379"/>
      <c r="GQO516" s="379"/>
      <c r="GQP516" s="379"/>
      <c r="GQQ516" s="13"/>
      <c r="GQR516" s="13"/>
      <c r="GQS516" s="193"/>
      <c r="GQT516" s="379"/>
      <c r="GQU516" s="379"/>
      <c r="GQV516" s="379"/>
      <c r="GQW516" s="379"/>
      <c r="GQX516" s="379"/>
      <c r="GQY516" s="13"/>
      <c r="GQZ516" s="13"/>
      <c r="GRA516" s="193"/>
      <c r="GRB516" s="379"/>
      <c r="GRC516" s="379"/>
      <c r="GRD516" s="379"/>
      <c r="GRE516" s="379"/>
      <c r="GRF516" s="379"/>
      <c r="GRG516" s="13"/>
      <c r="GRH516" s="13"/>
      <c r="GRI516" s="193"/>
      <c r="GRJ516" s="379"/>
      <c r="GRK516" s="379"/>
      <c r="GRL516" s="379"/>
      <c r="GRM516" s="379"/>
      <c r="GRN516" s="379"/>
      <c r="GRO516" s="13"/>
      <c r="GRP516" s="13"/>
      <c r="GRQ516" s="193"/>
      <c r="GRR516" s="379"/>
      <c r="GRS516" s="379"/>
      <c r="GRT516" s="379"/>
      <c r="GRU516" s="379"/>
      <c r="GRV516" s="379"/>
      <c r="GRW516" s="13"/>
      <c r="GRX516" s="13"/>
      <c r="GRY516" s="193"/>
      <c r="GRZ516" s="379"/>
      <c r="GSA516" s="379"/>
      <c r="GSB516" s="379"/>
      <c r="GSC516" s="379"/>
      <c r="GSD516" s="379"/>
      <c r="GSE516" s="13"/>
      <c r="GSF516" s="13"/>
      <c r="GSG516" s="193"/>
      <c r="GSH516" s="379"/>
      <c r="GSI516" s="379"/>
      <c r="GSJ516" s="379"/>
      <c r="GSK516" s="379"/>
      <c r="GSL516" s="379"/>
      <c r="GSM516" s="13"/>
      <c r="GSN516" s="13"/>
      <c r="GSO516" s="193"/>
      <c r="GSP516" s="379"/>
      <c r="GSQ516" s="379"/>
      <c r="GSR516" s="379"/>
      <c r="GSS516" s="379"/>
      <c r="GST516" s="379"/>
      <c r="GSU516" s="13"/>
      <c r="GSV516" s="13"/>
      <c r="GSW516" s="193"/>
      <c r="GSX516" s="379"/>
      <c r="GSY516" s="379"/>
      <c r="GSZ516" s="379"/>
      <c r="GTA516" s="379"/>
      <c r="GTB516" s="379"/>
      <c r="GTC516" s="13"/>
      <c r="GTD516" s="13"/>
      <c r="GTE516" s="193"/>
      <c r="GTF516" s="379"/>
      <c r="GTG516" s="379"/>
      <c r="GTH516" s="379"/>
      <c r="GTI516" s="379"/>
      <c r="GTJ516" s="379"/>
      <c r="GTK516" s="13"/>
      <c r="GTL516" s="13"/>
      <c r="GTM516" s="193"/>
      <c r="GTN516" s="379"/>
      <c r="GTO516" s="379"/>
      <c r="GTP516" s="379"/>
      <c r="GTQ516" s="379"/>
      <c r="GTR516" s="379"/>
      <c r="GTS516" s="13"/>
      <c r="GTT516" s="13"/>
      <c r="GTU516" s="193"/>
      <c r="GTV516" s="379"/>
      <c r="GTW516" s="379"/>
      <c r="GTX516" s="379"/>
      <c r="GTY516" s="379"/>
      <c r="GTZ516" s="379"/>
      <c r="GUA516" s="13"/>
      <c r="GUB516" s="13"/>
      <c r="GUC516" s="193"/>
      <c r="GUD516" s="379"/>
      <c r="GUE516" s="379"/>
      <c r="GUF516" s="379"/>
      <c r="GUG516" s="379"/>
      <c r="GUH516" s="379"/>
      <c r="GUI516" s="13"/>
      <c r="GUJ516" s="13"/>
      <c r="GUK516" s="193"/>
      <c r="GUL516" s="379"/>
      <c r="GUM516" s="379"/>
      <c r="GUN516" s="379"/>
      <c r="GUO516" s="379"/>
      <c r="GUP516" s="379"/>
      <c r="GUQ516" s="13"/>
      <c r="GUR516" s="13"/>
      <c r="GUS516" s="193"/>
      <c r="GUT516" s="379"/>
      <c r="GUU516" s="379"/>
      <c r="GUV516" s="379"/>
      <c r="GUW516" s="379"/>
      <c r="GUX516" s="379"/>
      <c r="GUY516" s="13"/>
      <c r="GUZ516" s="13"/>
      <c r="GVA516" s="193"/>
      <c r="GVB516" s="379"/>
      <c r="GVC516" s="379"/>
      <c r="GVD516" s="379"/>
      <c r="GVE516" s="379"/>
      <c r="GVF516" s="379"/>
      <c r="GVG516" s="13"/>
      <c r="GVH516" s="13"/>
      <c r="GVI516" s="193"/>
      <c r="GVJ516" s="379"/>
      <c r="GVK516" s="379"/>
      <c r="GVL516" s="379"/>
      <c r="GVM516" s="379"/>
      <c r="GVN516" s="379"/>
      <c r="GVO516" s="13"/>
      <c r="GVP516" s="13"/>
      <c r="GVQ516" s="193"/>
      <c r="GVR516" s="379"/>
      <c r="GVS516" s="379"/>
      <c r="GVT516" s="379"/>
      <c r="GVU516" s="379"/>
      <c r="GVV516" s="379"/>
      <c r="GVW516" s="13"/>
      <c r="GVX516" s="13"/>
      <c r="GVY516" s="193"/>
      <c r="GVZ516" s="379"/>
      <c r="GWA516" s="379"/>
      <c r="GWB516" s="379"/>
      <c r="GWC516" s="379"/>
      <c r="GWD516" s="379"/>
      <c r="GWE516" s="13"/>
      <c r="GWF516" s="13"/>
      <c r="GWG516" s="193"/>
      <c r="GWH516" s="379"/>
      <c r="GWI516" s="379"/>
      <c r="GWJ516" s="379"/>
      <c r="GWK516" s="379"/>
      <c r="GWL516" s="379"/>
      <c r="GWM516" s="13"/>
      <c r="GWN516" s="13"/>
      <c r="GWO516" s="193"/>
      <c r="GWP516" s="379"/>
      <c r="GWQ516" s="379"/>
      <c r="GWR516" s="379"/>
      <c r="GWS516" s="379"/>
      <c r="GWT516" s="379"/>
      <c r="GWU516" s="13"/>
      <c r="GWV516" s="13"/>
      <c r="GWW516" s="193"/>
      <c r="GWX516" s="379"/>
      <c r="GWY516" s="379"/>
      <c r="GWZ516" s="379"/>
      <c r="GXA516" s="379"/>
      <c r="GXB516" s="379"/>
      <c r="GXC516" s="13"/>
      <c r="GXD516" s="13"/>
      <c r="GXE516" s="193"/>
      <c r="GXF516" s="379"/>
      <c r="GXG516" s="379"/>
      <c r="GXH516" s="379"/>
      <c r="GXI516" s="379"/>
      <c r="GXJ516" s="379"/>
      <c r="GXK516" s="13"/>
      <c r="GXL516" s="13"/>
      <c r="GXM516" s="193"/>
      <c r="GXN516" s="379"/>
      <c r="GXO516" s="379"/>
      <c r="GXP516" s="379"/>
      <c r="GXQ516" s="379"/>
      <c r="GXR516" s="379"/>
      <c r="GXS516" s="13"/>
      <c r="GXT516" s="13"/>
      <c r="GXU516" s="193"/>
      <c r="GXV516" s="379"/>
      <c r="GXW516" s="379"/>
      <c r="GXX516" s="379"/>
      <c r="GXY516" s="379"/>
      <c r="GXZ516" s="379"/>
      <c r="GYA516" s="13"/>
      <c r="GYB516" s="13"/>
      <c r="GYC516" s="193"/>
      <c r="GYD516" s="379"/>
      <c r="GYE516" s="379"/>
      <c r="GYF516" s="379"/>
      <c r="GYG516" s="379"/>
      <c r="GYH516" s="379"/>
      <c r="GYI516" s="13"/>
      <c r="GYJ516" s="13"/>
      <c r="GYK516" s="193"/>
      <c r="GYL516" s="379"/>
      <c r="GYM516" s="379"/>
      <c r="GYN516" s="379"/>
      <c r="GYO516" s="379"/>
      <c r="GYP516" s="379"/>
      <c r="GYQ516" s="13"/>
      <c r="GYR516" s="13"/>
      <c r="GYS516" s="193"/>
      <c r="GYT516" s="379"/>
      <c r="GYU516" s="379"/>
      <c r="GYV516" s="379"/>
      <c r="GYW516" s="379"/>
      <c r="GYX516" s="379"/>
      <c r="GYY516" s="13"/>
      <c r="GYZ516" s="13"/>
      <c r="GZA516" s="193"/>
      <c r="GZB516" s="379"/>
      <c r="GZC516" s="379"/>
      <c r="GZD516" s="379"/>
      <c r="GZE516" s="379"/>
      <c r="GZF516" s="379"/>
      <c r="GZG516" s="13"/>
      <c r="GZH516" s="13"/>
      <c r="GZI516" s="193"/>
      <c r="GZJ516" s="379"/>
      <c r="GZK516" s="379"/>
      <c r="GZL516" s="379"/>
      <c r="GZM516" s="379"/>
      <c r="GZN516" s="379"/>
      <c r="GZO516" s="13"/>
      <c r="GZP516" s="13"/>
      <c r="GZQ516" s="193"/>
      <c r="GZR516" s="379"/>
      <c r="GZS516" s="379"/>
      <c r="GZT516" s="379"/>
      <c r="GZU516" s="379"/>
      <c r="GZV516" s="379"/>
      <c r="GZW516" s="13"/>
      <c r="GZX516" s="13"/>
      <c r="GZY516" s="193"/>
      <c r="GZZ516" s="379"/>
      <c r="HAA516" s="379"/>
      <c r="HAB516" s="379"/>
      <c r="HAC516" s="379"/>
      <c r="HAD516" s="379"/>
      <c r="HAE516" s="13"/>
      <c r="HAF516" s="13"/>
      <c r="HAG516" s="193"/>
      <c r="HAH516" s="379"/>
      <c r="HAI516" s="379"/>
      <c r="HAJ516" s="379"/>
      <c r="HAK516" s="379"/>
      <c r="HAL516" s="379"/>
      <c r="HAM516" s="13"/>
      <c r="HAN516" s="13"/>
      <c r="HAO516" s="193"/>
      <c r="HAP516" s="379"/>
      <c r="HAQ516" s="379"/>
      <c r="HAR516" s="379"/>
      <c r="HAS516" s="379"/>
      <c r="HAT516" s="379"/>
      <c r="HAU516" s="13"/>
      <c r="HAV516" s="13"/>
      <c r="HAW516" s="193"/>
      <c r="HAX516" s="379"/>
      <c r="HAY516" s="379"/>
      <c r="HAZ516" s="379"/>
      <c r="HBA516" s="379"/>
      <c r="HBB516" s="379"/>
      <c r="HBC516" s="13"/>
      <c r="HBD516" s="13"/>
      <c r="HBE516" s="193"/>
      <c r="HBF516" s="379"/>
      <c r="HBG516" s="379"/>
      <c r="HBH516" s="379"/>
      <c r="HBI516" s="379"/>
      <c r="HBJ516" s="379"/>
      <c r="HBK516" s="13"/>
      <c r="HBL516" s="13"/>
      <c r="HBM516" s="193"/>
      <c r="HBN516" s="379"/>
      <c r="HBO516" s="379"/>
      <c r="HBP516" s="379"/>
      <c r="HBQ516" s="379"/>
      <c r="HBR516" s="379"/>
      <c r="HBS516" s="13"/>
      <c r="HBT516" s="13"/>
      <c r="HBU516" s="193"/>
      <c r="HBV516" s="379"/>
      <c r="HBW516" s="379"/>
      <c r="HBX516" s="379"/>
      <c r="HBY516" s="379"/>
      <c r="HBZ516" s="379"/>
      <c r="HCA516" s="13"/>
      <c r="HCB516" s="13"/>
      <c r="HCC516" s="193"/>
      <c r="HCD516" s="379"/>
      <c r="HCE516" s="379"/>
      <c r="HCF516" s="379"/>
      <c r="HCG516" s="379"/>
      <c r="HCH516" s="379"/>
      <c r="HCI516" s="13"/>
      <c r="HCJ516" s="13"/>
      <c r="HCK516" s="193"/>
      <c r="HCL516" s="379"/>
      <c r="HCM516" s="379"/>
      <c r="HCN516" s="379"/>
      <c r="HCO516" s="379"/>
      <c r="HCP516" s="379"/>
      <c r="HCQ516" s="13"/>
      <c r="HCR516" s="13"/>
      <c r="HCS516" s="193"/>
      <c r="HCT516" s="379"/>
      <c r="HCU516" s="379"/>
      <c r="HCV516" s="379"/>
      <c r="HCW516" s="379"/>
      <c r="HCX516" s="379"/>
      <c r="HCY516" s="13"/>
      <c r="HCZ516" s="13"/>
      <c r="HDA516" s="193"/>
      <c r="HDB516" s="379"/>
      <c r="HDC516" s="379"/>
      <c r="HDD516" s="379"/>
      <c r="HDE516" s="379"/>
      <c r="HDF516" s="379"/>
      <c r="HDG516" s="13"/>
      <c r="HDH516" s="13"/>
      <c r="HDI516" s="193"/>
      <c r="HDJ516" s="379"/>
      <c r="HDK516" s="379"/>
      <c r="HDL516" s="379"/>
      <c r="HDM516" s="379"/>
      <c r="HDN516" s="379"/>
      <c r="HDO516" s="13"/>
      <c r="HDP516" s="13"/>
      <c r="HDQ516" s="193"/>
      <c r="HDR516" s="379"/>
      <c r="HDS516" s="379"/>
      <c r="HDT516" s="379"/>
      <c r="HDU516" s="379"/>
      <c r="HDV516" s="379"/>
      <c r="HDW516" s="13"/>
      <c r="HDX516" s="13"/>
      <c r="HDY516" s="193"/>
      <c r="HDZ516" s="379"/>
      <c r="HEA516" s="379"/>
      <c r="HEB516" s="379"/>
      <c r="HEC516" s="379"/>
      <c r="HED516" s="379"/>
      <c r="HEE516" s="13"/>
      <c r="HEF516" s="13"/>
      <c r="HEG516" s="193"/>
      <c r="HEH516" s="379"/>
      <c r="HEI516" s="379"/>
      <c r="HEJ516" s="379"/>
      <c r="HEK516" s="379"/>
      <c r="HEL516" s="379"/>
      <c r="HEM516" s="13"/>
      <c r="HEN516" s="13"/>
      <c r="HEO516" s="193"/>
      <c r="HEP516" s="379"/>
      <c r="HEQ516" s="379"/>
      <c r="HER516" s="379"/>
      <c r="HES516" s="379"/>
      <c r="HET516" s="379"/>
      <c r="HEU516" s="13"/>
      <c r="HEV516" s="13"/>
      <c r="HEW516" s="193"/>
      <c r="HEX516" s="379"/>
      <c r="HEY516" s="379"/>
      <c r="HEZ516" s="379"/>
      <c r="HFA516" s="379"/>
      <c r="HFB516" s="379"/>
      <c r="HFC516" s="13"/>
      <c r="HFD516" s="13"/>
      <c r="HFE516" s="193"/>
      <c r="HFF516" s="379"/>
      <c r="HFG516" s="379"/>
      <c r="HFH516" s="379"/>
      <c r="HFI516" s="379"/>
      <c r="HFJ516" s="379"/>
      <c r="HFK516" s="13"/>
      <c r="HFL516" s="13"/>
      <c r="HFM516" s="193"/>
      <c r="HFN516" s="379"/>
      <c r="HFO516" s="379"/>
      <c r="HFP516" s="379"/>
      <c r="HFQ516" s="379"/>
      <c r="HFR516" s="379"/>
      <c r="HFS516" s="13"/>
      <c r="HFT516" s="13"/>
      <c r="HFU516" s="193"/>
      <c r="HFV516" s="379"/>
      <c r="HFW516" s="379"/>
      <c r="HFX516" s="379"/>
      <c r="HFY516" s="379"/>
      <c r="HFZ516" s="379"/>
      <c r="HGA516" s="13"/>
      <c r="HGB516" s="13"/>
      <c r="HGC516" s="193"/>
      <c r="HGD516" s="379"/>
      <c r="HGE516" s="379"/>
      <c r="HGF516" s="379"/>
      <c r="HGG516" s="379"/>
      <c r="HGH516" s="379"/>
      <c r="HGI516" s="13"/>
      <c r="HGJ516" s="13"/>
      <c r="HGK516" s="193"/>
      <c r="HGL516" s="379"/>
      <c r="HGM516" s="379"/>
      <c r="HGN516" s="379"/>
      <c r="HGO516" s="379"/>
      <c r="HGP516" s="379"/>
      <c r="HGQ516" s="13"/>
      <c r="HGR516" s="13"/>
      <c r="HGS516" s="193"/>
      <c r="HGT516" s="379"/>
      <c r="HGU516" s="379"/>
      <c r="HGV516" s="379"/>
      <c r="HGW516" s="379"/>
      <c r="HGX516" s="379"/>
      <c r="HGY516" s="13"/>
      <c r="HGZ516" s="13"/>
      <c r="HHA516" s="193"/>
      <c r="HHB516" s="379"/>
      <c r="HHC516" s="379"/>
      <c r="HHD516" s="379"/>
      <c r="HHE516" s="379"/>
      <c r="HHF516" s="379"/>
      <c r="HHG516" s="13"/>
      <c r="HHH516" s="13"/>
      <c r="HHI516" s="193"/>
      <c r="HHJ516" s="379"/>
      <c r="HHK516" s="379"/>
      <c r="HHL516" s="379"/>
      <c r="HHM516" s="379"/>
      <c r="HHN516" s="379"/>
      <c r="HHO516" s="13"/>
      <c r="HHP516" s="13"/>
      <c r="HHQ516" s="193"/>
      <c r="HHR516" s="379"/>
      <c r="HHS516" s="379"/>
      <c r="HHT516" s="379"/>
      <c r="HHU516" s="379"/>
      <c r="HHV516" s="379"/>
      <c r="HHW516" s="13"/>
      <c r="HHX516" s="13"/>
      <c r="HHY516" s="193"/>
      <c r="HHZ516" s="379"/>
      <c r="HIA516" s="379"/>
      <c r="HIB516" s="379"/>
      <c r="HIC516" s="379"/>
      <c r="HID516" s="379"/>
      <c r="HIE516" s="13"/>
      <c r="HIF516" s="13"/>
      <c r="HIG516" s="193"/>
      <c r="HIH516" s="379"/>
      <c r="HII516" s="379"/>
      <c r="HIJ516" s="379"/>
      <c r="HIK516" s="379"/>
      <c r="HIL516" s="379"/>
      <c r="HIM516" s="13"/>
      <c r="HIN516" s="13"/>
      <c r="HIO516" s="193"/>
      <c r="HIP516" s="379"/>
      <c r="HIQ516" s="379"/>
      <c r="HIR516" s="379"/>
      <c r="HIS516" s="379"/>
      <c r="HIT516" s="379"/>
      <c r="HIU516" s="13"/>
      <c r="HIV516" s="13"/>
      <c r="HIW516" s="193"/>
      <c r="HIX516" s="379"/>
      <c r="HIY516" s="379"/>
      <c r="HIZ516" s="379"/>
      <c r="HJA516" s="379"/>
      <c r="HJB516" s="379"/>
      <c r="HJC516" s="13"/>
      <c r="HJD516" s="13"/>
      <c r="HJE516" s="193"/>
      <c r="HJF516" s="379"/>
      <c r="HJG516" s="379"/>
      <c r="HJH516" s="379"/>
      <c r="HJI516" s="379"/>
      <c r="HJJ516" s="379"/>
      <c r="HJK516" s="13"/>
      <c r="HJL516" s="13"/>
      <c r="HJM516" s="193"/>
      <c r="HJN516" s="379"/>
      <c r="HJO516" s="379"/>
      <c r="HJP516" s="379"/>
      <c r="HJQ516" s="379"/>
      <c r="HJR516" s="379"/>
      <c r="HJS516" s="13"/>
      <c r="HJT516" s="13"/>
      <c r="HJU516" s="193"/>
      <c r="HJV516" s="379"/>
      <c r="HJW516" s="379"/>
      <c r="HJX516" s="379"/>
      <c r="HJY516" s="379"/>
      <c r="HJZ516" s="379"/>
      <c r="HKA516" s="13"/>
      <c r="HKB516" s="13"/>
      <c r="HKC516" s="193"/>
      <c r="HKD516" s="379"/>
      <c r="HKE516" s="379"/>
      <c r="HKF516" s="379"/>
      <c r="HKG516" s="379"/>
      <c r="HKH516" s="379"/>
      <c r="HKI516" s="13"/>
      <c r="HKJ516" s="13"/>
      <c r="HKK516" s="193"/>
      <c r="HKL516" s="379"/>
      <c r="HKM516" s="379"/>
      <c r="HKN516" s="379"/>
      <c r="HKO516" s="379"/>
      <c r="HKP516" s="379"/>
      <c r="HKQ516" s="13"/>
      <c r="HKR516" s="13"/>
      <c r="HKS516" s="193"/>
      <c r="HKT516" s="379"/>
      <c r="HKU516" s="379"/>
      <c r="HKV516" s="379"/>
      <c r="HKW516" s="379"/>
      <c r="HKX516" s="379"/>
      <c r="HKY516" s="13"/>
      <c r="HKZ516" s="13"/>
      <c r="HLA516" s="193"/>
      <c r="HLB516" s="379"/>
      <c r="HLC516" s="379"/>
      <c r="HLD516" s="379"/>
      <c r="HLE516" s="379"/>
      <c r="HLF516" s="379"/>
      <c r="HLG516" s="13"/>
      <c r="HLH516" s="13"/>
      <c r="HLI516" s="193"/>
      <c r="HLJ516" s="379"/>
      <c r="HLK516" s="379"/>
      <c r="HLL516" s="379"/>
      <c r="HLM516" s="379"/>
      <c r="HLN516" s="379"/>
      <c r="HLO516" s="13"/>
      <c r="HLP516" s="13"/>
      <c r="HLQ516" s="193"/>
      <c r="HLR516" s="379"/>
      <c r="HLS516" s="379"/>
      <c r="HLT516" s="379"/>
      <c r="HLU516" s="379"/>
      <c r="HLV516" s="379"/>
      <c r="HLW516" s="13"/>
      <c r="HLX516" s="13"/>
      <c r="HLY516" s="193"/>
      <c r="HLZ516" s="379"/>
      <c r="HMA516" s="379"/>
      <c r="HMB516" s="379"/>
      <c r="HMC516" s="379"/>
      <c r="HMD516" s="379"/>
      <c r="HME516" s="13"/>
      <c r="HMF516" s="13"/>
      <c r="HMG516" s="193"/>
      <c r="HMH516" s="379"/>
      <c r="HMI516" s="379"/>
      <c r="HMJ516" s="379"/>
      <c r="HMK516" s="379"/>
      <c r="HML516" s="379"/>
      <c r="HMM516" s="13"/>
      <c r="HMN516" s="13"/>
      <c r="HMO516" s="193"/>
      <c r="HMP516" s="379"/>
      <c r="HMQ516" s="379"/>
      <c r="HMR516" s="379"/>
      <c r="HMS516" s="379"/>
      <c r="HMT516" s="379"/>
      <c r="HMU516" s="13"/>
      <c r="HMV516" s="13"/>
      <c r="HMW516" s="193"/>
      <c r="HMX516" s="379"/>
      <c r="HMY516" s="379"/>
      <c r="HMZ516" s="379"/>
      <c r="HNA516" s="379"/>
      <c r="HNB516" s="379"/>
      <c r="HNC516" s="13"/>
      <c r="HND516" s="13"/>
      <c r="HNE516" s="193"/>
      <c r="HNF516" s="379"/>
      <c r="HNG516" s="379"/>
      <c r="HNH516" s="379"/>
      <c r="HNI516" s="379"/>
      <c r="HNJ516" s="379"/>
      <c r="HNK516" s="13"/>
      <c r="HNL516" s="13"/>
      <c r="HNM516" s="193"/>
      <c r="HNN516" s="379"/>
      <c r="HNO516" s="379"/>
      <c r="HNP516" s="379"/>
      <c r="HNQ516" s="379"/>
      <c r="HNR516" s="379"/>
      <c r="HNS516" s="13"/>
      <c r="HNT516" s="13"/>
      <c r="HNU516" s="193"/>
      <c r="HNV516" s="379"/>
      <c r="HNW516" s="379"/>
      <c r="HNX516" s="379"/>
      <c r="HNY516" s="379"/>
      <c r="HNZ516" s="379"/>
      <c r="HOA516" s="13"/>
      <c r="HOB516" s="13"/>
      <c r="HOC516" s="193"/>
      <c r="HOD516" s="379"/>
      <c r="HOE516" s="379"/>
      <c r="HOF516" s="379"/>
      <c r="HOG516" s="379"/>
      <c r="HOH516" s="379"/>
      <c r="HOI516" s="13"/>
      <c r="HOJ516" s="13"/>
      <c r="HOK516" s="193"/>
      <c r="HOL516" s="379"/>
      <c r="HOM516" s="379"/>
      <c r="HON516" s="379"/>
      <c r="HOO516" s="379"/>
      <c r="HOP516" s="379"/>
      <c r="HOQ516" s="13"/>
      <c r="HOR516" s="13"/>
      <c r="HOS516" s="193"/>
      <c r="HOT516" s="379"/>
      <c r="HOU516" s="379"/>
      <c r="HOV516" s="379"/>
      <c r="HOW516" s="379"/>
      <c r="HOX516" s="379"/>
      <c r="HOY516" s="13"/>
      <c r="HOZ516" s="13"/>
      <c r="HPA516" s="193"/>
      <c r="HPB516" s="379"/>
      <c r="HPC516" s="379"/>
      <c r="HPD516" s="379"/>
      <c r="HPE516" s="379"/>
      <c r="HPF516" s="379"/>
      <c r="HPG516" s="13"/>
      <c r="HPH516" s="13"/>
      <c r="HPI516" s="193"/>
      <c r="HPJ516" s="379"/>
      <c r="HPK516" s="379"/>
      <c r="HPL516" s="379"/>
      <c r="HPM516" s="379"/>
      <c r="HPN516" s="379"/>
      <c r="HPO516" s="13"/>
      <c r="HPP516" s="13"/>
      <c r="HPQ516" s="193"/>
      <c r="HPR516" s="379"/>
      <c r="HPS516" s="379"/>
      <c r="HPT516" s="379"/>
      <c r="HPU516" s="379"/>
      <c r="HPV516" s="379"/>
      <c r="HPW516" s="13"/>
      <c r="HPX516" s="13"/>
      <c r="HPY516" s="193"/>
      <c r="HPZ516" s="379"/>
      <c r="HQA516" s="379"/>
      <c r="HQB516" s="379"/>
      <c r="HQC516" s="379"/>
      <c r="HQD516" s="379"/>
      <c r="HQE516" s="13"/>
      <c r="HQF516" s="13"/>
      <c r="HQG516" s="193"/>
      <c r="HQH516" s="379"/>
      <c r="HQI516" s="379"/>
      <c r="HQJ516" s="379"/>
      <c r="HQK516" s="379"/>
      <c r="HQL516" s="379"/>
      <c r="HQM516" s="13"/>
      <c r="HQN516" s="13"/>
      <c r="HQO516" s="193"/>
      <c r="HQP516" s="379"/>
      <c r="HQQ516" s="379"/>
      <c r="HQR516" s="379"/>
      <c r="HQS516" s="379"/>
      <c r="HQT516" s="379"/>
      <c r="HQU516" s="13"/>
      <c r="HQV516" s="13"/>
      <c r="HQW516" s="193"/>
      <c r="HQX516" s="379"/>
      <c r="HQY516" s="379"/>
      <c r="HQZ516" s="379"/>
      <c r="HRA516" s="379"/>
      <c r="HRB516" s="379"/>
      <c r="HRC516" s="13"/>
      <c r="HRD516" s="13"/>
      <c r="HRE516" s="193"/>
      <c r="HRF516" s="379"/>
      <c r="HRG516" s="379"/>
      <c r="HRH516" s="379"/>
      <c r="HRI516" s="379"/>
      <c r="HRJ516" s="379"/>
      <c r="HRK516" s="13"/>
      <c r="HRL516" s="13"/>
      <c r="HRM516" s="193"/>
      <c r="HRN516" s="379"/>
      <c r="HRO516" s="379"/>
      <c r="HRP516" s="379"/>
      <c r="HRQ516" s="379"/>
      <c r="HRR516" s="379"/>
      <c r="HRS516" s="13"/>
      <c r="HRT516" s="13"/>
      <c r="HRU516" s="193"/>
      <c r="HRV516" s="379"/>
      <c r="HRW516" s="379"/>
      <c r="HRX516" s="379"/>
      <c r="HRY516" s="379"/>
      <c r="HRZ516" s="379"/>
      <c r="HSA516" s="13"/>
      <c r="HSB516" s="13"/>
      <c r="HSC516" s="193"/>
      <c r="HSD516" s="379"/>
      <c r="HSE516" s="379"/>
      <c r="HSF516" s="379"/>
      <c r="HSG516" s="379"/>
      <c r="HSH516" s="379"/>
      <c r="HSI516" s="13"/>
      <c r="HSJ516" s="13"/>
      <c r="HSK516" s="193"/>
      <c r="HSL516" s="379"/>
      <c r="HSM516" s="379"/>
      <c r="HSN516" s="379"/>
      <c r="HSO516" s="379"/>
      <c r="HSP516" s="379"/>
      <c r="HSQ516" s="13"/>
      <c r="HSR516" s="13"/>
      <c r="HSS516" s="193"/>
      <c r="HST516" s="379"/>
      <c r="HSU516" s="379"/>
      <c r="HSV516" s="379"/>
      <c r="HSW516" s="379"/>
      <c r="HSX516" s="379"/>
      <c r="HSY516" s="13"/>
      <c r="HSZ516" s="13"/>
      <c r="HTA516" s="193"/>
      <c r="HTB516" s="379"/>
      <c r="HTC516" s="379"/>
      <c r="HTD516" s="379"/>
      <c r="HTE516" s="379"/>
      <c r="HTF516" s="379"/>
      <c r="HTG516" s="13"/>
      <c r="HTH516" s="13"/>
      <c r="HTI516" s="193"/>
      <c r="HTJ516" s="379"/>
      <c r="HTK516" s="379"/>
      <c r="HTL516" s="379"/>
      <c r="HTM516" s="379"/>
      <c r="HTN516" s="379"/>
      <c r="HTO516" s="13"/>
      <c r="HTP516" s="13"/>
      <c r="HTQ516" s="193"/>
      <c r="HTR516" s="379"/>
      <c r="HTS516" s="379"/>
      <c r="HTT516" s="379"/>
      <c r="HTU516" s="379"/>
      <c r="HTV516" s="379"/>
      <c r="HTW516" s="13"/>
      <c r="HTX516" s="13"/>
      <c r="HTY516" s="193"/>
      <c r="HTZ516" s="379"/>
      <c r="HUA516" s="379"/>
      <c r="HUB516" s="379"/>
      <c r="HUC516" s="379"/>
      <c r="HUD516" s="379"/>
      <c r="HUE516" s="13"/>
      <c r="HUF516" s="13"/>
      <c r="HUG516" s="193"/>
      <c r="HUH516" s="379"/>
      <c r="HUI516" s="379"/>
      <c r="HUJ516" s="379"/>
      <c r="HUK516" s="379"/>
      <c r="HUL516" s="379"/>
      <c r="HUM516" s="13"/>
      <c r="HUN516" s="13"/>
      <c r="HUO516" s="193"/>
      <c r="HUP516" s="379"/>
      <c r="HUQ516" s="379"/>
      <c r="HUR516" s="379"/>
      <c r="HUS516" s="379"/>
      <c r="HUT516" s="379"/>
      <c r="HUU516" s="13"/>
      <c r="HUV516" s="13"/>
      <c r="HUW516" s="193"/>
      <c r="HUX516" s="379"/>
      <c r="HUY516" s="379"/>
      <c r="HUZ516" s="379"/>
      <c r="HVA516" s="379"/>
      <c r="HVB516" s="379"/>
      <c r="HVC516" s="13"/>
      <c r="HVD516" s="13"/>
      <c r="HVE516" s="193"/>
      <c r="HVF516" s="379"/>
      <c r="HVG516" s="379"/>
      <c r="HVH516" s="379"/>
      <c r="HVI516" s="379"/>
      <c r="HVJ516" s="379"/>
      <c r="HVK516" s="13"/>
      <c r="HVL516" s="13"/>
      <c r="HVM516" s="193"/>
      <c r="HVN516" s="379"/>
      <c r="HVO516" s="379"/>
      <c r="HVP516" s="379"/>
      <c r="HVQ516" s="379"/>
      <c r="HVR516" s="379"/>
      <c r="HVS516" s="13"/>
      <c r="HVT516" s="13"/>
      <c r="HVU516" s="193"/>
      <c r="HVV516" s="379"/>
      <c r="HVW516" s="379"/>
      <c r="HVX516" s="379"/>
      <c r="HVY516" s="379"/>
      <c r="HVZ516" s="379"/>
      <c r="HWA516" s="13"/>
      <c r="HWB516" s="13"/>
      <c r="HWC516" s="193"/>
      <c r="HWD516" s="379"/>
      <c r="HWE516" s="379"/>
      <c r="HWF516" s="379"/>
      <c r="HWG516" s="379"/>
      <c r="HWH516" s="379"/>
      <c r="HWI516" s="13"/>
      <c r="HWJ516" s="13"/>
      <c r="HWK516" s="193"/>
      <c r="HWL516" s="379"/>
      <c r="HWM516" s="379"/>
      <c r="HWN516" s="379"/>
      <c r="HWO516" s="379"/>
      <c r="HWP516" s="379"/>
      <c r="HWQ516" s="13"/>
      <c r="HWR516" s="13"/>
      <c r="HWS516" s="193"/>
      <c r="HWT516" s="379"/>
      <c r="HWU516" s="379"/>
      <c r="HWV516" s="379"/>
      <c r="HWW516" s="379"/>
      <c r="HWX516" s="379"/>
      <c r="HWY516" s="13"/>
      <c r="HWZ516" s="13"/>
      <c r="HXA516" s="193"/>
      <c r="HXB516" s="379"/>
      <c r="HXC516" s="379"/>
      <c r="HXD516" s="379"/>
      <c r="HXE516" s="379"/>
      <c r="HXF516" s="379"/>
      <c r="HXG516" s="13"/>
      <c r="HXH516" s="13"/>
      <c r="HXI516" s="193"/>
      <c r="HXJ516" s="379"/>
      <c r="HXK516" s="379"/>
      <c r="HXL516" s="379"/>
      <c r="HXM516" s="379"/>
      <c r="HXN516" s="379"/>
      <c r="HXO516" s="13"/>
      <c r="HXP516" s="13"/>
      <c r="HXQ516" s="193"/>
      <c r="HXR516" s="379"/>
      <c r="HXS516" s="379"/>
      <c r="HXT516" s="379"/>
      <c r="HXU516" s="379"/>
      <c r="HXV516" s="379"/>
      <c r="HXW516" s="13"/>
      <c r="HXX516" s="13"/>
      <c r="HXY516" s="193"/>
      <c r="HXZ516" s="379"/>
      <c r="HYA516" s="379"/>
      <c r="HYB516" s="379"/>
      <c r="HYC516" s="379"/>
      <c r="HYD516" s="379"/>
      <c r="HYE516" s="13"/>
      <c r="HYF516" s="13"/>
      <c r="HYG516" s="193"/>
      <c r="HYH516" s="379"/>
      <c r="HYI516" s="379"/>
      <c r="HYJ516" s="379"/>
      <c r="HYK516" s="379"/>
      <c r="HYL516" s="379"/>
      <c r="HYM516" s="13"/>
      <c r="HYN516" s="13"/>
      <c r="HYO516" s="193"/>
      <c r="HYP516" s="379"/>
      <c r="HYQ516" s="379"/>
      <c r="HYR516" s="379"/>
      <c r="HYS516" s="379"/>
      <c r="HYT516" s="379"/>
      <c r="HYU516" s="13"/>
      <c r="HYV516" s="13"/>
      <c r="HYW516" s="193"/>
      <c r="HYX516" s="379"/>
      <c r="HYY516" s="379"/>
      <c r="HYZ516" s="379"/>
      <c r="HZA516" s="379"/>
      <c r="HZB516" s="379"/>
      <c r="HZC516" s="13"/>
      <c r="HZD516" s="13"/>
      <c r="HZE516" s="193"/>
      <c r="HZF516" s="379"/>
      <c r="HZG516" s="379"/>
      <c r="HZH516" s="379"/>
      <c r="HZI516" s="379"/>
      <c r="HZJ516" s="379"/>
      <c r="HZK516" s="13"/>
      <c r="HZL516" s="13"/>
      <c r="HZM516" s="193"/>
      <c r="HZN516" s="379"/>
      <c r="HZO516" s="379"/>
      <c r="HZP516" s="379"/>
      <c r="HZQ516" s="379"/>
      <c r="HZR516" s="379"/>
      <c r="HZS516" s="13"/>
      <c r="HZT516" s="13"/>
      <c r="HZU516" s="193"/>
      <c r="HZV516" s="379"/>
      <c r="HZW516" s="379"/>
      <c r="HZX516" s="379"/>
      <c r="HZY516" s="379"/>
      <c r="HZZ516" s="379"/>
      <c r="IAA516" s="13"/>
      <c r="IAB516" s="13"/>
      <c r="IAC516" s="193"/>
      <c r="IAD516" s="379"/>
      <c r="IAE516" s="379"/>
      <c r="IAF516" s="379"/>
      <c r="IAG516" s="379"/>
      <c r="IAH516" s="379"/>
      <c r="IAI516" s="13"/>
      <c r="IAJ516" s="13"/>
      <c r="IAK516" s="193"/>
      <c r="IAL516" s="379"/>
      <c r="IAM516" s="379"/>
      <c r="IAN516" s="379"/>
      <c r="IAO516" s="379"/>
      <c r="IAP516" s="379"/>
      <c r="IAQ516" s="13"/>
      <c r="IAR516" s="13"/>
      <c r="IAS516" s="193"/>
      <c r="IAT516" s="379"/>
      <c r="IAU516" s="379"/>
      <c r="IAV516" s="379"/>
      <c r="IAW516" s="379"/>
      <c r="IAX516" s="379"/>
      <c r="IAY516" s="13"/>
      <c r="IAZ516" s="13"/>
      <c r="IBA516" s="193"/>
      <c r="IBB516" s="379"/>
      <c r="IBC516" s="379"/>
      <c r="IBD516" s="379"/>
      <c r="IBE516" s="379"/>
      <c r="IBF516" s="379"/>
      <c r="IBG516" s="13"/>
      <c r="IBH516" s="13"/>
      <c r="IBI516" s="193"/>
      <c r="IBJ516" s="379"/>
      <c r="IBK516" s="379"/>
      <c r="IBL516" s="379"/>
      <c r="IBM516" s="379"/>
      <c r="IBN516" s="379"/>
      <c r="IBO516" s="13"/>
      <c r="IBP516" s="13"/>
      <c r="IBQ516" s="193"/>
      <c r="IBR516" s="379"/>
      <c r="IBS516" s="379"/>
      <c r="IBT516" s="379"/>
      <c r="IBU516" s="379"/>
      <c r="IBV516" s="379"/>
      <c r="IBW516" s="13"/>
      <c r="IBX516" s="13"/>
      <c r="IBY516" s="193"/>
      <c r="IBZ516" s="379"/>
      <c r="ICA516" s="379"/>
      <c r="ICB516" s="379"/>
      <c r="ICC516" s="379"/>
      <c r="ICD516" s="379"/>
      <c r="ICE516" s="13"/>
      <c r="ICF516" s="13"/>
      <c r="ICG516" s="193"/>
      <c r="ICH516" s="379"/>
      <c r="ICI516" s="379"/>
      <c r="ICJ516" s="379"/>
      <c r="ICK516" s="379"/>
      <c r="ICL516" s="379"/>
      <c r="ICM516" s="13"/>
      <c r="ICN516" s="13"/>
      <c r="ICO516" s="193"/>
      <c r="ICP516" s="379"/>
      <c r="ICQ516" s="379"/>
      <c r="ICR516" s="379"/>
      <c r="ICS516" s="379"/>
      <c r="ICT516" s="379"/>
      <c r="ICU516" s="13"/>
      <c r="ICV516" s="13"/>
      <c r="ICW516" s="193"/>
      <c r="ICX516" s="379"/>
      <c r="ICY516" s="379"/>
      <c r="ICZ516" s="379"/>
      <c r="IDA516" s="379"/>
      <c r="IDB516" s="379"/>
      <c r="IDC516" s="13"/>
      <c r="IDD516" s="13"/>
      <c r="IDE516" s="193"/>
      <c r="IDF516" s="379"/>
      <c r="IDG516" s="379"/>
      <c r="IDH516" s="379"/>
      <c r="IDI516" s="379"/>
      <c r="IDJ516" s="379"/>
      <c r="IDK516" s="13"/>
      <c r="IDL516" s="13"/>
      <c r="IDM516" s="193"/>
      <c r="IDN516" s="379"/>
      <c r="IDO516" s="379"/>
      <c r="IDP516" s="379"/>
      <c r="IDQ516" s="379"/>
      <c r="IDR516" s="379"/>
      <c r="IDS516" s="13"/>
      <c r="IDT516" s="13"/>
      <c r="IDU516" s="193"/>
      <c r="IDV516" s="379"/>
      <c r="IDW516" s="379"/>
      <c r="IDX516" s="379"/>
      <c r="IDY516" s="379"/>
      <c r="IDZ516" s="379"/>
      <c r="IEA516" s="13"/>
      <c r="IEB516" s="13"/>
      <c r="IEC516" s="193"/>
      <c r="IED516" s="379"/>
      <c r="IEE516" s="379"/>
      <c r="IEF516" s="379"/>
      <c r="IEG516" s="379"/>
      <c r="IEH516" s="379"/>
      <c r="IEI516" s="13"/>
      <c r="IEJ516" s="13"/>
      <c r="IEK516" s="193"/>
      <c r="IEL516" s="379"/>
      <c r="IEM516" s="379"/>
      <c r="IEN516" s="379"/>
      <c r="IEO516" s="379"/>
      <c r="IEP516" s="379"/>
      <c r="IEQ516" s="13"/>
      <c r="IER516" s="13"/>
      <c r="IES516" s="193"/>
      <c r="IET516" s="379"/>
      <c r="IEU516" s="379"/>
      <c r="IEV516" s="379"/>
      <c r="IEW516" s="379"/>
      <c r="IEX516" s="379"/>
      <c r="IEY516" s="13"/>
      <c r="IEZ516" s="13"/>
      <c r="IFA516" s="193"/>
      <c r="IFB516" s="379"/>
      <c r="IFC516" s="379"/>
      <c r="IFD516" s="379"/>
      <c r="IFE516" s="379"/>
      <c r="IFF516" s="379"/>
      <c r="IFG516" s="13"/>
      <c r="IFH516" s="13"/>
      <c r="IFI516" s="193"/>
      <c r="IFJ516" s="379"/>
      <c r="IFK516" s="379"/>
      <c r="IFL516" s="379"/>
      <c r="IFM516" s="379"/>
      <c r="IFN516" s="379"/>
      <c r="IFO516" s="13"/>
      <c r="IFP516" s="13"/>
      <c r="IFQ516" s="193"/>
      <c r="IFR516" s="379"/>
      <c r="IFS516" s="379"/>
      <c r="IFT516" s="379"/>
      <c r="IFU516" s="379"/>
      <c r="IFV516" s="379"/>
      <c r="IFW516" s="13"/>
      <c r="IFX516" s="13"/>
      <c r="IFY516" s="193"/>
      <c r="IFZ516" s="379"/>
      <c r="IGA516" s="379"/>
      <c r="IGB516" s="379"/>
      <c r="IGC516" s="379"/>
      <c r="IGD516" s="379"/>
      <c r="IGE516" s="13"/>
      <c r="IGF516" s="13"/>
      <c r="IGG516" s="193"/>
      <c r="IGH516" s="379"/>
      <c r="IGI516" s="379"/>
      <c r="IGJ516" s="379"/>
      <c r="IGK516" s="379"/>
      <c r="IGL516" s="379"/>
      <c r="IGM516" s="13"/>
      <c r="IGN516" s="13"/>
      <c r="IGO516" s="193"/>
      <c r="IGP516" s="379"/>
      <c r="IGQ516" s="379"/>
      <c r="IGR516" s="379"/>
      <c r="IGS516" s="379"/>
      <c r="IGT516" s="379"/>
      <c r="IGU516" s="13"/>
      <c r="IGV516" s="13"/>
      <c r="IGW516" s="193"/>
      <c r="IGX516" s="379"/>
      <c r="IGY516" s="379"/>
      <c r="IGZ516" s="379"/>
      <c r="IHA516" s="379"/>
      <c r="IHB516" s="379"/>
      <c r="IHC516" s="13"/>
      <c r="IHD516" s="13"/>
      <c r="IHE516" s="193"/>
      <c r="IHF516" s="379"/>
      <c r="IHG516" s="379"/>
      <c r="IHH516" s="379"/>
      <c r="IHI516" s="379"/>
      <c r="IHJ516" s="379"/>
      <c r="IHK516" s="13"/>
      <c r="IHL516" s="13"/>
      <c r="IHM516" s="193"/>
      <c r="IHN516" s="379"/>
      <c r="IHO516" s="379"/>
      <c r="IHP516" s="379"/>
      <c r="IHQ516" s="379"/>
      <c r="IHR516" s="379"/>
      <c r="IHS516" s="13"/>
      <c r="IHT516" s="13"/>
      <c r="IHU516" s="193"/>
      <c r="IHV516" s="379"/>
      <c r="IHW516" s="379"/>
      <c r="IHX516" s="379"/>
      <c r="IHY516" s="379"/>
      <c r="IHZ516" s="379"/>
      <c r="IIA516" s="13"/>
      <c r="IIB516" s="13"/>
      <c r="IIC516" s="193"/>
      <c r="IID516" s="379"/>
      <c r="IIE516" s="379"/>
      <c r="IIF516" s="379"/>
      <c r="IIG516" s="379"/>
      <c r="IIH516" s="379"/>
      <c r="III516" s="13"/>
      <c r="IIJ516" s="13"/>
      <c r="IIK516" s="193"/>
      <c r="IIL516" s="379"/>
      <c r="IIM516" s="379"/>
      <c r="IIN516" s="379"/>
      <c r="IIO516" s="379"/>
      <c r="IIP516" s="379"/>
      <c r="IIQ516" s="13"/>
      <c r="IIR516" s="13"/>
      <c r="IIS516" s="193"/>
      <c r="IIT516" s="379"/>
      <c r="IIU516" s="379"/>
      <c r="IIV516" s="379"/>
      <c r="IIW516" s="379"/>
      <c r="IIX516" s="379"/>
      <c r="IIY516" s="13"/>
      <c r="IIZ516" s="13"/>
      <c r="IJA516" s="193"/>
      <c r="IJB516" s="379"/>
      <c r="IJC516" s="379"/>
      <c r="IJD516" s="379"/>
      <c r="IJE516" s="379"/>
      <c r="IJF516" s="379"/>
      <c r="IJG516" s="13"/>
      <c r="IJH516" s="13"/>
      <c r="IJI516" s="193"/>
      <c r="IJJ516" s="379"/>
      <c r="IJK516" s="379"/>
      <c r="IJL516" s="379"/>
      <c r="IJM516" s="379"/>
      <c r="IJN516" s="379"/>
      <c r="IJO516" s="13"/>
      <c r="IJP516" s="13"/>
      <c r="IJQ516" s="193"/>
      <c r="IJR516" s="379"/>
      <c r="IJS516" s="379"/>
      <c r="IJT516" s="379"/>
      <c r="IJU516" s="379"/>
      <c r="IJV516" s="379"/>
      <c r="IJW516" s="13"/>
      <c r="IJX516" s="13"/>
      <c r="IJY516" s="193"/>
      <c r="IJZ516" s="379"/>
      <c r="IKA516" s="379"/>
      <c r="IKB516" s="379"/>
      <c r="IKC516" s="379"/>
      <c r="IKD516" s="379"/>
      <c r="IKE516" s="13"/>
      <c r="IKF516" s="13"/>
      <c r="IKG516" s="193"/>
      <c r="IKH516" s="379"/>
      <c r="IKI516" s="379"/>
      <c r="IKJ516" s="379"/>
      <c r="IKK516" s="379"/>
      <c r="IKL516" s="379"/>
      <c r="IKM516" s="13"/>
      <c r="IKN516" s="13"/>
      <c r="IKO516" s="193"/>
      <c r="IKP516" s="379"/>
      <c r="IKQ516" s="379"/>
      <c r="IKR516" s="379"/>
      <c r="IKS516" s="379"/>
      <c r="IKT516" s="379"/>
      <c r="IKU516" s="13"/>
      <c r="IKV516" s="13"/>
      <c r="IKW516" s="193"/>
      <c r="IKX516" s="379"/>
      <c r="IKY516" s="379"/>
      <c r="IKZ516" s="379"/>
      <c r="ILA516" s="379"/>
      <c r="ILB516" s="379"/>
      <c r="ILC516" s="13"/>
      <c r="ILD516" s="13"/>
      <c r="ILE516" s="193"/>
      <c r="ILF516" s="379"/>
      <c r="ILG516" s="379"/>
      <c r="ILH516" s="379"/>
      <c r="ILI516" s="379"/>
      <c r="ILJ516" s="379"/>
      <c r="ILK516" s="13"/>
      <c r="ILL516" s="13"/>
      <c r="ILM516" s="193"/>
      <c r="ILN516" s="379"/>
      <c r="ILO516" s="379"/>
      <c r="ILP516" s="379"/>
      <c r="ILQ516" s="379"/>
      <c r="ILR516" s="379"/>
      <c r="ILS516" s="13"/>
      <c r="ILT516" s="13"/>
      <c r="ILU516" s="193"/>
      <c r="ILV516" s="379"/>
      <c r="ILW516" s="379"/>
      <c r="ILX516" s="379"/>
      <c r="ILY516" s="379"/>
      <c r="ILZ516" s="379"/>
      <c r="IMA516" s="13"/>
      <c r="IMB516" s="13"/>
      <c r="IMC516" s="193"/>
      <c r="IMD516" s="379"/>
      <c r="IME516" s="379"/>
      <c r="IMF516" s="379"/>
      <c r="IMG516" s="379"/>
      <c r="IMH516" s="379"/>
      <c r="IMI516" s="13"/>
      <c r="IMJ516" s="13"/>
      <c r="IMK516" s="193"/>
      <c r="IML516" s="379"/>
      <c r="IMM516" s="379"/>
      <c r="IMN516" s="379"/>
      <c r="IMO516" s="379"/>
      <c r="IMP516" s="379"/>
      <c r="IMQ516" s="13"/>
      <c r="IMR516" s="13"/>
      <c r="IMS516" s="193"/>
      <c r="IMT516" s="379"/>
      <c r="IMU516" s="379"/>
      <c r="IMV516" s="379"/>
      <c r="IMW516" s="379"/>
      <c r="IMX516" s="379"/>
      <c r="IMY516" s="13"/>
      <c r="IMZ516" s="13"/>
      <c r="INA516" s="193"/>
      <c r="INB516" s="379"/>
      <c r="INC516" s="379"/>
      <c r="IND516" s="379"/>
      <c r="INE516" s="379"/>
      <c r="INF516" s="379"/>
      <c r="ING516" s="13"/>
      <c r="INH516" s="13"/>
      <c r="INI516" s="193"/>
      <c r="INJ516" s="379"/>
      <c r="INK516" s="379"/>
      <c r="INL516" s="379"/>
      <c r="INM516" s="379"/>
      <c r="INN516" s="379"/>
      <c r="INO516" s="13"/>
      <c r="INP516" s="13"/>
      <c r="INQ516" s="193"/>
      <c r="INR516" s="379"/>
      <c r="INS516" s="379"/>
      <c r="INT516" s="379"/>
      <c r="INU516" s="379"/>
      <c r="INV516" s="379"/>
      <c r="INW516" s="13"/>
      <c r="INX516" s="13"/>
      <c r="INY516" s="193"/>
      <c r="INZ516" s="379"/>
      <c r="IOA516" s="379"/>
      <c r="IOB516" s="379"/>
      <c r="IOC516" s="379"/>
      <c r="IOD516" s="379"/>
      <c r="IOE516" s="13"/>
      <c r="IOF516" s="13"/>
      <c r="IOG516" s="193"/>
      <c r="IOH516" s="379"/>
      <c r="IOI516" s="379"/>
      <c r="IOJ516" s="379"/>
      <c r="IOK516" s="379"/>
      <c r="IOL516" s="379"/>
      <c r="IOM516" s="13"/>
      <c r="ION516" s="13"/>
      <c r="IOO516" s="193"/>
      <c r="IOP516" s="379"/>
      <c r="IOQ516" s="379"/>
      <c r="IOR516" s="379"/>
      <c r="IOS516" s="379"/>
      <c r="IOT516" s="379"/>
      <c r="IOU516" s="13"/>
      <c r="IOV516" s="13"/>
      <c r="IOW516" s="193"/>
      <c r="IOX516" s="379"/>
      <c r="IOY516" s="379"/>
      <c r="IOZ516" s="379"/>
      <c r="IPA516" s="379"/>
      <c r="IPB516" s="379"/>
      <c r="IPC516" s="13"/>
      <c r="IPD516" s="13"/>
      <c r="IPE516" s="193"/>
      <c r="IPF516" s="379"/>
      <c r="IPG516" s="379"/>
      <c r="IPH516" s="379"/>
      <c r="IPI516" s="379"/>
      <c r="IPJ516" s="379"/>
      <c r="IPK516" s="13"/>
      <c r="IPL516" s="13"/>
      <c r="IPM516" s="193"/>
      <c r="IPN516" s="379"/>
      <c r="IPO516" s="379"/>
      <c r="IPP516" s="379"/>
      <c r="IPQ516" s="379"/>
      <c r="IPR516" s="379"/>
      <c r="IPS516" s="13"/>
      <c r="IPT516" s="13"/>
      <c r="IPU516" s="193"/>
      <c r="IPV516" s="379"/>
      <c r="IPW516" s="379"/>
      <c r="IPX516" s="379"/>
      <c r="IPY516" s="379"/>
      <c r="IPZ516" s="379"/>
      <c r="IQA516" s="13"/>
      <c r="IQB516" s="13"/>
      <c r="IQC516" s="193"/>
      <c r="IQD516" s="379"/>
      <c r="IQE516" s="379"/>
      <c r="IQF516" s="379"/>
      <c r="IQG516" s="379"/>
      <c r="IQH516" s="379"/>
      <c r="IQI516" s="13"/>
      <c r="IQJ516" s="13"/>
      <c r="IQK516" s="193"/>
      <c r="IQL516" s="379"/>
      <c r="IQM516" s="379"/>
      <c r="IQN516" s="379"/>
      <c r="IQO516" s="379"/>
      <c r="IQP516" s="379"/>
      <c r="IQQ516" s="13"/>
      <c r="IQR516" s="13"/>
      <c r="IQS516" s="193"/>
      <c r="IQT516" s="379"/>
      <c r="IQU516" s="379"/>
      <c r="IQV516" s="379"/>
      <c r="IQW516" s="379"/>
      <c r="IQX516" s="379"/>
      <c r="IQY516" s="13"/>
      <c r="IQZ516" s="13"/>
      <c r="IRA516" s="193"/>
      <c r="IRB516" s="379"/>
      <c r="IRC516" s="379"/>
      <c r="IRD516" s="379"/>
      <c r="IRE516" s="379"/>
      <c r="IRF516" s="379"/>
      <c r="IRG516" s="13"/>
      <c r="IRH516" s="13"/>
      <c r="IRI516" s="193"/>
      <c r="IRJ516" s="379"/>
      <c r="IRK516" s="379"/>
      <c r="IRL516" s="379"/>
      <c r="IRM516" s="379"/>
      <c r="IRN516" s="379"/>
      <c r="IRO516" s="13"/>
      <c r="IRP516" s="13"/>
      <c r="IRQ516" s="193"/>
      <c r="IRR516" s="379"/>
      <c r="IRS516" s="379"/>
      <c r="IRT516" s="379"/>
      <c r="IRU516" s="379"/>
      <c r="IRV516" s="379"/>
      <c r="IRW516" s="13"/>
      <c r="IRX516" s="13"/>
      <c r="IRY516" s="193"/>
      <c r="IRZ516" s="379"/>
      <c r="ISA516" s="379"/>
      <c r="ISB516" s="379"/>
      <c r="ISC516" s="379"/>
      <c r="ISD516" s="379"/>
      <c r="ISE516" s="13"/>
      <c r="ISF516" s="13"/>
      <c r="ISG516" s="193"/>
      <c r="ISH516" s="379"/>
      <c r="ISI516" s="379"/>
      <c r="ISJ516" s="379"/>
      <c r="ISK516" s="379"/>
      <c r="ISL516" s="379"/>
      <c r="ISM516" s="13"/>
      <c r="ISN516" s="13"/>
      <c r="ISO516" s="193"/>
      <c r="ISP516" s="379"/>
      <c r="ISQ516" s="379"/>
      <c r="ISR516" s="379"/>
      <c r="ISS516" s="379"/>
      <c r="IST516" s="379"/>
      <c r="ISU516" s="13"/>
      <c r="ISV516" s="13"/>
      <c r="ISW516" s="193"/>
      <c r="ISX516" s="379"/>
      <c r="ISY516" s="379"/>
      <c r="ISZ516" s="379"/>
      <c r="ITA516" s="379"/>
      <c r="ITB516" s="379"/>
      <c r="ITC516" s="13"/>
      <c r="ITD516" s="13"/>
      <c r="ITE516" s="193"/>
      <c r="ITF516" s="379"/>
      <c r="ITG516" s="379"/>
      <c r="ITH516" s="379"/>
      <c r="ITI516" s="379"/>
      <c r="ITJ516" s="379"/>
      <c r="ITK516" s="13"/>
      <c r="ITL516" s="13"/>
      <c r="ITM516" s="193"/>
      <c r="ITN516" s="379"/>
      <c r="ITO516" s="379"/>
      <c r="ITP516" s="379"/>
      <c r="ITQ516" s="379"/>
      <c r="ITR516" s="379"/>
      <c r="ITS516" s="13"/>
      <c r="ITT516" s="13"/>
      <c r="ITU516" s="193"/>
      <c r="ITV516" s="379"/>
      <c r="ITW516" s="379"/>
      <c r="ITX516" s="379"/>
      <c r="ITY516" s="379"/>
      <c r="ITZ516" s="379"/>
      <c r="IUA516" s="13"/>
      <c r="IUB516" s="13"/>
      <c r="IUC516" s="193"/>
      <c r="IUD516" s="379"/>
      <c r="IUE516" s="379"/>
      <c r="IUF516" s="379"/>
      <c r="IUG516" s="379"/>
      <c r="IUH516" s="379"/>
      <c r="IUI516" s="13"/>
      <c r="IUJ516" s="13"/>
      <c r="IUK516" s="193"/>
      <c r="IUL516" s="379"/>
      <c r="IUM516" s="379"/>
      <c r="IUN516" s="379"/>
      <c r="IUO516" s="379"/>
      <c r="IUP516" s="379"/>
      <c r="IUQ516" s="13"/>
      <c r="IUR516" s="13"/>
      <c r="IUS516" s="193"/>
      <c r="IUT516" s="379"/>
      <c r="IUU516" s="379"/>
      <c r="IUV516" s="379"/>
      <c r="IUW516" s="379"/>
      <c r="IUX516" s="379"/>
      <c r="IUY516" s="13"/>
      <c r="IUZ516" s="13"/>
      <c r="IVA516" s="193"/>
      <c r="IVB516" s="379"/>
      <c r="IVC516" s="379"/>
      <c r="IVD516" s="379"/>
      <c r="IVE516" s="379"/>
      <c r="IVF516" s="379"/>
      <c r="IVG516" s="13"/>
      <c r="IVH516" s="13"/>
      <c r="IVI516" s="193"/>
      <c r="IVJ516" s="379"/>
      <c r="IVK516" s="379"/>
      <c r="IVL516" s="379"/>
      <c r="IVM516" s="379"/>
      <c r="IVN516" s="379"/>
      <c r="IVO516" s="13"/>
      <c r="IVP516" s="13"/>
      <c r="IVQ516" s="193"/>
      <c r="IVR516" s="379"/>
      <c r="IVS516" s="379"/>
      <c r="IVT516" s="379"/>
      <c r="IVU516" s="379"/>
      <c r="IVV516" s="379"/>
      <c r="IVW516" s="13"/>
      <c r="IVX516" s="13"/>
      <c r="IVY516" s="193"/>
      <c r="IVZ516" s="379"/>
      <c r="IWA516" s="379"/>
      <c r="IWB516" s="379"/>
      <c r="IWC516" s="379"/>
      <c r="IWD516" s="379"/>
      <c r="IWE516" s="13"/>
      <c r="IWF516" s="13"/>
      <c r="IWG516" s="193"/>
      <c r="IWH516" s="379"/>
      <c r="IWI516" s="379"/>
      <c r="IWJ516" s="379"/>
      <c r="IWK516" s="379"/>
      <c r="IWL516" s="379"/>
      <c r="IWM516" s="13"/>
      <c r="IWN516" s="13"/>
      <c r="IWO516" s="193"/>
      <c r="IWP516" s="379"/>
      <c r="IWQ516" s="379"/>
      <c r="IWR516" s="379"/>
      <c r="IWS516" s="379"/>
      <c r="IWT516" s="379"/>
      <c r="IWU516" s="13"/>
      <c r="IWV516" s="13"/>
      <c r="IWW516" s="193"/>
      <c r="IWX516" s="379"/>
      <c r="IWY516" s="379"/>
      <c r="IWZ516" s="379"/>
      <c r="IXA516" s="379"/>
      <c r="IXB516" s="379"/>
      <c r="IXC516" s="13"/>
      <c r="IXD516" s="13"/>
      <c r="IXE516" s="193"/>
      <c r="IXF516" s="379"/>
      <c r="IXG516" s="379"/>
      <c r="IXH516" s="379"/>
      <c r="IXI516" s="379"/>
      <c r="IXJ516" s="379"/>
      <c r="IXK516" s="13"/>
      <c r="IXL516" s="13"/>
      <c r="IXM516" s="193"/>
      <c r="IXN516" s="379"/>
      <c r="IXO516" s="379"/>
      <c r="IXP516" s="379"/>
      <c r="IXQ516" s="379"/>
      <c r="IXR516" s="379"/>
      <c r="IXS516" s="13"/>
      <c r="IXT516" s="13"/>
      <c r="IXU516" s="193"/>
      <c r="IXV516" s="379"/>
      <c r="IXW516" s="379"/>
      <c r="IXX516" s="379"/>
      <c r="IXY516" s="379"/>
      <c r="IXZ516" s="379"/>
      <c r="IYA516" s="13"/>
      <c r="IYB516" s="13"/>
      <c r="IYC516" s="193"/>
      <c r="IYD516" s="379"/>
      <c r="IYE516" s="379"/>
      <c r="IYF516" s="379"/>
      <c r="IYG516" s="379"/>
      <c r="IYH516" s="379"/>
      <c r="IYI516" s="13"/>
      <c r="IYJ516" s="13"/>
      <c r="IYK516" s="193"/>
      <c r="IYL516" s="379"/>
      <c r="IYM516" s="379"/>
      <c r="IYN516" s="379"/>
      <c r="IYO516" s="379"/>
      <c r="IYP516" s="379"/>
      <c r="IYQ516" s="13"/>
      <c r="IYR516" s="13"/>
      <c r="IYS516" s="193"/>
      <c r="IYT516" s="379"/>
      <c r="IYU516" s="379"/>
      <c r="IYV516" s="379"/>
      <c r="IYW516" s="379"/>
      <c r="IYX516" s="379"/>
      <c r="IYY516" s="13"/>
      <c r="IYZ516" s="13"/>
      <c r="IZA516" s="193"/>
      <c r="IZB516" s="379"/>
      <c r="IZC516" s="379"/>
      <c r="IZD516" s="379"/>
      <c r="IZE516" s="379"/>
      <c r="IZF516" s="379"/>
      <c r="IZG516" s="13"/>
      <c r="IZH516" s="13"/>
      <c r="IZI516" s="193"/>
      <c r="IZJ516" s="379"/>
      <c r="IZK516" s="379"/>
      <c r="IZL516" s="379"/>
      <c r="IZM516" s="379"/>
      <c r="IZN516" s="379"/>
      <c r="IZO516" s="13"/>
      <c r="IZP516" s="13"/>
      <c r="IZQ516" s="193"/>
      <c r="IZR516" s="379"/>
      <c r="IZS516" s="379"/>
      <c r="IZT516" s="379"/>
      <c r="IZU516" s="379"/>
      <c r="IZV516" s="379"/>
      <c r="IZW516" s="13"/>
      <c r="IZX516" s="13"/>
      <c r="IZY516" s="193"/>
      <c r="IZZ516" s="379"/>
      <c r="JAA516" s="379"/>
      <c r="JAB516" s="379"/>
      <c r="JAC516" s="379"/>
      <c r="JAD516" s="379"/>
      <c r="JAE516" s="13"/>
      <c r="JAF516" s="13"/>
      <c r="JAG516" s="193"/>
      <c r="JAH516" s="379"/>
      <c r="JAI516" s="379"/>
      <c r="JAJ516" s="379"/>
      <c r="JAK516" s="379"/>
      <c r="JAL516" s="379"/>
      <c r="JAM516" s="13"/>
      <c r="JAN516" s="13"/>
      <c r="JAO516" s="193"/>
      <c r="JAP516" s="379"/>
      <c r="JAQ516" s="379"/>
      <c r="JAR516" s="379"/>
      <c r="JAS516" s="379"/>
      <c r="JAT516" s="379"/>
      <c r="JAU516" s="13"/>
      <c r="JAV516" s="13"/>
      <c r="JAW516" s="193"/>
      <c r="JAX516" s="379"/>
      <c r="JAY516" s="379"/>
      <c r="JAZ516" s="379"/>
      <c r="JBA516" s="379"/>
      <c r="JBB516" s="379"/>
      <c r="JBC516" s="13"/>
      <c r="JBD516" s="13"/>
      <c r="JBE516" s="193"/>
      <c r="JBF516" s="379"/>
      <c r="JBG516" s="379"/>
      <c r="JBH516" s="379"/>
      <c r="JBI516" s="379"/>
      <c r="JBJ516" s="379"/>
      <c r="JBK516" s="13"/>
      <c r="JBL516" s="13"/>
      <c r="JBM516" s="193"/>
      <c r="JBN516" s="379"/>
      <c r="JBO516" s="379"/>
      <c r="JBP516" s="379"/>
      <c r="JBQ516" s="379"/>
      <c r="JBR516" s="379"/>
      <c r="JBS516" s="13"/>
      <c r="JBT516" s="13"/>
      <c r="JBU516" s="193"/>
      <c r="JBV516" s="379"/>
      <c r="JBW516" s="379"/>
      <c r="JBX516" s="379"/>
      <c r="JBY516" s="379"/>
      <c r="JBZ516" s="379"/>
      <c r="JCA516" s="13"/>
      <c r="JCB516" s="13"/>
      <c r="JCC516" s="193"/>
      <c r="JCD516" s="379"/>
      <c r="JCE516" s="379"/>
      <c r="JCF516" s="379"/>
      <c r="JCG516" s="379"/>
      <c r="JCH516" s="379"/>
      <c r="JCI516" s="13"/>
      <c r="JCJ516" s="13"/>
      <c r="JCK516" s="193"/>
      <c r="JCL516" s="379"/>
      <c r="JCM516" s="379"/>
      <c r="JCN516" s="379"/>
      <c r="JCO516" s="379"/>
      <c r="JCP516" s="379"/>
      <c r="JCQ516" s="13"/>
      <c r="JCR516" s="13"/>
      <c r="JCS516" s="193"/>
      <c r="JCT516" s="379"/>
      <c r="JCU516" s="379"/>
      <c r="JCV516" s="379"/>
      <c r="JCW516" s="379"/>
      <c r="JCX516" s="379"/>
      <c r="JCY516" s="13"/>
      <c r="JCZ516" s="13"/>
      <c r="JDA516" s="193"/>
      <c r="JDB516" s="379"/>
      <c r="JDC516" s="379"/>
      <c r="JDD516" s="379"/>
      <c r="JDE516" s="379"/>
      <c r="JDF516" s="379"/>
      <c r="JDG516" s="13"/>
      <c r="JDH516" s="13"/>
      <c r="JDI516" s="193"/>
      <c r="JDJ516" s="379"/>
      <c r="JDK516" s="379"/>
      <c r="JDL516" s="379"/>
      <c r="JDM516" s="379"/>
      <c r="JDN516" s="379"/>
      <c r="JDO516" s="13"/>
      <c r="JDP516" s="13"/>
      <c r="JDQ516" s="193"/>
      <c r="JDR516" s="379"/>
      <c r="JDS516" s="379"/>
      <c r="JDT516" s="379"/>
      <c r="JDU516" s="379"/>
      <c r="JDV516" s="379"/>
      <c r="JDW516" s="13"/>
      <c r="JDX516" s="13"/>
      <c r="JDY516" s="193"/>
      <c r="JDZ516" s="379"/>
      <c r="JEA516" s="379"/>
      <c r="JEB516" s="379"/>
      <c r="JEC516" s="379"/>
      <c r="JED516" s="379"/>
      <c r="JEE516" s="13"/>
      <c r="JEF516" s="13"/>
      <c r="JEG516" s="193"/>
      <c r="JEH516" s="379"/>
      <c r="JEI516" s="379"/>
      <c r="JEJ516" s="379"/>
      <c r="JEK516" s="379"/>
      <c r="JEL516" s="379"/>
      <c r="JEM516" s="13"/>
      <c r="JEN516" s="13"/>
      <c r="JEO516" s="193"/>
      <c r="JEP516" s="379"/>
      <c r="JEQ516" s="379"/>
      <c r="JER516" s="379"/>
      <c r="JES516" s="379"/>
      <c r="JET516" s="379"/>
      <c r="JEU516" s="13"/>
      <c r="JEV516" s="13"/>
      <c r="JEW516" s="193"/>
      <c r="JEX516" s="379"/>
      <c r="JEY516" s="379"/>
      <c r="JEZ516" s="379"/>
      <c r="JFA516" s="379"/>
      <c r="JFB516" s="379"/>
      <c r="JFC516" s="13"/>
      <c r="JFD516" s="13"/>
      <c r="JFE516" s="193"/>
      <c r="JFF516" s="379"/>
      <c r="JFG516" s="379"/>
      <c r="JFH516" s="379"/>
      <c r="JFI516" s="379"/>
      <c r="JFJ516" s="379"/>
      <c r="JFK516" s="13"/>
      <c r="JFL516" s="13"/>
      <c r="JFM516" s="193"/>
      <c r="JFN516" s="379"/>
      <c r="JFO516" s="379"/>
      <c r="JFP516" s="379"/>
      <c r="JFQ516" s="379"/>
      <c r="JFR516" s="379"/>
      <c r="JFS516" s="13"/>
      <c r="JFT516" s="13"/>
      <c r="JFU516" s="193"/>
      <c r="JFV516" s="379"/>
      <c r="JFW516" s="379"/>
      <c r="JFX516" s="379"/>
      <c r="JFY516" s="379"/>
      <c r="JFZ516" s="379"/>
      <c r="JGA516" s="13"/>
      <c r="JGB516" s="13"/>
      <c r="JGC516" s="193"/>
      <c r="JGD516" s="379"/>
      <c r="JGE516" s="379"/>
      <c r="JGF516" s="379"/>
      <c r="JGG516" s="379"/>
      <c r="JGH516" s="379"/>
      <c r="JGI516" s="13"/>
      <c r="JGJ516" s="13"/>
      <c r="JGK516" s="193"/>
      <c r="JGL516" s="379"/>
      <c r="JGM516" s="379"/>
      <c r="JGN516" s="379"/>
      <c r="JGO516" s="379"/>
      <c r="JGP516" s="379"/>
      <c r="JGQ516" s="13"/>
      <c r="JGR516" s="13"/>
      <c r="JGS516" s="193"/>
      <c r="JGT516" s="379"/>
      <c r="JGU516" s="379"/>
      <c r="JGV516" s="379"/>
      <c r="JGW516" s="379"/>
      <c r="JGX516" s="379"/>
      <c r="JGY516" s="13"/>
      <c r="JGZ516" s="13"/>
      <c r="JHA516" s="193"/>
      <c r="JHB516" s="379"/>
      <c r="JHC516" s="379"/>
      <c r="JHD516" s="379"/>
      <c r="JHE516" s="379"/>
      <c r="JHF516" s="379"/>
      <c r="JHG516" s="13"/>
      <c r="JHH516" s="13"/>
      <c r="JHI516" s="193"/>
      <c r="JHJ516" s="379"/>
      <c r="JHK516" s="379"/>
      <c r="JHL516" s="379"/>
      <c r="JHM516" s="379"/>
      <c r="JHN516" s="379"/>
      <c r="JHO516" s="13"/>
      <c r="JHP516" s="13"/>
      <c r="JHQ516" s="193"/>
      <c r="JHR516" s="379"/>
      <c r="JHS516" s="379"/>
      <c r="JHT516" s="379"/>
      <c r="JHU516" s="379"/>
      <c r="JHV516" s="379"/>
      <c r="JHW516" s="13"/>
      <c r="JHX516" s="13"/>
      <c r="JHY516" s="193"/>
      <c r="JHZ516" s="379"/>
      <c r="JIA516" s="379"/>
      <c r="JIB516" s="379"/>
      <c r="JIC516" s="379"/>
      <c r="JID516" s="379"/>
      <c r="JIE516" s="13"/>
      <c r="JIF516" s="13"/>
      <c r="JIG516" s="193"/>
      <c r="JIH516" s="379"/>
      <c r="JII516" s="379"/>
      <c r="JIJ516" s="379"/>
      <c r="JIK516" s="379"/>
      <c r="JIL516" s="379"/>
      <c r="JIM516" s="13"/>
      <c r="JIN516" s="13"/>
      <c r="JIO516" s="193"/>
      <c r="JIP516" s="379"/>
      <c r="JIQ516" s="379"/>
      <c r="JIR516" s="379"/>
      <c r="JIS516" s="379"/>
      <c r="JIT516" s="379"/>
      <c r="JIU516" s="13"/>
      <c r="JIV516" s="13"/>
      <c r="JIW516" s="193"/>
      <c r="JIX516" s="379"/>
      <c r="JIY516" s="379"/>
      <c r="JIZ516" s="379"/>
      <c r="JJA516" s="379"/>
      <c r="JJB516" s="379"/>
      <c r="JJC516" s="13"/>
      <c r="JJD516" s="13"/>
      <c r="JJE516" s="193"/>
      <c r="JJF516" s="379"/>
      <c r="JJG516" s="379"/>
      <c r="JJH516" s="379"/>
      <c r="JJI516" s="379"/>
      <c r="JJJ516" s="379"/>
      <c r="JJK516" s="13"/>
      <c r="JJL516" s="13"/>
      <c r="JJM516" s="193"/>
      <c r="JJN516" s="379"/>
      <c r="JJO516" s="379"/>
      <c r="JJP516" s="379"/>
      <c r="JJQ516" s="379"/>
      <c r="JJR516" s="379"/>
      <c r="JJS516" s="13"/>
      <c r="JJT516" s="13"/>
      <c r="JJU516" s="193"/>
      <c r="JJV516" s="379"/>
      <c r="JJW516" s="379"/>
      <c r="JJX516" s="379"/>
      <c r="JJY516" s="379"/>
      <c r="JJZ516" s="379"/>
      <c r="JKA516" s="13"/>
      <c r="JKB516" s="13"/>
      <c r="JKC516" s="193"/>
      <c r="JKD516" s="379"/>
      <c r="JKE516" s="379"/>
      <c r="JKF516" s="379"/>
      <c r="JKG516" s="379"/>
      <c r="JKH516" s="379"/>
      <c r="JKI516" s="13"/>
      <c r="JKJ516" s="13"/>
      <c r="JKK516" s="193"/>
      <c r="JKL516" s="379"/>
      <c r="JKM516" s="379"/>
      <c r="JKN516" s="379"/>
      <c r="JKO516" s="379"/>
      <c r="JKP516" s="379"/>
      <c r="JKQ516" s="13"/>
      <c r="JKR516" s="13"/>
      <c r="JKS516" s="193"/>
      <c r="JKT516" s="379"/>
      <c r="JKU516" s="379"/>
      <c r="JKV516" s="379"/>
      <c r="JKW516" s="379"/>
      <c r="JKX516" s="379"/>
      <c r="JKY516" s="13"/>
      <c r="JKZ516" s="13"/>
      <c r="JLA516" s="193"/>
      <c r="JLB516" s="379"/>
      <c r="JLC516" s="379"/>
      <c r="JLD516" s="379"/>
      <c r="JLE516" s="379"/>
      <c r="JLF516" s="379"/>
      <c r="JLG516" s="13"/>
      <c r="JLH516" s="13"/>
      <c r="JLI516" s="193"/>
      <c r="JLJ516" s="379"/>
      <c r="JLK516" s="379"/>
      <c r="JLL516" s="379"/>
      <c r="JLM516" s="379"/>
      <c r="JLN516" s="379"/>
      <c r="JLO516" s="13"/>
      <c r="JLP516" s="13"/>
      <c r="JLQ516" s="193"/>
      <c r="JLR516" s="379"/>
      <c r="JLS516" s="379"/>
      <c r="JLT516" s="379"/>
      <c r="JLU516" s="379"/>
      <c r="JLV516" s="379"/>
      <c r="JLW516" s="13"/>
      <c r="JLX516" s="13"/>
      <c r="JLY516" s="193"/>
      <c r="JLZ516" s="379"/>
      <c r="JMA516" s="379"/>
      <c r="JMB516" s="379"/>
      <c r="JMC516" s="379"/>
      <c r="JMD516" s="379"/>
      <c r="JME516" s="13"/>
      <c r="JMF516" s="13"/>
      <c r="JMG516" s="193"/>
      <c r="JMH516" s="379"/>
      <c r="JMI516" s="379"/>
      <c r="JMJ516" s="379"/>
      <c r="JMK516" s="379"/>
      <c r="JML516" s="379"/>
      <c r="JMM516" s="13"/>
      <c r="JMN516" s="13"/>
      <c r="JMO516" s="193"/>
      <c r="JMP516" s="379"/>
      <c r="JMQ516" s="379"/>
      <c r="JMR516" s="379"/>
      <c r="JMS516" s="379"/>
      <c r="JMT516" s="379"/>
      <c r="JMU516" s="13"/>
      <c r="JMV516" s="13"/>
      <c r="JMW516" s="193"/>
      <c r="JMX516" s="379"/>
      <c r="JMY516" s="379"/>
      <c r="JMZ516" s="379"/>
      <c r="JNA516" s="379"/>
      <c r="JNB516" s="379"/>
      <c r="JNC516" s="13"/>
      <c r="JND516" s="13"/>
      <c r="JNE516" s="193"/>
      <c r="JNF516" s="379"/>
      <c r="JNG516" s="379"/>
      <c r="JNH516" s="379"/>
      <c r="JNI516" s="379"/>
      <c r="JNJ516" s="379"/>
      <c r="JNK516" s="13"/>
      <c r="JNL516" s="13"/>
      <c r="JNM516" s="193"/>
      <c r="JNN516" s="379"/>
      <c r="JNO516" s="379"/>
      <c r="JNP516" s="379"/>
      <c r="JNQ516" s="379"/>
      <c r="JNR516" s="379"/>
      <c r="JNS516" s="13"/>
      <c r="JNT516" s="13"/>
      <c r="JNU516" s="193"/>
      <c r="JNV516" s="379"/>
      <c r="JNW516" s="379"/>
      <c r="JNX516" s="379"/>
      <c r="JNY516" s="379"/>
      <c r="JNZ516" s="379"/>
      <c r="JOA516" s="13"/>
      <c r="JOB516" s="13"/>
      <c r="JOC516" s="193"/>
      <c r="JOD516" s="379"/>
      <c r="JOE516" s="379"/>
      <c r="JOF516" s="379"/>
      <c r="JOG516" s="379"/>
      <c r="JOH516" s="379"/>
      <c r="JOI516" s="13"/>
      <c r="JOJ516" s="13"/>
      <c r="JOK516" s="193"/>
      <c r="JOL516" s="379"/>
      <c r="JOM516" s="379"/>
      <c r="JON516" s="379"/>
      <c r="JOO516" s="379"/>
      <c r="JOP516" s="379"/>
      <c r="JOQ516" s="13"/>
      <c r="JOR516" s="13"/>
      <c r="JOS516" s="193"/>
      <c r="JOT516" s="379"/>
      <c r="JOU516" s="379"/>
      <c r="JOV516" s="379"/>
      <c r="JOW516" s="379"/>
      <c r="JOX516" s="379"/>
      <c r="JOY516" s="13"/>
      <c r="JOZ516" s="13"/>
      <c r="JPA516" s="193"/>
      <c r="JPB516" s="379"/>
      <c r="JPC516" s="379"/>
      <c r="JPD516" s="379"/>
      <c r="JPE516" s="379"/>
      <c r="JPF516" s="379"/>
      <c r="JPG516" s="13"/>
      <c r="JPH516" s="13"/>
      <c r="JPI516" s="193"/>
      <c r="JPJ516" s="379"/>
      <c r="JPK516" s="379"/>
      <c r="JPL516" s="379"/>
      <c r="JPM516" s="379"/>
      <c r="JPN516" s="379"/>
      <c r="JPO516" s="13"/>
      <c r="JPP516" s="13"/>
      <c r="JPQ516" s="193"/>
      <c r="JPR516" s="379"/>
      <c r="JPS516" s="379"/>
      <c r="JPT516" s="379"/>
      <c r="JPU516" s="379"/>
      <c r="JPV516" s="379"/>
      <c r="JPW516" s="13"/>
      <c r="JPX516" s="13"/>
      <c r="JPY516" s="193"/>
      <c r="JPZ516" s="379"/>
      <c r="JQA516" s="379"/>
      <c r="JQB516" s="379"/>
      <c r="JQC516" s="379"/>
      <c r="JQD516" s="379"/>
      <c r="JQE516" s="13"/>
      <c r="JQF516" s="13"/>
      <c r="JQG516" s="193"/>
      <c r="JQH516" s="379"/>
      <c r="JQI516" s="379"/>
      <c r="JQJ516" s="379"/>
      <c r="JQK516" s="379"/>
      <c r="JQL516" s="379"/>
      <c r="JQM516" s="13"/>
      <c r="JQN516" s="13"/>
      <c r="JQO516" s="193"/>
      <c r="JQP516" s="379"/>
      <c r="JQQ516" s="379"/>
      <c r="JQR516" s="379"/>
      <c r="JQS516" s="379"/>
      <c r="JQT516" s="379"/>
      <c r="JQU516" s="13"/>
      <c r="JQV516" s="13"/>
      <c r="JQW516" s="193"/>
      <c r="JQX516" s="379"/>
      <c r="JQY516" s="379"/>
      <c r="JQZ516" s="379"/>
      <c r="JRA516" s="379"/>
      <c r="JRB516" s="379"/>
      <c r="JRC516" s="13"/>
      <c r="JRD516" s="13"/>
      <c r="JRE516" s="193"/>
      <c r="JRF516" s="379"/>
      <c r="JRG516" s="379"/>
      <c r="JRH516" s="379"/>
      <c r="JRI516" s="379"/>
      <c r="JRJ516" s="379"/>
      <c r="JRK516" s="13"/>
      <c r="JRL516" s="13"/>
      <c r="JRM516" s="193"/>
      <c r="JRN516" s="379"/>
      <c r="JRO516" s="379"/>
      <c r="JRP516" s="379"/>
      <c r="JRQ516" s="379"/>
      <c r="JRR516" s="379"/>
      <c r="JRS516" s="13"/>
      <c r="JRT516" s="13"/>
      <c r="JRU516" s="193"/>
      <c r="JRV516" s="379"/>
      <c r="JRW516" s="379"/>
      <c r="JRX516" s="379"/>
      <c r="JRY516" s="379"/>
      <c r="JRZ516" s="379"/>
      <c r="JSA516" s="13"/>
      <c r="JSB516" s="13"/>
      <c r="JSC516" s="193"/>
      <c r="JSD516" s="379"/>
      <c r="JSE516" s="379"/>
      <c r="JSF516" s="379"/>
      <c r="JSG516" s="379"/>
      <c r="JSH516" s="379"/>
      <c r="JSI516" s="13"/>
      <c r="JSJ516" s="13"/>
      <c r="JSK516" s="193"/>
      <c r="JSL516" s="379"/>
      <c r="JSM516" s="379"/>
      <c r="JSN516" s="379"/>
      <c r="JSO516" s="379"/>
      <c r="JSP516" s="379"/>
      <c r="JSQ516" s="13"/>
      <c r="JSR516" s="13"/>
      <c r="JSS516" s="193"/>
      <c r="JST516" s="379"/>
      <c r="JSU516" s="379"/>
      <c r="JSV516" s="379"/>
      <c r="JSW516" s="379"/>
      <c r="JSX516" s="379"/>
      <c r="JSY516" s="13"/>
      <c r="JSZ516" s="13"/>
      <c r="JTA516" s="193"/>
      <c r="JTB516" s="379"/>
      <c r="JTC516" s="379"/>
      <c r="JTD516" s="379"/>
      <c r="JTE516" s="379"/>
      <c r="JTF516" s="379"/>
      <c r="JTG516" s="13"/>
      <c r="JTH516" s="13"/>
      <c r="JTI516" s="193"/>
      <c r="JTJ516" s="379"/>
      <c r="JTK516" s="379"/>
      <c r="JTL516" s="379"/>
      <c r="JTM516" s="379"/>
      <c r="JTN516" s="379"/>
      <c r="JTO516" s="13"/>
      <c r="JTP516" s="13"/>
      <c r="JTQ516" s="193"/>
      <c r="JTR516" s="379"/>
      <c r="JTS516" s="379"/>
      <c r="JTT516" s="379"/>
      <c r="JTU516" s="379"/>
      <c r="JTV516" s="379"/>
      <c r="JTW516" s="13"/>
      <c r="JTX516" s="13"/>
      <c r="JTY516" s="193"/>
      <c r="JTZ516" s="379"/>
      <c r="JUA516" s="379"/>
      <c r="JUB516" s="379"/>
      <c r="JUC516" s="379"/>
      <c r="JUD516" s="379"/>
      <c r="JUE516" s="13"/>
      <c r="JUF516" s="13"/>
      <c r="JUG516" s="193"/>
      <c r="JUH516" s="379"/>
      <c r="JUI516" s="379"/>
      <c r="JUJ516" s="379"/>
      <c r="JUK516" s="379"/>
      <c r="JUL516" s="379"/>
      <c r="JUM516" s="13"/>
      <c r="JUN516" s="13"/>
      <c r="JUO516" s="193"/>
      <c r="JUP516" s="379"/>
      <c r="JUQ516" s="379"/>
      <c r="JUR516" s="379"/>
      <c r="JUS516" s="379"/>
      <c r="JUT516" s="379"/>
      <c r="JUU516" s="13"/>
      <c r="JUV516" s="13"/>
      <c r="JUW516" s="193"/>
      <c r="JUX516" s="379"/>
      <c r="JUY516" s="379"/>
      <c r="JUZ516" s="379"/>
      <c r="JVA516" s="379"/>
      <c r="JVB516" s="379"/>
      <c r="JVC516" s="13"/>
      <c r="JVD516" s="13"/>
      <c r="JVE516" s="193"/>
      <c r="JVF516" s="379"/>
      <c r="JVG516" s="379"/>
      <c r="JVH516" s="379"/>
      <c r="JVI516" s="379"/>
      <c r="JVJ516" s="379"/>
      <c r="JVK516" s="13"/>
      <c r="JVL516" s="13"/>
      <c r="JVM516" s="193"/>
      <c r="JVN516" s="379"/>
      <c r="JVO516" s="379"/>
      <c r="JVP516" s="379"/>
      <c r="JVQ516" s="379"/>
      <c r="JVR516" s="379"/>
      <c r="JVS516" s="13"/>
      <c r="JVT516" s="13"/>
      <c r="JVU516" s="193"/>
      <c r="JVV516" s="379"/>
      <c r="JVW516" s="379"/>
      <c r="JVX516" s="379"/>
      <c r="JVY516" s="379"/>
      <c r="JVZ516" s="379"/>
      <c r="JWA516" s="13"/>
      <c r="JWB516" s="13"/>
      <c r="JWC516" s="193"/>
      <c r="JWD516" s="379"/>
      <c r="JWE516" s="379"/>
      <c r="JWF516" s="379"/>
      <c r="JWG516" s="379"/>
      <c r="JWH516" s="379"/>
      <c r="JWI516" s="13"/>
      <c r="JWJ516" s="13"/>
      <c r="JWK516" s="193"/>
      <c r="JWL516" s="379"/>
      <c r="JWM516" s="379"/>
      <c r="JWN516" s="379"/>
      <c r="JWO516" s="379"/>
      <c r="JWP516" s="379"/>
      <c r="JWQ516" s="13"/>
      <c r="JWR516" s="13"/>
      <c r="JWS516" s="193"/>
      <c r="JWT516" s="379"/>
      <c r="JWU516" s="379"/>
      <c r="JWV516" s="379"/>
      <c r="JWW516" s="379"/>
      <c r="JWX516" s="379"/>
      <c r="JWY516" s="13"/>
      <c r="JWZ516" s="13"/>
      <c r="JXA516" s="193"/>
      <c r="JXB516" s="379"/>
      <c r="JXC516" s="379"/>
      <c r="JXD516" s="379"/>
      <c r="JXE516" s="379"/>
      <c r="JXF516" s="379"/>
      <c r="JXG516" s="13"/>
      <c r="JXH516" s="13"/>
      <c r="JXI516" s="193"/>
      <c r="JXJ516" s="379"/>
      <c r="JXK516" s="379"/>
      <c r="JXL516" s="379"/>
      <c r="JXM516" s="379"/>
      <c r="JXN516" s="379"/>
      <c r="JXO516" s="13"/>
      <c r="JXP516" s="13"/>
      <c r="JXQ516" s="193"/>
      <c r="JXR516" s="379"/>
      <c r="JXS516" s="379"/>
      <c r="JXT516" s="379"/>
      <c r="JXU516" s="379"/>
      <c r="JXV516" s="379"/>
      <c r="JXW516" s="13"/>
      <c r="JXX516" s="13"/>
      <c r="JXY516" s="193"/>
      <c r="JXZ516" s="379"/>
      <c r="JYA516" s="379"/>
      <c r="JYB516" s="379"/>
      <c r="JYC516" s="379"/>
      <c r="JYD516" s="379"/>
      <c r="JYE516" s="13"/>
      <c r="JYF516" s="13"/>
      <c r="JYG516" s="193"/>
      <c r="JYH516" s="379"/>
      <c r="JYI516" s="379"/>
      <c r="JYJ516" s="379"/>
      <c r="JYK516" s="379"/>
      <c r="JYL516" s="379"/>
      <c r="JYM516" s="13"/>
      <c r="JYN516" s="13"/>
      <c r="JYO516" s="193"/>
      <c r="JYP516" s="379"/>
      <c r="JYQ516" s="379"/>
      <c r="JYR516" s="379"/>
      <c r="JYS516" s="379"/>
      <c r="JYT516" s="379"/>
      <c r="JYU516" s="13"/>
      <c r="JYV516" s="13"/>
      <c r="JYW516" s="193"/>
      <c r="JYX516" s="379"/>
      <c r="JYY516" s="379"/>
      <c r="JYZ516" s="379"/>
      <c r="JZA516" s="379"/>
      <c r="JZB516" s="379"/>
      <c r="JZC516" s="13"/>
      <c r="JZD516" s="13"/>
      <c r="JZE516" s="193"/>
      <c r="JZF516" s="379"/>
      <c r="JZG516" s="379"/>
      <c r="JZH516" s="379"/>
      <c r="JZI516" s="379"/>
      <c r="JZJ516" s="379"/>
      <c r="JZK516" s="13"/>
      <c r="JZL516" s="13"/>
      <c r="JZM516" s="193"/>
      <c r="JZN516" s="379"/>
      <c r="JZO516" s="379"/>
      <c r="JZP516" s="379"/>
      <c r="JZQ516" s="379"/>
      <c r="JZR516" s="379"/>
      <c r="JZS516" s="13"/>
      <c r="JZT516" s="13"/>
      <c r="JZU516" s="193"/>
      <c r="JZV516" s="379"/>
      <c r="JZW516" s="379"/>
      <c r="JZX516" s="379"/>
      <c r="JZY516" s="379"/>
      <c r="JZZ516" s="379"/>
      <c r="KAA516" s="13"/>
      <c r="KAB516" s="13"/>
      <c r="KAC516" s="193"/>
      <c r="KAD516" s="379"/>
      <c r="KAE516" s="379"/>
      <c r="KAF516" s="379"/>
      <c r="KAG516" s="379"/>
      <c r="KAH516" s="379"/>
      <c r="KAI516" s="13"/>
      <c r="KAJ516" s="13"/>
      <c r="KAK516" s="193"/>
      <c r="KAL516" s="379"/>
      <c r="KAM516" s="379"/>
      <c r="KAN516" s="379"/>
      <c r="KAO516" s="379"/>
      <c r="KAP516" s="379"/>
      <c r="KAQ516" s="13"/>
      <c r="KAR516" s="13"/>
      <c r="KAS516" s="193"/>
      <c r="KAT516" s="379"/>
      <c r="KAU516" s="379"/>
      <c r="KAV516" s="379"/>
      <c r="KAW516" s="379"/>
      <c r="KAX516" s="379"/>
      <c r="KAY516" s="13"/>
      <c r="KAZ516" s="13"/>
      <c r="KBA516" s="193"/>
      <c r="KBB516" s="379"/>
      <c r="KBC516" s="379"/>
      <c r="KBD516" s="379"/>
      <c r="KBE516" s="379"/>
      <c r="KBF516" s="379"/>
      <c r="KBG516" s="13"/>
      <c r="KBH516" s="13"/>
      <c r="KBI516" s="193"/>
      <c r="KBJ516" s="379"/>
      <c r="KBK516" s="379"/>
      <c r="KBL516" s="379"/>
      <c r="KBM516" s="379"/>
      <c r="KBN516" s="379"/>
      <c r="KBO516" s="13"/>
      <c r="KBP516" s="13"/>
      <c r="KBQ516" s="193"/>
      <c r="KBR516" s="379"/>
      <c r="KBS516" s="379"/>
      <c r="KBT516" s="379"/>
      <c r="KBU516" s="379"/>
      <c r="KBV516" s="379"/>
      <c r="KBW516" s="13"/>
      <c r="KBX516" s="13"/>
      <c r="KBY516" s="193"/>
      <c r="KBZ516" s="379"/>
      <c r="KCA516" s="379"/>
      <c r="KCB516" s="379"/>
      <c r="KCC516" s="379"/>
      <c r="KCD516" s="379"/>
      <c r="KCE516" s="13"/>
      <c r="KCF516" s="13"/>
      <c r="KCG516" s="193"/>
      <c r="KCH516" s="379"/>
      <c r="KCI516" s="379"/>
      <c r="KCJ516" s="379"/>
      <c r="KCK516" s="379"/>
      <c r="KCL516" s="379"/>
      <c r="KCM516" s="13"/>
      <c r="KCN516" s="13"/>
      <c r="KCO516" s="193"/>
      <c r="KCP516" s="379"/>
      <c r="KCQ516" s="379"/>
      <c r="KCR516" s="379"/>
      <c r="KCS516" s="379"/>
      <c r="KCT516" s="379"/>
      <c r="KCU516" s="13"/>
      <c r="KCV516" s="13"/>
      <c r="KCW516" s="193"/>
      <c r="KCX516" s="379"/>
      <c r="KCY516" s="379"/>
      <c r="KCZ516" s="379"/>
      <c r="KDA516" s="379"/>
      <c r="KDB516" s="379"/>
      <c r="KDC516" s="13"/>
      <c r="KDD516" s="13"/>
      <c r="KDE516" s="193"/>
      <c r="KDF516" s="379"/>
      <c r="KDG516" s="379"/>
      <c r="KDH516" s="379"/>
      <c r="KDI516" s="379"/>
      <c r="KDJ516" s="379"/>
      <c r="KDK516" s="13"/>
      <c r="KDL516" s="13"/>
      <c r="KDM516" s="193"/>
      <c r="KDN516" s="379"/>
      <c r="KDO516" s="379"/>
      <c r="KDP516" s="379"/>
      <c r="KDQ516" s="379"/>
      <c r="KDR516" s="379"/>
      <c r="KDS516" s="13"/>
      <c r="KDT516" s="13"/>
      <c r="KDU516" s="193"/>
      <c r="KDV516" s="379"/>
      <c r="KDW516" s="379"/>
      <c r="KDX516" s="379"/>
      <c r="KDY516" s="379"/>
      <c r="KDZ516" s="379"/>
      <c r="KEA516" s="13"/>
      <c r="KEB516" s="13"/>
      <c r="KEC516" s="193"/>
      <c r="KED516" s="379"/>
      <c r="KEE516" s="379"/>
      <c r="KEF516" s="379"/>
      <c r="KEG516" s="379"/>
      <c r="KEH516" s="379"/>
      <c r="KEI516" s="13"/>
      <c r="KEJ516" s="13"/>
      <c r="KEK516" s="193"/>
      <c r="KEL516" s="379"/>
      <c r="KEM516" s="379"/>
      <c r="KEN516" s="379"/>
      <c r="KEO516" s="379"/>
      <c r="KEP516" s="379"/>
      <c r="KEQ516" s="13"/>
      <c r="KER516" s="13"/>
      <c r="KES516" s="193"/>
      <c r="KET516" s="379"/>
      <c r="KEU516" s="379"/>
      <c r="KEV516" s="379"/>
      <c r="KEW516" s="379"/>
      <c r="KEX516" s="379"/>
      <c r="KEY516" s="13"/>
      <c r="KEZ516" s="13"/>
      <c r="KFA516" s="193"/>
      <c r="KFB516" s="379"/>
      <c r="KFC516" s="379"/>
      <c r="KFD516" s="379"/>
      <c r="KFE516" s="379"/>
      <c r="KFF516" s="379"/>
      <c r="KFG516" s="13"/>
      <c r="KFH516" s="13"/>
      <c r="KFI516" s="193"/>
      <c r="KFJ516" s="379"/>
      <c r="KFK516" s="379"/>
      <c r="KFL516" s="379"/>
      <c r="KFM516" s="379"/>
      <c r="KFN516" s="379"/>
      <c r="KFO516" s="13"/>
      <c r="KFP516" s="13"/>
      <c r="KFQ516" s="193"/>
      <c r="KFR516" s="379"/>
      <c r="KFS516" s="379"/>
      <c r="KFT516" s="379"/>
      <c r="KFU516" s="379"/>
      <c r="KFV516" s="379"/>
      <c r="KFW516" s="13"/>
      <c r="KFX516" s="13"/>
      <c r="KFY516" s="193"/>
      <c r="KFZ516" s="379"/>
      <c r="KGA516" s="379"/>
      <c r="KGB516" s="379"/>
      <c r="KGC516" s="379"/>
      <c r="KGD516" s="379"/>
      <c r="KGE516" s="13"/>
      <c r="KGF516" s="13"/>
      <c r="KGG516" s="193"/>
      <c r="KGH516" s="379"/>
      <c r="KGI516" s="379"/>
      <c r="KGJ516" s="379"/>
      <c r="KGK516" s="379"/>
      <c r="KGL516" s="379"/>
      <c r="KGM516" s="13"/>
      <c r="KGN516" s="13"/>
      <c r="KGO516" s="193"/>
      <c r="KGP516" s="379"/>
      <c r="KGQ516" s="379"/>
      <c r="KGR516" s="379"/>
      <c r="KGS516" s="379"/>
      <c r="KGT516" s="379"/>
      <c r="KGU516" s="13"/>
      <c r="KGV516" s="13"/>
      <c r="KGW516" s="193"/>
      <c r="KGX516" s="379"/>
      <c r="KGY516" s="379"/>
      <c r="KGZ516" s="379"/>
      <c r="KHA516" s="379"/>
      <c r="KHB516" s="379"/>
      <c r="KHC516" s="13"/>
      <c r="KHD516" s="13"/>
      <c r="KHE516" s="193"/>
      <c r="KHF516" s="379"/>
      <c r="KHG516" s="379"/>
      <c r="KHH516" s="379"/>
      <c r="KHI516" s="379"/>
      <c r="KHJ516" s="379"/>
      <c r="KHK516" s="13"/>
      <c r="KHL516" s="13"/>
      <c r="KHM516" s="193"/>
      <c r="KHN516" s="379"/>
      <c r="KHO516" s="379"/>
      <c r="KHP516" s="379"/>
      <c r="KHQ516" s="379"/>
      <c r="KHR516" s="379"/>
      <c r="KHS516" s="13"/>
      <c r="KHT516" s="13"/>
      <c r="KHU516" s="193"/>
      <c r="KHV516" s="379"/>
      <c r="KHW516" s="379"/>
      <c r="KHX516" s="379"/>
      <c r="KHY516" s="379"/>
      <c r="KHZ516" s="379"/>
      <c r="KIA516" s="13"/>
      <c r="KIB516" s="13"/>
      <c r="KIC516" s="193"/>
      <c r="KID516" s="379"/>
      <c r="KIE516" s="379"/>
      <c r="KIF516" s="379"/>
      <c r="KIG516" s="379"/>
      <c r="KIH516" s="379"/>
      <c r="KII516" s="13"/>
      <c r="KIJ516" s="13"/>
      <c r="KIK516" s="193"/>
      <c r="KIL516" s="379"/>
      <c r="KIM516" s="379"/>
      <c r="KIN516" s="379"/>
      <c r="KIO516" s="379"/>
      <c r="KIP516" s="379"/>
      <c r="KIQ516" s="13"/>
      <c r="KIR516" s="13"/>
      <c r="KIS516" s="193"/>
      <c r="KIT516" s="379"/>
      <c r="KIU516" s="379"/>
      <c r="KIV516" s="379"/>
      <c r="KIW516" s="379"/>
      <c r="KIX516" s="379"/>
      <c r="KIY516" s="13"/>
      <c r="KIZ516" s="13"/>
      <c r="KJA516" s="193"/>
      <c r="KJB516" s="379"/>
      <c r="KJC516" s="379"/>
      <c r="KJD516" s="379"/>
      <c r="KJE516" s="379"/>
      <c r="KJF516" s="379"/>
      <c r="KJG516" s="13"/>
      <c r="KJH516" s="13"/>
      <c r="KJI516" s="193"/>
      <c r="KJJ516" s="379"/>
      <c r="KJK516" s="379"/>
      <c r="KJL516" s="379"/>
      <c r="KJM516" s="379"/>
      <c r="KJN516" s="379"/>
      <c r="KJO516" s="13"/>
      <c r="KJP516" s="13"/>
      <c r="KJQ516" s="193"/>
      <c r="KJR516" s="379"/>
      <c r="KJS516" s="379"/>
      <c r="KJT516" s="379"/>
      <c r="KJU516" s="379"/>
      <c r="KJV516" s="379"/>
      <c r="KJW516" s="13"/>
      <c r="KJX516" s="13"/>
      <c r="KJY516" s="193"/>
      <c r="KJZ516" s="379"/>
      <c r="KKA516" s="379"/>
      <c r="KKB516" s="379"/>
      <c r="KKC516" s="379"/>
      <c r="KKD516" s="379"/>
      <c r="KKE516" s="13"/>
      <c r="KKF516" s="13"/>
      <c r="KKG516" s="193"/>
      <c r="KKH516" s="379"/>
      <c r="KKI516" s="379"/>
      <c r="KKJ516" s="379"/>
      <c r="KKK516" s="379"/>
      <c r="KKL516" s="379"/>
      <c r="KKM516" s="13"/>
      <c r="KKN516" s="13"/>
      <c r="KKO516" s="193"/>
      <c r="KKP516" s="379"/>
      <c r="KKQ516" s="379"/>
      <c r="KKR516" s="379"/>
      <c r="KKS516" s="379"/>
      <c r="KKT516" s="379"/>
      <c r="KKU516" s="13"/>
      <c r="KKV516" s="13"/>
      <c r="KKW516" s="193"/>
      <c r="KKX516" s="379"/>
      <c r="KKY516" s="379"/>
      <c r="KKZ516" s="379"/>
      <c r="KLA516" s="379"/>
      <c r="KLB516" s="379"/>
      <c r="KLC516" s="13"/>
      <c r="KLD516" s="13"/>
      <c r="KLE516" s="193"/>
      <c r="KLF516" s="379"/>
      <c r="KLG516" s="379"/>
      <c r="KLH516" s="379"/>
      <c r="KLI516" s="379"/>
      <c r="KLJ516" s="379"/>
      <c r="KLK516" s="13"/>
      <c r="KLL516" s="13"/>
      <c r="KLM516" s="193"/>
      <c r="KLN516" s="379"/>
      <c r="KLO516" s="379"/>
      <c r="KLP516" s="379"/>
      <c r="KLQ516" s="379"/>
      <c r="KLR516" s="379"/>
      <c r="KLS516" s="13"/>
      <c r="KLT516" s="13"/>
      <c r="KLU516" s="193"/>
      <c r="KLV516" s="379"/>
      <c r="KLW516" s="379"/>
      <c r="KLX516" s="379"/>
      <c r="KLY516" s="379"/>
      <c r="KLZ516" s="379"/>
      <c r="KMA516" s="13"/>
      <c r="KMB516" s="13"/>
      <c r="KMC516" s="193"/>
      <c r="KMD516" s="379"/>
      <c r="KME516" s="379"/>
      <c r="KMF516" s="379"/>
      <c r="KMG516" s="379"/>
      <c r="KMH516" s="379"/>
      <c r="KMI516" s="13"/>
      <c r="KMJ516" s="13"/>
      <c r="KMK516" s="193"/>
      <c r="KML516" s="379"/>
      <c r="KMM516" s="379"/>
      <c r="KMN516" s="379"/>
      <c r="KMO516" s="379"/>
      <c r="KMP516" s="379"/>
      <c r="KMQ516" s="13"/>
      <c r="KMR516" s="13"/>
      <c r="KMS516" s="193"/>
      <c r="KMT516" s="379"/>
      <c r="KMU516" s="379"/>
      <c r="KMV516" s="379"/>
      <c r="KMW516" s="379"/>
      <c r="KMX516" s="379"/>
      <c r="KMY516" s="13"/>
      <c r="KMZ516" s="13"/>
      <c r="KNA516" s="193"/>
      <c r="KNB516" s="379"/>
      <c r="KNC516" s="379"/>
      <c r="KND516" s="379"/>
      <c r="KNE516" s="379"/>
      <c r="KNF516" s="379"/>
      <c r="KNG516" s="13"/>
      <c r="KNH516" s="13"/>
      <c r="KNI516" s="193"/>
      <c r="KNJ516" s="379"/>
      <c r="KNK516" s="379"/>
      <c r="KNL516" s="379"/>
      <c r="KNM516" s="379"/>
      <c r="KNN516" s="379"/>
      <c r="KNO516" s="13"/>
      <c r="KNP516" s="13"/>
      <c r="KNQ516" s="193"/>
      <c r="KNR516" s="379"/>
      <c r="KNS516" s="379"/>
      <c r="KNT516" s="379"/>
      <c r="KNU516" s="379"/>
      <c r="KNV516" s="379"/>
      <c r="KNW516" s="13"/>
      <c r="KNX516" s="13"/>
      <c r="KNY516" s="193"/>
      <c r="KNZ516" s="379"/>
      <c r="KOA516" s="379"/>
      <c r="KOB516" s="379"/>
      <c r="KOC516" s="379"/>
      <c r="KOD516" s="379"/>
      <c r="KOE516" s="13"/>
      <c r="KOF516" s="13"/>
      <c r="KOG516" s="193"/>
      <c r="KOH516" s="379"/>
      <c r="KOI516" s="379"/>
      <c r="KOJ516" s="379"/>
      <c r="KOK516" s="379"/>
      <c r="KOL516" s="379"/>
      <c r="KOM516" s="13"/>
      <c r="KON516" s="13"/>
      <c r="KOO516" s="193"/>
      <c r="KOP516" s="379"/>
      <c r="KOQ516" s="379"/>
      <c r="KOR516" s="379"/>
      <c r="KOS516" s="379"/>
      <c r="KOT516" s="379"/>
      <c r="KOU516" s="13"/>
      <c r="KOV516" s="13"/>
      <c r="KOW516" s="193"/>
      <c r="KOX516" s="379"/>
      <c r="KOY516" s="379"/>
      <c r="KOZ516" s="379"/>
      <c r="KPA516" s="379"/>
      <c r="KPB516" s="379"/>
      <c r="KPC516" s="13"/>
      <c r="KPD516" s="13"/>
      <c r="KPE516" s="193"/>
      <c r="KPF516" s="379"/>
      <c r="KPG516" s="379"/>
      <c r="KPH516" s="379"/>
      <c r="KPI516" s="379"/>
      <c r="KPJ516" s="379"/>
      <c r="KPK516" s="13"/>
      <c r="KPL516" s="13"/>
      <c r="KPM516" s="193"/>
      <c r="KPN516" s="379"/>
      <c r="KPO516" s="379"/>
      <c r="KPP516" s="379"/>
      <c r="KPQ516" s="379"/>
      <c r="KPR516" s="379"/>
      <c r="KPS516" s="13"/>
      <c r="KPT516" s="13"/>
      <c r="KPU516" s="193"/>
      <c r="KPV516" s="379"/>
      <c r="KPW516" s="379"/>
      <c r="KPX516" s="379"/>
      <c r="KPY516" s="379"/>
      <c r="KPZ516" s="379"/>
      <c r="KQA516" s="13"/>
      <c r="KQB516" s="13"/>
      <c r="KQC516" s="193"/>
      <c r="KQD516" s="379"/>
      <c r="KQE516" s="379"/>
      <c r="KQF516" s="379"/>
      <c r="KQG516" s="379"/>
      <c r="KQH516" s="379"/>
      <c r="KQI516" s="13"/>
      <c r="KQJ516" s="13"/>
      <c r="KQK516" s="193"/>
      <c r="KQL516" s="379"/>
      <c r="KQM516" s="379"/>
      <c r="KQN516" s="379"/>
      <c r="KQO516" s="379"/>
      <c r="KQP516" s="379"/>
      <c r="KQQ516" s="13"/>
      <c r="KQR516" s="13"/>
      <c r="KQS516" s="193"/>
      <c r="KQT516" s="379"/>
      <c r="KQU516" s="379"/>
      <c r="KQV516" s="379"/>
      <c r="KQW516" s="379"/>
      <c r="KQX516" s="379"/>
      <c r="KQY516" s="13"/>
      <c r="KQZ516" s="13"/>
      <c r="KRA516" s="193"/>
      <c r="KRB516" s="379"/>
      <c r="KRC516" s="379"/>
      <c r="KRD516" s="379"/>
      <c r="KRE516" s="379"/>
      <c r="KRF516" s="379"/>
      <c r="KRG516" s="13"/>
      <c r="KRH516" s="13"/>
      <c r="KRI516" s="193"/>
      <c r="KRJ516" s="379"/>
      <c r="KRK516" s="379"/>
      <c r="KRL516" s="379"/>
      <c r="KRM516" s="379"/>
      <c r="KRN516" s="379"/>
      <c r="KRO516" s="13"/>
      <c r="KRP516" s="13"/>
      <c r="KRQ516" s="193"/>
      <c r="KRR516" s="379"/>
      <c r="KRS516" s="379"/>
      <c r="KRT516" s="379"/>
      <c r="KRU516" s="379"/>
      <c r="KRV516" s="379"/>
      <c r="KRW516" s="13"/>
      <c r="KRX516" s="13"/>
      <c r="KRY516" s="193"/>
      <c r="KRZ516" s="379"/>
      <c r="KSA516" s="379"/>
      <c r="KSB516" s="379"/>
      <c r="KSC516" s="379"/>
      <c r="KSD516" s="379"/>
      <c r="KSE516" s="13"/>
      <c r="KSF516" s="13"/>
      <c r="KSG516" s="193"/>
      <c r="KSH516" s="379"/>
      <c r="KSI516" s="379"/>
      <c r="KSJ516" s="379"/>
      <c r="KSK516" s="379"/>
      <c r="KSL516" s="379"/>
      <c r="KSM516" s="13"/>
      <c r="KSN516" s="13"/>
      <c r="KSO516" s="193"/>
      <c r="KSP516" s="379"/>
      <c r="KSQ516" s="379"/>
      <c r="KSR516" s="379"/>
      <c r="KSS516" s="379"/>
      <c r="KST516" s="379"/>
      <c r="KSU516" s="13"/>
      <c r="KSV516" s="13"/>
      <c r="KSW516" s="193"/>
      <c r="KSX516" s="379"/>
      <c r="KSY516" s="379"/>
      <c r="KSZ516" s="379"/>
      <c r="KTA516" s="379"/>
      <c r="KTB516" s="379"/>
      <c r="KTC516" s="13"/>
      <c r="KTD516" s="13"/>
      <c r="KTE516" s="193"/>
      <c r="KTF516" s="379"/>
      <c r="KTG516" s="379"/>
      <c r="KTH516" s="379"/>
      <c r="KTI516" s="379"/>
      <c r="KTJ516" s="379"/>
      <c r="KTK516" s="13"/>
      <c r="KTL516" s="13"/>
      <c r="KTM516" s="193"/>
      <c r="KTN516" s="379"/>
      <c r="KTO516" s="379"/>
      <c r="KTP516" s="379"/>
      <c r="KTQ516" s="379"/>
      <c r="KTR516" s="379"/>
      <c r="KTS516" s="13"/>
      <c r="KTT516" s="13"/>
      <c r="KTU516" s="193"/>
      <c r="KTV516" s="379"/>
      <c r="KTW516" s="379"/>
      <c r="KTX516" s="379"/>
      <c r="KTY516" s="379"/>
      <c r="KTZ516" s="379"/>
      <c r="KUA516" s="13"/>
      <c r="KUB516" s="13"/>
      <c r="KUC516" s="193"/>
      <c r="KUD516" s="379"/>
      <c r="KUE516" s="379"/>
      <c r="KUF516" s="379"/>
      <c r="KUG516" s="379"/>
      <c r="KUH516" s="379"/>
      <c r="KUI516" s="13"/>
      <c r="KUJ516" s="13"/>
      <c r="KUK516" s="193"/>
      <c r="KUL516" s="379"/>
      <c r="KUM516" s="379"/>
      <c r="KUN516" s="379"/>
      <c r="KUO516" s="379"/>
      <c r="KUP516" s="379"/>
      <c r="KUQ516" s="13"/>
      <c r="KUR516" s="13"/>
      <c r="KUS516" s="193"/>
      <c r="KUT516" s="379"/>
      <c r="KUU516" s="379"/>
      <c r="KUV516" s="379"/>
      <c r="KUW516" s="379"/>
      <c r="KUX516" s="379"/>
      <c r="KUY516" s="13"/>
      <c r="KUZ516" s="13"/>
      <c r="KVA516" s="193"/>
      <c r="KVB516" s="379"/>
      <c r="KVC516" s="379"/>
      <c r="KVD516" s="379"/>
      <c r="KVE516" s="379"/>
      <c r="KVF516" s="379"/>
      <c r="KVG516" s="13"/>
      <c r="KVH516" s="13"/>
      <c r="KVI516" s="193"/>
      <c r="KVJ516" s="379"/>
      <c r="KVK516" s="379"/>
      <c r="KVL516" s="379"/>
      <c r="KVM516" s="379"/>
      <c r="KVN516" s="379"/>
      <c r="KVO516" s="13"/>
      <c r="KVP516" s="13"/>
      <c r="KVQ516" s="193"/>
      <c r="KVR516" s="379"/>
      <c r="KVS516" s="379"/>
      <c r="KVT516" s="379"/>
      <c r="KVU516" s="379"/>
      <c r="KVV516" s="379"/>
      <c r="KVW516" s="13"/>
      <c r="KVX516" s="13"/>
      <c r="KVY516" s="193"/>
      <c r="KVZ516" s="379"/>
      <c r="KWA516" s="379"/>
      <c r="KWB516" s="379"/>
      <c r="KWC516" s="379"/>
      <c r="KWD516" s="379"/>
      <c r="KWE516" s="13"/>
      <c r="KWF516" s="13"/>
      <c r="KWG516" s="193"/>
      <c r="KWH516" s="379"/>
      <c r="KWI516" s="379"/>
      <c r="KWJ516" s="379"/>
      <c r="KWK516" s="379"/>
      <c r="KWL516" s="379"/>
      <c r="KWM516" s="13"/>
      <c r="KWN516" s="13"/>
      <c r="KWO516" s="193"/>
      <c r="KWP516" s="379"/>
      <c r="KWQ516" s="379"/>
      <c r="KWR516" s="379"/>
      <c r="KWS516" s="379"/>
      <c r="KWT516" s="379"/>
      <c r="KWU516" s="13"/>
      <c r="KWV516" s="13"/>
      <c r="KWW516" s="193"/>
      <c r="KWX516" s="379"/>
      <c r="KWY516" s="379"/>
      <c r="KWZ516" s="379"/>
      <c r="KXA516" s="379"/>
      <c r="KXB516" s="379"/>
      <c r="KXC516" s="13"/>
      <c r="KXD516" s="13"/>
      <c r="KXE516" s="193"/>
      <c r="KXF516" s="379"/>
      <c r="KXG516" s="379"/>
      <c r="KXH516" s="379"/>
      <c r="KXI516" s="379"/>
      <c r="KXJ516" s="379"/>
      <c r="KXK516" s="13"/>
      <c r="KXL516" s="13"/>
      <c r="KXM516" s="193"/>
      <c r="KXN516" s="379"/>
      <c r="KXO516" s="379"/>
      <c r="KXP516" s="379"/>
      <c r="KXQ516" s="379"/>
      <c r="KXR516" s="379"/>
      <c r="KXS516" s="13"/>
      <c r="KXT516" s="13"/>
      <c r="KXU516" s="193"/>
      <c r="KXV516" s="379"/>
      <c r="KXW516" s="379"/>
      <c r="KXX516" s="379"/>
      <c r="KXY516" s="379"/>
      <c r="KXZ516" s="379"/>
      <c r="KYA516" s="13"/>
      <c r="KYB516" s="13"/>
      <c r="KYC516" s="193"/>
      <c r="KYD516" s="379"/>
      <c r="KYE516" s="379"/>
      <c r="KYF516" s="379"/>
      <c r="KYG516" s="379"/>
      <c r="KYH516" s="379"/>
      <c r="KYI516" s="13"/>
      <c r="KYJ516" s="13"/>
      <c r="KYK516" s="193"/>
      <c r="KYL516" s="379"/>
      <c r="KYM516" s="379"/>
      <c r="KYN516" s="379"/>
      <c r="KYO516" s="379"/>
      <c r="KYP516" s="379"/>
      <c r="KYQ516" s="13"/>
      <c r="KYR516" s="13"/>
      <c r="KYS516" s="193"/>
      <c r="KYT516" s="379"/>
      <c r="KYU516" s="379"/>
      <c r="KYV516" s="379"/>
      <c r="KYW516" s="379"/>
      <c r="KYX516" s="379"/>
      <c r="KYY516" s="13"/>
      <c r="KYZ516" s="13"/>
      <c r="KZA516" s="193"/>
      <c r="KZB516" s="379"/>
      <c r="KZC516" s="379"/>
      <c r="KZD516" s="379"/>
      <c r="KZE516" s="379"/>
      <c r="KZF516" s="379"/>
      <c r="KZG516" s="13"/>
      <c r="KZH516" s="13"/>
      <c r="KZI516" s="193"/>
      <c r="KZJ516" s="379"/>
      <c r="KZK516" s="379"/>
      <c r="KZL516" s="379"/>
      <c r="KZM516" s="379"/>
      <c r="KZN516" s="379"/>
      <c r="KZO516" s="13"/>
      <c r="KZP516" s="13"/>
      <c r="KZQ516" s="193"/>
      <c r="KZR516" s="379"/>
      <c r="KZS516" s="379"/>
      <c r="KZT516" s="379"/>
      <c r="KZU516" s="379"/>
      <c r="KZV516" s="379"/>
      <c r="KZW516" s="13"/>
      <c r="KZX516" s="13"/>
      <c r="KZY516" s="193"/>
      <c r="KZZ516" s="379"/>
      <c r="LAA516" s="379"/>
      <c r="LAB516" s="379"/>
      <c r="LAC516" s="379"/>
      <c r="LAD516" s="379"/>
      <c r="LAE516" s="13"/>
      <c r="LAF516" s="13"/>
      <c r="LAG516" s="193"/>
      <c r="LAH516" s="379"/>
      <c r="LAI516" s="379"/>
      <c r="LAJ516" s="379"/>
      <c r="LAK516" s="379"/>
      <c r="LAL516" s="379"/>
      <c r="LAM516" s="13"/>
      <c r="LAN516" s="13"/>
      <c r="LAO516" s="193"/>
      <c r="LAP516" s="379"/>
      <c r="LAQ516" s="379"/>
      <c r="LAR516" s="379"/>
      <c r="LAS516" s="379"/>
      <c r="LAT516" s="379"/>
      <c r="LAU516" s="13"/>
      <c r="LAV516" s="13"/>
      <c r="LAW516" s="193"/>
      <c r="LAX516" s="379"/>
      <c r="LAY516" s="379"/>
      <c r="LAZ516" s="379"/>
      <c r="LBA516" s="379"/>
      <c r="LBB516" s="379"/>
      <c r="LBC516" s="13"/>
      <c r="LBD516" s="13"/>
      <c r="LBE516" s="193"/>
      <c r="LBF516" s="379"/>
      <c r="LBG516" s="379"/>
      <c r="LBH516" s="379"/>
      <c r="LBI516" s="379"/>
      <c r="LBJ516" s="379"/>
      <c r="LBK516" s="13"/>
      <c r="LBL516" s="13"/>
      <c r="LBM516" s="193"/>
      <c r="LBN516" s="379"/>
      <c r="LBO516" s="379"/>
      <c r="LBP516" s="379"/>
      <c r="LBQ516" s="379"/>
      <c r="LBR516" s="379"/>
      <c r="LBS516" s="13"/>
      <c r="LBT516" s="13"/>
      <c r="LBU516" s="193"/>
      <c r="LBV516" s="379"/>
      <c r="LBW516" s="379"/>
      <c r="LBX516" s="379"/>
      <c r="LBY516" s="379"/>
      <c r="LBZ516" s="379"/>
      <c r="LCA516" s="13"/>
      <c r="LCB516" s="13"/>
      <c r="LCC516" s="193"/>
      <c r="LCD516" s="379"/>
      <c r="LCE516" s="379"/>
      <c r="LCF516" s="379"/>
      <c r="LCG516" s="379"/>
      <c r="LCH516" s="379"/>
      <c r="LCI516" s="13"/>
      <c r="LCJ516" s="13"/>
      <c r="LCK516" s="193"/>
      <c r="LCL516" s="379"/>
      <c r="LCM516" s="379"/>
      <c r="LCN516" s="379"/>
      <c r="LCO516" s="379"/>
      <c r="LCP516" s="379"/>
      <c r="LCQ516" s="13"/>
      <c r="LCR516" s="13"/>
      <c r="LCS516" s="193"/>
      <c r="LCT516" s="379"/>
      <c r="LCU516" s="379"/>
      <c r="LCV516" s="379"/>
      <c r="LCW516" s="379"/>
      <c r="LCX516" s="379"/>
      <c r="LCY516" s="13"/>
      <c r="LCZ516" s="13"/>
      <c r="LDA516" s="193"/>
      <c r="LDB516" s="379"/>
      <c r="LDC516" s="379"/>
      <c r="LDD516" s="379"/>
      <c r="LDE516" s="379"/>
      <c r="LDF516" s="379"/>
      <c r="LDG516" s="13"/>
      <c r="LDH516" s="13"/>
      <c r="LDI516" s="193"/>
      <c r="LDJ516" s="379"/>
      <c r="LDK516" s="379"/>
      <c r="LDL516" s="379"/>
      <c r="LDM516" s="379"/>
      <c r="LDN516" s="379"/>
      <c r="LDO516" s="13"/>
      <c r="LDP516" s="13"/>
      <c r="LDQ516" s="193"/>
      <c r="LDR516" s="379"/>
      <c r="LDS516" s="379"/>
      <c r="LDT516" s="379"/>
      <c r="LDU516" s="379"/>
      <c r="LDV516" s="379"/>
      <c r="LDW516" s="13"/>
      <c r="LDX516" s="13"/>
      <c r="LDY516" s="193"/>
      <c r="LDZ516" s="379"/>
      <c r="LEA516" s="379"/>
      <c r="LEB516" s="379"/>
      <c r="LEC516" s="379"/>
      <c r="LED516" s="379"/>
      <c r="LEE516" s="13"/>
      <c r="LEF516" s="13"/>
      <c r="LEG516" s="193"/>
      <c r="LEH516" s="379"/>
      <c r="LEI516" s="379"/>
      <c r="LEJ516" s="379"/>
      <c r="LEK516" s="379"/>
      <c r="LEL516" s="379"/>
      <c r="LEM516" s="13"/>
      <c r="LEN516" s="13"/>
      <c r="LEO516" s="193"/>
      <c r="LEP516" s="379"/>
      <c r="LEQ516" s="379"/>
      <c r="LER516" s="379"/>
      <c r="LES516" s="379"/>
      <c r="LET516" s="379"/>
      <c r="LEU516" s="13"/>
      <c r="LEV516" s="13"/>
      <c r="LEW516" s="193"/>
      <c r="LEX516" s="379"/>
      <c r="LEY516" s="379"/>
      <c r="LEZ516" s="379"/>
      <c r="LFA516" s="379"/>
      <c r="LFB516" s="379"/>
      <c r="LFC516" s="13"/>
      <c r="LFD516" s="13"/>
      <c r="LFE516" s="193"/>
      <c r="LFF516" s="379"/>
      <c r="LFG516" s="379"/>
      <c r="LFH516" s="379"/>
      <c r="LFI516" s="379"/>
      <c r="LFJ516" s="379"/>
      <c r="LFK516" s="13"/>
      <c r="LFL516" s="13"/>
      <c r="LFM516" s="193"/>
      <c r="LFN516" s="379"/>
      <c r="LFO516" s="379"/>
      <c r="LFP516" s="379"/>
      <c r="LFQ516" s="379"/>
      <c r="LFR516" s="379"/>
      <c r="LFS516" s="13"/>
      <c r="LFT516" s="13"/>
      <c r="LFU516" s="193"/>
      <c r="LFV516" s="379"/>
      <c r="LFW516" s="379"/>
      <c r="LFX516" s="379"/>
      <c r="LFY516" s="379"/>
      <c r="LFZ516" s="379"/>
      <c r="LGA516" s="13"/>
      <c r="LGB516" s="13"/>
      <c r="LGC516" s="193"/>
      <c r="LGD516" s="379"/>
      <c r="LGE516" s="379"/>
      <c r="LGF516" s="379"/>
      <c r="LGG516" s="379"/>
      <c r="LGH516" s="379"/>
      <c r="LGI516" s="13"/>
      <c r="LGJ516" s="13"/>
      <c r="LGK516" s="193"/>
      <c r="LGL516" s="379"/>
      <c r="LGM516" s="379"/>
      <c r="LGN516" s="379"/>
      <c r="LGO516" s="379"/>
      <c r="LGP516" s="379"/>
      <c r="LGQ516" s="13"/>
      <c r="LGR516" s="13"/>
      <c r="LGS516" s="193"/>
      <c r="LGT516" s="379"/>
      <c r="LGU516" s="379"/>
      <c r="LGV516" s="379"/>
      <c r="LGW516" s="379"/>
      <c r="LGX516" s="379"/>
      <c r="LGY516" s="13"/>
      <c r="LGZ516" s="13"/>
      <c r="LHA516" s="193"/>
      <c r="LHB516" s="379"/>
      <c r="LHC516" s="379"/>
      <c r="LHD516" s="379"/>
      <c r="LHE516" s="379"/>
      <c r="LHF516" s="379"/>
      <c r="LHG516" s="13"/>
      <c r="LHH516" s="13"/>
      <c r="LHI516" s="193"/>
      <c r="LHJ516" s="379"/>
      <c r="LHK516" s="379"/>
      <c r="LHL516" s="379"/>
      <c r="LHM516" s="379"/>
      <c r="LHN516" s="379"/>
      <c r="LHO516" s="13"/>
      <c r="LHP516" s="13"/>
      <c r="LHQ516" s="193"/>
      <c r="LHR516" s="379"/>
      <c r="LHS516" s="379"/>
      <c r="LHT516" s="379"/>
      <c r="LHU516" s="379"/>
      <c r="LHV516" s="379"/>
      <c r="LHW516" s="13"/>
      <c r="LHX516" s="13"/>
      <c r="LHY516" s="193"/>
      <c r="LHZ516" s="379"/>
      <c r="LIA516" s="379"/>
      <c r="LIB516" s="379"/>
      <c r="LIC516" s="379"/>
      <c r="LID516" s="379"/>
      <c r="LIE516" s="13"/>
      <c r="LIF516" s="13"/>
      <c r="LIG516" s="193"/>
      <c r="LIH516" s="379"/>
      <c r="LII516" s="379"/>
      <c r="LIJ516" s="379"/>
      <c r="LIK516" s="379"/>
      <c r="LIL516" s="379"/>
      <c r="LIM516" s="13"/>
      <c r="LIN516" s="13"/>
      <c r="LIO516" s="193"/>
      <c r="LIP516" s="379"/>
      <c r="LIQ516" s="379"/>
      <c r="LIR516" s="379"/>
      <c r="LIS516" s="379"/>
      <c r="LIT516" s="379"/>
      <c r="LIU516" s="13"/>
      <c r="LIV516" s="13"/>
      <c r="LIW516" s="193"/>
      <c r="LIX516" s="379"/>
      <c r="LIY516" s="379"/>
      <c r="LIZ516" s="379"/>
      <c r="LJA516" s="379"/>
      <c r="LJB516" s="379"/>
      <c r="LJC516" s="13"/>
      <c r="LJD516" s="13"/>
      <c r="LJE516" s="193"/>
      <c r="LJF516" s="379"/>
      <c r="LJG516" s="379"/>
      <c r="LJH516" s="379"/>
      <c r="LJI516" s="379"/>
      <c r="LJJ516" s="379"/>
      <c r="LJK516" s="13"/>
      <c r="LJL516" s="13"/>
      <c r="LJM516" s="193"/>
      <c r="LJN516" s="379"/>
      <c r="LJO516" s="379"/>
      <c r="LJP516" s="379"/>
      <c r="LJQ516" s="379"/>
      <c r="LJR516" s="379"/>
      <c r="LJS516" s="13"/>
      <c r="LJT516" s="13"/>
      <c r="LJU516" s="193"/>
      <c r="LJV516" s="379"/>
      <c r="LJW516" s="379"/>
      <c r="LJX516" s="379"/>
      <c r="LJY516" s="379"/>
      <c r="LJZ516" s="379"/>
      <c r="LKA516" s="13"/>
      <c r="LKB516" s="13"/>
      <c r="LKC516" s="193"/>
      <c r="LKD516" s="379"/>
      <c r="LKE516" s="379"/>
      <c r="LKF516" s="379"/>
      <c r="LKG516" s="379"/>
      <c r="LKH516" s="379"/>
      <c r="LKI516" s="13"/>
      <c r="LKJ516" s="13"/>
      <c r="LKK516" s="193"/>
      <c r="LKL516" s="379"/>
      <c r="LKM516" s="379"/>
      <c r="LKN516" s="379"/>
      <c r="LKO516" s="379"/>
      <c r="LKP516" s="379"/>
      <c r="LKQ516" s="13"/>
      <c r="LKR516" s="13"/>
      <c r="LKS516" s="193"/>
      <c r="LKT516" s="379"/>
      <c r="LKU516" s="379"/>
      <c r="LKV516" s="379"/>
      <c r="LKW516" s="379"/>
      <c r="LKX516" s="379"/>
      <c r="LKY516" s="13"/>
      <c r="LKZ516" s="13"/>
      <c r="LLA516" s="193"/>
      <c r="LLB516" s="379"/>
      <c r="LLC516" s="379"/>
      <c r="LLD516" s="379"/>
      <c r="LLE516" s="379"/>
      <c r="LLF516" s="379"/>
      <c r="LLG516" s="13"/>
      <c r="LLH516" s="13"/>
      <c r="LLI516" s="193"/>
      <c r="LLJ516" s="379"/>
      <c r="LLK516" s="379"/>
      <c r="LLL516" s="379"/>
      <c r="LLM516" s="379"/>
      <c r="LLN516" s="379"/>
      <c r="LLO516" s="13"/>
      <c r="LLP516" s="13"/>
      <c r="LLQ516" s="193"/>
      <c r="LLR516" s="379"/>
      <c r="LLS516" s="379"/>
      <c r="LLT516" s="379"/>
      <c r="LLU516" s="379"/>
      <c r="LLV516" s="379"/>
      <c r="LLW516" s="13"/>
      <c r="LLX516" s="13"/>
      <c r="LLY516" s="193"/>
      <c r="LLZ516" s="379"/>
      <c r="LMA516" s="379"/>
      <c r="LMB516" s="379"/>
      <c r="LMC516" s="379"/>
      <c r="LMD516" s="379"/>
      <c r="LME516" s="13"/>
      <c r="LMF516" s="13"/>
      <c r="LMG516" s="193"/>
      <c r="LMH516" s="379"/>
      <c r="LMI516" s="379"/>
      <c r="LMJ516" s="379"/>
      <c r="LMK516" s="379"/>
      <c r="LML516" s="379"/>
      <c r="LMM516" s="13"/>
      <c r="LMN516" s="13"/>
      <c r="LMO516" s="193"/>
      <c r="LMP516" s="379"/>
      <c r="LMQ516" s="379"/>
      <c r="LMR516" s="379"/>
      <c r="LMS516" s="379"/>
      <c r="LMT516" s="379"/>
      <c r="LMU516" s="13"/>
      <c r="LMV516" s="13"/>
      <c r="LMW516" s="193"/>
      <c r="LMX516" s="379"/>
      <c r="LMY516" s="379"/>
      <c r="LMZ516" s="379"/>
      <c r="LNA516" s="379"/>
      <c r="LNB516" s="379"/>
      <c r="LNC516" s="13"/>
      <c r="LND516" s="13"/>
      <c r="LNE516" s="193"/>
      <c r="LNF516" s="379"/>
      <c r="LNG516" s="379"/>
      <c r="LNH516" s="379"/>
      <c r="LNI516" s="379"/>
      <c r="LNJ516" s="379"/>
      <c r="LNK516" s="13"/>
      <c r="LNL516" s="13"/>
      <c r="LNM516" s="193"/>
      <c r="LNN516" s="379"/>
      <c r="LNO516" s="379"/>
      <c r="LNP516" s="379"/>
      <c r="LNQ516" s="379"/>
      <c r="LNR516" s="379"/>
      <c r="LNS516" s="13"/>
      <c r="LNT516" s="13"/>
      <c r="LNU516" s="193"/>
      <c r="LNV516" s="379"/>
      <c r="LNW516" s="379"/>
      <c r="LNX516" s="379"/>
      <c r="LNY516" s="379"/>
      <c r="LNZ516" s="379"/>
      <c r="LOA516" s="13"/>
      <c r="LOB516" s="13"/>
      <c r="LOC516" s="193"/>
      <c r="LOD516" s="379"/>
      <c r="LOE516" s="379"/>
      <c r="LOF516" s="379"/>
      <c r="LOG516" s="379"/>
      <c r="LOH516" s="379"/>
      <c r="LOI516" s="13"/>
      <c r="LOJ516" s="13"/>
      <c r="LOK516" s="193"/>
      <c r="LOL516" s="379"/>
      <c r="LOM516" s="379"/>
      <c r="LON516" s="379"/>
      <c r="LOO516" s="379"/>
      <c r="LOP516" s="379"/>
      <c r="LOQ516" s="13"/>
      <c r="LOR516" s="13"/>
      <c r="LOS516" s="193"/>
      <c r="LOT516" s="379"/>
      <c r="LOU516" s="379"/>
      <c r="LOV516" s="379"/>
      <c r="LOW516" s="379"/>
      <c r="LOX516" s="379"/>
      <c r="LOY516" s="13"/>
      <c r="LOZ516" s="13"/>
      <c r="LPA516" s="193"/>
      <c r="LPB516" s="379"/>
      <c r="LPC516" s="379"/>
      <c r="LPD516" s="379"/>
      <c r="LPE516" s="379"/>
      <c r="LPF516" s="379"/>
      <c r="LPG516" s="13"/>
      <c r="LPH516" s="13"/>
      <c r="LPI516" s="193"/>
      <c r="LPJ516" s="379"/>
      <c r="LPK516" s="379"/>
      <c r="LPL516" s="379"/>
      <c r="LPM516" s="379"/>
      <c r="LPN516" s="379"/>
      <c r="LPO516" s="13"/>
      <c r="LPP516" s="13"/>
      <c r="LPQ516" s="193"/>
      <c r="LPR516" s="379"/>
      <c r="LPS516" s="379"/>
      <c r="LPT516" s="379"/>
      <c r="LPU516" s="379"/>
      <c r="LPV516" s="379"/>
      <c r="LPW516" s="13"/>
      <c r="LPX516" s="13"/>
      <c r="LPY516" s="193"/>
      <c r="LPZ516" s="379"/>
      <c r="LQA516" s="379"/>
      <c r="LQB516" s="379"/>
      <c r="LQC516" s="379"/>
      <c r="LQD516" s="379"/>
      <c r="LQE516" s="13"/>
      <c r="LQF516" s="13"/>
      <c r="LQG516" s="193"/>
      <c r="LQH516" s="379"/>
      <c r="LQI516" s="379"/>
      <c r="LQJ516" s="379"/>
      <c r="LQK516" s="379"/>
      <c r="LQL516" s="379"/>
      <c r="LQM516" s="13"/>
      <c r="LQN516" s="13"/>
      <c r="LQO516" s="193"/>
      <c r="LQP516" s="379"/>
      <c r="LQQ516" s="379"/>
      <c r="LQR516" s="379"/>
      <c r="LQS516" s="379"/>
      <c r="LQT516" s="379"/>
      <c r="LQU516" s="13"/>
      <c r="LQV516" s="13"/>
      <c r="LQW516" s="193"/>
      <c r="LQX516" s="379"/>
      <c r="LQY516" s="379"/>
      <c r="LQZ516" s="379"/>
      <c r="LRA516" s="379"/>
      <c r="LRB516" s="379"/>
      <c r="LRC516" s="13"/>
      <c r="LRD516" s="13"/>
      <c r="LRE516" s="193"/>
      <c r="LRF516" s="379"/>
      <c r="LRG516" s="379"/>
      <c r="LRH516" s="379"/>
      <c r="LRI516" s="379"/>
      <c r="LRJ516" s="379"/>
      <c r="LRK516" s="13"/>
      <c r="LRL516" s="13"/>
      <c r="LRM516" s="193"/>
      <c r="LRN516" s="379"/>
      <c r="LRO516" s="379"/>
      <c r="LRP516" s="379"/>
      <c r="LRQ516" s="379"/>
      <c r="LRR516" s="379"/>
      <c r="LRS516" s="13"/>
      <c r="LRT516" s="13"/>
      <c r="LRU516" s="193"/>
      <c r="LRV516" s="379"/>
      <c r="LRW516" s="379"/>
      <c r="LRX516" s="379"/>
      <c r="LRY516" s="379"/>
      <c r="LRZ516" s="379"/>
      <c r="LSA516" s="13"/>
      <c r="LSB516" s="13"/>
      <c r="LSC516" s="193"/>
      <c r="LSD516" s="379"/>
      <c r="LSE516" s="379"/>
      <c r="LSF516" s="379"/>
      <c r="LSG516" s="379"/>
      <c r="LSH516" s="379"/>
      <c r="LSI516" s="13"/>
      <c r="LSJ516" s="13"/>
      <c r="LSK516" s="193"/>
      <c r="LSL516" s="379"/>
      <c r="LSM516" s="379"/>
      <c r="LSN516" s="379"/>
      <c r="LSO516" s="379"/>
      <c r="LSP516" s="379"/>
      <c r="LSQ516" s="13"/>
      <c r="LSR516" s="13"/>
      <c r="LSS516" s="193"/>
      <c r="LST516" s="379"/>
      <c r="LSU516" s="379"/>
      <c r="LSV516" s="379"/>
      <c r="LSW516" s="379"/>
      <c r="LSX516" s="379"/>
      <c r="LSY516" s="13"/>
      <c r="LSZ516" s="13"/>
      <c r="LTA516" s="193"/>
      <c r="LTB516" s="379"/>
      <c r="LTC516" s="379"/>
      <c r="LTD516" s="379"/>
      <c r="LTE516" s="379"/>
      <c r="LTF516" s="379"/>
      <c r="LTG516" s="13"/>
      <c r="LTH516" s="13"/>
      <c r="LTI516" s="193"/>
      <c r="LTJ516" s="379"/>
      <c r="LTK516" s="379"/>
      <c r="LTL516" s="379"/>
      <c r="LTM516" s="379"/>
      <c r="LTN516" s="379"/>
      <c r="LTO516" s="13"/>
      <c r="LTP516" s="13"/>
      <c r="LTQ516" s="193"/>
      <c r="LTR516" s="379"/>
      <c r="LTS516" s="379"/>
      <c r="LTT516" s="379"/>
      <c r="LTU516" s="379"/>
      <c r="LTV516" s="379"/>
      <c r="LTW516" s="13"/>
      <c r="LTX516" s="13"/>
      <c r="LTY516" s="193"/>
      <c r="LTZ516" s="379"/>
      <c r="LUA516" s="379"/>
      <c r="LUB516" s="379"/>
      <c r="LUC516" s="379"/>
      <c r="LUD516" s="379"/>
      <c r="LUE516" s="13"/>
      <c r="LUF516" s="13"/>
      <c r="LUG516" s="193"/>
      <c r="LUH516" s="379"/>
      <c r="LUI516" s="379"/>
      <c r="LUJ516" s="379"/>
      <c r="LUK516" s="379"/>
      <c r="LUL516" s="379"/>
      <c r="LUM516" s="13"/>
      <c r="LUN516" s="13"/>
      <c r="LUO516" s="193"/>
      <c r="LUP516" s="379"/>
      <c r="LUQ516" s="379"/>
      <c r="LUR516" s="379"/>
      <c r="LUS516" s="379"/>
      <c r="LUT516" s="379"/>
      <c r="LUU516" s="13"/>
      <c r="LUV516" s="13"/>
      <c r="LUW516" s="193"/>
      <c r="LUX516" s="379"/>
      <c r="LUY516" s="379"/>
      <c r="LUZ516" s="379"/>
      <c r="LVA516" s="379"/>
      <c r="LVB516" s="379"/>
      <c r="LVC516" s="13"/>
      <c r="LVD516" s="13"/>
      <c r="LVE516" s="193"/>
      <c r="LVF516" s="379"/>
      <c r="LVG516" s="379"/>
      <c r="LVH516" s="379"/>
      <c r="LVI516" s="379"/>
      <c r="LVJ516" s="379"/>
      <c r="LVK516" s="13"/>
      <c r="LVL516" s="13"/>
      <c r="LVM516" s="193"/>
      <c r="LVN516" s="379"/>
      <c r="LVO516" s="379"/>
      <c r="LVP516" s="379"/>
      <c r="LVQ516" s="379"/>
      <c r="LVR516" s="379"/>
      <c r="LVS516" s="13"/>
      <c r="LVT516" s="13"/>
      <c r="LVU516" s="193"/>
      <c r="LVV516" s="379"/>
      <c r="LVW516" s="379"/>
      <c r="LVX516" s="379"/>
      <c r="LVY516" s="379"/>
      <c r="LVZ516" s="379"/>
      <c r="LWA516" s="13"/>
      <c r="LWB516" s="13"/>
      <c r="LWC516" s="193"/>
      <c r="LWD516" s="379"/>
      <c r="LWE516" s="379"/>
      <c r="LWF516" s="379"/>
      <c r="LWG516" s="379"/>
      <c r="LWH516" s="379"/>
      <c r="LWI516" s="13"/>
      <c r="LWJ516" s="13"/>
      <c r="LWK516" s="193"/>
      <c r="LWL516" s="379"/>
      <c r="LWM516" s="379"/>
      <c r="LWN516" s="379"/>
      <c r="LWO516" s="379"/>
      <c r="LWP516" s="379"/>
      <c r="LWQ516" s="13"/>
      <c r="LWR516" s="13"/>
      <c r="LWS516" s="193"/>
      <c r="LWT516" s="379"/>
      <c r="LWU516" s="379"/>
      <c r="LWV516" s="379"/>
      <c r="LWW516" s="379"/>
      <c r="LWX516" s="379"/>
      <c r="LWY516" s="13"/>
      <c r="LWZ516" s="13"/>
      <c r="LXA516" s="193"/>
      <c r="LXB516" s="379"/>
      <c r="LXC516" s="379"/>
      <c r="LXD516" s="379"/>
      <c r="LXE516" s="379"/>
      <c r="LXF516" s="379"/>
      <c r="LXG516" s="13"/>
      <c r="LXH516" s="13"/>
      <c r="LXI516" s="193"/>
      <c r="LXJ516" s="379"/>
      <c r="LXK516" s="379"/>
      <c r="LXL516" s="379"/>
      <c r="LXM516" s="379"/>
      <c r="LXN516" s="379"/>
      <c r="LXO516" s="13"/>
      <c r="LXP516" s="13"/>
      <c r="LXQ516" s="193"/>
      <c r="LXR516" s="379"/>
      <c r="LXS516" s="379"/>
      <c r="LXT516" s="379"/>
      <c r="LXU516" s="379"/>
      <c r="LXV516" s="379"/>
      <c r="LXW516" s="13"/>
      <c r="LXX516" s="13"/>
      <c r="LXY516" s="193"/>
      <c r="LXZ516" s="379"/>
      <c r="LYA516" s="379"/>
      <c r="LYB516" s="379"/>
      <c r="LYC516" s="379"/>
      <c r="LYD516" s="379"/>
      <c r="LYE516" s="13"/>
      <c r="LYF516" s="13"/>
      <c r="LYG516" s="193"/>
      <c r="LYH516" s="379"/>
      <c r="LYI516" s="379"/>
      <c r="LYJ516" s="379"/>
      <c r="LYK516" s="379"/>
      <c r="LYL516" s="379"/>
      <c r="LYM516" s="13"/>
      <c r="LYN516" s="13"/>
      <c r="LYO516" s="193"/>
      <c r="LYP516" s="379"/>
      <c r="LYQ516" s="379"/>
      <c r="LYR516" s="379"/>
      <c r="LYS516" s="379"/>
      <c r="LYT516" s="379"/>
      <c r="LYU516" s="13"/>
      <c r="LYV516" s="13"/>
      <c r="LYW516" s="193"/>
      <c r="LYX516" s="379"/>
      <c r="LYY516" s="379"/>
      <c r="LYZ516" s="379"/>
      <c r="LZA516" s="379"/>
      <c r="LZB516" s="379"/>
      <c r="LZC516" s="13"/>
      <c r="LZD516" s="13"/>
      <c r="LZE516" s="193"/>
      <c r="LZF516" s="379"/>
      <c r="LZG516" s="379"/>
      <c r="LZH516" s="379"/>
      <c r="LZI516" s="379"/>
      <c r="LZJ516" s="379"/>
      <c r="LZK516" s="13"/>
      <c r="LZL516" s="13"/>
      <c r="LZM516" s="193"/>
      <c r="LZN516" s="379"/>
      <c r="LZO516" s="379"/>
      <c r="LZP516" s="379"/>
      <c r="LZQ516" s="379"/>
      <c r="LZR516" s="379"/>
      <c r="LZS516" s="13"/>
      <c r="LZT516" s="13"/>
      <c r="LZU516" s="193"/>
      <c r="LZV516" s="379"/>
      <c r="LZW516" s="379"/>
      <c r="LZX516" s="379"/>
      <c r="LZY516" s="379"/>
      <c r="LZZ516" s="379"/>
      <c r="MAA516" s="13"/>
      <c r="MAB516" s="13"/>
      <c r="MAC516" s="193"/>
      <c r="MAD516" s="379"/>
      <c r="MAE516" s="379"/>
      <c r="MAF516" s="379"/>
      <c r="MAG516" s="379"/>
      <c r="MAH516" s="379"/>
      <c r="MAI516" s="13"/>
      <c r="MAJ516" s="13"/>
      <c r="MAK516" s="193"/>
      <c r="MAL516" s="379"/>
      <c r="MAM516" s="379"/>
      <c r="MAN516" s="379"/>
      <c r="MAO516" s="379"/>
      <c r="MAP516" s="379"/>
      <c r="MAQ516" s="13"/>
      <c r="MAR516" s="13"/>
      <c r="MAS516" s="193"/>
      <c r="MAT516" s="379"/>
      <c r="MAU516" s="379"/>
      <c r="MAV516" s="379"/>
      <c r="MAW516" s="379"/>
      <c r="MAX516" s="379"/>
      <c r="MAY516" s="13"/>
      <c r="MAZ516" s="13"/>
      <c r="MBA516" s="193"/>
      <c r="MBB516" s="379"/>
      <c r="MBC516" s="379"/>
      <c r="MBD516" s="379"/>
      <c r="MBE516" s="379"/>
      <c r="MBF516" s="379"/>
      <c r="MBG516" s="13"/>
      <c r="MBH516" s="13"/>
      <c r="MBI516" s="193"/>
      <c r="MBJ516" s="379"/>
      <c r="MBK516" s="379"/>
      <c r="MBL516" s="379"/>
      <c r="MBM516" s="379"/>
      <c r="MBN516" s="379"/>
      <c r="MBO516" s="13"/>
      <c r="MBP516" s="13"/>
      <c r="MBQ516" s="193"/>
      <c r="MBR516" s="379"/>
      <c r="MBS516" s="379"/>
      <c r="MBT516" s="379"/>
      <c r="MBU516" s="379"/>
      <c r="MBV516" s="379"/>
      <c r="MBW516" s="13"/>
      <c r="MBX516" s="13"/>
      <c r="MBY516" s="193"/>
      <c r="MBZ516" s="379"/>
      <c r="MCA516" s="379"/>
      <c r="MCB516" s="379"/>
      <c r="MCC516" s="379"/>
      <c r="MCD516" s="379"/>
      <c r="MCE516" s="13"/>
      <c r="MCF516" s="13"/>
      <c r="MCG516" s="193"/>
      <c r="MCH516" s="379"/>
      <c r="MCI516" s="379"/>
      <c r="MCJ516" s="379"/>
      <c r="MCK516" s="379"/>
      <c r="MCL516" s="379"/>
      <c r="MCM516" s="13"/>
      <c r="MCN516" s="13"/>
      <c r="MCO516" s="193"/>
      <c r="MCP516" s="379"/>
      <c r="MCQ516" s="379"/>
      <c r="MCR516" s="379"/>
      <c r="MCS516" s="379"/>
      <c r="MCT516" s="379"/>
      <c r="MCU516" s="13"/>
      <c r="MCV516" s="13"/>
      <c r="MCW516" s="193"/>
      <c r="MCX516" s="379"/>
      <c r="MCY516" s="379"/>
      <c r="MCZ516" s="379"/>
      <c r="MDA516" s="379"/>
      <c r="MDB516" s="379"/>
      <c r="MDC516" s="13"/>
      <c r="MDD516" s="13"/>
      <c r="MDE516" s="193"/>
      <c r="MDF516" s="379"/>
      <c r="MDG516" s="379"/>
      <c r="MDH516" s="379"/>
      <c r="MDI516" s="379"/>
      <c r="MDJ516" s="379"/>
      <c r="MDK516" s="13"/>
      <c r="MDL516" s="13"/>
      <c r="MDM516" s="193"/>
      <c r="MDN516" s="379"/>
      <c r="MDO516" s="379"/>
      <c r="MDP516" s="379"/>
      <c r="MDQ516" s="379"/>
      <c r="MDR516" s="379"/>
      <c r="MDS516" s="13"/>
      <c r="MDT516" s="13"/>
      <c r="MDU516" s="193"/>
      <c r="MDV516" s="379"/>
      <c r="MDW516" s="379"/>
      <c r="MDX516" s="379"/>
      <c r="MDY516" s="379"/>
      <c r="MDZ516" s="379"/>
      <c r="MEA516" s="13"/>
      <c r="MEB516" s="13"/>
      <c r="MEC516" s="193"/>
      <c r="MED516" s="379"/>
      <c r="MEE516" s="379"/>
      <c r="MEF516" s="379"/>
      <c r="MEG516" s="379"/>
      <c r="MEH516" s="379"/>
      <c r="MEI516" s="13"/>
      <c r="MEJ516" s="13"/>
      <c r="MEK516" s="193"/>
      <c r="MEL516" s="379"/>
      <c r="MEM516" s="379"/>
      <c r="MEN516" s="379"/>
      <c r="MEO516" s="379"/>
      <c r="MEP516" s="379"/>
      <c r="MEQ516" s="13"/>
      <c r="MER516" s="13"/>
      <c r="MES516" s="193"/>
      <c r="MET516" s="379"/>
      <c r="MEU516" s="379"/>
      <c r="MEV516" s="379"/>
      <c r="MEW516" s="379"/>
      <c r="MEX516" s="379"/>
      <c r="MEY516" s="13"/>
      <c r="MEZ516" s="13"/>
      <c r="MFA516" s="193"/>
      <c r="MFB516" s="379"/>
      <c r="MFC516" s="379"/>
      <c r="MFD516" s="379"/>
      <c r="MFE516" s="379"/>
      <c r="MFF516" s="379"/>
      <c r="MFG516" s="13"/>
      <c r="MFH516" s="13"/>
      <c r="MFI516" s="193"/>
      <c r="MFJ516" s="379"/>
      <c r="MFK516" s="379"/>
      <c r="MFL516" s="379"/>
      <c r="MFM516" s="379"/>
      <c r="MFN516" s="379"/>
      <c r="MFO516" s="13"/>
      <c r="MFP516" s="13"/>
      <c r="MFQ516" s="193"/>
      <c r="MFR516" s="379"/>
      <c r="MFS516" s="379"/>
      <c r="MFT516" s="379"/>
      <c r="MFU516" s="379"/>
      <c r="MFV516" s="379"/>
      <c r="MFW516" s="13"/>
      <c r="MFX516" s="13"/>
      <c r="MFY516" s="193"/>
      <c r="MFZ516" s="379"/>
      <c r="MGA516" s="379"/>
      <c r="MGB516" s="379"/>
      <c r="MGC516" s="379"/>
      <c r="MGD516" s="379"/>
      <c r="MGE516" s="13"/>
      <c r="MGF516" s="13"/>
      <c r="MGG516" s="193"/>
      <c r="MGH516" s="379"/>
      <c r="MGI516" s="379"/>
      <c r="MGJ516" s="379"/>
      <c r="MGK516" s="379"/>
      <c r="MGL516" s="379"/>
      <c r="MGM516" s="13"/>
      <c r="MGN516" s="13"/>
      <c r="MGO516" s="193"/>
      <c r="MGP516" s="379"/>
      <c r="MGQ516" s="379"/>
      <c r="MGR516" s="379"/>
      <c r="MGS516" s="379"/>
      <c r="MGT516" s="379"/>
      <c r="MGU516" s="13"/>
      <c r="MGV516" s="13"/>
      <c r="MGW516" s="193"/>
      <c r="MGX516" s="379"/>
      <c r="MGY516" s="379"/>
      <c r="MGZ516" s="379"/>
      <c r="MHA516" s="379"/>
      <c r="MHB516" s="379"/>
      <c r="MHC516" s="13"/>
      <c r="MHD516" s="13"/>
      <c r="MHE516" s="193"/>
      <c r="MHF516" s="379"/>
      <c r="MHG516" s="379"/>
      <c r="MHH516" s="379"/>
      <c r="MHI516" s="379"/>
      <c r="MHJ516" s="379"/>
      <c r="MHK516" s="13"/>
      <c r="MHL516" s="13"/>
      <c r="MHM516" s="193"/>
      <c r="MHN516" s="379"/>
      <c r="MHO516" s="379"/>
      <c r="MHP516" s="379"/>
      <c r="MHQ516" s="379"/>
      <c r="MHR516" s="379"/>
      <c r="MHS516" s="13"/>
      <c r="MHT516" s="13"/>
      <c r="MHU516" s="193"/>
      <c r="MHV516" s="379"/>
      <c r="MHW516" s="379"/>
      <c r="MHX516" s="379"/>
      <c r="MHY516" s="379"/>
      <c r="MHZ516" s="379"/>
      <c r="MIA516" s="13"/>
      <c r="MIB516" s="13"/>
      <c r="MIC516" s="193"/>
      <c r="MID516" s="379"/>
      <c r="MIE516" s="379"/>
      <c r="MIF516" s="379"/>
      <c r="MIG516" s="379"/>
      <c r="MIH516" s="379"/>
      <c r="MII516" s="13"/>
      <c r="MIJ516" s="13"/>
      <c r="MIK516" s="193"/>
      <c r="MIL516" s="379"/>
      <c r="MIM516" s="379"/>
      <c r="MIN516" s="379"/>
      <c r="MIO516" s="379"/>
      <c r="MIP516" s="379"/>
      <c r="MIQ516" s="13"/>
      <c r="MIR516" s="13"/>
      <c r="MIS516" s="193"/>
      <c r="MIT516" s="379"/>
      <c r="MIU516" s="379"/>
      <c r="MIV516" s="379"/>
      <c r="MIW516" s="379"/>
      <c r="MIX516" s="379"/>
      <c r="MIY516" s="13"/>
      <c r="MIZ516" s="13"/>
      <c r="MJA516" s="193"/>
      <c r="MJB516" s="379"/>
      <c r="MJC516" s="379"/>
      <c r="MJD516" s="379"/>
      <c r="MJE516" s="379"/>
      <c r="MJF516" s="379"/>
      <c r="MJG516" s="13"/>
      <c r="MJH516" s="13"/>
      <c r="MJI516" s="193"/>
      <c r="MJJ516" s="379"/>
      <c r="MJK516" s="379"/>
      <c r="MJL516" s="379"/>
      <c r="MJM516" s="379"/>
      <c r="MJN516" s="379"/>
      <c r="MJO516" s="13"/>
      <c r="MJP516" s="13"/>
      <c r="MJQ516" s="193"/>
      <c r="MJR516" s="379"/>
      <c r="MJS516" s="379"/>
      <c r="MJT516" s="379"/>
      <c r="MJU516" s="379"/>
      <c r="MJV516" s="379"/>
      <c r="MJW516" s="13"/>
      <c r="MJX516" s="13"/>
      <c r="MJY516" s="193"/>
      <c r="MJZ516" s="379"/>
      <c r="MKA516" s="379"/>
      <c r="MKB516" s="379"/>
      <c r="MKC516" s="379"/>
      <c r="MKD516" s="379"/>
      <c r="MKE516" s="13"/>
      <c r="MKF516" s="13"/>
      <c r="MKG516" s="193"/>
      <c r="MKH516" s="379"/>
      <c r="MKI516" s="379"/>
      <c r="MKJ516" s="379"/>
      <c r="MKK516" s="379"/>
      <c r="MKL516" s="379"/>
      <c r="MKM516" s="13"/>
      <c r="MKN516" s="13"/>
      <c r="MKO516" s="193"/>
      <c r="MKP516" s="379"/>
      <c r="MKQ516" s="379"/>
      <c r="MKR516" s="379"/>
      <c r="MKS516" s="379"/>
      <c r="MKT516" s="379"/>
      <c r="MKU516" s="13"/>
      <c r="MKV516" s="13"/>
      <c r="MKW516" s="193"/>
      <c r="MKX516" s="379"/>
      <c r="MKY516" s="379"/>
      <c r="MKZ516" s="379"/>
      <c r="MLA516" s="379"/>
      <c r="MLB516" s="379"/>
      <c r="MLC516" s="13"/>
      <c r="MLD516" s="13"/>
      <c r="MLE516" s="193"/>
      <c r="MLF516" s="379"/>
      <c r="MLG516" s="379"/>
      <c r="MLH516" s="379"/>
      <c r="MLI516" s="379"/>
      <c r="MLJ516" s="379"/>
      <c r="MLK516" s="13"/>
      <c r="MLL516" s="13"/>
      <c r="MLM516" s="193"/>
      <c r="MLN516" s="379"/>
      <c r="MLO516" s="379"/>
      <c r="MLP516" s="379"/>
      <c r="MLQ516" s="379"/>
      <c r="MLR516" s="379"/>
      <c r="MLS516" s="13"/>
      <c r="MLT516" s="13"/>
      <c r="MLU516" s="193"/>
      <c r="MLV516" s="379"/>
      <c r="MLW516" s="379"/>
      <c r="MLX516" s="379"/>
      <c r="MLY516" s="379"/>
      <c r="MLZ516" s="379"/>
      <c r="MMA516" s="13"/>
      <c r="MMB516" s="13"/>
      <c r="MMC516" s="193"/>
      <c r="MMD516" s="379"/>
      <c r="MME516" s="379"/>
      <c r="MMF516" s="379"/>
      <c r="MMG516" s="379"/>
      <c r="MMH516" s="379"/>
      <c r="MMI516" s="13"/>
      <c r="MMJ516" s="13"/>
      <c r="MMK516" s="193"/>
      <c r="MML516" s="379"/>
      <c r="MMM516" s="379"/>
      <c r="MMN516" s="379"/>
      <c r="MMO516" s="379"/>
      <c r="MMP516" s="379"/>
      <c r="MMQ516" s="13"/>
      <c r="MMR516" s="13"/>
      <c r="MMS516" s="193"/>
      <c r="MMT516" s="379"/>
      <c r="MMU516" s="379"/>
      <c r="MMV516" s="379"/>
      <c r="MMW516" s="379"/>
      <c r="MMX516" s="379"/>
      <c r="MMY516" s="13"/>
      <c r="MMZ516" s="13"/>
      <c r="MNA516" s="193"/>
      <c r="MNB516" s="379"/>
      <c r="MNC516" s="379"/>
      <c r="MND516" s="379"/>
      <c r="MNE516" s="379"/>
      <c r="MNF516" s="379"/>
      <c r="MNG516" s="13"/>
      <c r="MNH516" s="13"/>
      <c r="MNI516" s="193"/>
      <c r="MNJ516" s="379"/>
      <c r="MNK516" s="379"/>
      <c r="MNL516" s="379"/>
      <c r="MNM516" s="379"/>
      <c r="MNN516" s="379"/>
      <c r="MNO516" s="13"/>
      <c r="MNP516" s="13"/>
      <c r="MNQ516" s="193"/>
      <c r="MNR516" s="379"/>
      <c r="MNS516" s="379"/>
      <c r="MNT516" s="379"/>
      <c r="MNU516" s="379"/>
      <c r="MNV516" s="379"/>
      <c r="MNW516" s="13"/>
      <c r="MNX516" s="13"/>
      <c r="MNY516" s="193"/>
      <c r="MNZ516" s="379"/>
      <c r="MOA516" s="379"/>
      <c r="MOB516" s="379"/>
      <c r="MOC516" s="379"/>
      <c r="MOD516" s="379"/>
      <c r="MOE516" s="13"/>
      <c r="MOF516" s="13"/>
      <c r="MOG516" s="193"/>
      <c r="MOH516" s="379"/>
      <c r="MOI516" s="379"/>
      <c r="MOJ516" s="379"/>
      <c r="MOK516" s="379"/>
      <c r="MOL516" s="379"/>
      <c r="MOM516" s="13"/>
      <c r="MON516" s="13"/>
      <c r="MOO516" s="193"/>
      <c r="MOP516" s="379"/>
      <c r="MOQ516" s="379"/>
      <c r="MOR516" s="379"/>
      <c r="MOS516" s="379"/>
      <c r="MOT516" s="379"/>
      <c r="MOU516" s="13"/>
      <c r="MOV516" s="13"/>
      <c r="MOW516" s="193"/>
      <c r="MOX516" s="379"/>
      <c r="MOY516" s="379"/>
      <c r="MOZ516" s="379"/>
      <c r="MPA516" s="379"/>
      <c r="MPB516" s="379"/>
      <c r="MPC516" s="13"/>
      <c r="MPD516" s="13"/>
      <c r="MPE516" s="193"/>
      <c r="MPF516" s="379"/>
      <c r="MPG516" s="379"/>
      <c r="MPH516" s="379"/>
      <c r="MPI516" s="379"/>
      <c r="MPJ516" s="379"/>
      <c r="MPK516" s="13"/>
      <c r="MPL516" s="13"/>
      <c r="MPM516" s="193"/>
      <c r="MPN516" s="379"/>
      <c r="MPO516" s="379"/>
      <c r="MPP516" s="379"/>
      <c r="MPQ516" s="379"/>
      <c r="MPR516" s="379"/>
      <c r="MPS516" s="13"/>
      <c r="MPT516" s="13"/>
      <c r="MPU516" s="193"/>
      <c r="MPV516" s="379"/>
      <c r="MPW516" s="379"/>
      <c r="MPX516" s="379"/>
      <c r="MPY516" s="379"/>
      <c r="MPZ516" s="379"/>
      <c r="MQA516" s="13"/>
      <c r="MQB516" s="13"/>
      <c r="MQC516" s="193"/>
      <c r="MQD516" s="379"/>
      <c r="MQE516" s="379"/>
      <c r="MQF516" s="379"/>
      <c r="MQG516" s="379"/>
      <c r="MQH516" s="379"/>
      <c r="MQI516" s="13"/>
      <c r="MQJ516" s="13"/>
      <c r="MQK516" s="193"/>
      <c r="MQL516" s="379"/>
      <c r="MQM516" s="379"/>
      <c r="MQN516" s="379"/>
      <c r="MQO516" s="379"/>
      <c r="MQP516" s="379"/>
      <c r="MQQ516" s="13"/>
      <c r="MQR516" s="13"/>
      <c r="MQS516" s="193"/>
      <c r="MQT516" s="379"/>
      <c r="MQU516" s="379"/>
      <c r="MQV516" s="379"/>
      <c r="MQW516" s="379"/>
      <c r="MQX516" s="379"/>
      <c r="MQY516" s="13"/>
      <c r="MQZ516" s="13"/>
      <c r="MRA516" s="193"/>
      <c r="MRB516" s="379"/>
      <c r="MRC516" s="379"/>
      <c r="MRD516" s="379"/>
      <c r="MRE516" s="379"/>
      <c r="MRF516" s="379"/>
      <c r="MRG516" s="13"/>
      <c r="MRH516" s="13"/>
      <c r="MRI516" s="193"/>
      <c r="MRJ516" s="379"/>
      <c r="MRK516" s="379"/>
      <c r="MRL516" s="379"/>
      <c r="MRM516" s="379"/>
      <c r="MRN516" s="379"/>
      <c r="MRO516" s="13"/>
      <c r="MRP516" s="13"/>
      <c r="MRQ516" s="193"/>
      <c r="MRR516" s="379"/>
      <c r="MRS516" s="379"/>
      <c r="MRT516" s="379"/>
      <c r="MRU516" s="379"/>
      <c r="MRV516" s="379"/>
      <c r="MRW516" s="13"/>
      <c r="MRX516" s="13"/>
      <c r="MRY516" s="193"/>
      <c r="MRZ516" s="379"/>
      <c r="MSA516" s="379"/>
      <c r="MSB516" s="379"/>
      <c r="MSC516" s="379"/>
      <c r="MSD516" s="379"/>
      <c r="MSE516" s="13"/>
      <c r="MSF516" s="13"/>
      <c r="MSG516" s="193"/>
      <c r="MSH516" s="379"/>
      <c r="MSI516" s="379"/>
      <c r="MSJ516" s="379"/>
      <c r="MSK516" s="379"/>
      <c r="MSL516" s="379"/>
      <c r="MSM516" s="13"/>
      <c r="MSN516" s="13"/>
      <c r="MSO516" s="193"/>
      <c r="MSP516" s="379"/>
      <c r="MSQ516" s="379"/>
      <c r="MSR516" s="379"/>
      <c r="MSS516" s="379"/>
      <c r="MST516" s="379"/>
      <c r="MSU516" s="13"/>
      <c r="MSV516" s="13"/>
      <c r="MSW516" s="193"/>
      <c r="MSX516" s="379"/>
      <c r="MSY516" s="379"/>
      <c r="MSZ516" s="379"/>
      <c r="MTA516" s="379"/>
      <c r="MTB516" s="379"/>
      <c r="MTC516" s="13"/>
      <c r="MTD516" s="13"/>
      <c r="MTE516" s="193"/>
      <c r="MTF516" s="379"/>
      <c r="MTG516" s="379"/>
      <c r="MTH516" s="379"/>
      <c r="MTI516" s="379"/>
      <c r="MTJ516" s="379"/>
      <c r="MTK516" s="13"/>
      <c r="MTL516" s="13"/>
      <c r="MTM516" s="193"/>
      <c r="MTN516" s="379"/>
      <c r="MTO516" s="379"/>
      <c r="MTP516" s="379"/>
      <c r="MTQ516" s="379"/>
      <c r="MTR516" s="379"/>
      <c r="MTS516" s="13"/>
      <c r="MTT516" s="13"/>
      <c r="MTU516" s="193"/>
      <c r="MTV516" s="379"/>
      <c r="MTW516" s="379"/>
      <c r="MTX516" s="379"/>
      <c r="MTY516" s="379"/>
      <c r="MTZ516" s="379"/>
      <c r="MUA516" s="13"/>
      <c r="MUB516" s="13"/>
      <c r="MUC516" s="193"/>
      <c r="MUD516" s="379"/>
      <c r="MUE516" s="379"/>
      <c r="MUF516" s="379"/>
      <c r="MUG516" s="379"/>
      <c r="MUH516" s="379"/>
      <c r="MUI516" s="13"/>
      <c r="MUJ516" s="13"/>
      <c r="MUK516" s="193"/>
      <c r="MUL516" s="379"/>
      <c r="MUM516" s="379"/>
      <c r="MUN516" s="379"/>
      <c r="MUO516" s="379"/>
      <c r="MUP516" s="379"/>
      <c r="MUQ516" s="13"/>
      <c r="MUR516" s="13"/>
      <c r="MUS516" s="193"/>
      <c r="MUT516" s="379"/>
      <c r="MUU516" s="379"/>
      <c r="MUV516" s="379"/>
      <c r="MUW516" s="379"/>
      <c r="MUX516" s="379"/>
      <c r="MUY516" s="13"/>
      <c r="MUZ516" s="13"/>
      <c r="MVA516" s="193"/>
      <c r="MVB516" s="379"/>
      <c r="MVC516" s="379"/>
      <c r="MVD516" s="379"/>
      <c r="MVE516" s="379"/>
      <c r="MVF516" s="379"/>
      <c r="MVG516" s="13"/>
      <c r="MVH516" s="13"/>
      <c r="MVI516" s="193"/>
      <c r="MVJ516" s="379"/>
      <c r="MVK516" s="379"/>
      <c r="MVL516" s="379"/>
      <c r="MVM516" s="379"/>
      <c r="MVN516" s="379"/>
      <c r="MVO516" s="13"/>
      <c r="MVP516" s="13"/>
      <c r="MVQ516" s="193"/>
      <c r="MVR516" s="379"/>
      <c r="MVS516" s="379"/>
      <c r="MVT516" s="379"/>
      <c r="MVU516" s="379"/>
      <c r="MVV516" s="379"/>
      <c r="MVW516" s="13"/>
      <c r="MVX516" s="13"/>
      <c r="MVY516" s="193"/>
      <c r="MVZ516" s="379"/>
      <c r="MWA516" s="379"/>
      <c r="MWB516" s="379"/>
      <c r="MWC516" s="379"/>
      <c r="MWD516" s="379"/>
      <c r="MWE516" s="13"/>
      <c r="MWF516" s="13"/>
      <c r="MWG516" s="193"/>
      <c r="MWH516" s="379"/>
      <c r="MWI516" s="379"/>
      <c r="MWJ516" s="379"/>
      <c r="MWK516" s="379"/>
      <c r="MWL516" s="379"/>
      <c r="MWM516" s="13"/>
      <c r="MWN516" s="13"/>
      <c r="MWO516" s="193"/>
      <c r="MWP516" s="379"/>
      <c r="MWQ516" s="379"/>
      <c r="MWR516" s="379"/>
      <c r="MWS516" s="379"/>
      <c r="MWT516" s="379"/>
      <c r="MWU516" s="13"/>
      <c r="MWV516" s="13"/>
      <c r="MWW516" s="193"/>
      <c r="MWX516" s="379"/>
      <c r="MWY516" s="379"/>
      <c r="MWZ516" s="379"/>
      <c r="MXA516" s="379"/>
      <c r="MXB516" s="379"/>
      <c r="MXC516" s="13"/>
      <c r="MXD516" s="13"/>
      <c r="MXE516" s="193"/>
      <c r="MXF516" s="379"/>
      <c r="MXG516" s="379"/>
      <c r="MXH516" s="379"/>
      <c r="MXI516" s="379"/>
      <c r="MXJ516" s="379"/>
      <c r="MXK516" s="13"/>
      <c r="MXL516" s="13"/>
      <c r="MXM516" s="193"/>
      <c r="MXN516" s="379"/>
      <c r="MXO516" s="379"/>
      <c r="MXP516" s="379"/>
      <c r="MXQ516" s="379"/>
      <c r="MXR516" s="379"/>
      <c r="MXS516" s="13"/>
      <c r="MXT516" s="13"/>
      <c r="MXU516" s="193"/>
      <c r="MXV516" s="379"/>
      <c r="MXW516" s="379"/>
      <c r="MXX516" s="379"/>
      <c r="MXY516" s="379"/>
      <c r="MXZ516" s="379"/>
      <c r="MYA516" s="13"/>
      <c r="MYB516" s="13"/>
      <c r="MYC516" s="193"/>
      <c r="MYD516" s="379"/>
      <c r="MYE516" s="379"/>
      <c r="MYF516" s="379"/>
      <c r="MYG516" s="379"/>
      <c r="MYH516" s="379"/>
      <c r="MYI516" s="13"/>
      <c r="MYJ516" s="13"/>
      <c r="MYK516" s="193"/>
      <c r="MYL516" s="379"/>
      <c r="MYM516" s="379"/>
      <c r="MYN516" s="379"/>
      <c r="MYO516" s="379"/>
      <c r="MYP516" s="379"/>
      <c r="MYQ516" s="13"/>
      <c r="MYR516" s="13"/>
      <c r="MYS516" s="193"/>
      <c r="MYT516" s="379"/>
      <c r="MYU516" s="379"/>
      <c r="MYV516" s="379"/>
      <c r="MYW516" s="379"/>
      <c r="MYX516" s="379"/>
      <c r="MYY516" s="13"/>
      <c r="MYZ516" s="13"/>
      <c r="MZA516" s="193"/>
      <c r="MZB516" s="379"/>
      <c r="MZC516" s="379"/>
      <c r="MZD516" s="379"/>
      <c r="MZE516" s="379"/>
      <c r="MZF516" s="379"/>
      <c r="MZG516" s="13"/>
      <c r="MZH516" s="13"/>
      <c r="MZI516" s="193"/>
      <c r="MZJ516" s="379"/>
      <c r="MZK516" s="379"/>
      <c r="MZL516" s="379"/>
      <c r="MZM516" s="379"/>
      <c r="MZN516" s="379"/>
      <c r="MZO516" s="13"/>
      <c r="MZP516" s="13"/>
      <c r="MZQ516" s="193"/>
      <c r="MZR516" s="379"/>
      <c r="MZS516" s="379"/>
      <c r="MZT516" s="379"/>
      <c r="MZU516" s="379"/>
      <c r="MZV516" s="379"/>
      <c r="MZW516" s="13"/>
      <c r="MZX516" s="13"/>
      <c r="MZY516" s="193"/>
      <c r="MZZ516" s="379"/>
      <c r="NAA516" s="379"/>
      <c r="NAB516" s="379"/>
      <c r="NAC516" s="379"/>
      <c r="NAD516" s="379"/>
      <c r="NAE516" s="13"/>
      <c r="NAF516" s="13"/>
      <c r="NAG516" s="193"/>
      <c r="NAH516" s="379"/>
      <c r="NAI516" s="379"/>
      <c r="NAJ516" s="379"/>
      <c r="NAK516" s="379"/>
      <c r="NAL516" s="379"/>
      <c r="NAM516" s="13"/>
      <c r="NAN516" s="13"/>
      <c r="NAO516" s="193"/>
      <c r="NAP516" s="379"/>
      <c r="NAQ516" s="379"/>
      <c r="NAR516" s="379"/>
      <c r="NAS516" s="379"/>
      <c r="NAT516" s="379"/>
      <c r="NAU516" s="13"/>
      <c r="NAV516" s="13"/>
      <c r="NAW516" s="193"/>
      <c r="NAX516" s="379"/>
      <c r="NAY516" s="379"/>
      <c r="NAZ516" s="379"/>
      <c r="NBA516" s="379"/>
      <c r="NBB516" s="379"/>
      <c r="NBC516" s="13"/>
      <c r="NBD516" s="13"/>
      <c r="NBE516" s="193"/>
      <c r="NBF516" s="379"/>
      <c r="NBG516" s="379"/>
      <c r="NBH516" s="379"/>
      <c r="NBI516" s="379"/>
      <c r="NBJ516" s="379"/>
      <c r="NBK516" s="13"/>
      <c r="NBL516" s="13"/>
      <c r="NBM516" s="193"/>
      <c r="NBN516" s="379"/>
      <c r="NBO516" s="379"/>
      <c r="NBP516" s="379"/>
      <c r="NBQ516" s="379"/>
      <c r="NBR516" s="379"/>
      <c r="NBS516" s="13"/>
      <c r="NBT516" s="13"/>
      <c r="NBU516" s="193"/>
      <c r="NBV516" s="379"/>
      <c r="NBW516" s="379"/>
      <c r="NBX516" s="379"/>
      <c r="NBY516" s="379"/>
      <c r="NBZ516" s="379"/>
      <c r="NCA516" s="13"/>
      <c r="NCB516" s="13"/>
      <c r="NCC516" s="193"/>
      <c r="NCD516" s="379"/>
      <c r="NCE516" s="379"/>
      <c r="NCF516" s="379"/>
      <c r="NCG516" s="379"/>
      <c r="NCH516" s="379"/>
      <c r="NCI516" s="13"/>
      <c r="NCJ516" s="13"/>
      <c r="NCK516" s="193"/>
      <c r="NCL516" s="379"/>
      <c r="NCM516" s="379"/>
      <c r="NCN516" s="379"/>
      <c r="NCO516" s="379"/>
      <c r="NCP516" s="379"/>
      <c r="NCQ516" s="13"/>
      <c r="NCR516" s="13"/>
      <c r="NCS516" s="193"/>
      <c r="NCT516" s="379"/>
      <c r="NCU516" s="379"/>
      <c r="NCV516" s="379"/>
      <c r="NCW516" s="379"/>
      <c r="NCX516" s="379"/>
      <c r="NCY516" s="13"/>
      <c r="NCZ516" s="13"/>
      <c r="NDA516" s="193"/>
      <c r="NDB516" s="379"/>
      <c r="NDC516" s="379"/>
      <c r="NDD516" s="379"/>
      <c r="NDE516" s="379"/>
      <c r="NDF516" s="379"/>
      <c r="NDG516" s="13"/>
      <c r="NDH516" s="13"/>
      <c r="NDI516" s="193"/>
      <c r="NDJ516" s="379"/>
      <c r="NDK516" s="379"/>
      <c r="NDL516" s="379"/>
      <c r="NDM516" s="379"/>
      <c r="NDN516" s="379"/>
      <c r="NDO516" s="13"/>
      <c r="NDP516" s="13"/>
      <c r="NDQ516" s="193"/>
      <c r="NDR516" s="379"/>
      <c r="NDS516" s="379"/>
      <c r="NDT516" s="379"/>
      <c r="NDU516" s="379"/>
      <c r="NDV516" s="379"/>
      <c r="NDW516" s="13"/>
      <c r="NDX516" s="13"/>
      <c r="NDY516" s="193"/>
      <c r="NDZ516" s="379"/>
      <c r="NEA516" s="379"/>
      <c r="NEB516" s="379"/>
      <c r="NEC516" s="379"/>
      <c r="NED516" s="379"/>
      <c r="NEE516" s="13"/>
      <c r="NEF516" s="13"/>
      <c r="NEG516" s="193"/>
      <c r="NEH516" s="379"/>
      <c r="NEI516" s="379"/>
      <c r="NEJ516" s="379"/>
      <c r="NEK516" s="379"/>
      <c r="NEL516" s="379"/>
      <c r="NEM516" s="13"/>
      <c r="NEN516" s="13"/>
      <c r="NEO516" s="193"/>
      <c r="NEP516" s="379"/>
      <c r="NEQ516" s="379"/>
      <c r="NER516" s="379"/>
      <c r="NES516" s="379"/>
      <c r="NET516" s="379"/>
      <c r="NEU516" s="13"/>
      <c r="NEV516" s="13"/>
      <c r="NEW516" s="193"/>
      <c r="NEX516" s="379"/>
      <c r="NEY516" s="379"/>
      <c r="NEZ516" s="379"/>
      <c r="NFA516" s="379"/>
      <c r="NFB516" s="379"/>
      <c r="NFC516" s="13"/>
      <c r="NFD516" s="13"/>
      <c r="NFE516" s="193"/>
      <c r="NFF516" s="379"/>
      <c r="NFG516" s="379"/>
      <c r="NFH516" s="379"/>
      <c r="NFI516" s="379"/>
      <c r="NFJ516" s="379"/>
      <c r="NFK516" s="13"/>
      <c r="NFL516" s="13"/>
      <c r="NFM516" s="193"/>
      <c r="NFN516" s="379"/>
      <c r="NFO516" s="379"/>
      <c r="NFP516" s="379"/>
      <c r="NFQ516" s="379"/>
      <c r="NFR516" s="379"/>
      <c r="NFS516" s="13"/>
      <c r="NFT516" s="13"/>
      <c r="NFU516" s="193"/>
      <c r="NFV516" s="379"/>
      <c r="NFW516" s="379"/>
      <c r="NFX516" s="379"/>
      <c r="NFY516" s="379"/>
      <c r="NFZ516" s="379"/>
      <c r="NGA516" s="13"/>
      <c r="NGB516" s="13"/>
      <c r="NGC516" s="193"/>
      <c r="NGD516" s="379"/>
      <c r="NGE516" s="379"/>
      <c r="NGF516" s="379"/>
      <c r="NGG516" s="379"/>
      <c r="NGH516" s="379"/>
      <c r="NGI516" s="13"/>
      <c r="NGJ516" s="13"/>
      <c r="NGK516" s="193"/>
      <c r="NGL516" s="379"/>
      <c r="NGM516" s="379"/>
      <c r="NGN516" s="379"/>
      <c r="NGO516" s="379"/>
      <c r="NGP516" s="379"/>
      <c r="NGQ516" s="13"/>
      <c r="NGR516" s="13"/>
      <c r="NGS516" s="193"/>
      <c r="NGT516" s="379"/>
      <c r="NGU516" s="379"/>
      <c r="NGV516" s="379"/>
      <c r="NGW516" s="379"/>
      <c r="NGX516" s="379"/>
      <c r="NGY516" s="13"/>
      <c r="NGZ516" s="13"/>
      <c r="NHA516" s="193"/>
      <c r="NHB516" s="379"/>
      <c r="NHC516" s="379"/>
      <c r="NHD516" s="379"/>
      <c r="NHE516" s="379"/>
      <c r="NHF516" s="379"/>
      <c r="NHG516" s="13"/>
      <c r="NHH516" s="13"/>
      <c r="NHI516" s="193"/>
      <c r="NHJ516" s="379"/>
      <c r="NHK516" s="379"/>
      <c r="NHL516" s="379"/>
      <c r="NHM516" s="379"/>
      <c r="NHN516" s="379"/>
      <c r="NHO516" s="13"/>
      <c r="NHP516" s="13"/>
      <c r="NHQ516" s="193"/>
      <c r="NHR516" s="379"/>
      <c r="NHS516" s="379"/>
      <c r="NHT516" s="379"/>
      <c r="NHU516" s="379"/>
      <c r="NHV516" s="379"/>
      <c r="NHW516" s="13"/>
      <c r="NHX516" s="13"/>
      <c r="NHY516" s="193"/>
      <c r="NHZ516" s="379"/>
      <c r="NIA516" s="379"/>
      <c r="NIB516" s="379"/>
      <c r="NIC516" s="379"/>
      <c r="NID516" s="379"/>
      <c r="NIE516" s="13"/>
      <c r="NIF516" s="13"/>
      <c r="NIG516" s="193"/>
      <c r="NIH516" s="379"/>
      <c r="NII516" s="379"/>
      <c r="NIJ516" s="379"/>
      <c r="NIK516" s="379"/>
      <c r="NIL516" s="379"/>
      <c r="NIM516" s="13"/>
      <c r="NIN516" s="13"/>
      <c r="NIO516" s="193"/>
      <c r="NIP516" s="379"/>
      <c r="NIQ516" s="379"/>
      <c r="NIR516" s="379"/>
      <c r="NIS516" s="379"/>
      <c r="NIT516" s="379"/>
      <c r="NIU516" s="13"/>
      <c r="NIV516" s="13"/>
      <c r="NIW516" s="193"/>
      <c r="NIX516" s="379"/>
      <c r="NIY516" s="379"/>
      <c r="NIZ516" s="379"/>
      <c r="NJA516" s="379"/>
      <c r="NJB516" s="379"/>
      <c r="NJC516" s="13"/>
      <c r="NJD516" s="13"/>
      <c r="NJE516" s="193"/>
      <c r="NJF516" s="379"/>
      <c r="NJG516" s="379"/>
      <c r="NJH516" s="379"/>
      <c r="NJI516" s="379"/>
      <c r="NJJ516" s="379"/>
      <c r="NJK516" s="13"/>
      <c r="NJL516" s="13"/>
      <c r="NJM516" s="193"/>
      <c r="NJN516" s="379"/>
      <c r="NJO516" s="379"/>
      <c r="NJP516" s="379"/>
      <c r="NJQ516" s="379"/>
      <c r="NJR516" s="379"/>
      <c r="NJS516" s="13"/>
      <c r="NJT516" s="13"/>
      <c r="NJU516" s="193"/>
      <c r="NJV516" s="379"/>
      <c r="NJW516" s="379"/>
      <c r="NJX516" s="379"/>
      <c r="NJY516" s="379"/>
      <c r="NJZ516" s="379"/>
      <c r="NKA516" s="13"/>
      <c r="NKB516" s="13"/>
      <c r="NKC516" s="193"/>
      <c r="NKD516" s="379"/>
      <c r="NKE516" s="379"/>
      <c r="NKF516" s="379"/>
      <c r="NKG516" s="379"/>
      <c r="NKH516" s="379"/>
      <c r="NKI516" s="13"/>
      <c r="NKJ516" s="13"/>
      <c r="NKK516" s="193"/>
      <c r="NKL516" s="379"/>
      <c r="NKM516" s="379"/>
      <c r="NKN516" s="379"/>
      <c r="NKO516" s="379"/>
      <c r="NKP516" s="379"/>
      <c r="NKQ516" s="13"/>
      <c r="NKR516" s="13"/>
      <c r="NKS516" s="193"/>
      <c r="NKT516" s="379"/>
      <c r="NKU516" s="379"/>
      <c r="NKV516" s="379"/>
      <c r="NKW516" s="379"/>
      <c r="NKX516" s="379"/>
      <c r="NKY516" s="13"/>
      <c r="NKZ516" s="13"/>
      <c r="NLA516" s="193"/>
      <c r="NLB516" s="379"/>
      <c r="NLC516" s="379"/>
      <c r="NLD516" s="379"/>
      <c r="NLE516" s="379"/>
      <c r="NLF516" s="379"/>
      <c r="NLG516" s="13"/>
      <c r="NLH516" s="13"/>
      <c r="NLI516" s="193"/>
      <c r="NLJ516" s="379"/>
      <c r="NLK516" s="379"/>
      <c r="NLL516" s="379"/>
      <c r="NLM516" s="379"/>
      <c r="NLN516" s="379"/>
      <c r="NLO516" s="13"/>
      <c r="NLP516" s="13"/>
      <c r="NLQ516" s="193"/>
      <c r="NLR516" s="379"/>
      <c r="NLS516" s="379"/>
      <c r="NLT516" s="379"/>
      <c r="NLU516" s="379"/>
      <c r="NLV516" s="379"/>
      <c r="NLW516" s="13"/>
      <c r="NLX516" s="13"/>
      <c r="NLY516" s="193"/>
      <c r="NLZ516" s="379"/>
      <c r="NMA516" s="379"/>
      <c r="NMB516" s="379"/>
      <c r="NMC516" s="379"/>
      <c r="NMD516" s="379"/>
      <c r="NME516" s="13"/>
      <c r="NMF516" s="13"/>
      <c r="NMG516" s="193"/>
      <c r="NMH516" s="379"/>
      <c r="NMI516" s="379"/>
      <c r="NMJ516" s="379"/>
      <c r="NMK516" s="379"/>
      <c r="NML516" s="379"/>
      <c r="NMM516" s="13"/>
      <c r="NMN516" s="13"/>
      <c r="NMO516" s="193"/>
      <c r="NMP516" s="379"/>
      <c r="NMQ516" s="379"/>
      <c r="NMR516" s="379"/>
      <c r="NMS516" s="379"/>
      <c r="NMT516" s="379"/>
      <c r="NMU516" s="13"/>
      <c r="NMV516" s="13"/>
      <c r="NMW516" s="193"/>
      <c r="NMX516" s="379"/>
      <c r="NMY516" s="379"/>
      <c r="NMZ516" s="379"/>
      <c r="NNA516" s="379"/>
      <c r="NNB516" s="379"/>
      <c r="NNC516" s="13"/>
      <c r="NND516" s="13"/>
      <c r="NNE516" s="193"/>
      <c r="NNF516" s="379"/>
      <c r="NNG516" s="379"/>
      <c r="NNH516" s="379"/>
      <c r="NNI516" s="379"/>
      <c r="NNJ516" s="379"/>
      <c r="NNK516" s="13"/>
      <c r="NNL516" s="13"/>
      <c r="NNM516" s="193"/>
      <c r="NNN516" s="379"/>
      <c r="NNO516" s="379"/>
      <c r="NNP516" s="379"/>
      <c r="NNQ516" s="379"/>
      <c r="NNR516" s="379"/>
      <c r="NNS516" s="13"/>
      <c r="NNT516" s="13"/>
      <c r="NNU516" s="193"/>
      <c r="NNV516" s="379"/>
      <c r="NNW516" s="379"/>
      <c r="NNX516" s="379"/>
      <c r="NNY516" s="379"/>
      <c r="NNZ516" s="379"/>
      <c r="NOA516" s="13"/>
      <c r="NOB516" s="13"/>
      <c r="NOC516" s="193"/>
      <c r="NOD516" s="379"/>
      <c r="NOE516" s="379"/>
      <c r="NOF516" s="379"/>
      <c r="NOG516" s="379"/>
      <c r="NOH516" s="379"/>
      <c r="NOI516" s="13"/>
      <c r="NOJ516" s="13"/>
      <c r="NOK516" s="193"/>
      <c r="NOL516" s="379"/>
      <c r="NOM516" s="379"/>
      <c r="NON516" s="379"/>
      <c r="NOO516" s="379"/>
      <c r="NOP516" s="379"/>
      <c r="NOQ516" s="13"/>
      <c r="NOR516" s="13"/>
      <c r="NOS516" s="193"/>
      <c r="NOT516" s="379"/>
      <c r="NOU516" s="379"/>
      <c r="NOV516" s="379"/>
      <c r="NOW516" s="379"/>
      <c r="NOX516" s="379"/>
      <c r="NOY516" s="13"/>
      <c r="NOZ516" s="13"/>
      <c r="NPA516" s="193"/>
      <c r="NPB516" s="379"/>
      <c r="NPC516" s="379"/>
      <c r="NPD516" s="379"/>
      <c r="NPE516" s="379"/>
      <c r="NPF516" s="379"/>
      <c r="NPG516" s="13"/>
      <c r="NPH516" s="13"/>
      <c r="NPI516" s="193"/>
      <c r="NPJ516" s="379"/>
      <c r="NPK516" s="379"/>
      <c r="NPL516" s="379"/>
      <c r="NPM516" s="379"/>
      <c r="NPN516" s="379"/>
      <c r="NPO516" s="13"/>
      <c r="NPP516" s="13"/>
      <c r="NPQ516" s="193"/>
      <c r="NPR516" s="379"/>
      <c r="NPS516" s="379"/>
      <c r="NPT516" s="379"/>
      <c r="NPU516" s="379"/>
      <c r="NPV516" s="379"/>
      <c r="NPW516" s="13"/>
      <c r="NPX516" s="13"/>
      <c r="NPY516" s="193"/>
      <c r="NPZ516" s="379"/>
      <c r="NQA516" s="379"/>
      <c r="NQB516" s="379"/>
      <c r="NQC516" s="379"/>
      <c r="NQD516" s="379"/>
      <c r="NQE516" s="13"/>
      <c r="NQF516" s="13"/>
      <c r="NQG516" s="193"/>
      <c r="NQH516" s="379"/>
      <c r="NQI516" s="379"/>
      <c r="NQJ516" s="379"/>
      <c r="NQK516" s="379"/>
      <c r="NQL516" s="379"/>
      <c r="NQM516" s="13"/>
      <c r="NQN516" s="13"/>
      <c r="NQO516" s="193"/>
      <c r="NQP516" s="379"/>
      <c r="NQQ516" s="379"/>
      <c r="NQR516" s="379"/>
      <c r="NQS516" s="379"/>
      <c r="NQT516" s="379"/>
      <c r="NQU516" s="13"/>
      <c r="NQV516" s="13"/>
      <c r="NQW516" s="193"/>
      <c r="NQX516" s="379"/>
      <c r="NQY516" s="379"/>
      <c r="NQZ516" s="379"/>
      <c r="NRA516" s="379"/>
      <c r="NRB516" s="379"/>
      <c r="NRC516" s="13"/>
      <c r="NRD516" s="13"/>
      <c r="NRE516" s="193"/>
      <c r="NRF516" s="379"/>
      <c r="NRG516" s="379"/>
      <c r="NRH516" s="379"/>
      <c r="NRI516" s="379"/>
      <c r="NRJ516" s="379"/>
      <c r="NRK516" s="13"/>
      <c r="NRL516" s="13"/>
      <c r="NRM516" s="193"/>
      <c r="NRN516" s="379"/>
      <c r="NRO516" s="379"/>
      <c r="NRP516" s="379"/>
      <c r="NRQ516" s="379"/>
      <c r="NRR516" s="379"/>
      <c r="NRS516" s="13"/>
      <c r="NRT516" s="13"/>
      <c r="NRU516" s="193"/>
      <c r="NRV516" s="379"/>
      <c r="NRW516" s="379"/>
      <c r="NRX516" s="379"/>
      <c r="NRY516" s="379"/>
      <c r="NRZ516" s="379"/>
      <c r="NSA516" s="13"/>
      <c r="NSB516" s="13"/>
      <c r="NSC516" s="193"/>
      <c r="NSD516" s="379"/>
      <c r="NSE516" s="379"/>
      <c r="NSF516" s="379"/>
      <c r="NSG516" s="379"/>
      <c r="NSH516" s="379"/>
      <c r="NSI516" s="13"/>
      <c r="NSJ516" s="13"/>
      <c r="NSK516" s="193"/>
      <c r="NSL516" s="379"/>
      <c r="NSM516" s="379"/>
      <c r="NSN516" s="379"/>
      <c r="NSO516" s="379"/>
      <c r="NSP516" s="379"/>
      <c r="NSQ516" s="13"/>
      <c r="NSR516" s="13"/>
      <c r="NSS516" s="193"/>
      <c r="NST516" s="379"/>
      <c r="NSU516" s="379"/>
      <c r="NSV516" s="379"/>
      <c r="NSW516" s="379"/>
      <c r="NSX516" s="379"/>
      <c r="NSY516" s="13"/>
      <c r="NSZ516" s="13"/>
      <c r="NTA516" s="193"/>
      <c r="NTB516" s="379"/>
      <c r="NTC516" s="379"/>
      <c r="NTD516" s="379"/>
      <c r="NTE516" s="379"/>
      <c r="NTF516" s="379"/>
      <c r="NTG516" s="13"/>
      <c r="NTH516" s="13"/>
      <c r="NTI516" s="193"/>
      <c r="NTJ516" s="379"/>
      <c r="NTK516" s="379"/>
      <c r="NTL516" s="379"/>
      <c r="NTM516" s="379"/>
      <c r="NTN516" s="379"/>
      <c r="NTO516" s="13"/>
      <c r="NTP516" s="13"/>
      <c r="NTQ516" s="193"/>
      <c r="NTR516" s="379"/>
      <c r="NTS516" s="379"/>
      <c r="NTT516" s="379"/>
      <c r="NTU516" s="379"/>
      <c r="NTV516" s="379"/>
      <c r="NTW516" s="13"/>
      <c r="NTX516" s="13"/>
      <c r="NTY516" s="193"/>
      <c r="NTZ516" s="379"/>
      <c r="NUA516" s="379"/>
      <c r="NUB516" s="379"/>
      <c r="NUC516" s="379"/>
      <c r="NUD516" s="379"/>
      <c r="NUE516" s="13"/>
      <c r="NUF516" s="13"/>
      <c r="NUG516" s="193"/>
      <c r="NUH516" s="379"/>
      <c r="NUI516" s="379"/>
      <c r="NUJ516" s="379"/>
      <c r="NUK516" s="379"/>
      <c r="NUL516" s="379"/>
      <c r="NUM516" s="13"/>
      <c r="NUN516" s="13"/>
      <c r="NUO516" s="193"/>
      <c r="NUP516" s="379"/>
      <c r="NUQ516" s="379"/>
      <c r="NUR516" s="379"/>
      <c r="NUS516" s="379"/>
      <c r="NUT516" s="379"/>
      <c r="NUU516" s="13"/>
      <c r="NUV516" s="13"/>
      <c r="NUW516" s="193"/>
      <c r="NUX516" s="379"/>
      <c r="NUY516" s="379"/>
      <c r="NUZ516" s="379"/>
      <c r="NVA516" s="379"/>
      <c r="NVB516" s="379"/>
      <c r="NVC516" s="13"/>
      <c r="NVD516" s="13"/>
      <c r="NVE516" s="193"/>
      <c r="NVF516" s="379"/>
      <c r="NVG516" s="379"/>
      <c r="NVH516" s="379"/>
      <c r="NVI516" s="379"/>
      <c r="NVJ516" s="379"/>
      <c r="NVK516" s="13"/>
      <c r="NVL516" s="13"/>
      <c r="NVM516" s="193"/>
      <c r="NVN516" s="379"/>
      <c r="NVO516" s="379"/>
      <c r="NVP516" s="379"/>
      <c r="NVQ516" s="379"/>
      <c r="NVR516" s="379"/>
      <c r="NVS516" s="13"/>
      <c r="NVT516" s="13"/>
      <c r="NVU516" s="193"/>
      <c r="NVV516" s="379"/>
      <c r="NVW516" s="379"/>
      <c r="NVX516" s="379"/>
      <c r="NVY516" s="379"/>
      <c r="NVZ516" s="379"/>
      <c r="NWA516" s="13"/>
      <c r="NWB516" s="13"/>
      <c r="NWC516" s="193"/>
      <c r="NWD516" s="379"/>
      <c r="NWE516" s="379"/>
      <c r="NWF516" s="379"/>
      <c r="NWG516" s="379"/>
      <c r="NWH516" s="379"/>
      <c r="NWI516" s="13"/>
      <c r="NWJ516" s="13"/>
      <c r="NWK516" s="193"/>
      <c r="NWL516" s="379"/>
      <c r="NWM516" s="379"/>
      <c r="NWN516" s="379"/>
      <c r="NWO516" s="379"/>
      <c r="NWP516" s="379"/>
      <c r="NWQ516" s="13"/>
      <c r="NWR516" s="13"/>
      <c r="NWS516" s="193"/>
      <c r="NWT516" s="379"/>
      <c r="NWU516" s="379"/>
      <c r="NWV516" s="379"/>
      <c r="NWW516" s="379"/>
      <c r="NWX516" s="379"/>
      <c r="NWY516" s="13"/>
      <c r="NWZ516" s="13"/>
      <c r="NXA516" s="193"/>
      <c r="NXB516" s="379"/>
      <c r="NXC516" s="379"/>
      <c r="NXD516" s="379"/>
      <c r="NXE516" s="379"/>
      <c r="NXF516" s="379"/>
      <c r="NXG516" s="13"/>
      <c r="NXH516" s="13"/>
      <c r="NXI516" s="193"/>
      <c r="NXJ516" s="379"/>
      <c r="NXK516" s="379"/>
      <c r="NXL516" s="379"/>
      <c r="NXM516" s="379"/>
      <c r="NXN516" s="379"/>
      <c r="NXO516" s="13"/>
      <c r="NXP516" s="13"/>
      <c r="NXQ516" s="193"/>
      <c r="NXR516" s="379"/>
      <c r="NXS516" s="379"/>
      <c r="NXT516" s="379"/>
      <c r="NXU516" s="379"/>
      <c r="NXV516" s="379"/>
      <c r="NXW516" s="13"/>
      <c r="NXX516" s="13"/>
      <c r="NXY516" s="193"/>
      <c r="NXZ516" s="379"/>
      <c r="NYA516" s="379"/>
      <c r="NYB516" s="379"/>
      <c r="NYC516" s="379"/>
      <c r="NYD516" s="379"/>
      <c r="NYE516" s="13"/>
      <c r="NYF516" s="13"/>
      <c r="NYG516" s="193"/>
      <c r="NYH516" s="379"/>
      <c r="NYI516" s="379"/>
      <c r="NYJ516" s="379"/>
      <c r="NYK516" s="379"/>
      <c r="NYL516" s="379"/>
      <c r="NYM516" s="13"/>
      <c r="NYN516" s="13"/>
      <c r="NYO516" s="193"/>
      <c r="NYP516" s="379"/>
      <c r="NYQ516" s="379"/>
      <c r="NYR516" s="379"/>
      <c r="NYS516" s="379"/>
      <c r="NYT516" s="379"/>
      <c r="NYU516" s="13"/>
      <c r="NYV516" s="13"/>
      <c r="NYW516" s="193"/>
      <c r="NYX516" s="379"/>
      <c r="NYY516" s="379"/>
      <c r="NYZ516" s="379"/>
      <c r="NZA516" s="379"/>
      <c r="NZB516" s="379"/>
      <c r="NZC516" s="13"/>
      <c r="NZD516" s="13"/>
      <c r="NZE516" s="193"/>
      <c r="NZF516" s="379"/>
      <c r="NZG516" s="379"/>
      <c r="NZH516" s="379"/>
      <c r="NZI516" s="379"/>
      <c r="NZJ516" s="379"/>
      <c r="NZK516" s="13"/>
      <c r="NZL516" s="13"/>
      <c r="NZM516" s="193"/>
      <c r="NZN516" s="379"/>
      <c r="NZO516" s="379"/>
      <c r="NZP516" s="379"/>
      <c r="NZQ516" s="379"/>
      <c r="NZR516" s="379"/>
      <c r="NZS516" s="13"/>
      <c r="NZT516" s="13"/>
      <c r="NZU516" s="193"/>
      <c r="NZV516" s="379"/>
      <c r="NZW516" s="379"/>
      <c r="NZX516" s="379"/>
      <c r="NZY516" s="379"/>
      <c r="NZZ516" s="379"/>
      <c r="OAA516" s="13"/>
      <c r="OAB516" s="13"/>
      <c r="OAC516" s="193"/>
      <c r="OAD516" s="379"/>
      <c r="OAE516" s="379"/>
      <c r="OAF516" s="379"/>
      <c r="OAG516" s="379"/>
      <c r="OAH516" s="379"/>
      <c r="OAI516" s="13"/>
      <c r="OAJ516" s="13"/>
      <c r="OAK516" s="193"/>
      <c r="OAL516" s="379"/>
      <c r="OAM516" s="379"/>
      <c r="OAN516" s="379"/>
      <c r="OAO516" s="379"/>
      <c r="OAP516" s="379"/>
      <c r="OAQ516" s="13"/>
      <c r="OAR516" s="13"/>
      <c r="OAS516" s="193"/>
      <c r="OAT516" s="379"/>
      <c r="OAU516" s="379"/>
      <c r="OAV516" s="379"/>
      <c r="OAW516" s="379"/>
      <c r="OAX516" s="379"/>
      <c r="OAY516" s="13"/>
      <c r="OAZ516" s="13"/>
      <c r="OBA516" s="193"/>
      <c r="OBB516" s="379"/>
      <c r="OBC516" s="379"/>
      <c r="OBD516" s="379"/>
      <c r="OBE516" s="379"/>
      <c r="OBF516" s="379"/>
      <c r="OBG516" s="13"/>
      <c r="OBH516" s="13"/>
      <c r="OBI516" s="193"/>
      <c r="OBJ516" s="379"/>
      <c r="OBK516" s="379"/>
      <c r="OBL516" s="379"/>
      <c r="OBM516" s="379"/>
      <c r="OBN516" s="379"/>
      <c r="OBO516" s="13"/>
      <c r="OBP516" s="13"/>
      <c r="OBQ516" s="193"/>
      <c r="OBR516" s="379"/>
      <c r="OBS516" s="379"/>
      <c r="OBT516" s="379"/>
      <c r="OBU516" s="379"/>
      <c r="OBV516" s="379"/>
      <c r="OBW516" s="13"/>
      <c r="OBX516" s="13"/>
      <c r="OBY516" s="193"/>
      <c r="OBZ516" s="379"/>
      <c r="OCA516" s="379"/>
      <c r="OCB516" s="379"/>
      <c r="OCC516" s="379"/>
      <c r="OCD516" s="379"/>
      <c r="OCE516" s="13"/>
      <c r="OCF516" s="13"/>
      <c r="OCG516" s="193"/>
      <c r="OCH516" s="379"/>
      <c r="OCI516" s="379"/>
      <c r="OCJ516" s="379"/>
      <c r="OCK516" s="379"/>
      <c r="OCL516" s="379"/>
      <c r="OCM516" s="13"/>
      <c r="OCN516" s="13"/>
      <c r="OCO516" s="193"/>
      <c r="OCP516" s="379"/>
      <c r="OCQ516" s="379"/>
      <c r="OCR516" s="379"/>
      <c r="OCS516" s="379"/>
      <c r="OCT516" s="379"/>
      <c r="OCU516" s="13"/>
      <c r="OCV516" s="13"/>
      <c r="OCW516" s="193"/>
      <c r="OCX516" s="379"/>
      <c r="OCY516" s="379"/>
      <c r="OCZ516" s="379"/>
      <c r="ODA516" s="379"/>
      <c r="ODB516" s="379"/>
      <c r="ODC516" s="13"/>
      <c r="ODD516" s="13"/>
      <c r="ODE516" s="193"/>
      <c r="ODF516" s="379"/>
      <c r="ODG516" s="379"/>
      <c r="ODH516" s="379"/>
      <c r="ODI516" s="379"/>
      <c r="ODJ516" s="379"/>
      <c r="ODK516" s="13"/>
      <c r="ODL516" s="13"/>
      <c r="ODM516" s="193"/>
      <c r="ODN516" s="379"/>
      <c r="ODO516" s="379"/>
      <c r="ODP516" s="379"/>
      <c r="ODQ516" s="379"/>
      <c r="ODR516" s="379"/>
      <c r="ODS516" s="13"/>
      <c r="ODT516" s="13"/>
      <c r="ODU516" s="193"/>
      <c r="ODV516" s="379"/>
      <c r="ODW516" s="379"/>
      <c r="ODX516" s="379"/>
      <c r="ODY516" s="379"/>
      <c r="ODZ516" s="379"/>
      <c r="OEA516" s="13"/>
      <c r="OEB516" s="13"/>
      <c r="OEC516" s="193"/>
      <c r="OED516" s="379"/>
      <c r="OEE516" s="379"/>
      <c r="OEF516" s="379"/>
      <c r="OEG516" s="379"/>
      <c r="OEH516" s="379"/>
      <c r="OEI516" s="13"/>
      <c r="OEJ516" s="13"/>
      <c r="OEK516" s="193"/>
      <c r="OEL516" s="379"/>
      <c r="OEM516" s="379"/>
      <c r="OEN516" s="379"/>
      <c r="OEO516" s="379"/>
      <c r="OEP516" s="379"/>
      <c r="OEQ516" s="13"/>
      <c r="OER516" s="13"/>
      <c r="OES516" s="193"/>
      <c r="OET516" s="379"/>
      <c r="OEU516" s="379"/>
      <c r="OEV516" s="379"/>
      <c r="OEW516" s="379"/>
      <c r="OEX516" s="379"/>
      <c r="OEY516" s="13"/>
      <c r="OEZ516" s="13"/>
      <c r="OFA516" s="193"/>
      <c r="OFB516" s="379"/>
      <c r="OFC516" s="379"/>
      <c r="OFD516" s="379"/>
      <c r="OFE516" s="379"/>
      <c r="OFF516" s="379"/>
      <c r="OFG516" s="13"/>
      <c r="OFH516" s="13"/>
      <c r="OFI516" s="193"/>
      <c r="OFJ516" s="379"/>
      <c r="OFK516" s="379"/>
      <c r="OFL516" s="379"/>
      <c r="OFM516" s="379"/>
      <c r="OFN516" s="379"/>
      <c r="OFO516" s="13"/>
      <c r="OFP516" s="13"/>
      <c r="OFQ516" s="193"/>
      <c r="OFR516" s="379"/>
      <c r="OFS516" s="379"/>
      <c r="OFT516" s="379"/>
      <c r="OFU516" s="379"/>
      <c r="OFV516" s="379"/>
      <c r="OFW516" s="13"/>
      <c r="OFX516" s="13"/>
      <c r="OFY516" s="193"/>
      <c r="OFZ516" s="379"/>
      <c r="OGA516" s="379"/>
      <c r="OGB516" s="379"/>
      <c r="OGC516" s="379"/>
      <c r="OGD516" s="379"/>
      <c r="OGE516" s="13"/>
      <c r="OGF516" s="13"/>
      <c r="OGG516" s="193"/>
      <c r="OGH516" s="379"/>
      <c r="OGI516" s="379"/>
      <c r="OGJ516" s="379"/>
      <c r="OGK516" s="379"/>
      <c r="OGL516" s="379"/>
      <c r="OGM516" s="13"/>
      <c r="OGN516" s="13"/>
      <c r="OGO516" s="193"/>
      <c r="OGP516" s="379"/>
      <c r="OGQ516" s="379"/>
      <c r="OGR516" s="379"/>
      <c r="OGS516" s="379"/>
      <c r="OGT516" s="379"/>
      <c r="OGU516" s="13"/>
      <c r="OGV516" s="13"/>
      <c r="OGW516" s="193"/>
      <c r="OGX516" s="379"/>
      <c r="OGY516" s="379"/>
      <c r="OGZ516" s="379"/>
      <c r="OHA516" s="379"/>
      <c r="OHB516" s="379"/>
      <c r="OHC516" s="13"/>
      <c r="OHD516" s="13"/>
      <c r="OHE516" s="193"/>
      <c r="OHF516" s="379"/>
      <c r="OHG516" s="379"/>
      <c r="OHH516" s="379"/>
      <c r="OHI516" s="379"/>
      <c r="OHJ516" s="379"/>
      <c r="OHK516" s="13"/>
      <c r="OHL516" s="13"/>
      <c r="OHM516" s="193"/>
      <c r="OHN516" s="379"/>
      <c r="OHO516" s="379"/>
      <c r="OHP516" s="379"/>
      <c r="OHQ516" s="379"/>
      <c r="OHR516" s="379"/>
      <c r="OHS516" s="13"/>
      <c r="OHT516" s="13"/>
      <c r="OHU516" s="193"/>
      <c r="OHV516" s="379"/>
      <c r="OHW516" s="379"/>
      <c r="OHX516" s="379"/>
      <c r="OHY516" s="379"/>
      <c r="OHZ516" s="379"/>
      <c r="OIA516" s="13"/>
      <c r="OIB516" s="13"/>
      <c r="OIC516" s="193"/>
      <c r="OID516" s="379"/>
      <c r="OIE516" s="379"/>
      <c r="OIF516" s="379"/>
      <c r="OIG516" s="379"/>
      <c r="OIH516" s="379"/>
      <c r="OII516" s="13"/>
      <c r="OIJ516" s="13"/>
      <c r="OIK516" s="193"/>
      <c r="OIL516" s="379"/>
      <c r="OIM516" s="379"/>
      <c r="OIN516" s="379"/>
      <c r="OIO516" s="379"/>
      <c r="OIP516" s="379"/>
      <c r="OIQ516" s="13"/>
      <c r="OIR516" s="13"/>
      <c r="OIS516" s="193"/>
      <c r="OIT516" s="379"/>
      <c r="OIU516" s="379"/>
      <c r="OIV516" s="379"/>
      <c r="OIW516" s="379"/>
      <c r="OIX516" s="379"/>
      <c r="OIY516" s="13"/>
      <c r="OIZ516" s="13"/>
      <c r="OJA516" s="193"/>
      <c r="OJB516" s="379"/>
      <c r="OJC516" s="379"/>
      <c r="OJD516" s="379"/>
      <c r="OJE516" s="379"/>
      <c r="OJF516" s="379"/>
      <c r="OJG516" s="13"/>
      <c r="OJH516" s="13"/>
      <c r="OJI516" s="193"/>
      <c r="OJJ516" s="379"/>
      <c r="OJK516" s="379"/>
      <c r="OJL516" s="379"/>
      <c r="OJM516" s="379"/>
      <c r="OJN516" s="379"/>
      <c r="OJO516" s="13"/>
      <c r="OJP516" s="13"/>
      <c r="OJQ516" s="193"/>
      <c r="OJR516" s="379"/>
      <c r="OJS516" s="379"/>
      <c r="OJT516" s="379"/>
      <c r="OJU516" s="379"/>
      <c r="OJV516" s="379"/>
      <c r="OJW516" s="13"/>
      <c r="OJX516" s="13"/>
      <c r="OJY516" s="193"/>
      <c r="OJZ516" s="379"/>
      <c r="OKA516" s="379"/>
      <c r="OKB516" s="379"/>
      <c r="OKC516" s="379"/>
      <c r="OKD516" s="379"/>
      <c r="OKE516" s="13"/>
      <c r="OKF516" s="13"/>
      <c r="OKG516" s="193"/>
      <c r="OKH516" s="379"/>
      <c r="OKI516" s="379"/>
      <c r="OKJ516" s="379"/>
      <c r="OKK516" s="379"/>
      <c r="OKL516" s="379"/>
      <c r="OKM516" s="13"/>
      <c r="OKN516" s="13"/>
      <c r="OKO516" s="193"/>
      <c r="OKP516" s="379"/>
      <c r="OKQ516" s="379"/>
      <c r="OKR516" s="379"/>
      <c r="OKS516" s="379"/>
      <c r="OKT516" s="379"/>
      <c r="OKU516" s="13"/>
      <c r="OKV516" s="13"/>
      <c r="OKW516" s="193"/>
      <c r="OKX516" s="379"/>
      <c r="OKY516" s="379"/>
      <c r="OKZ516" s="379"/>
      <c r="OLA516" s="379"/>
      <c r="OLB516" s="379"/>
      <c r="OLC516" s="13"/>
      <c r="OLD516" s="13"/>
      <c r="OLE516" s="193"/>
      <c r="OLF516" s="379"/>
      <c r="OLG516" s="379"/>
      <c r="OLH516" s="379"/>
      <c r="OLI516" s="379"/>
      <c r="OLJ516" s="379"/>
      <c r="OLK516" s="13"/>
      <c r="OLL516" s="13"/>
      <c r="OLM516" s="193"/>
      <c r="OLN516" s="379"/>
      <c r="OLO516" s="379"/>
      <c r="OLP516" s="379"/>
      <c r="OLQ516" s="379"/>
      <c r="OLR516" s="379"/>
      <c r="OLS516" s="13"/>
      <c r="OLT516" s="13"/>
      <c r="OLU516" s="193"/>
      <c r="OLV516" s="379"/>
      <c r="OLW516" s="379"/>
      <c r="OLX516" s="379"/>
      <c r="OLY516" s="379"/>
      <c r="OLZ516" s="379"/>
      <c r="OMA516" s="13"/>
      <c r="OMB516" s="13"/>
      <c r="OMC516" s="193"/>
      <c r="OMD516" s="379"/>
      <c r="OME516" s="379"/>
      <c r="OMF516" s="379"/>
      <c r="OMG516" s="379"/>
      <c r="OMH516" s="379"/>
      <c r="OMI516" s="13"/>
      <c r="OMJ516" s="13"/>
      <c r="OMK516" s="193"/>
      <c r="OML516" s="379"/>
      <c r="OMM516" s="379"/>
      <c r="OMN516" s="379"/>
      <c r="OMO516" s="379"/>
      <c r="OMP516" s="379"/>
      <c r="OMQ516" s="13"/>
      <c r="OMR516" s="13"/>
      <c r="OMS516" s="193"/>
      <c r="OMT516" s="379"/>
      <c r="OMU516" s="379"/>
      <c r="OMV516" s="379"/>
      <c r="OMW516" s="379"/>
      <c r="OMX516" s="379"/>
      <c r="OMY516" s="13"/>
      <c r="OMZ516" s="13"/>
      <c r="ONA516" s="193"/>
      <c r="ONB516" s="379"/>
      <c r="ONC516" s="379"/>
      <c r="OND516" s="379"/>
      <c r="ONE516" s="379"/>
      <c r="ONF516" s="379"/>
      <c r="ONG516" s="13"/>
      <c r="ONH516" s="13"/>
      <c r="ONI516" s="193"/>
      <c r="ONJ516" s="379"/>
      <c r="ONK516" s="379"/>
      <c r="ONL516" s="379"/>
      <c r="ONM516" s="379"/>
      <c r="ONN516" s="379"/>
      <c r="ONO516" s="13"/>
      <c r="ONP516" s="13"/>
      <c r="ONQ516" s="193"/>
      <c r="ONR516" s="379"/>
      <c r="ONS516" s="379"/>
      <c r="ONT516" s="379"/>
      <c r="ONU516" s="379"/>
      <c r="ONV516" s="379"/>
      <c r="ONW516" s="13"/>
      <c r="ONX516" s="13"/>
      <c r="ONY516" s="193"/>
      <c r="ONZ516" s="379"/>
      <c r="OOA516" s="379"/>
      <c r="OOB516" s="379"/>
      <c r="OOC516" s="379"/>
      <c r="OOD516" s="379"/>
      <c r="OOE516" s="13"/>
      <c r="OOF516" s="13"/>
      <c r="OOG516" s="193"/>
      <c r="OOH516" s="379"/>
      <c r="OOI516" s="379"/>
      <c r="OOJ516" s="379"/>
      <c r="OOK516" s="379"/>
      <c r="OOL516" s="379"/>
      <c r="OOM516" s="13"/>
      <c r="OON516" s="13"/>
      <c r="OOO516" s="193"/>
      <c r="OOP516" s="379"/>
      <c r="OOQ516" s="379"/>
      <c r="OOR516" s="379"/>
      <c r="OOS516" s="379"/>
      <c r="OOT516" s="379"/>
      <c r="OOU516" s="13"/>
      <c r="OOV516" s="13"/>
      <c r="OOW516" s="193"/>
      <c r="OOX516" s="379"/>
      <c r="OOY516" s="379"/>
      <c r="OOZ516" s="379"/>
      <c r="OPA516" s="379"/>
      <c r="OPB516" s="379"/>
      <c r="OPC516" s="13"/>
      <c r="OPD516" s="13"/>
      <c r="OPE516" s="193"/>
      <c r="OPF516" s="379"/>
      <c r="OPG516" s="379"/>
      <c r="OPH516" s="379"/>
      <c r="OPI516" s="379"/>
      <c r="OPJ516" s="379"/>
      <c r="OPK516" s="13"/>
      <c r="OPL516" s="13"/>
      <c r="OPM516" s="193"/>
      <c r="OPN516" s="379"/>
      <c r="OPO516" s="379"/>
      <c r="OPP516" s="379"/>
      <c r="OPQ516" s="379"/>
      <c r="OPR516" s="379"/>
      <c r="OPS516" s="13"/>
      <c r="OPT516" s="13"/>
      <c r="OPU516" s="193"/>
      <c r="OPV516" s="379"/>
      <c r="OPW516" s="379"/>
      <c r="OPX516" s="379"/>
      <c r="OPY516" s="379"/>
      <c r="OPZ516" s="379"/>
      <c r="OQA516" s="13"/>
      <c r="OQB516" s="13"/>
      <c r="OQC516" s="193"/>
      <c r="OQD516" s="379"/>
      <c r="OQE516" s="379"/>
      <c r="OQF516" s="379"/>
      <c r="OQG516" s="379"/>
      <c r="OQH516" s="379"/>
      <c r="OQI516" s="13"/>
      <c r="OQJ516" s="13"/>
      <c r="OQK516" s="193"/>
      <c r="OQL516" s="379"/>
      <c r="OQM516" s="379"/>
      <c r="OQN516" s="379"/>
      <c r="OQO516" s="379"/>
      <c r="OQP516" s="379"/>
      <c r="OQQ516" s="13"/>
      <c r="OQR516" s="13"/>
      <c r="OQS516" s="193"/>
      <c r="OQT516" s="379"/>
      <c r="OQU516" s="379"/>
      <c r="OQV516" s="379"/>
      <c r="OQW516" s="379"/>
      <c r="OQX516" s="379"/>
      <c r="OQY516" s="13"/>
      <c r="OQZ516" s="13"/>
      <c r="ORA516" s="193"/>
      <c r="ORB516" s="379"/>
      <c r="ORC516" s="379"/>
      <c r="ORD516" s="379"/>
      <c r="ORE516" s="379"/>
      <c r="ORF516" s="379"/>
      <c r="ORG516" s="13"/>
      <c r="ORH516" s="13"/>
      <c r="ORI516" s="193"/>
      <c r="ORJ516" s="379"/>
      <c r="ORK516" s="379"/>
      <c r="ORL516" s="379"/>
      <c r="ORM516" s="379"/>
      <c r="ORN516" s="379"/>
      <c r="ORO516" s="13"/>
      <c r="ORP516" s="13"/>
      <c r="ORQ516" s="193"/>
      <c r="ORR516" s="379"/>
      <c r="ORS516" s="379"/>
      <c r="ORT516" s="379"/>
      <c r="ORU516" s="379"/>
      <c r="ORV516" s="379"/>
      <c r="ORW516" s="13"/>
      <c r="ORX516" s="13"/>
      <c r="ORY516" s="193"/>
      <c r="ORZ516" s="379"/>
      <c r="OSA516" s="379"/>
      <c r="OSB516" s="379"/>
      <c r="OSC516" s="379"/>
      <c r="OSD516" s="379"/>
      <c r="OSE516" s="13"/>
      <c r="OSF516" s="13"/>
      <c r="OSG516" s="193"/>
      <c r="OSH516" s="379"/>
      <c r="OSI516" s="379"/>
      <c r="OSJ516" s="379"/>
      <c r="OSK516" s="379"/>
      <c r="OSL516" s="379"/>
      <c r="OSM516" s="13"/>
      <c r="OSN516" s="13"/>
      <c r="OSO516" s="193"/>
      <c r="OSP516" s="379"/>
      <c r="OSQ516" s="379"/>
      <c r="OSR516" s="379"/>
      <c r="OSS516" s="379"/>
      <c r="OST516" s="379"/>
      <c r="OSU516" s="13"/>
      <c r="OSV516" s="13"/>
      <c r="OSW516" s="193"/>
      <c r="OSX516" s="379"/>
      <c r="OSY516" s="379"/>
      <c r="OSZ516" s="379"/>
      <c r="OTA516" s="379"/>
      <c r="OTB516" s="379"/>
      <c r="OTC516" s="13"/>
      <c r="OTD516" s="13"/>
      <c r="OTE516" s="193"/>
      <c r="OTF516" s="379"/>
      <c r="OTG516" s="379"/>
      <c r="OTH516" s="379"/>
      <c r="OTI516" s="379"/>
      <c r="OTJ516" s="379"/>
      <c r="OTK516" s="13"/>
      <c r="OTL516" s="13"/>
      <c r="OTM516" s="193"/>
      <c r="OTN516" s="379"/>
      <c r="OTO516" s="379"/>
      <c r="OTP516" s="379"/>
      <c r="OTQ516" s="379"/>
      <c r="OTR516" s="379"/>
      <c r="OTS516" s="13"/>
      <c r="OTT516" s="13"/>
      <c r="OTU516" s="193"/>
      <c r="OTV516" s="379"/>
      <c r="OTW516" s="379"/>
      <c r="OTX516" s="379"/>
      <c r="OTY516" s="379"/>
      <c r="OTZ516" s="379"/>
      <c r="OUA516" s="13"/>
      <c r="OUB516" s="13"/>
      <c r="OUC516" s="193"/>
      <c r="OUD516" s="379"/>
      <c r="OUE516" s="379"/>
      <c r="OUF516" s="379"/>
      <c r="OUG516" s="379"/>
      <c r="OUH516" s="379"/>
      <c r="OUI516" s="13"/>
      <c r="OUJ516" s="13"/>
      <c r="OUK516" s="193"/>
      <c r="OUL516" s="379"/>
      <c r="OUM516" s="379"/>
      <c r="OUN516" s="379"/>
      <c r="OUO516" s="379"/>
      <c r="OUP516" s="379"/>
      <c r="OUQ516" s="13"/>
      <c r="OUR516" s="13"/>
      <c r="OUS516" s="193"/>
      <c r="OUT516" s="379"/>
      <c r="OUU516" s="379"/>
      <c r="OUV516" s="379"/>
      <c r="OUW516" s="379"/>
      <c r="OUX516" s="379"/>
      <c r="OUY516" s="13"/>
      <c r="OUZ516" s="13"/>
      <c r="OVA516" s="193"/>
      <c r="OVB516" s="379"/>
      <c r="OVC516" s="379"/>
      <c r="OVD516" s="379"/>
      <c r="OVE516" s="379"/>
      <c r="OVF516" s="379"/>
      <c r="OVG516" s="13"/>
      <c r="OVH516" s="13"/>
      <c r="OVI516" s="193"/>
      <c r="OVJ516" s="379"/>
      <c r="OVK516" s="379"/>
      <c r="OVL516" s="379"/>
      <c r="OVM516" s="379"/>
      <c r="OVN516" s="379"/>
      <c r="OVO516" s="13"/>
      <c r="OVP516" s="13"/>
      <c r="OVQ516" s="193"/>
      <c r="OVR516" s="379"/>
      <c r="OVS516" s="379"/>
      <c r="OVT516" s="379"/>
      <c r="OVU516" s="379"/>
      <c r="OVV516" s="379"/>
      <c r="OVW516" s="13"/>
      <c r="OVX516" s="13"/>
      <c r="OVY516" s="193"/>
      <c r="OVZ516" s="379"/>
      <c r="OWA516" s="379"/>
      <c r="OWB516" s="379"/>
      <c r="OWC516" s="379"/>
      <c r="OWD516" s="379"/>
      <c r="OWE516" s="13"/>
      <c r="OWF516" s="13"/>
      <c r="OWG516" s="193"/>
      <c r="OWH516" s="379"/>
      <c r="OWI516" s="379"/>
      <c r="OWJ516" s="379"/>
      <c r="OWK516" s="379"/>
      <c r="OWL516" s="379"/>
      <c r="OWM516" s="13"/>
      <c r="OWN516" s="13"/>
      <c r="OWO516" s="193"/>
      <c r="OWP516" s="379"/>
      <c r="OWQ516" s="379"/>
      <c r="OWR516" s="379"/>
      <c r="OWS516" s="379"/>
      <c r="OWT516" s="379"/>
      <c r="OWU516" s="13"/>
      <c r="OWV516" s="13"/>
      <c r="OWW516" s="193"/>
      <c r="OWX516" s="379"/>
      <c r="OWY516" s="379"/>
      <c r="OWZ516" s="379"/>
      <c r="OXA516" s="379"/>
      <c r="OXB516" s="379"/>
      <c r="OXC516" s="13"/>
      <c r="OXD516" s="13"/>
      <c r="OXE516" s="193"/>
      <c r="OXF516" s="379"/>
      <c r="OXG516" s="379"/>
      <c r="OXH516" s="379"/>
      <c r="OXI516" s="379"/>
      <c r="OXJ516" s="379"/>
      <c r="OXK516" s="13"/>
      <c r="OXL516" s="13"/>
      <c r="OXM516" s="193"/>
      <c r="OXN516" s="379"/>
      <c r="OXO516" s="379"/>
      <c r="OXP516" s="379"/>
      <c r="OXQ516" s="379"/>
      <c r="OXR516" s="379"/>
      <c r="OXS516" s="13"/>
      <c r="OXT516" s="13"/>
      <c r="OXU516" s="193"/>
      <c r="OXV516" s="379"/>
      <c r="OXW516" s="379"/>
      <c r="OXX516" s="379"/>
      <c r="OXY516" s="379"/>
      <c r="OXZ516" s="379"/>
      <c r="OYA516" s="13"/>
      <c r="OYB516" s="13"/>
      <c r="OYC516" s="193"/>
      <c r="OYD516" s="379"/>
      <c r="OYE516" s="379"/>
      <c r="OYF516" s="379"/>
      <c r="OYG516" s="379"/>
      <c r="OYH516" s="379"/>
      <c r="OYI516" s="13"/>
      <c r="OYJ516" s="13"/>
      <c r="OYK516" s="193"/>
      <c r="OYL516" s="379"/>
      <c r="OYM516" s="379"/>
      <c r="OYN516" s="379"/>
      <c r="OYO516" s="379"/>
      <c r="OYP516" s="379"/>
      <c r="OYQ516" s="13"/>
      <c r="OYR516" s="13"/>
      <c r="OYS516" s="193"/>
      <c r="OYT516" s="379"/>
      <c r="OYU516" s="379"/>
      <c r="OYV516" s="379"/>
      <c r="OYW516" s="379"/>
      <c r="OYX516" s="379"/>
      <c r="OYY516" s="13"/>
      <c r="OYZ516" s="13"/>
      <c r="OZA516" s="193"/>
      <c r="OZB516" s="379"/>
      <c r="OZC516" s="379"/>
      <c r="OZD516" s="379"/>
      <c r="OZE516" s="379"/>
      <c r="OZF516" s="379"/>
      <c r="OZG516" s="13"/>
      <c r="OZH516" s="13"/>
      <c r="OZI516" s="193"/>
      <c r="OZJ516" s="379"/>
      <c r="OZK516" s="379"/>
      <c r="OZL516" s="379"/>
      <c r="OZM516" s="379"/>
      <c r="OZN516" s="379"/>
      <c r="OZO516" s="13"/>
      <c r="OZP516" s="13"/>
      <c r="OZQ516" s="193"/>
      <c r="OZR516" s="379"/>
      <c r="OZS516" s="379"/>
      <c r="OZT516" s="379"/>
      <c r="OZU516" s="379"/>
      <c r="OZV516" s="379"/>
      <c r="OZW516" s="13"/>
      <c r="OZX516" s="13"/>
      <c r="OZY516" s="193"/>
      <c r="OZZ516" s="379"/>
      <c r="PAA516" s="379"/>
      <c r="PAB516" s="379"/>
      <c r="PAC516" s="379"/>
      <c r="PAD516" s="379"/>
      <c r="PAE516" s="13"/>
      <c r="PAF516" s="13"/>
      <c r="PAG516" s="193"/>
      <c r="PAH516" s="379"/>
      <c r="PAI516" s="379"/>
      <c r="PAJ516" s="379"/>
      <c r="PAK516" s="379"/>
      <c r="PAL516" s="379"/>
      <c r="PAM516" s="13"/>
      <c r="PAN516" s="13"/>
      <c r="PAO516" s="193"/>
      <c r="PAP516" s="379"/>
      <c r="PAQ516" s="379"/>
      <c r="PAR516" s="379"/>
      <c r="PAS516" s="379"/>
      <c r="PAT516" s="379"/>
      <c r="PAU516" s="13"/>
      <c r="PAV516" s="13"/>
      <c r="PAW516" s="193"/>
      <c r="PAX516" s="379"/>
      <c r="PAY516" s="379"/>
      <c r="PAZ516" s="379"/>
      <c r="PBA516" s="379"/>
      <c r="PBB516" s="379"/>
      <c r="PBC516" s="13"/>
      <c r="PBD516" s="13"/>
      <c r="PBE516" s="193"/>
      <c r="PBF516" s="379"/>
      <c r="PBG516" s="379"/>
      <c r="PBH516" s="379"/>
      <c r="PBI516" s="379"/>
      <c r="PBJ516" s="379"/>
      <c r="PBK516" s="13"/>
      <c r="PBL516" s="13"/>
      <c r="PBM516" s="193"/>
      <c r="PBN516" s="379"/>
      <c r="PBO516" s="379"/>
      <c r="PBP516" s="379"/>
      <c r="PBQ516" s="379"/>
      <c r="PBR516" s="379"/>
      <c r="PBS516" s="13"/>
      <c r="PBT516" s="13"/>
      <c r="PBU516" s="193"/>
      <c r="PBV516" s="379"/>
      <c r="PBW516" s="379"/>
      <c r="PBX516" s="379"/>
      <c r="PBY516" s="379"/>
      <c r="PBZ516" s="379"/>
      <c r="PCA516" s="13"/>
      <c r="PCB516" s="13"/>
      <c r="PCC516" s="193"/>
      <c r="PCD516" s="379"/>
      <c r="PCE516" s="379"/>
      <c r="PCF516" s="379"/>
      <c r="PCG516" s="379"/>
      <c r="PCH516" s="379"/>
      <c r="PCI516" s="13"/>
      <c r="PCJ516" s="13"/>
      <c r="PCK516" s="193"/>
      <c r="PCL516" s="379"/>
      <c r="PCM516" s="379"/>
      <c r="PCN516" s="379"/>
      <c r="PCO516" s="379"/>
      <c r="PCP516" s="379"/>
      <c r="PCQ516" s="13"/>
      <c r="PCR516" s="13"/>
      <c r="PCS516" s="193"/>
      <c r="PCT516" s="379"/>
      <c r="PCU516" s="379"/>
      <c r="PCV516" s="379"/>
      <c r="PCW516" s="379"/>
      <c r="PCX516" s="379"/>
      <c r="PCY516" s="13"/>
      <c r="PCZ516" s="13"/>
      <c r="PDA516" s="193"/>
      <c r="PDB516" s="379"/>
      <c r="PDC516" s="379"/>
      <c r="PDD516" s="379"/>
      <c r="PDE516" s="379"/>
      <c r="PDF516" s="379"/>
      <c r="PDG516" s="13"/>
      <c r="PDH516" s="13"/>
      <c r="PDI516" s="193"/>
      <c r="PDJ516" s="379"/>
      <c r="PDK516" s="379"/>
      <c r="PDL516" s="379"/>
      <c r="PDM516" s="379"/>
      <c r="PDN516" s="379"/>
      <c r="PDO516" s="13"/>
      <c r="PDP516" s="13"/>
      <c r="PDQ516" s="193"/>
      <c r="PDR516" s="379"/>
      <c r="PDS516" s="379"/>
      <c r="PDT516" s="379"/>
      <c r="PDU516" s="379"/>
      <c r="PDV516" s="379"/>
      <c r="PDW516" s="13"/>
      <c r="PDX516" s="13"/>
      <c r="PDY516" s="193"/>
      <c r="PDZ516" s="379"/>
      <c r="PEA516" s="379"/>
      <c r="PEB516" s="379"/>
      <c r="PEC516" s="379"/>
      <c r="PED516" s="379"/>
      <c r="PEE516" s="13"/>
      <c r="PEF516" s="13"/>
      <c r="PEG516" s="193"/>
      <c r="PEH516" s="379"/>
      <c r="PEI516" s="379"/>
      <c r="PEJ516" s="379"/>
      <c r="PEK516" s="379"/>
      <c r="PEL516" s="379"/>
      <c r="PEM516" s="13"/>
      <c r="PEN516" s="13"/>
      <c r="PEO516" s="193"/>
      <c r="PEP516" s="379"/>
      <c r="PEQ516" s="379"/>
      <c r="PER516" s="379"/>
      <c r="PES516" s="379"/>
      <c r="PET516" s="379"/>
      <c r="PEU516" s="13"/>
      <c r="PEV516" s="13"/>
      <c r="PEW516" s="193"/>
      <c r="PEX516" s="379"/>
      <c r="PEY516" s="379"/>
      <c r="PEZ516" s="379"/>
      <c r="PFA516" s="379"/>
      <c r="PFB516" s="379"/>
      <c r="PFC516" s="13"/>
      <c r="PFD516" s="13"/>
      <c r="PFE516" s="193"/>
      <c r="PFF516" s="379"/>
      <c r="PFG516" s="379"/>
      <c r="PFH516" s="379"/>
      <c r="PFI516" s="379"/>
      <c r="PFJ516" s="379"/>
      <c r="PFK516" s="13"/>
      <c r="PFL516" s="13"/>
      <c r="PFM516" s="193"/>
      <c r="PFN516" s="379"/>
      <c r="PFO516" s="379"/>
      <c r="PFP516" s="379"/>
      <c r="PFQ516" s="379"/>
      <c r="PFR516" s="379"/>
      <c r="PFS516" s="13"/>
      <c r="PFT516" s="13"/>
      <c r="PFU516" s="193"/>
      <c r="PFV516" s="379"/>
      <c r="PFW516" s="379"/>
      <c r="PFX516" s="379"/>
      <c r="PFY516" s="379"/>
      <c r="PFZ516" s="379"/>
      <c r="PGA516" s="13"/>
      <c r="PGB516" s="13"/>
      <c r="PGC516" s="193"/>
      <c r="PGD516" s="379"/>
      <c r="PGE516" s="379"/>
      <c r="PGF516" s="379"/>
      <c r="PGG516" s="379"/>
      <c r="PGH516" s="379"/>
      <c r="PGI516" s="13"/>
      <c r="PGJ516" s="13"/>
      <c r="PGK516" s="193"/>
      <c r="PGL516" s="379"/>
      <c r="PGM516" s="379"/>
      <c r="PGN516" s="379"/>
      <c r="PGO516" s="379"/>
      <c r="PGP516" s="379"/>
      <c r="PGQ516" s="13"/>
      <c r="PGR516" s="13"/>
      <c r="PGS516" s="193"/>
      <c r="PGT516" s="379"/>
      <c r="PGU516" s="379"/>
      <c r="PGV516" s="379"/>
      <c r="PGW516" s="379"/>
      <c r="PGX516" s="379"/>
      <c r="PGY516" s="13"/>
      <c r="PGZ516" s="13"/>
      <c r="PHA516" s="193"/>
      <c r="PHB516" s="379"/>
      <c r="PHC516" s="379"/>
      <c r="PHD516" s="379"/>
      <c r="PHE516" s="379"/>
      <c r="PHF516" s="379"/>
      <c r="PHG516" s="13"/>
      <c r="PHH516" s="13"/>
      <c r="PHI516" s="193"/>
      <c r="PHJ516" s="379"/>
      <c r="PHK516" s="379"/>
      <c r="PHL516" s="379"/>
      <c r="PHM516" s="379"/>
      <c r="PHN516" s="379"/>
      <c r="PHO516" s="13"/>
      <c r="PHP516" s="13"/>
      <c r="PHQ516" s="193"/>
      <c r="PHR516" s="379"/>
      <c r="PHS516" s="379"/>
      <c r="PHT516" s="379"/>
      <c r="PHU516" s="379"/>
      <c r="PHV516" s="379"/>
      <c r="PHW516" s="13"/>
      <c r="PHX516" s="13"/>
      <c r="PHY516" s="193"/>
      <c r="PHZ516" s="379"/>
      <c r="PIA516" s="379"/>
      <c r="PIB516" s="379"/>
      <c r="PIC516" s="379"/>
      <c r="PID516" s="379"/>
      <c r="PIE516" s="13"/>
      <c r="PIF516" s="13"/>
      <c r="PIG516" s="193"/>
      <c r="PIH516" s="379"/>
      <c r="PII516" s="379"/>
      <c r="PIJ516" s="379"/>
      <c r="PIK516" s="379"/>
      <c r="PIL516" s="379"/>
      <c r="PIM516" s="13"/>
      <c r="PIN516" s="13"/>
      <c r="PIO516" s="193"/>
      <c r="PIP516" s="379"/>
      <c r="PIQ516" s="379"/>
      <c r="PIR516" s="379"/>
      <c r="PIS516" s="379"/>
      <c r="PIT516" s="379"/>
      <c r="PIU516" s="13"/>
      <c r="PIV516" s="13"/>
      <c r="PIW516" s="193"/>
      <c r="PIX516" s="379"/>
      <c r="PIY516" s="379"/>
      <c r="PIZ516" s="379"/>
      <c r="PJA516" s="379"/>
      <c r="PJB516" s="379"/>
      <c r="PJC516" s="13"/>
      <c r="PJD516" s="13"/>
      <c r="PJE516" s="193"/>
      <c r="PJF516" s="379"/>
      <c r="PJG516" s="379"/>
      <c r="PJH516" s="379"/>
      <c r="PJI516" s="379"/>
      <c r="PJJ516" s="379"/>
      <c r="PJK516" s="13"/>
      <c r="PJL516" s="13"/>
      <c r="PJM516" s="193"/>
      <c r="PJN516" s="379"/>
      <c r="PJO516" s="379"/>
      <c r="PJP516" s="379"/>
      <c r="PJQ516" s="379"/>
      <c r="PJR516" s="379"/>
      <c r="PJS516" s="13"/>
      <c r="PJT516" s="13"/>
      <c r="PJU516" s="193"/>
      <c r="PJV516" s="379"/>
      <c r="PJW516" s="379"/>
      <c r="PJX516" s="379"/>
      <c r="PJY516" s="379"/>
      <c r="PJZ516" s="379"/>
      <c r="PKA516" s="13"/>
      <c r="PKB516" s="13"/>
      <c r="PKC516" s="193"/>
      <c r="PKD516" s="379"/>
      <c r="PKE516" s="379"/>
      <c r="PKF516" s="379"/>
      <c r="PKG516" s="379"/>
      <c r="PKH516" s="379"/>
      <c r="PKI516" s="13"/>
      <c r="PKJ516" s="13"/>
      <c r="PKK516" s="193"/>
      <c r="PKL516" s="379"/>
      <c r="PKM516" s="379"/>
      <c r="PKN516" s="379"/>
      <c r="PKO516" s="379"/>
      <c r="PKP516" s="379"/>
      <c r="PKQ516" s="13"/>
      <c r="PKR516" s="13"/>
      <c r="PKS516" s="193"/>
      <c r="PKT516" s="379"/>
      <c r="PKU516" s="379"/>
      <c r="PKV516" s="379"/>
      <c r="PKW516" s="379"/>
      <c r="PKX516" s="379"/>
      <c r="PKY516" s="13"/>
      <c r="PKZ516" s="13"/>
      <c r="PLA516" s="193"/>
      <c r="PLB516" s="379"/>
      <c r="PLC516" s="379"/>
      <c r="PLD516" s="379"/>
      <c r="PLE516" s="379"/>
      <c r="PLF516" s="379"/>
      <c r="PLG516" s="13"/>
      <c r="PLH516" s="13"/>
      <c r="PLI516" s="193"/>
      <c r="PLJ516" s="379"/>
      <c r="PLK516" s="379"/>
      <c r="PLL516" s="379"/>
      <c r="PLM516" s="379"/>
      <c r="PLN516" s="379"/>
      <c r="PLO516" s="13"/>
      <c r="PLP516" s="13"/>
      <c r="PLQ516" s="193"/>
      <c r="PLR516" s="379"/>
      <c r="PLS516" s="379"/>
      <c r="PLT516" s="379"/>
      <c r="PLU516" s="379"/>
      <c r="PLV516" s="379"/>
      <c r="PLW516" s="13"/>
      <c r="PLX516" s="13"/>
      <c r="PLY516" s="193"/>
      <c r="PLZ516" s="379"/>
      <c r="PMA516" s="379"/>
      <c r="PMB516" s="379"/>
      <c r="PMC516" s="379"/>
      <c r="PMD516" s="379"/>
      <c r="PME516" s="13"/>
      <c r="PMF516" s="13"/>
      <c r="PMG516" s="193"/>
      <c r="PMH516" s="379"/>
      <c r="PMI516" s="379"/>
      <c r="PMJ516" s="379"/>
      <c r="PMK516" s="379"/>
      <c r="PML516" s="379"/>
      <c r="PMM516" s="13"/>
      <c r="PMN516" s="13"/>
      <c r="PMO516" s="193"/>
      <c r="PMP516" s="379"/>
      <c r="PMQ516" s="379"/>
      <c r="PMR516" s="379"/>
      <c r="PMS516" s="379"/>
      <c r="PMT516" s="379"/>
      <c r="PMU516" s="13"/>
      <c r="PMV516" s="13"/>
      <c r="PMW516" s="193"/>
      <c r="PMX516" s="379"/>
      <c r="PMY516" s="379"/>
      <c r="PMZ516" s="379"/>
      <c r="PNA516" s="379"/>
      <c r="PNB516" s="379"/>
      <c r="PNC516" s="13"/>
      <c r="PND516" s="13"/>
      <c r="PNE516" s="193"/>
      <c r="PNF516" s="379"/>
      <c r="PNG516" s="379"/>
      <c r="PNH516" s="379"/>
      <c r="PNI516" s="379"/>
      <c r="PNJ516" s="379"/>
      <c r="PNK516" s="13"/>
      <c r="PNL516" s="13"/>
      <c r="PNM516" s="193"/>
      <c r="PNN516" s="379"/>
      <c r="PNO516" s="379"/>
      <c r="PNP516" s="379"/>
      <c r="PNQ516" s="379"/>
      <c r="PNR516" s="379"/>
      <c r="PNS516" s="13"/>
      <c r="PNT516" s="13"/>
      <c r="PNU516" s="193"/>
      <c r="PNV516" s="379"/>
      <c r="PNW516" s="379"/>
      <c r="PNX516" s="379"/>
      <c r="PNY516" s="379"/>
      <c r="PNZ516" s="379"/>
      <c r="POA516" s="13"/>
      <c r="POB516" s="13"/>
      <c r="POC516" s="193"/>
      <c r="POD516" s="379"/>
      <c r="POE516" s="379"/>
      <c r="POF516" s="379"/>
      <c r="POG516" s="379"/>
      <c r="POH516" s="379"/>
      <c r="POI516" s="13"/>
      <c r="POJ516" s="13"/>
      <c r="POK516" s="193"/>
      <c r="POL516" s="379"/>
      <c r="POM516" s="379"/>
      <c r="PON516" s="379"/>
      <c r="POO516" s="379"/>
      <c r="POP516" s="379"/>
      <c r="POQ516" s="13"/>
      <c r="POR516" s="13"/>
      <c r="POS516" s="193"/>
      <c r="POT516" s="379"/>
      <c r="POU516" s="379"/>
      <c r="POV516" s="379"/>
      <c r="POW516" s="379"/>
      <c r="POX516" s="379"/>
      <c r="POY516" s="13"/>
      <c r="POZ516" s="13"/>
      <c r="PPA516" s="193"/>
      <c r="PPB516" s="379"/>
      <c r="PPC516" s="379"/>
      <c r="PPD516" s="379"/>
      <c r="PPE516" s="379"/>
      <c r="PPF516" s="379"/>
      <c r="PPG516" s="13"/>
      <c r="PPH516" s="13"/>
      <c r="PPI516" s="193"/>
      <c r="PPJ516" s="379"/>
      <c r="PPK516" s="379"/>
      <c r="PPL516" s="379"/>
      <c r="PPM516" s="379"/>
      <c r="PPN516" s="379"/>
      <c r="PPO516" s="13"/>
      <c r="PPP516" s="13"/>
      <c r="PPQ516" s="193"/>
      <c r="PPR516" s="379"/>
      <c r="PPS516" s="379"/>
      <c r="PPT516" s="379"/>
      <c r="PPU516" s="379"/>
      <c r="PPV516" s="379"/>
      <c r="PPW516" s="13"/>
      <c r="PPX516" s="13"/>
      <c r="PPY516" s="193"/>
      <c r="PPZ516" s="379"/>
      <c r="PQA516" s="379"/>
      <c r="PQB516" s="379"/>
      <c r="PQC516" s="379"/>
      <c r="PQD516" s="379"/>
      <c r="PQE516" s="13"/>
      <c r="PQF516" s="13"/>
      <c r="PQG516" s="193"/>
      <c r="PQH516" s="379"/>
      <c r="PQI516" s="379"/>
      <c r="PQJ516" s="379"/>
      <c r="PQK516" s="379"/>
      <c r="PQL516" s="379"/>
      <c r="PQM516" s="13"/>
      <c r="PQN516" s="13"/>
      <c r="PQO516" s="193"/>
      <c r="PQP516" s="379"/>
      <c r="PQQ516" s="379"/>
      <c r="PQR516" s="379"/>
      <c r="PQS516" s="379"/>
      <c r="PQT516" s="379"/>
      <c r="PQU516" s="13"/>
      <c r="PQV516" s="13"/>
      <c r="PQW516" s="193"/>
      <c r="PQX516" s="379"/>
      <c r="PQY516" s="379"/>
      <c r="PQZ516" s="379"/>
      <c r="PRA516" s="379"/>
      <c r="PRB516" s="379"/>
      <c r="PRC516" s="13"/>
      <c r="PRD516" s="13"/>
      <c r="PRE516" s="193"/>
      <c r="PRF516" s="379"/>
      <c r="PRG516" s="379"/>
      <c r="PRH516" s="379"/>
      <c r="PRI516" s="379"/>
      <c r="PRJ516" s="379"/>
      <c r="PRK516" s="13"/>
      <c r="PRL516" s="13"/>
      <c r="PRM516" s="193"/>
      <c r="PRN516" s="379"/>
      <c r="PRO516" s="379"/>
      <c r="PRP516" s="379"/>
      <c r="PRQ516" s="379"/>
      <c r="PRR516" s="379"/>
      <c r="PRS516" s="13"/>
      <c r="PRT516" s="13"/>
      <c r="PRU516" s="193"/>
      <c r="PRV516" s="379"/>
      <c r="PRW516" s="379"/>
      <c r="PRX516" s="379"/>
      <c r="PRY516" s="379"/>
      <c r="PRZ516" s="379"/>
      <c r="PSA516" s="13"/>
      <c r="PSB516" s="13"/>
      <c r="PSC516" s="193"/>
      <c r="PSD516" s="379"/>
      <c r="PSE516" s="379"/>
      <c r="PSF516" s="379"/>
      <c r="PSG516" s="379"/>
      <c r="PSH516" s="379"/>
      <c r="PSI516" s="13"/>
      <c r="PSJ516" s="13"/>
      <c r="PSK516" s="193"/>
      <c r="PSL516" s="379"/>
      <c r="PSM516" s="379"/>
      <c r="PSN516" s="379"/>
      <c r="PSO516" s="379"/>
      <c r="PSP516" s="379"/>
      <c r="PSQ516" s="13"/>
      <c r="PSR516" s="13"/>
      <c r="PSS516" s="193"/>
      <c r="PST516" s="379"/>
      <c r="PSU516" s="379"/>
      <c r="PSV516" s="379"/>
      <c r="PSW516" s="379"/>
      <c r="PSX516" s="379"/>
      <c r="PSY516" s="13"/>
      <c r="PSZ516" s="13"/>
      <c r="PTA516" s="193"/>
      <c r="PTB516" s="379"/>
      <c r="PTC516" s="379"/>
      <c r="PTD516" s="379"/>
      <c r="PTE516" s="379"/>
      <c r="PTF516" s="379"/>
      <c r="PTG516" s="13"/>
      <c r="PTH516" s="13"/>
      <c r="PTI516" s="193"/>
      <c r="PTJ516" s="379"/>
      <c r="PTK516" s="379"/>
      <c r="PTL516" s="379"/>
      <c r="PTM516" s="379"/>
      <c r="PTN516" s="379"/>
      <c r="PTO516" s="13"/>
      <c r="PTP516" s="13"/>
      <c r="PTQ516" s="193"/>
      <c r="PTR516" s="379"/>
      <c r="PTS516" s="379"/>
      <c r="PTT516" s="379"/>
      <c r="PTU516" s="379"/>
      <c r="PTV516" s="379"/>
      <c r="PTW516" s="13"/>
      <c r="PTX516" s="13"/>
      <c r="PTY516" s="193"/>
      <c r="PTZ516" s="379"/>
      <c r="PUA516" s="379"/>
      <c r="PUB516" s="379"/>
      <c r="PUC516" s="379"/>
      <c r="PUD516" s="379"/>
      <c r="PUE516" s="13"/>
      <c r="PUF516" s="13"/>
      <c r="PUG516" s="193"/>
      <c r="PUH516" s="379"/>
      <c r="PUI516" s="379"/>
      <c r="PUJ516" s="379"/>
      <c r="PUK516" s="379"/>
      <c r="PUL516" s="379"/>
      <c r="PUM516" s="13"/>
      <c r="PUN516" s="13"/>
      <c r="PUO516" s="193"/>
      <c r="PUP516" s="379"/>
      <c r="PUQ516" s="379"/>
      <c r="PUR516" s="379"/>
      <c r="PUS516" s="379"/>
      <c r="PUT516" s="379"/>
      <c r="PUU516" s="13"/>
      <c r="PUV516" s="13"/>
      <c r="PUW516" s="193"/>
      <c r="PUX516" s="379"/>
      <c r="PUY516" s="379"/>
      <c r="PUZ516" s="379"/>
      <c r="PVA516" s="379"/>
      <c r="PVB516" s="379"/>
      <c r="PVC516" s="13"/>
      <c r="PVD516" s="13"/>
      <c r="PVE516" s="193"/>
      <c r="PVF516" s="379"/>
      <c r="PVG516" s="379"/>
      <c r="PVH516" s="379"/>
      <c r="PVI516" s="379"/>
      <c r="PVJ516" s="379"/>
      <c r="PVK516" s="13"/>
      <c r="PVL516" s="13"/>
      <c r="PVM516" s="193"/>
      <c r="PVN516" s="379"/>
      <c r="PVO516" s="379"/>
      <c r="PVP516" s="379"/>
      <c r="PVQ516" s="379"/>
      <c r="PVR516" s="379"/>
      <c r="PVS516" s="13"/>
      <c r="PVT516" s="13"/>
      <c r="PVU516" s="193"/>
      <c r="PVV516" s="379"/>
      <c r="PVW516" s="379"/>
      <c r="PVX516" s="379"/>
      <c r="PVY516" s="379"/>
      <c r="PVZ516" s="379"/>
      <c r="PWA516" s="13"/>
      <c r="PWB516" s="13"/>
      <c r="PWC516" s="193"/>
      <c r="PWD516" s="379"/>
      <c r="PWE516" s="379"/>
      <c r="PWF516" s="379"/>
      <c r="PWG516" s="379"/>
      <c r="PWH516" s="379"/>
      <c r="PWI516" s="13"/>
      <c r="PWJ516" s="13"/>
      <c r="PWK516" s="193"/>
      <c r="PWL516" s="379"/>
      <c r="PWM516" s="379"/>
      <c r="PWN516" s="379"/>
      <c r="PWO516" s="379"/>
      <c r="PWP516" s="379"/>
      <c r="PWQ516" s="13"/>
      <c r="PWR516" s="13"/>
      <c r="PWS516" s="193"/>
      <c r="PWT516" s="379"/>
      <c r="PWU516" s="379"/>
      <c r="PWV516" s="379"/>
      <c r="PWW516" s="379"/>
      <c r="PWX516" s="379"/>
      <c r="PWY516" s="13"/>
      <c r="PWZ516" s="13"/>
      <c r="PXA516" s="193"/>
      <c r="PXB516" s="379"/>
      <c r="PXC516" s="379"/>
      <c r="PXD516" s="379"/>
      <c r="PXE516" s="379"/>
      <c r="PXF516" s="379"/>
      <c r="PXG516" s="13"/>
      <c r="PXH516" s="13"/>
      <c r="PXI516" s="193"/>
      <c r="PXJ516" s="379"/>
      <c r="PXK516" s="379"/>
      <c r="PXL516" s="379"/>
      <c r="PXM516" s="379"/>
      <c r="PXN516" s="379"/>
      <c r="PXO516" s="13"/>
      <c r="PXP516" s="13"/>
      <c r="PXQ516" s="193"/>
      <c r="PXR516" s="379"/>
      <c r="PXS516" s="379"/>
      <c r="PXT516" s="379"/>
      <c r="PXU516" s="379"/>
      <c r="PXV516" s="379"/>
      <c r="PXW516" s="13"/>
      <c r="PXX516" s="13"/>
      <c r="PXY516" s="193"/>
      <c r="PXZ516" s="379"/>
      <c r="PYA516" s="379"/>
      <c r="PYB516" s="379"/>
      <c r="PYC516" s="379"/>
      <c r="PYD516" s="379"/>
      <c r="PYE516" s="13"/>
      <c r="PYF516" s="13"/>
      <c r="PYG516" s="193"/>
      <c r="PYH516" s="379"/>
      <c r="PYI516" s="379"/>
      <c r="PYJ516" s="379"/>
      <c r="PYK516" s="379"/>
      <c r="PYL516" s="379"/>
      <c r="PYM516" s="13"/>
      <c r="PYN516" s="13"/>
      <c r="PYO516" s="193"/>
      <c r="PYP516" s="379"/>
      <c r="PYQ516" s="379"/>
      <c r="PYR516" s="379"/>
      <c r="PYS516" s="379"/>
      <c r="PYT516" s="379"/>
      <c r="PYU516" s="13"/>
      <c r="PYV516" s="13"/>
      <c r="PYW516" s="193"/>
      <c r="PYX516" s="379"/>
      <c r="PYY516" s="379"/>
      <c r="PYZ516" s="379"/>
      <c r="PZA516" s="379"/>
      <c r="PZB516" s="379"/>
      <c r="PZC516" s="13"/>
      <c r="PZD516" s="13"/>
      <c r="PZE516" s="193"/>
      <c r="PZF516" s="379"/>
      <c r="PZG516" s="379"/>
      <c r="PZH516" s="379"/>
      <c r="PZI516" s="379"/>
      <c r="PZJ516" s="379"/>
      <c r="PZK516" s="13"/>
      <c r="PZL516" s="13"/>
      <c r="PZM516" s="193"/>
      <c r="PZN516" s="379"/>
      <c r="PZO516" s="379"/>
      <c r="PZP516" s="379"/>
      <c r="PZQ516" s="379"/>
      <c r="PZR516" s="379"/>
      <c r="PZS516" s="13"/>
      <c r="PZT516" s="13"/>
      <c r="PZU516" s="193"/>
      <c r="PZV516" s="379"/>
      <c r="PZW516" s="379"/>
      <c r="PZX516" s="379"/>
      <c r="PZY516" s="379"/>
      <c r="PZZ516" s="379"/>
      <c r="QAA516" s="13"/>
      <c r="QAB516" s="13"/>
      <c r="QAC516" s="193"/>
      <c r="QAD516" s="379"/>
      <c r="QAE516" s="379"/>
      <c r="QAF516" s="379"/>
      <c r="QAG516" s="379"/>
      <c r="QAH516" s="379"/>
      <c r="QAI516" s="13"/>
      <c r="QAJ516" s="13"/>
      <c r="QAK516" s="193"/>
      <c r="QAL516" s="379"/>
      <c r="QAM516" s="379"/>
      <c r="QAN516" s="379"/>
      <c r="QAO516" s="379"/>
      <c r="QAP516" s="379"/>
      <c r="QAQ516" s="13"/>
      <c r="QAR516" s="13"/>
      <c r="QAS516" s="193"/>
      <c r="QAT516" s="379"/>
      <c r="QAU516" s="379"/>
      <c r="QAV516" s="379"/>
      <c r="QAW516" s="379"/>
      <c r="QAX516" s="379"/>
      <c r="QAY516" s="13"/>
      <c r="QAZ516" s="13"/>
      <c r="QBA516" s="193"/>
      <c r="QBB516" s="379"/>
      <c r="QBC516" s="379"/>
      <c r="QBD516" s="379"/>
      <c r="QBE516" s="379"/>
      <c r="QBF516" s="379"/>
      <c r="QBG516" s="13"/>
      <c r="QBH516" s="13"/>
      <c r="QBI516" s="193"/>
      <c r="QBJ516" s="379"/>
      <c r="QBK516" s="379"/>
      <c r="QBL516" s="379"/>
      <c r="QBM516" s="379"/>
      <c r="QBN516" s="379"/>
      <c r="QBO516" s="13"/>
      <c r="QBP516" s="13"/>
      <c r="QBQ516" s="193"/>
      <c r="QBR516" s="379"/>
      <c r="QBS516" s="379"/>
      <c r="QBT516" s="379"/>
      <c r="QBU516" s="379"/>
      <c r="QBV516" s="379"/>
      <c r="QBW516" s="13"/>
      <c r="QBX516" s="13"/>
      <c r="QBY516" s="193"/>
      <c r="QBZ516" s="379"/>
      <c r="QCA516" s="379"/>
      <c r="QCB516" s="379"/>
      <c r="QCC516" s="379"/>
      <c r="QCD516" s="379"/>
      <c r="QCE516" s="13"/>
      <c r="QCF516" s="13"/>
      <c r="QCG516" s="193"/>
      <c r="QCH516" s="379"/>
      <c r="QCI516" s="379"/>
      <c r="QCJ516" s="379"/>
      <c r="QCK516" s="379"/>
      <c r="QCL516" s="379"/>
      <c r="QCM516" s="13"/>
      <c r="QCN516" s="13"/>
      <c r="QCO516" s="193"/>
      <c r="QCP516" s="379"/>
      <c r="QCQ516" s="379"/>
      <c r="QCR516" s="379"/>
      <c r="QCS516" s="379"/>
      <c r="QCT516" s="379"/>
      <c r="QCU516" s="13"/>
      <c r="QCV516" s="13"/>
      <c r="QCW516" s="193"/>
      <c r="QCX516" s="379"/>
      <c r="QCY516" s="379"/>
      <c r="QCZ516" s="379"/>
      <c r="QDA516" s="379"/>
      <c r="QDB516" s="379"/>
      <c r="QDC516" s="13"/>
      <c r="QDD516" s="13"/>
      <c r="QDE516" s="193"/>
      <c r="QDF516" s="379"/>
      <c r="QDG516" s="379"/>
      <c r="QDH516" s="379"/>
      <c r="QDI516" s="379"/>
      <c r="QDJ516" s="379"/>
      <c r="QDK516" s="13"/>
      <c r="QDL516" s="13"/>
      <c r="QDM516" s="193"/>
      <c r="QDN516" s="379"/>
      <c r="QDO516" s="379"/>
      <c r="QDP516" s="379"/>
      <c r="QDQ516" s="379"/>
      <c r="QDR516" s="379"/>
      <c r="QDS516" s="13"/>
      <c r="QDT516" s="13"/>
      <c r="QDU516" s="193"/>
      <c r="QDV516" s="379"/>
      <c r="QDW516" s="379"/>
      <c r="QDX516" s="379"/>
      <c r="QDY516" s="379"/>
      <c r="QDZ516" s="379"/>
      <c r="QEA516" s="13"/>
      <c r="QEB516" s="13"/>
      <c r="QEC516" s="193"/>
      <c r="QED516" s="379"/>
      <c r="QEE516" s="379"/>
      <c r="QEF516" s="379"/>
      <c r="QEG516" s="379"/>
      <c r="QEH516" s="379"/>
      <c r="QEI516" s="13"/>
      <c r="QEJ516" s="13"/>
      <c r="QEK516" s="193"/>
      <c r="QEL516" s="379"/>
      <c r="QEM516" s="379"/>
      <c r="QEN516" s="379"/>
      <c r="QEO516" s="379"/>
      <c r="QEP516" s="379"/>
      <c r="QEQ516" s="13"/>
      <c r="QER516" s="13"/>
      <c r="QES516" s="193"/>
      <c r="QET516" s="379"/>
      <c r="QEU516" s="379"/>
      <c r="QEV516" s="379"/>
      <c r="QEW516" s="379"/>
      <c r="QEX516" s="379"/>
      <c r="QEY516" s="13"/>
      <c r="QEZ516" s="13"/>
      <c r="QFA516" s="193"/>
      <c r="QFB516" s="379"/>
      <c r="QFC516" s="379"/>
      <c r="QFD516" s="379"/>
      <c r="QFE516" s="379"/>
      <c r="QFF516" s="379"/>
      <c r="QFG516" s="13"/>
      <c r="QFH516" s="13"/>
      <c r="QFI516" s="193"/>
      <c r="QFJ516" s="379"/>
      <c r="QFK516" s="379"/>
      <c r="QFL516" s="379"/>
      <c r="QFM516" s="379"/>
      <c r="QFN516" s="379"/>
      <c r="QFO516" s="13"/>
      <c r="QFP516" s="13"/>
      <c r="QFQ516" s="193"/>
      <c r="QFR516" s="379"/>
      <c r="QFS516" s="379"/>
      <c r="QFT516" s="379"/>
      <c r="QFU516" s="379"/>
      <c r="QFV516" s="379"/>
      <c r="QFW516" s="13"/>
      <c r="QFX516" s="13"/>
      <c r="QFY516" s="193"/>
      <c r="QFZ516" s="379"/>
      <c r="QGA516" s="379"/>
      <c r="QGB516" s="379"/>
      <c r="QGC516" s="379"/>
      <c r="QGD516" s="379"/>
      <c r="QGE516" s="13"/>
      <c r="QGF516" s="13"/>
      <c r="QGG516" s="193"/>
      <c r="QGH516" s="379"/>
      <c r="QGI516" s="379"/>
      <c r="QGJ516" s="379"/>
      <c r="QGK516" s="379"/>
      <c r="QGL516" s="379"/>
      <c r="QGM516" s="13"/>
      <c r="QGN516" s="13"/>
      <c r="QGO516" s="193"/>
      <c r="QGP516" s="379"/>
      <c r="QGQ516" s="379"/>
      <c r="QGR516" s="379"/>
      <c r="QGS516" s="379"/>
      <c r="QGT516" s="379"/>
      <c r="QGU516" s="13"/>
      <c r="QGV516" s="13"/>
      <c r="QGW516" s="193"/>
      <c r="QGX516" s="379"/>
      <c r="QGY516" s="379"/>
      <c r="QGZ516" s="379"/>
      <c r="QHA516" s="379"/>
      <c r="QHB516" s="379"/>
      <c r="QHC516" s="13"/>
      <c r="QHD516" s="13"/>
      <c r="QHE516" s="193"/>
      <c r="QHF516" s="379"/>
      <c r="QHG516" s="379"/>
      <c r="QHH516" s="379"/>
      <c r="QHI516" s="379"/>
      <c r="QHJ516" s="379"/>
      <c r="QHK516" s="13"/>
      <c r="QHL516" s="13"/>
      <c r="QHM516" s="193"/>
      <c r="QHN516" s="379"/>
      <c r="QHO516" s="379"/>
      <c r="QHP516" s="379"/>
      <c r="QHQ516" s="379"/>
      <c r="QHR516" s="379"/>
      <c r="QHS516" s="13"/>
      <c r="QHT516" s="13"/>
      <c r="QHU516" s="193"/>
      <c r="QHV516" s="379"/>
      <c r="QHW516" s="379"/>
      <c r="QHX516" s="379"/>
      <c r="QHY516" s="379"/>
      <c r="QHZ516" s="379"/>
      <c r="QIA516" s="13"/>
      <c r="QIB516" s="13"/>
      <c r="QIC516" s="193"/>
      <c r="QID516" s="379"/>
      <c r="QIE516" s="379"/>
      <c r="QIF516" s="379"/>
      <c r="QIG516" s="379"/>
      <c r="QIH516" s="379"/>
      <c r="QII516" s="13"/>
      <c r="QIJ516" s="13"/>
      <c r="QIK516" s="193"/>
      <c r="QIL516" s="379"/>
      <c r="QIM516" s="379"/>
      <c r="QIN516" s="379"/>
      <c r="QIO516" s="379"/>
      <c r="QIP516" s="379"/>
      <c r="QIQ516" s="13"/>
      <c r="QIR516" s="13"/>
      <c r="QIS516" s="193"/>
      <c r="QIT516" s="379"/>
      <c r="QIU516" s="379"/>
      <c r="QIV516" s="379"/>
      <c r="QIW516" s="379"/>
      <c r="QIX516" s="379"/>
      <c r="QIY516" s="13"/>
      <c r="QIZ516" s="13"/>
      <c r="QJA516" s="193"/>
      <c r="QJB516" s="379"/>
      <c r="QJC516" s="379"/>
      <c r="QJD516" s="379"/>
      <c r="QJE516" s="379"/>
      <c r="QJF516" s="379"/>
      <c r="QJG516" s="13"/>
      <c r="QJH516" s="13"/>
      <c r="QJI516" s="193"/>
      <c r="QJJ516" s="379"/>
      <c r="QJK516" s="379"/>
      <c r="QJL516" s="379"/>
      <c r="QJM516" s="379"/>
      <c r="QJN516" s="379"/>
      <c r="QJO516" s="13"/>
      <c r="QJP516" s="13"/>
      <c r="QJQ516" s="193"/>
      <c r="QJR516" s="379"/>
      <c r="QJS516" s="379"/>
      <c r="QJT516" s="379"/>
      <c r="QJU516" s="379"/>
      <c r="QJV516" s="379"/>
      <c r="QJW516" s="13"/>
      <c r="QJX516" s="13"/>
      <c r="QJY516" s="193"/>
      <c r="QJZ516" s="379"/>
      <c r="QKA516" s="379"/>
      <c r="QKB516" s="379"/>
      <c r="QKC516" s="379"/>
      <c r="QKD516" s="379"/>
      <c r="QKE516" s="13"/>
      <c r="QKF516" s="13"/>
      <c r="QKG516" s="193"/>
      <c r="QKH516" s="379"/>
      <c r="QKI516" s="379"/>
      <c r="QKJ516" s="379"/>
      <c r="QKK516" s="379"/>
      <c r="QKL516" s="379"/>
      <c r="QKM516" s="13"/>
      <c r="QKN516" s="13"/>
      <c r="QKO516" s="193"/>
      <c r="QKP516" s="379"/>
      <c r="QKQ516" s="379"/>
      <c r="QKR516" s="379"/>
      <c r="QKS516" s="379"/>
      <c r="QKT516" s="379"/>
      <c r="QKU516" s="13"/>
      <c r="QKV516" s="13"/>
      <c r="QKW516" s="193"/>
      <c r="QKX516" s="379"/>
      <c r="QKY516" s="379"/>
      <c r="QKZ516" s="379"/>
      <c r="QLA516" s="379"/>
      <c r="QLB516" s="379"/>
      <c r="QLC516" s="13"/>
      <c r="QLD516" s="13"/>
      <c r="QLE516" s="193"/>
      <c r="QLF516" s="379"/>
      <c r="QLG516" s="379"/>
      <c r="QLH516" s="379"/>
      <c r="QLI516" s="379"/>
      <c r="QLJ516" s="379"/>
      <c r="QLK516" s="13"/>
      <c r="QLL516" s="13"/>
      <c r="QLM516" s="193"/>
      <c r="QLN516" s="379"/>
      <c r="QLO516" s="379"/>
      <c r="QLP516" s="379"/>
      <c r="QLQ516" s="379"/>
      <c r="QLR516" s="379"/>
      <c r="QLS516" s="13"/>
      <c r="QLT516" s="13"/>
      <c r="QLU516" s="193"/>
      <c r="QLV516" s="379"/>
      <c r="QLW516" s="379"/>
      <c r="QLX516" s="379"/>
      <c r="QLY516" s="379"/>
      <c r="QLZ516" s="379"/>
      <c r="QMA516" s="13"/>
      <c r="QMB516" s="13"/>
      <c r="QMC516" s="193"/>
      <c r="QMD516" s="379"/>
      <c r="QME516" s="379"/>
      <c r="QMF516" s="379"/>
      <c r="QMG516" s="379"/>
      <c r="QMH516" s="379"/>
      <c r="QMI516" s="13"/>
      <c r="QMJ516" s="13"/>
      <c r="QMK516" s="193"/>
      <c r="QML516" s="379"/>
      <c r="QMM516" s="379"/>
      <c r="QMN516" s="379"/>
      <c r="QMO516" s="379"/>
      <c r="QMP516" s="379"/>
      <c r="QMQ516" s="13"/>
      <c r="QMR516" s="13"/>
      <c r="QMS516" s="193"/>
      <c r="QMT516" s="379"/>
      <c r="QMU516" s="379"/>
      <c r="QMV516" s="379"/>
      <c r="QMW516" s="379"/>
      <c r="QMX516" s="379"/>
      <c r="QMY516" s="13"/>
      <c r="QMZ516" s="13"/>
      <c r="QNA516" s="193"/>
      <c r="QNB516" s="379"/>
      <c r="QNC516" s="379"/>
      <c r="QND516" s="379"/>
      <c r="QNE516" s="379"/>
      <c r="QNF516" s="379"/>
      <c r="QNG516" s="13"/>
      <c r="QNH516" s="13"/>
      <c r="QNI516" s="193"/>
      <c r="QNJ516" s="379"/>
      <c r="QNK516" s="379"/>
      <c r="QNL516" s="379"/>
      <c r="QNM516" s="379"/>
      <c r="QNN516" s="379"/>
      <c r="QNO516" s="13"/>
      <c r="QNP516" s="13"/>
      <c r="QNQ516" s="193"/>
      <c r="QNR516" s="379"/>
      <c r="QNS516" s="379"/>
      <c r="QNT516" s="379"/>
      <c r="QNU516" s="379"/>
      <c r="QNV516" s="379"/>
      <c r="QNW516" s="13"/>
      <c r="QNX516" s="13"/>
      <c r="QNY516" s="193"/>
      <c r="QNZ516" s="379"/>
      <c r="QOA516" s="379"/>
      <c r="QOB516" s="379"/>
      <c r="QOC516" s="379"/>
      <c r="QOD516" s="379"/>
      <c r="QOE516" s="13"/>
      <c r="QOF516" s="13"/>
      <c r="QOG516" s="193"/>
      <c r="QOH516" s="379"/>
      <c r="QOI516" s="379"/>
      <c r="QOJ516" s="379"/>
      <c r="QOK516" s="379"/>
      <c r="QOL516" s="379"/>
      <c r="QOM516" s="13"/>
      <c r="QON516" s="13"/>
      <c r="QOO516" s="193"/>
      <c r="QOP516" s="379"/>
      <c r="QOQ516" s="379"/>
      <c r="QOR516" s="379"/>
      <c r="QOS516" s="379"/>
      <c r="QOT516" s="379"/>
      <c r="QOU516" s="13"/>
      <c r="QOV516" s="13"/>
      <c r="QOW516" s="193"/>
      <c r="QOX516" s="379"/>
      <c r="QOY516" s="379"/>
      <c r="QOZ516" s="379"/>
      <c r="QPA516" s="379"/>
      <c r="QPB516" s="379"/>
      <c r="QPC516" s="13"/>
      <c r="QPD516" s="13"/>
      <c r="QPE516" s="193"/>
      <c r="QPF516" s="379"/>
      <c r="QPG516" s="379"/>
      <c r="QPH516" s="379"/>
      <c r="QPI516" s="379"/>
      <c r="QPJ516" s="379"/>
      <c r="QPK516" s="13"/>
      <c r="QPL516" s="13"/>
      <c r="QPM516" s="193"/>
      <c r="QPN516" s="379"/>
      <c r="QPO516" s="379"/>
      <c r="QPP516" s="379"/>
      <c r="QPQ516" s="379"/>
      <c r="QPR516" s="379"/>
      <c r="QPS516" s="13"/>
      <c r="QPT516" s="13"/>
      <c r="QPU516" s="193"/>
      <c r="QPV516" s="379"/>
      <c r="QPW516" s="379"/>
      <c r="QPX516" s="379"/>
      <c r="QPY516" s="379"/>
      <c r="QPZ516" s="379"/>
      <c r="QQA516" s="13"/>
      <c r="QQB516" s="13"/>
      <c r="QQC516" s="193"/>
      <c r="QQD516" s="379"/>
      <c r="QQE516" s="379"/>
      <c r="QQF516" s="379"/>
      <c r="QQG516" s="379"/>
      <c r="QQH516" s="379"/>
      <c r="QQI516" s="13"/>
      <c r="QQJ516" s="13"/>
      <c r="QQK516" s="193"/>
      <c r="QQL516" s="379"/>
      <c r="QQM516" s="379"/>
      <c r="QQN516" s="379"/>
      <c r="QQO516" s="379"/>
      <c r="QQP516" s="379"/>
      <c r="QQQ516" s="13"/>
      <c r="QQR516" s="13"/>
      <c r="QQS516" s="193"/>
      <c r="QQT516" s="379"/>
      <c r="QQU516" s="379"/>
      <c r="QQV516" s="379"/>
      <c r="QQW516" s="379"/>
      <c r="QQX516" s="379"/>
      <c r="QQY516" s="13"/>
      <c r="QQZ516" s="13"/>
      <c r="QRA516" s="193"/>
      <c r="QRB516" s="379"/>
      <c r="QRC516" s="379"/>
      <c r="QRD516" s="379"/>
      <c r="QRE516" s="379"/>
      <c r="QRF516" s="379"/>
      <c r="QRG516" s="13"/>
      <c r="QRH516" s="13"/>
      <c r="QRI516" s="193"/>
      <c r="QRJ516" s="379"/>
      <c r="QRK516" s="379"/>
      <c r="QRL516" s="379"/>
      <c r="QRM516" s="379"/>
      <c r="QRN516" s="379"/>
      <c r="QRO516" s="13"/>
      <c r="QRP516" s="13"/>
      <c r="QRQ516" s="193"/>
      <c r="QRR516" s="379"/>
      <c r="QRS516" s="379"/>
      <c r="QRT516" s="379"/>
      <c r="QRU516" s="379"/>
      <c r="QRV516" s="379"/>
      <c r="QRW516" s="13"/>
      <c r="QRX516" s="13"/>
      <c r="QRY516" s="193"/>
      <c r="QRZ516" s="379"/>
      <c r="QSA516" s="379"/>
      <c r="QSB516" s="379"/>
      <c r="QSC516" s="379"/>
      <c r="QSD516" s="379"/>
      <c r="QSE516" s="13"/>
      <c r="QSF516" s="13"/>
      <c r="QSG516" s="193"/>
      <c r="QSH516" s="379"/>
      <c r="QSI516" s="379"/>
      <c r="QSJ516" s="379"/>
      <c r="QSK516" s="379"/>
      <c r="QSL516" s="379"/>
      <c r="QSM516" s="13"/>
      <c r="QSN516" s="13"/>
      <c r="QSO516" s="193"/>
      <c r="QSP516" s="379"/>
      <c r="QSQ516" s="379"/>
      <c r="QSR516" s="379"/>
      <c r="QSS516" s="379"/>
      <c r="QST516" s="379"/>
      <c r="QSU516" s="13"/>
      <c r="QSV516" s="13"/>
      <c r="QSW516" s="193"/>
      <c r="QSX516" s="379"/>
      <c r="QSY516" s="379"/>
      <c r="QSZ516" s="379"/>
      <c r="QTA516" s="379"/>
      <c r="QTB516" s="379"/>
      <c r="QTC516" s="13"/>
      <c r="QTD516" s="13"/>
      <c r="QTE516" s="193"/>
      <c r="QTF516" s="379"/>
      <c r="QTG516" s="379"/>
      <c r="QTH516" s="379"/>
      <c r="QTI516" s="379"/>
      <c r="QTJ516" s="379"/>
      <c r="QTK516" s="13"/>
      <c r="QTL516" s="13"/>
      <c r="QTM516" s="193"/>
      <c r="QTN516" s="379"/>
      <c r="QTO516" s="379"/>
      <c r="QTP516" s="379"/>
      <c r="QTQ516" s="379"/>
      <c r="QTR516" s="379"/>
      <c r="QTS516" s="13"/>
      <c r="QTT516" s="13"/>
      <c r="QTU516" s="193"/>
      <c r="QTV516" s="379"/>
      <c r="QTW516" s="379"/>
      <c r="QTX516" s="379"/>
      <c r="QTY516" s="379"/>
      <c r="QTZ516" s="379"/>
      <c r="QUA516" s="13"/>
      <c r="QUB516" s="13"/>
      <c r="QUC516" s="193"/>
      <c r="QUD516" s="379"/>
      <c r="QUE516" s="379"/>
      <c r="QUF516" s="379"/>
      <c r="QUG516" s="379"/>
      <c r="QUH516" s="379"/>
      <c r="QUI516" s="13"/>
      <c r="QUJ516" s="13"/>
      <c r="QUK516" s="193"/>
      <c r="QUL516" s="379"/>
      <c r="QUM516" s="379"/>
      <c r="QUN516" s="379"/>
      <c r="QUO516" s="379"/>
      <c r="QUP516" s="379"/>
      <c r="QUQ516" s="13"/>
      <c r="QUR516" s="13"/>
      <c r="QUS516" s="193"/>
      <c r="QUT516" s="379"/>
      <c r="QUU516" s="379"/>
      <c r="QUV516" s="379"/>
      <c r="QUW516" s="379"/>
      <c r="QUX516" s="379"/>
      <c r="QUY516" s="13"/>
      <c r="QUZ516" s="13"/>
      <c r="QVA516" s="193"/>
      <c r="QVB516" s="379"/>
      <c r="QVC516" s="379"/>
      <c r="QVD516" s="379"/>
      <c r="QVE516" s="379"/>
      <c r="QVF516" s="379"/>
      <c r="QVG516" s="13"/>
      <c r="QVH516" s="13"/>
      <c r="QVI516" s="193"/>
      <c r="QVJ516" s="379"/>
      <c r="QVK516" s="379"/>
      <c r="QVL516" s="379"/>
      <c r="QVM516" s="379"/>
      <c r="QVN516" s="379"/>
      <c r="QVO516" s="13"/>
      <c r="QVP516" s="13"/>
      <c r="QVQ516" s="193"/>
      <c r="QVR516" s="379"/>
      <c r="QVS516" s="379"/>
      <c r="QVT516" s="379"/>
      <c r="QVU516" s="379"/>
      <c r="QVV516" s="379"/>
      <c r="QVW516" s="13"/>
      <c r="QVX516" s="13"/>
      <c r="QVY516" s="193"/>
      <c r="QVZ516" s="379"/>
      <c r="QWA516" s="379"/>
      <c r="QWB516" s="379"/>
      <c r="QWC516" s="379"/>
      <c r="QWD516" s="379"/>
      <c r="QWE516" s="13"/>
      <c r="QWF516" s="13"/>
      <c r="QWG516" s="193"/>
      <c r="QWH516" s="379"/>
      <c r="QWI516" s="379"/>
      <c r="QWJ516" s="379"/>
      <c r="QWK516" s="379"/>
      <c r="QWL516" s="379"/>
      <c r="QWM516" s="13"/>
      <c r="QWN516" s="13"/>
      <c r="QWO516" s="193"/>
      <c r="QWP516" s="379"/>
      <c r="QWQ516" s="379"/>
      <c r="QWR516" s="379"/>
      <c r="QWS516" s="379"/>
      <c r="QWT516" s="379"/>
      <c r="QWU516" s="13"/>
      <c r="QWV516" s="13"/>
      <c r="QWW516" s="193"/>
      <c r="QWX516" s="379"/>
      <c r="QWY516" s="379"/>
      <c r="QWZ516" s="379"/>
      <c r="QXA516" s="379"/>
      <c r="QXB516" s="379"/>
      <c r="QXC516" s="13"/>
      <c r="QXD516" s="13"/>
      <c r="QXE516" s="193"/>
      <c r="QXF516" s="379"/>
      <c r="QXG516" s="379"/>
      <c r="QXH516" s="379"/>
      <c r="QXI516" s="379"/>
      <c r="QXJ516" s="379"/>
      <c r="QXK516" s="13"/>
      <c r="QXL516" s="13"/>
      <c r="QXM516" s="193"/>
      <c r="QXN516" s="379"/>
      <c r="QXO516" s="379"/>
      <c r="QXP516" s="379"/>
      <c r="QXQ516" s="379"/>
      <c r="QXR516" s="379"/>
      <c r="QXS516" s="13"/>
      <c r="QXT516" s="13"/>
      <c r="QXU516" s="193"/>
      <c r="QXV516" s="379"/>
      <c r="QXW516" s="379"/>
      <c r="QXX516" s="379"/>
      <c r="QXY516" s="379"/>
      <c r="QXZ516" s="379"/>
      <c r="QYA516" s="13"/>
      <c r="QYB516" s="13"/>
      <c r="QYC516" s="193"/>
      <c r="QYD516" s="379"/>
      <c r="QYE516" s="379"/>
      <c r="QYF516" s="379"/>
      <c r="QYG516" s="379"/>
      <c r="QYH516" s="379"/>
      <c r="QYI516" s="13"/>
      <c r="QYJ516" s="13"/>
      <c r="QYK516" s="193"/>
      <c r="QYL516" s="379"/>
      <c r="QYM516" s="379"/>
      <c r="QYN516" s="379"/>
      <c r="QYO516" s="379"/>
      <c r="QYP516" s="379"/>
      <c r="QYQ516" s="13"/>
      <c r="QYR516" s="13"/>
      <c r="QYS516" s="193"/>
      <c r="QYT516" s="379"/>
      <c r="QYU516" s="379"/>
      <c r="QYV516" s="379"/>
      <c r="QYW516" s="379"/>
      <c r="QYX516" s="379"/>
      <c r="QYY516" s="13"/>
      <c r="QYZ516" s="13"/>
      <c r="QZA516" s="193"/>
      <c r="QZB516" s="379"/>
      <c r="QZC516" s="379"/>
      <c r="QZD516" s="379"/>
      <c r="QZE516" s="379"/>
      <c r="QZF516" s="379"/>
      <c r="QZG516" s="13"/>
      <c r="QZH516" s="13"/>
      <c r="QZI516" s="193"/>
      <c r="QZJ516" s="379"/>
      <c r="QZK516" s="379"/>
      <c r="QZL516" s="379"/>
      <c r="QZM516" s="379"/>
      <c r="QZN516" s="379"/>
      <c r="QZO516" s="13"/>
      <c r="QZP516" s="13"/>
      <c r="QZQ516" s="193"/>
      <c r="QZR516" s="379"/>
      <c r="QZS516" s="379"/>
      <c r="QZT516" s="379"/>
      <c r="QZU516" s="379"/>
      <c r="QZV516" s="379"/>
      <c r="QZW516" s="13"/>
      <c r="QZX516" s="13"/>
      <c r="QZY516" s="193"/>
      <c r="QZZ516" s="379"/>
      <c r="RAA516" s="379"/>
      <c r="RAB516" s="379"/>
      <c r="RAC516" s="379"/>
      <c r="RAD516" s="379"/>
      <c r="RAE516" s="13"/>
      <c r="RAF516" s="13"/>
      <c r="RAG516" s="193"/>
      <c r="RAH516" s="379"/>
      <c r="RAI516" s="379"/>
      <c r="RAJ516" s="379"/>
      <c r="RAK516" s="379"/>
      <c r="RAL516" s="379"/>
      <c r="RAM516" s="13"/>
      <c r="RAN516" s="13"/>
      <c r="RAO516" s="193"/>
      <c r="RAP516" s="379"/>
      <c r="RAQ516" s="379"/>
      <c r="RAR516" s="379"/>
      <c r="RAS516" s="379"/>
      <c r="RAT516" s="379"/>
      <c r="RAU516" s="13"/>
      <c r="RAV516" s="13"/>
      <c r="RAW516" s="193"/>
      <c r="RAX516" s="379"/>
      <c r="RAY516" s="379"/>
      <c r="RAZ516" s="379"/>
      <c r="RBA516" s="379"/>
      <c r="RBB516" s="379"/>
      <c r="RBC516" s="13"/>
      <c r="RBD516" s="13"/>
      <c r="RBE516" s="193"/>
      <c r="RBF516" s="379"/>
      <c r="RBG516" s="379"/>
      <c r="RBH516" s="379"/>
      <c r="RBI516" s="379"/>
      <c r="RBJ516" s="379"/>
      <c r="RBK516" s="13"/>
      <c r="RBL516" s="13"/>
      <c r="RBM516" s="193"/>
      <c r="RBN516" s="379"/>
      <c r="RBO516" s="379"/>
      <c r="RBP516" s="379"/>
      <c r="RBQ516" s="379"/>
      <c r="RBR516" s="379"/>
      <c r="RBS516" s="13"/>
      <c r="RBT516" s="13"/>
      <c r="RBU516" s="193"/>
      <c r="RBV516" s="379"/>
      <c r="RBW516" s="379"/>
      <c r="RBX516" s="379"/>
      <c r="RBY516" s="379"/>
      <c r="RBZ516" s="379"/>
      <c r="RCA516" s="13"/>
      <c r="RCB516" s="13"/>
      <c r="RCC516" s="193"/>
      <c r="RCD516" s="379"/>
      <c r="RCE516" s="379"/>
      <c r="RCF516" s="379"/>
      <c r="RCG516" s="379"/>
      <c r="RCH516" s="379"/>
      <c r="RCI516" s="13"/>
      <c r="RCJ516" s="13"/>
      <c r="RCK516" s="193"/>
      <c r="RCL516" s="379"/>
      <c r="RCM516" s="379"/>
      <c r="RCN516" s="379"/>
      <c r="RCO516" s="379"/>
      <c r="RCP516" s="379"/>
      <c r="RCQ516" s="13"/>
      <c r="RCR516" s="13"/>
      <c r="RCS516" s="193"/>
      <c r="RCT516" s="379"/>
      <c r="RCU516" s="379"/>
      <c r="RCV516" s="379"/>
      <c r="RCW516" s="379"/>
      <c r="RCX516" s="379"/>
      <c r="RCY516" s="13"/>
      <c r="RCZ516" s="13"/>
      <c r="RDA516" s="193"/>
      <c r="RDB516" s="379"/>
      <c r="RDC516" s="379"/>
      <c r="RDD516" s="379"/>
      <c r="RDE516" s="379"/>
      <c r="RDF516" s="379"/>
      <c r="RDG516" s="13"/>
      <c r="RDH516" s="13"/>
      <c r="RDI516" s="193"/>
      <c r="RDJ516" s="379"/>
      <c r="RDK516" s="379"/>
      <c r="RDL516" s="379"/>
      <c r="RDM516" s="379"/>
      <c r="RDN516" s="379"/>
      <c r="RDO516" s="13"/>
      <c r="RDP516" s="13"/>
      <c r="RDQ516" s="193"/>
      <c r="RDR516" s="379"/>
      <c r="RDS516" s="379"/>
      <c r="RDT516" s="379"/>
      <c r="RDU516" s="379"/>
      <c r="RDV516" s="379"/>
      <c r="RDW516" s="13"/>
      <c r="RDX516" s="13"/>
      <c r="RDY516" s="193"/>
      <c r="RDZ516" s="379"/>
      <c r="REA516" s="379"/>
      <c r="REB516" s="379"/>
      <c r="REC516" s="379"/>
      <c r="RED516" s="379"/>
      <c r="REE516" s="13"/>
      <c r="REF516" s="13"/>
      <c r="REG516" s="193"/>
      <c r="REH516" s="379"/>
      <c r="REI516" s="379"/>
      <c r="REJ516" s="379"/>
      <c r="REK516" s="379"/>
      <c r="REL516" s="379"/>
      <c r="REM516" s="13"/>
      <c r="REN516" s="13"/>
      <c r="REO516" s="193"/>
      <c r="REP516" s="379"/>
      <c r="REQ516" s="379"/>
      <c r="RER516" s="379"/>
      <c r="RES516" s="379"/>
      <c r="RET516" s="379"/>
      <c r="REU516" s="13"/>
      <c r="REV516" s="13"/>
      <c r="REW516" s="193"/>
      <c r="REX516" s="379"/>
      <c r="REY516" s="379"/>
      <c r="REZ516" s="379"/>
      <c r="RFA516" s="379"/>
      <c r="RFB516" s="379"/>
      <c r="RFC516" s="13"/>
      <c r="RFD516" s="13"/>
      <c r="RFE516" s="193"/>
      <c r="RFF516" s="379"/>
      <c r="RFG516" s="379"/>
      <c r="RFH516" s="379"/>
      <c r="RFI516" s="379"/>
      <c r="RFJ516" s="379"/>
      <c r="RFK516" s="13"/>
      <c r="RFL516" s="13"/>
      <c r="RFM516" s="193"/>
      <c r="RFN516" s="379"/>
      <c r="RFO516" s="379"/>
      <c r="RFP516" s="379"/>
      <c r="RFQ516" s="379"/>
      <c r="RFR516" s="379"/>
      <c r="RFS516" s="13"/>
      <c r="RFT516" s="13"/>
      <c r="RFU516" s="193"/>
      <c r="RFV516" s="379"/>
      <c r="RFW516" s="379"/>
      <c r="RFX516" s="379"/>
      <c r="RFY516" s="379"/>
      <c r="RFZ516" s="379"/>
      <c r="RGA516" s="13"/>
      <c r="RGB516" s="13"/>
      <c r="RGC516" s="193"/>
      <c r="RGD516" s="379"/>
      <c r="RGE516" s="379"/>
      <c r="RGF516" s="379"/>
      <c r="RGG516" s="379"/>
      <c r="RGH516" s="379"/>
      <c r="RGI516" s="13"/>
      <c r="RGJ516" s="13"/>
      <c r="RGK516" s="193"/>
      <c r="RGL516" s="379"/>
      <c r="RGM516" s="379"/>
      <c r="RGN516" s="379"/>
      <c r="RGO516" s="379"/>
      <c r="RGP516" s="379"/>
      <c r="RGQ516" s="13"/>
      <c r="RGR516" s="13"/>
      <c r="RGS516" s="193"/>
      <c r="RGT516" s="379"/>
      <c r="RGU516" s="379"/>
      <c r="RGV516" s="379"/>
      <c r="RGW516" s="379"/>
      <c r="RGX516" s="379"/>
      <c r="RGY516" s="13"/>
      <c r="RGZ516" s="13"/>
      <c r="RHA516" s="193"/>
      <c r="RHB516" s="379"/>
      <c r="RHC516" s="379"/>
      <c r="RHD516" s="379"/>
      <c r="RHE516" s="379"/>
      <c r="RHF516" s="379"/>
      <c r="RHG516" s="13"/>
      <c r="RHH516" s="13"/>
      <c r="RHI516" s="193"/>
      <c r="RHJ516" s="379"/>
      <c r="RHK516" s="379"/>
      <c r="RHL516" s="379"/>
      <c r="RHM516" s="379"/>
      <c r="RHN516" s="379"/>
      <c r="RHO516" s="13"/>
      <c r="RHP516" s="13"/>
      <c r="RHQ516" s="193"/>
      <c r="RHR516" s="379"/>
      <c r="RHS516" s="379"/>
      <c r="RHT516" s="379"/>
      <c r="RHU516" s="379"/>
      <c r="RHV516" s="379"/>
      <c r="RHW516" s="13"/>
      <c r="RHX516" s="13"/>
      <c r="RHY516" s="193"/>
      <c r="RHZ516" s="379"/>
      <c r="RIA516" s="379"/>
      <c r="RIB516" s="379"/>
      <c r="RIC516" s="379"/>
      <c r="RID516" s="379"/>
      <c r="RIE516" s="13"/>
      <c r="RIF516" s="13"/>
      <c r="RIG516" s="193"/>
      <c r="RIH516" s="379"/>
      <c r="RII516" s="379"/>
      <c r="RIJ516" s="379"/>
      <c r="RIK516" s="379"/>
      <c r="RIL516" s="379"/>
      <c r="RIM516" s="13"/>
      <c r="RIN516" s="13"/>
      <c r="RIO516" s="193"/>
      <c r="RIP516" s="379"/>
      <c r="RIQ516" s="379"/>
      <c r="RIR516" s="379"/>
      <c r="RIS516" s="379"/>
      <c r="RIT516" s="379"/>
      <c r="RIU516" s="13"/>
      <c r="RIV516" s="13"/>
      <c r="RIW516" s="193"/>
      <c r="RIX516" s="379"/>
      <c r="RIY516" s="379"/>
      <c r="RIZ516" s="379"/>
      <c r="RJA516" s="379"/>
      <c r="RJB516" s="379"/>
      <c r="RJC516" s="13"/>
      <c r="RJD516" s="13"/>
      <c r="RJE516" s="193"/>
      <c r="RJF516" s="379"/>
      <c r="RJG516" s="379"/>
      <c r="RJH516" s="379"/>
      <c r="RJI516" s="379"/>
      <c r="RJJ516" s="379"/>
      <c r="RJK516" s="13"/>
      <c r="RJL516" s="13"/>
      <c r="RJM516" s="193"/>
      <c r="RJN516" s="379"/>
      <c r="RJO516" s="379"/>
      <c r="RJP516" s="379"/>
      <c r="RJQ516" s="379"/>
      <c r="RJR516" s="379"/>
      <c r="RJS516" s="13"/>
      <c r="RJT516" s="13"/>
      <c r="RJU516" s="193"/>
      <c r="RJV516" s="379"/>
      <c r="RJW516" s="379"/>
      <c r="RJX516" s="379"/>
      <c r="RJY516" s="379"/>
      <c r="RJZ516" s="379"/>
      <c r="RKA516" s="13"/>
      <c r="RKB516" s="13"/>
      <c r="RKC516" s="193"/>
      <c r="RKD516" s="379"/>
      <c r="RKE516" s="379"/>
      <c r="RKF516" s="379"/>
      <c r="RKG516" s="379"/>
      <c r="RKH516" s="379"/>
      <c r="RKI516" s="13"/>
      <c r="RKJ516" s="13"/>
      <c r="RKK516" s="193"/>
      <c r="RKL516" s="379"/>
      <c r="RKM516" s="379"/>
      <c r="RKN516" s="379"/>
      <c r="RKO516" s="379"/>
      <c r="RKP516" s="379"/>
      <c r="RKQ516" s="13"/>
      <c r="RKR516" s="13"/>
      <c r="RKS516" s="193"/>
      <c r="RKT516" s="379"/>
      <c r="RKU516" s="379"/>
      <c r="RKV516" s="379"/>
      <c r="RKW516" s="379"/>
      <c r="RKX516" s="379"/>
      <c r="RKY516" s="13"/>
      <c r="RKZ516" s="13"/>
      <c r="RLA516" s="193"/>
      <c r="RLB516" s="379"/>
      <c r="RLC516" s="379"/>
      <c r="RLD516" s="379"/>
      <c r="RLE516" s="379"/>
      <c r="RLF516" s="379"/>
      <c r="RLG516" s="13"/>
      <c r="RLH516" s="13"/>
      <c r="RLI516" s="193"/>
      <c r="RLJ516" s="379"/>
      <c r="RLK516" s="379"/>
      <c r="RLL516" s="379"/>
      <c r="RLM516" s="379"/>
      <c r="RLN516" s="379"/>
      <c r="RLO516" s="13"/>
      <c r="RLP516" s="13"/>
      <c r="RLQ516" s="193"/>
      <c r="RLR516" s="379"/>
      <c r="RLS516" s="379"/>
      <c r="RLT516" s="379"/>
      <c r="RLU516" s="379"/>
      <c r="RLV516" s="379"/>
      <c r="RLW516" s="13"/>
      <c r="RLX516" s="13"/>
      <c r="RLY516" s="193"/>
      <c r="RLZ516" s="379"/>
      <c r="RMA516" s="379"/>
      <c r="RMB516" s="379"/>
      <c r="RMC516" s="379"/>
      <c r="RMD516" s="379"/>
      <c r="RME516" s="13"/>
      <c r="RMF516" s="13"/>
      <c r="RMG516" s="193"/>
      <c r="RMH516" s="379"/>
      <c r="RMI516" s="379"/>
      <c r="RMJ516" s="379"/>
      <c r="RMK516" s="379"/>
      <c r="RML516" s="379"/>
      <c r="RMM516" s="13"/>
      <c r="RMN516" s="13"/>
      <c r="RMO516" s="193"/>
      <c r="RMP516" s="379"/>
      <c r="RMQ516" s="379"/>
      <c r="RMR516" s="379"/>
      <c r="RMS516" s="379"/>
      <c r="RMT516" s="379"/>
      <c r="RMU516" s="13"/>
      <c r="RMV516" s="13"/>
      <c r="RMW516" s="193"/>
      <c r="RMX516" s="379"/>
      <c r="RMY516" s="379"/>
      <c r="RMZ516" s="379"/>
      <c r="RNA516" s="379"/>
      <c r="RNB516" s="379"/>
      <c r="RNC516" s="13"/>
      <c r="RND516" s="13"/>
      <c r="RNE516" s="193"/>
      <c r="RNF516" s="379"/>
      <c r="RNG516" s="379"/>
      <c r="RNH516" s="379"/>
      <c r="RNI516" s="379"/>
      <c r="RNJ516" s="379"/>
      <c r="RNK516" s="13"/>
      <c r="RNL516" s="13"/>
      <c r="RNM516" s="193"/>
      <c r="RNN516" s="379"/>
      <c r="RNO516" s="379"/>
      <c r="RNP516" s="379"/>
      <c r="RNQ516" s="379"/>
      <c r="RNR516" s="379"/>
      <c r="RNS516" s="13"/>
      <c r="RNT516" s="13"/>
      <c r="RNU516" s="193"/>
      <c r="RNV516" s="379"/>
      <c r="RNW516" s="379"/>
      <c r="RNX516" s="379"/>
      <c r="RNY516" s="379"/>
      <c r="RNZ516" s="379"/>
      <c r="ROA516" s="13"/>
      <c r="ROB516" s="13"/>
      <c r="ROC516" s="193"/>
      <c r="ROD516" s="379"/>
      <c r="ROE516" s="379"/>
      <c r="ROF516" s="379"/>
      <c r="ROG516" s="379"/>
      <c r="ROH516" s="379"/>
      <c r="ROI516" s="13"/>
      <c r="ROJ516" s="13"/>
      <c r="ROK516" s="193"/>
      <c r="ROL516" s="379"/>
      <c r="ROM516" s="379"/>
      <c r="RON516" s="379"/>
      <c r="ROO516" s="379"/>
      <c r="ROP516" s="379"/>
      <c r="ROQ516" s="13"/>
      <c r="ROR516" s="13"/>
      <c r="ROS516" s="193"/>
      <c r="ROT516" s="379"/>
      <c r="ROU516" s="379"/>
      <c r="ROV516" s="379"/>
      <c r="ROW516" s="379"/>
      <c r="ROX516" s="379"/>
      <c r="ROY516" s="13"/>
      <c r="ROZ516" s="13"/>
      <c r="RPA516" s="193"/>
      <c r="RPB516" s="379"/>
      <c r="RPC516" s="379"/>
      <c r="RPD516" s="379"/>
      <c r="RPE516" s="379"/>
      <c r="RPF516" s="379"/>
      <c r="RPG516" s="13"/>
      <c r="RPH516" s="13"/>
      <c r="RPI516" s="193"/>
      <c r="RPJ516" s="379"/>
      <c r="RPK516" s="379"/>
      <c r="RPL516" s="379"/>
      <c r="RPM516" s="379"/>
      <c r="RPN516" s="379"/>
      <c r="RPO516" s="13"/>
      <c r="RPP516" s="13"/>
      <c r="RPQ516" s="193"/>
      <c r="RPR516" s="379"/>
      <c r="RPS516" s="379"/>
      <c r="RPT516" s="379"/>
      <c r="RPU516" s="379"/>
      <c r="RPV516" s="379"/>
      <c r="RPW516" s="13"/>
      <c r="RPX516" s="13"/>
      <c r="RPY516" s="193"/>
      <c r="RPZ516" s="379"/>
      <c r="RQA516" s="379"/>
      <c r="RQB516" s="379"/>
      <c r="RQC516" s="379"/>
      <c r="RQD516" s="379"/>
      <c r="RQE516" s="13"/>
      <c r="RQF516" s="13"/>
      <c r="RQG516" s="193"/>
      <c r="RQH516" s="379"/>
      <c r="RQI516" s="379"/>
      <c r="RQJ516" s="379"/>
      <c r="RQK516" s="379"/>
      <c r="RQL516" s="379"/>
      <c r="RQM516" s="13"/>
      <c r="RQN516" s="13"/>
      <c r="RQO516" s="193"/>
      <c r="RQP516" s="379"/>
      <c r="RQQ516" s="379"/>
      <c r="RQR516" s="379"/>
      <c r="RQS516" s="379"/>
      <c r="RQT516" s="379"/>
      <c r="RQU516" s="13"/>
      <c r="RQV516" s="13"/>
      <c r="RQW516" s="193"/>
      <c r="RQX516" s="379"/>
      <c r="RQY516" s="379"/>
      <c r="RQZ516" s="379"/>
      <c r="RRA516" s="379"/>
      <c r="RRB516" s="379"/>
      <c r="RRC516" s="13"/>
      <c r="RRD516" s="13"/>
      <c r="RRE516" s="193"/>
      <c r="RRF516" s="379"/>
      <c r="RRG516" s="379"/>
      <c r="RRH516" s="379"/>
      <c r="RRI516" s="379"/>
      <c r="RRJ516" s="379"/>
      <c r="RRK516" s="13"/>
      <c r="RRL516" s="13"/>
      <c r="RRM516" s="193"/>
      <c r="RRN516" s="379"/>
      <c r="RRO516" s="379"/>
      <c r="RRP516" s="379"/>
      <c r="RRQ516" s="379"/>
      <c r="RRR516" s="379"/>
      <c r="RRS516" s="13"/>
      <c r="RRT516" s="13"/>
      <c r="RRU516" s="193"/>
      <c r="RRV516" s="379"/>
      <c r="RRW516" s="379"/>
      <c r="RRX516" s="379"/>
      <c r="RRY516" s="379"/>
      <c r="RRZ516" s="379"/>
      <c r="RSA516" s="13"/>
      <c r="RSB516" s="13"/>
      <c r="RSC516" s="193"/>
      <c r="RSD516" s="379"/>
      <c r="RSE516" s="379"/>
      <c r="RSF516" s="379"/>
      <c r="RSG516" s="379"/>
      <c r="RSH516" s="379"/>
      <c r="RSI516" s="13"/>
      <c r="RSJ516" s="13"/>
      <c r="RSK516" s="193"/>
      <c r="RSL516" s="379"/>
      <c r="RSM516" s="379"/>
      <c r="RSN516" s="379"/>
      <c r="RSO516" s="379"/>
      <c r="RSP516" s="379"/>
      <c r="RSQ516" s="13"/>
      <c r="RSR516" s="13"/>
      <c r="RSS516" s="193"/>
      <c r="RST516" s="379"/>
      <c r="RSU516" s="379"/>
      <c r="RSV516" s="379"/>
      <c r="RSW516" s="379"/>
      <c r="RSX516" s="379"/>
      <c r="RSY516" s="13"/>
      <c r="RSZ516" s="13"/>
      <c r="RTA516" s="193"/>
      <c r="RTB516" s="379"/>
      <c r="RTC516" s="379"/>
      <c r="RTD516" s="379"/>
      <c r="RTE516" s="379"/>
      <c r="RTF516" s="379"/>
      <c r="RTG516" s="13"/>
      <c r="RTH516" s="13"/>
      <c r="RTI516" s="193"/>
      <c r="RTJ516" s="379"/>
      <c r="RTK516" s="379"/>
      <c r="RTL516" s="379"/>
      <c r="RTM516" s="379"/>
      <c r="RTN516" s="379"/>
      <c r="RTO516" s="13"/>
      <c r="RTP516" s="13"/>
      <c r="RTQ516" s="193"/>
      <c r="RTR516" s="379"/>
      <c r="RTS516" s="379"/>
      <c r="RTT516" s="379"/>
      <c r="RTU516" s="379"/>
      <c r="RTV516" s="379"/>
      <c r="RTW516" s="13"/>
      <c r="RTX516" s="13"/>
      <c r="RTY516" s="193"/>
      <c r="RTZ516" s="379"/>
      <c r="RUA516" s="379"/>
      <c r="RUB516" s="379"/>
      <c r="RUC516" s="379"/>
      <c r="RUD516" s="379"/>
      <c r="RUE516" s="13"/>
      <c r="RUF516" s="13"/>
      <c r="RUG516" s="193"/>
      <c r="RUH516" s="379"/>
      <c r="RUI516" s="379"/>
      <c r="RUJ516" s="379"/>
      <c r="RUK516" s="379"/>
      <c r="RUL516" s="379"/>
      <c r="RUM516" s="13"/>
      <c r="RUN516" s="13"/>
      <c r="RUO516" s="193"/>
      <c r="RUP516" s="379"/>
      <c r="RUQ516" s="379"/>
      <c r="RUR516" s="379"/>
      <c r="RUS516" s="379"/>
      <c r="RUT516" s="379"/>
      <c r="RUU516" s="13"/>
      <c r="RUV516" s="13"/>
      <c r="RUW516" s="193"/>
      <c r="RUX516" s="379"/>
      <c r="RUY516" s="379"/>
      <c r="RUZ516" s="379"/>
      <c r="RVA516" s="379"/>
      <c r="RVB516" s="379"/>
      <c r="RVC516" s="13"/>
      <c r="RVD516" s="13"/>
      <c r="RVE516" s="193"/>
      <c r="RVF516" s="379"/>
      <c r="RVG516" s="379"/>
      <c r="RVH516" s="379"/>
      <c r="RVI516" s="379"/>
      <c r="RVJ516" s="379"/>
      <c r="RVK516" s="13"/>
      <c r="RVL516" s="13"/>
      <c r="RVM516" s="193"/>
      <c r="RVN516" s="379"/>
      <c r="RVO516" s="379"/>
      <c r="RVP516" s="379"/>
      <c r="RVQ516" s="379"/>
      <c r="RVR516" s="379"/>
      <c r="RVS516" s="13"/>
      <c r="RVT516" s="13"/>
      <c r="RVU516" s="193"/>
      <c r="RVV516" s="379"/>
      <c r="RVW516" s="379"/>
      <c r="RVX516" s="379"/>
      <c r="RVY516" s="379"/>
      <c r="RVZ516" s="379"/>
      <c r="RWA516" s="13"/>
      <c r="RWB516" s="13"/>
      <c r="RWC516" s="193"/>
      <c r="RWD516" s="379"/>
      <c r="RWE516" s="379"/>
      <c r="RWF516" s="379"/>
      <c r="RWG516" s="379"/>
      <c r="RWH516" s="379"/>
      <c r="RWI516" s="13"/>
      <c r="RWJ516" s="13"/>
      <c r="RWK516" s="193"/>
      <c r="RWL516" s="379"/>
      <c r="RWM516" s="379"/>
      <c r="RWN516" s="379"/>
      <c r="RWO516" s="379"/>
      <c r="RWP516" s="379"/>
      <c r="RWQ516" s="13"/>
      <c r="RWR516" s="13"/>
      <c r="RWS516" s="193"/>
      <c r="RWT516" s="379"/>
      <c r="RWU516" s="379"/>
      <c r="RWV516" s="379"/>
      <c r="RWW516" s="379"/>
      <c r="RWX516" s="379"/>
      <c r="RWY516" s="13"/>
      <c r="RWZ516" s="13"/>
      <c r="RXA516" s="193"/>
      <c r="RXB516" s="379"/>
      <c r="RXC516" s="379"/>
      <c r="RXD516" s="379"/>
      <c r="RXE516" s="379"/>
      <c r="RXF516" s="379"/>
      <c r="RXG516" s="13"/>
      <c r="RXH516" s="13"/>
      <c r="RXI516" s="193"/>
      <c r="RXJ516" s="379"/>
      <c r="RXK516" s="379"/>
      <c r="RXL516" s="379"/>
      <c r="RXM516" s="379"/>
      <c r="RXN516" s="379"/>
      <c r="RXO516" s="13"/>
      <c r="RXP516" s="13"/>
      <c r="RXQ516" s="193"/>
      <c r="RXR516" s="379"/>
      <c r="RXS516" s="379"/>
      <c r="RXT516" s="379"/>
      <c r="RXU516" s="379"/>
      <c r="RXV516" s="379"/>
      <c r="RXW516" s="13"/>
      <c r="RXX516" s="13"/>
      <c r="RXY516" s="193"/>
      <c r="RXZ516" s="379"/>
      <c r="RYA516" s="379"/>
      <c r="RYB516" s="379"/>
      <c r="RYC516" s="379"/>
      <c r="RYD516" s="379"/>
      <c r="RYE516" s="13"/>
      <c r="RYF516" s="13"/>
      <c r="RYG516" s="193"/>
      <c r="RYH516" s="379"/>
      <c r="RYI516" s="379"/>
      <c r="RYJ516" s="379"/>
      <c r="RYK516" s="379"/>
      <c r="RYL516" s="379"/>
      <c r="RYM516" s="13"/>
      <c r="RYN516" s="13"/>
      <c r="RYO516" s="193"/>
      <c r="RYP516" s="379"/>
      <c r="RYQ516" s="379"/>
      <c r="RYR516" s="379"/>
      <c r="RYS516" s="379"/>
      <c r="RYT516" s="379"/>
      <c r="RYU516" s="13"/>
      <c r="RYV516" s="13"/>
      <c r="RYW516" s="193"/>
      <c r="RYX516" s="379"/>
      <c r="RYY516" s="379"/>
      <c r="RYZ516" s="379"/>
      <c r="RZA516" s="379"/>
      <c r="RZB516" s="379"/>
      <c r="RZC516" s="13"/>
      <c r="RZD516" s="13"/>
      <c r="RZE516" s="193"/>
      <c r="RZF516" s="379"/>
      <c r="RZG516" s="379"/>
      <c r="RZH516" s="379"/>
      <c r="RZI516" s="379"/>
      <c r="RZJ516" s="379"/>
      <c r="RZK516" s="13"/>
      <c r="RZL516" s="13"/>
      <c r="RZM516" s="193"/>
      <c r="RZN516" s="379"/>
      <c r="RZO516" s="379"/>
      <c r="RZP516" s="379"/>
      <c r="RZQ516" s="379"/>
      <c r="RZR516" s="379"/>
      <c r="RZS516" s="13"/>
      <c r="RZT516" s="13"/>
      <c r="RZU516" s="193"/>
      <c r="RZV516" s="379"/>
      <c r="RZW516" s="379"/>
      <c r="RZX516" s="379"/>
      <c r="RZY516" s="379"/>
      <c r="RZZ516" s="379"/>
      <c r="SAA516" s="13"/>
      <c r="SAB516" s="13"/>
      <c r="SAC516" s="193"/>
      <c r="SAD516" s="379"/>
      <c r="SAE516" s="379"/>
      <c r="SAF516" s="379"/>
      <c r="SAG516" s="379"/>
      <c r="SAH516" s="379"/>
      <c r="SAI516" s="13"/>
      <c r="SAJ516" s="13"/>
      <c r="SAK516" s="193"/>
      <c r="SAL516" s="379"/>
      <c r="SAM516" s="379"/>
      <c r="SAN516" s="379"/>
      <c r="SAO516" s="379"/>
      <c r="SAP516" s="379"/>
      <c r="SAQ516" s="13"/>
      <c r="SAR516" s="13"/>
      <c r="SAS516" s="193"/>
      <c r="SAT516" s="379"/>
      <c r="SAU516" s="379"/>
      <c r="SAV516" s="379"/>
      <c r="SAW516" s="379"/>
      <c r="SAX516" s="379"/>
      <c r="SAY516" s="13"/>
      <c r="SAZ516" s="13"/>
      <c r="SBA516" s="193"/>
      <c r="SBB516" s="379"/>
      <c r="SBC516" s="379"/>
      <c r="SBD516" s="379"/>
      <c r="SBE516" s="379"/>
      <c r="SBF516" s="379"/>
      <c r="SBG516" s="13"/>
      <c r="SBH516" s="13"/>
      <c r="SBI516" s="193"/>
      <c r="SBJ516" s="379"/>
      <c r="SBK516" s="379"/>
      <c r="SBL516" s="379"/>
      <c r="SBM516" s="379"/>
      <c r="SBN516" s="379"/>
      <c r="SBO516" s="13"/>
      <c r="SBP516" s="13"/>
      <c r="SBQ516" s="193"/>
      <c r="SBR516" s="379"/>
      <c r="SBS516" s="379"/>
      <c r="SBT516" s="379"/>
      <c r="SBU516" s="379"/>
      <c r="SBV516" s="379"/>
      <c r="SBW516" s="13"/>
      <c r="SBX516" s="13"/>
      <c r="SBY516" s="193"/>
      <c r="SBZ516" s="379"/>
      <c r="SCA516" s="379"/>
      <c r="SCB516" s="379"/>
      <c r="SCC516" s="379"/>
      <c r="SCD516" s="379"/>
      <c r="SCE516" s="13"/>
      <c r="SCF516" s="13"/>
      <c r="SCG516" s="193"/>
      <c r="SCH516" s="379"/>
      <c r="SCI516" s="379"/>
      <c r="SCJ516" s="379"/>
      <c r="SCK516" s="379"/>
      <c r="SCL516" s="379"/>
      <c r="SCM516" s="13"/>
      <c r="SCN516" s="13"/>
      <c r="SCO516" s="193"/>
      <c r="SCP516" s="379"/>
      <c r="SCQ516" s="379"/>
      <c r="SCR516" s="379"/>
      <c r="SCS516" s="379"/>
      <c r="SCT516" s="379"/>
      <c r="SCU516" s="13"/>
      <c r="SCV516" s="13"/>
      <c r="SCW516" s="193"/>
      <c r="SCX516" s="379"/>
      <c r="SCY516" s="379"/>
      <c r="SCZ516" s="379"/>
      <c r="SDA516" s="379"/>
      <c r="SDB516" s="379"/>
      <c r="SDC516" s="13"/>
      <c r="SDD516" s="13"/>
      <c r="SDE516" s="193"/>
      <c r="SDF516" s="379"/>
      <c r="SDG516" s="379"/>
      <c r="SDH516" s="379"/>
      <c r="SDI516" s="379"/>
      <c r="SDJ516" s="379"/>
      <c r="SDK516" s="13"/>
      <c r="SDL516" s="13"/>
      <c r="SDM516" s="193"/>
      <c r="SDN516" s="379"/>
      <c r="SDO516" s="379"/>
      <c r="SDP516" s="379"/>
      <c r="SDQ516" s="379"/>
      <c r="SDR516" s="379"/>
      <c r="SDS516" s="13"/>
      <c r="SDT516" s="13"/>
      <c r="SDU516" s="193"/>
      <c r="SDV516" s="379"/>
      <c r="SDW516" s="379"/>
      <c r="SDX516" s="379"/>
      <c r="SDY516" s="379"/>
      <c r="SDZ516" s="379"/>
      <c r="SEA516" s="13"/>
      <c r="SEB516" s="13"/>
      <c r="SEC516" s="193"/>
      <c r="SED516" s="379"/>
      <c r="SEE516" s="379"/>
      <c r="SEF516" s="379"/>
      <c r="SEG516" s="379"/>
      <c r="SEH516" s="379"/>
      <c r="SEI516" s="13"/>
      <c r="SEJ516" s="13"/>
      <c r="SEK516" s="193"/>
      <c r="SEL516" s="379"/>
      <c r="SEM516" s="379"/>
      <c r="SEN516" s="379"/>
      <c r="SEO516" s="379"/>
      <c r="SEP516" s="379"/>
      <c r="SEQ516" s="13"/>
      <c r="SER516" s="13"/>
      <c r="SES516" s="193"/>
      <c r="SET516" s="379"/>
      <c r="SEU516" s="379"/>
      <c r="SEV516" s="379"/>
      <c r="SEW516" s="379"/>
      <c r="SEX516" s="379"/>
      <c r="SEY516" s="13"/>
      <c r="SEZ516" s="13"/>
      <c r="SFA516" s="193"/>
      <c r="SFB516" s="379"/>
      <c r="SFC516" s="379"/>
      <c r="SFD516" s="379"/>
      <c r="SFE516" s="379"/>
      <c r="SFF516" s="379"/>
      <c r="SFG516" s="13"/>
      <c r="SFH516" s="13"/>
      <c r="SFI516" s="193"/>
      <c r="SFJ516" s="379"/>
      <c r="SFK516" s="379"/>
      <c r="SFL516" s="379"/>
      <c r="SFM516" s="379"/>
      <c r="SFN516" s="379"/>
      <c r="SFO516" s="13"/>
      <c r="SFP516" s="13"/>
      <c r="SFQ516" s="193"/>
      <c r="SFR516" s="379"/>
      <c r="SFS516" s="379"/>
      <c r="SFT516" s="379"/>
      <c r="SFU516" s="379"/>
      <c r="SFV516" s="379"/>
      <c r="SFW516" s="13"/>
      <c r="SFX516" s="13"/>
      <c r="SFY516" s="193"/>
      <c r="SFZ516" s="379"/>
      <c r="SGA516" s="379"/>
      <c r="SGB516" s="379"/>
      <c r="SGC516" s="379"/>
      <c r="SGD516" s="379"/>
      <c r="SGE516" s="13"/>
      <c r="SGF516" s="13"/>
      <c r="SGG516" s="193"/>
      <c r="SGH516" s="379"/>
      <c r="SGI516" s="379"/>
      <c r="SGJ516" s="379"/>
      <c r="SGK516" s="379"/>
      <c r="SGL516" s="379"/>
      <c r="SGM516" s="13"/>
      <c r="SGN516" s="13"/>
      <c r="SGO516" s="193"/>
      <c r="SGP516" s="379"/>
      <c r="SGQ516" s="379"/>
      <c r="SGR516" s="379"/>
      <c r="SGS516" s="379"/>
      <c r="SGT516" s="379"/>
      <c r="SGU516" s="13"/>
      <c r="SGV516" s="13"/>
      <c r="SGW516" s="193"/>
      <c r="SGX516" s="379"/>
      <c r="SGY516" s="379"/>
      <c r="SGZ516" s="379"/>
      <c r="SHA516" s="379"/>
      <c r="SHB516" s="379"/>
      <c r="SHC516" s="13"/>
      <c r="SHD516" s="13"/>
      <c r="SHE516" s="193"/>
      <c r="SHF516" s="379"/>
      <c r="SHG516" s="379"/>
      <c r="SHH516" s="379"/>
      <c r="SHI516" s="379"/>
      <c r="SHJ516" s="379"/>
      <c r="SHK516" s="13"/>
      <c r="SHL516" s="13"/>
      <c r="SHM516" s="193"/>
      <c r="SHN516" s="379"/>
      <c r="SHO516" s="379"/>
      <c r="SHP516" s="379"/>
      <c r="SHQ516" s="379"/>
      <c r="SHR516" s="379"/>
      <c r="SHS516" s="13"/>
      <c r="SHT516" s="13"/>
      <c r="SHU516" s="193"/>
      <c r="SHV516" s="379"/>
      <c r="SHW516" s="379"/>
      <c r="SHX516" s="379"/>
      <c r="SHY516" s="379"/>
      <c r="SHZ516" s="379"/>
      <c r="SIA516" s="13"/>
      <c r="SIB516" s="13"/>
      <c r="SIC516" s="193"/>
      <c r="SID516" s="379"/>
      <c r="SIE516" s="379"/>
      <c r="SIF516" s="379"/>
      <c r="SIG516" s="379"/>
      <c r="SIH516" s="379"/>
      <c r="SII516" s="13"/>
      <c r="SIJ516" s="13"/>
      <c r="SIK516" s="193"/>
      <c r="SIL516" s="379"/>
      <c r="SIM516" s="379"/>
      <c r="SIN516" s="379"/>
      <c r="SIO516" s="379"/>
      <c r="SIP516" s="379"/>
      <c r="SIQ516" s="13"/>
      <c r="SIR516" s="13"/>
      <c r="SIS516" s="193"/>
      <c r="SIT516" s="379"/>
      <c r="SIU516" s="379"/>
      <c r="SIV516" s="379"/>
      <c r="SIW516" s="379"/>
      <c r="SIX516" s="379"/>
      <c r="SIY516" s="13"/>
      <c r="SIZ516" s="13"/>
      <c r="SJA516" s="193"/>
      <c r="SJB516" s="379"/>
      <c r="SJC516" s="379"/>
      <c r="SJD516" s="379"/>
      <c r="SJE516" s="379"/>
      <c r="SJF516" s="379"/>
      <c r="SJG516" s="13"/>
      <c r="SJH516" s="13"/>
      <c r="SJI516" s="193"/>
      <c r="SJJ516" s="379"/>
      <c r="SJK516" s="379"/>
      <c r="SJL516" s="379"/>
      <c r="SJM516" s="379"/>
      <c r="SJN516" s="379"/>
      <c r="SJO516" s="13"/>
      <c r="SJP516" s="13"/>
      <c r="SJQ516" s="193"/>
      <c r="SJR516" s="379"/>
      <c r="SJS516" s="379"/>
      <c r="SJT516" s="379"/>
      <c r="SJU516" s="379"/>
      <c r="SJV516" s="379"/>
      <c r="SJW516" s="13"/>
      <c r="SJX516" s="13"/>
      <c r="SJY516" s="193"/>
      <c r="SJZ516" s="379"/>
      <c r="SKA516" s="379"/>
      <c r="SKB516" s="379"/>
      <c r="SKC516" s="379"/>
      <c r="SKD516" s="379"/>
      <c r="SKE516" s="13"/>
      <c r="SKF516" s="13"/>
      <c r="SKG516" s="193"/>
      <c r="SKH516" s="379"/>
      <c r="SKI516" s="379"/>
      <c r="SKJ516" s="379"/>
      <c r="SKK516" s="379"/>
      <c r="SKL516" s="379"/>
      <c r="SKM516" s="13"/>
      <c r="SKN516" s="13"/>
      <c r="SKO516" s="193"/>
      <c r="SKP516" s="379"/>
      <c r="SKQ516" s="379"/>
      <c r="SKR516" s="379"/>
      <c r="SKS516" s="379"/>
      <c r="SKT516" s="379"/>
      <c r="SKU516" s="13"/>
      <c r="SKV516" s="13"/>
      <c r="SKW516" s="193"/>
      <c r="SKX516" s="379"/>
      <c r="SKY516" s="379"/>
      <c r="SKZ516" s="379"/>
      <c r="SLA516" s="379"/>
      <c r="SLB516" s="379"/>
      <c r="SLC516" s="13"/>
      <c r="SLD516" s="13"/>
      <c r="SLE516" s="193"/>
      <c r="SLF516" s="379"/>
      <c r="SLG516" s="379"/>
      <c r="SLH516" s="379"/>
      <c r="SLI516" s="379"/>
      <c r="SLJ516" s="379"/>
      <c r="SLK516" s="13"/>
      <c r="SLL516" s="13"/>
      <c r="SLM516" s="193"/>
      <c r="SLN516" s="379"/>
      <c r="SLO516" s="379"/>
      <c r="SLP516" s="379"/>
      <c r="SLQ516" s="379"/>
      <c r="SLR516" s="379"/>
      <c r="SLS516" s="13"/>
      <c r="SLT516" s="13"/>
      <c r="SLU516" s="193"/>
      <c r="SLV516" s="379"/>
      <c r="SLW516" s="379"/>
      <c r="SLX516" s="379"/>
      <c r="SLY516" s="379"/>
      <c r="SLZ516" s="379"/>
      <c r="SMA516" s="13"/>
      <c r="SMB516" s="13"/>
      <c r="SMC516" s="193"/>
      <c r="SMD516" s="379"/>
      <c r="SME516" s="379"/>
      <c r="SMF516" s="379"/>
      <c r="SMG516" s="379"/>
      <c r="SMH516" s="379"/>
      <c r="SMI516" s="13"/>
      <c r="SMJ516" s="13"/>
      <c r="SMK516" s="193"/>
      <c r="SML516" s="379"/>
      <c r="SMM516" s="379"/>
      <c r="SMN516" s="379"/>
      <c r="SMO516" s="379"/>
      <c r="SMP516" s="379"/>
      <c r="SMQ516" s="13"/>
      <c r="SMR516" s="13"/>
      <c r="SMS516" s="193"/>
      <c r="SMT516" s="379"/>
      <c r="SMU516" s="379"/>
      <c r="SMV516" s="379"/>
      <c r="SMW516" s="379"/>
      <c r="SMX516" s="379"/>
      <c r="SMY516" s="13"/>
      <c r="SMZ516" s="13"/>
      <c r="SNA516" s="193"/>
      <c r="SNB516" s="379"/>
      <c r="SNC516" s="379"/>
      <c r="SND516" s="379"/>
      <c r="SNE516" s="379"/>
      <c r="SNF516" s="379"/>
      <c r="SNG516" s="13"/>
      <c r="SNH516" s="13"/>
      <c r="SNI516" s="193"/>
      <c r="SNJ516" s="379"/>
      <c r="SNK516" s="379"/>
      <c r="SNL516" s="379"/>
      <c r="SNM516" s="379"/>
      <c r="SNN516" s="379"/>
      <c r="SNO516" s="13"/>
      <c r="SNP516" s="13"/>
      <c r="SNQ516" s="193"/>
      <c r="SNR516" s="379"/>
      <c r="SNS516" s="379"/>
      <c r="SNT516" s="379"/>
      <c r="SNU516" s="379"/>
      <c r="SNV516" s="379"/>
      <c r="SNW516" s="13"/>
      <c r="SNX516" s="13"/>
      <c r="SNY516" s="193"/>
      <c r="SNZ516" s="379"/>
      <c r="SOA516" s="379"/>
      <c r="SOB516" s="379"/>
      <c r="SOC516" s="379"/>
      <c r="SOD516" s="379"/>
      <c r="SOE516" s="13"/>
      <c r="SOF516" s="13"/>
      <c r="SOG516" s="193"/>
      <c r="SOH516" s="379"/>
      <c r="SOI516" s="379"/>
      <c r="SOJ516" s="379"/>
      <c r="SOK516" s="379"/>
      <c r="SOL516" s="379"/>
      <c r="SOM516" s="13"/>
      <c r="SON516" s="13"/>
      <c r="SOO516" s="193"/>
      <c r="SOP516" s="379"/>
      <c r="SOQ516" s="379"/>
      <c r="SOR516" s="379"/>
      <c r="SOS516" s="379"/>
      <c r="SOT516" s="379"/>
      <c r="SOU516" s="13"/>
      <c r="SOV516" s="13"/>
      <c r="SOW516" s="193"/>
      <c r="SOX516" s="379"/>
      <c r="SOY516" s="379"/>
      <c r="SOZ516" s="379"/>
      <c r="SPA516" s="379"/>
      <c r="SPB516" s="379"/>
      <c r="SPC516" s="13"/>
      <c r="SPD516" s="13"/>
      <c r="SPE516" s="193"/>
      <c r="SPF516" s="379"/>
      <c r="SPG516" s="379"/>
      <c r="SPH516" s="379"/>
      <c r="SPI516" s="379"/>
      <c r="SPJ516" s="379"/>
      <c r="SPK516" s="13"/>
      <c r="SPL516" s="13"/>
      <c r="SPM516" s="193"/>
      <c r="SPN516" s="379"/>
      <c r="SPO516" s="379"/>
      <c r="SPP516" s="379"/>
      <c r="SPQ516" s="379"/>
      <c r="SPR516" s="379"/>
      <c r="SPS516" s="13"/>
      <c r="SPT516" s="13"/>
      <c r="SPU516" s="193"/>
      <c r="SPV516" s="379"/>
      <c r="SPW516" s="379"/>
      <c r="SPX516" s="379"/>
      <c r="SPY516" s="379"/>
      <c r="SPZ516" s="379"/>
      <c r="SQA516" s="13"/>
      <c r="SQB516" s="13"/>
      <c r="SQC516" s="193"/>
      <c r="SQD516" s="379"/>
      <c r="SQE516" s="379"/>
      <c r="SQF516" s="379"/>
      <c r="SQG516" s="379"/>
      <c r="SQH516" s="379"/>
      <c r="SQI516" s="13"/>
      <c r="SQJ516" s="13"/>
      <c r="SQK516" s="193"/>
      <c r="SQL516" s="379"/>
      <c r="SQM516" s="379"/>
      <c r="SQN516" s="379"/>
      <c r="SQO516" s="379"/>
      <c r="SQP516" s="379"/>
      <c r="SQQ516" s="13"/>
      <c r="SQR516" s="13"/>
      <c r="SQS516" s="193"/>
      <c r="SQT516" s="379"/>
      <c r="SQU516" s="379"/>
      <c r="SQV516" s="379"/>
      <c r="SQW516" s="379"/>
      <c r="SQX516" s="379"/>
      <c r="SQY516" s="13"/>
      <c r="SQZ516" s="13"/>
      <c r="SRA516" s="193"/>
      <c r="SRB516" s="379"/>
      <c r="SRC516" s="379"/>
      <c r="SRD516" s="379"/>
      <c r="SRE516" s="379"/>
      <c r="SRF516" s="379"/>
      <c r="SRG516" s="13"/>
      <c r="SRH516" s="13"/>
      <c r="SRI516" s="193"/>
      <c r="SRJ516" s="379"/>
      <c r="SRK516" s="379"/>
      <c r="SRL516" s="379"/>
      <c r="SRM516" s="379"/>
      <c r="SRN516" s="379"/>
      <c r="SRO516" s="13"/>
      <c r="SRP516" s="13"/>
      <c r="SRQ516" s="193"/>
      <c r="SRR516" s="379"/>
      <c r="SRS516" s="379"/>
      <c r="SRT516" s="379"/>
      <c r="SRU516" s="379"/>
      <c r="SRV516" s="379"/>
      <c r="SRW516" s="13"/>
      <c r="SRX516" s="13"/>
      <c r="SRY516" s="193"/>
      <c r="SRZ516" s="379"/>
      <c r="SSA516" s="379"/>
      <c r="SSB516" s="379"/>
      <c r="SSC516" s="379"/>
      <c r="SSD516" s="379"/>
      <c r="SSE516" s="13"/>
      <c r="SSF516" s="13"/>
      <c r="SSG516" s="193"/>
      <c r="SSH516" s="379"/>
      <c r="SSI516" s="379"/>
      <c r="SSJ516" s="379"/>
      <c r="SSK516" s="379"/>
      <c r="SSL516" s="379"/>
      <c r="SSM516" s="13"/>
      <c r="SSN516" s="13"/>
      <c r="SSO516" s="193"/>
      <c r="SSP516" s="379"/>
      <c r="SSQ516" s="379"/>
      <c r="SSR516" s="379"/>
      <c r="SSS516" s="379"/>
      <c r="SST516" s="379"/>
      <c r="SSU516" s="13"/>
      <c r="SSV516" s="13"/>
      <c r="SSW516" s="193"/>
      <c r="SSX516" s="379"/>
      <c r="SSY516" s="379"/>
      <c r="SSZ516" s="379"/>
      <c r="STA516" s="379"/>
      <c r="STB516" s="379"/>
      <c r="STC516" s="13"/>
      <c r="STD516" s="13"/>
      <c r="STE516" s="193"/>
      <c r="STF516" s="379"/>
      <c r="STG516" s="379"/>
      <c r="STH516" s="379"/>
      <c r="STI516" s="379"/>
      <c r="STJ516" s="379"/>
      <c r="STK516" s="13"/>
      <c r="STL516" s="13"/>
      <c r="STM516" s="193"/>
      <c r="STN516" s="379"/>
      <c r="STO516" s="379"/>
      <c r="STP516" s="379"/>
      <c r="STQ516" s="379"/>
      <c r="STR516" s="379"/>
      <c r="STS516" s="13"/>
      <c r="STT516" s="13"/>
      <c r="STU516" s="193"/>
      <c r="STV516" s="379"/>
      <c r="STW516" s="379"/>
      <c r="STX516" s="379"/>
      <c r="STY516" s="379"/>
      <c r="STZ516" s="379"/>
      <c r="SUA516" s="13"/>
      <c r="SUB516" s="13"/>
      <c r="SUC516" s="193"/>
      <c r="SUD516" s="379"/>
      <c r="SUE516" s="379"/>
      <c r="SUF516" s="379"/>
      <c r="SUG516" s="379"/>
      <c r="SUH516" s="379"/>
      <c r="SUI516" s="13"/>
      <c r="SUJ516" s="13"/>
      <c r="SUK516" s="193"/>
      <c r="SUL516" s="379"/>
      <c r="SUM516" s="379"/>
      <c r="SUN516" s="379"/>
      <c r="SUO516" s="379"/>
      <c r="SUP516" s="379"/>
      <c r="SUQ516" s="13"/>
      <c r="SUR516" s="13"/>
      <c r="SUS516" s="193"/>
      <c r="SUT516" s="379"/>
      <c r="SUU516" s="379"/>
      <c r="SUV516" s="379"/>
      <c r="SUW516" s="379"/>
      <c r="SUX516" s="379"/>
      <c r="SUY516" s="13"/>
      <c r="SUZ516" s="13"/>
      <c r="SVA516" s="193"/>
      <c r="SVB516" s="379"/>
      <c r="SVC516" s="379"/>
      <c r="SVD516" s="379"/>
      <c r="SVE516" s="379"/>
      <c r="SVF516" s="379"/>
      <c r="SVG516" s="13"/>
      <c r="SVH516" s="13"/>
      <c r="SVI516" s="193"/>
      <c r="SVJ516" s="379"/>
      <c r="SVK516" s="379"/>
      <c r="SVL516" s="379"/>
      <c r="SVM516" s="379"/>
      <c r="SVN516" s="379"/>
      <c r="SVO516" s="13"/>
      <c r="SVP516" s="13"/>
      <c r="SVQ516" s="193"/>
      <c r="SVR516" s="379"/>
      <c r="SVS516" s="379"/>
      <c r="SVT516" s="379"/>
      <c r="SVU516" s="379"/>
      <c r="SVV516" s="379"/>
      <c r="SVW516" s="13"/>
      <c r="SVX516" s="13"/>
      <c r="SVY516" s="193"/>
      <c r="SVZ516" s="379"/>
      <c r="SWA516" s="379"/>
      <c r="SWB516" s="379"/>
      <c r="SWC516" s="379"/>
      <c r="SWD516" s="379"/>
      <c r="SWE516" s="13"/>
      <c r="SWF516" s="13"/>
      <c r="SWG516" s="193"/>
      <c r="SWH516" s="379"/>
      <c r="SWI516" s="379"/>
      <c r="SWJ516" s="379"/>
      <c r="SWK516" s="379"/>
      <c r="SWL516" s="379"/>
      <c r="SWM516" s="13"/>
      <c r="SWN516" s="13"/>
      <c r="SWO516" s="193"/>
      <c r="SWP516" s="379"/>
      <c r="SWQ516" s="379"/>
      <c r="SWR516" s="379"/>
      <c r="SWS516" s="379"/>
      <c r="SWT516" s="379"/>
      <c r="SWU516" s="13"/>
      <c r="SWV516" s="13"/>
      <c r="SWW516" s="193"/>
      <c r="SWX516" s="379"/>
      <c r="SWY516" s="379"/>
      <c r="SWZ516" s="379"/>
      <c r="SXA516" s="379"/>
      <c r="SXB516" s="379"/>
      <c r="SXC516" s="13"/>
      <c r="SXD516" s="13"/>
      <c r="SXE516" s="193"/>
      <c r="SXF516" s="379"/>
      <c r="SXG516" s="379"/>
      <c r="SXH516" s="379"/>
      <c r="SXI516" s="379"/>
      <c r="SXJ516" s="379"/>
      <c r="SXK516" s="13"/>
      <c r="SXL516" s="13"/>
      <c r="SXM516" s="193"/>
      <c r="SXN516" s="379"/>
      <c r="SXO516" s="379"/>
      <c r="SXP516" s="379"/>
      <c r="SXQ516" s="379"/>
      <c r="SXR516" s="379"/>
      <c r="SXS516" s="13"/>
      <c r="SXT516" s="13"/>
      <c r="SXU516" s="193"/>
      <c r="SXV516" s="379"/>
      <c r="SXW516" s="379"/>
      <c r="SXX516" s="379"/>
      <c r="SXY516" s="379"/>
      <c r="SXZ516" s="379"/>
      <c r="SYA516" s="13"/>
      <c r="SYB516" s="13"/>
      <c r="SYC516" s="193"/>
      <c r="SYD516" s="379"/>
      <c r="SYE516" s="379"/>
      <c r="SYF516" s="379"/>
      <c r="SYG516" s="379"/>
      <c r="SYH516" s="379"/>
      <c r="SYI516" s="13"/>
      <c r="SYJ516" s="13"/>
      <c r="SYK516" s="193"/>
      <c r="SYL516" s="379"/>
      <c r="SYM516" s="379"/>
      <c r="SYN516" s="379"/>
      <c r="SYO516" s="379"/>
      <c r="SYP516" s="379"/>
      <c r="SYQ516" s="13"/>
      <c r="SYR516" s="13"/>
      <c r="SYS516" s="193"/>
      <c r="SYT516" s="379"/>
      <c r="SYU516" s="379"/>
      <c r="SYV516" s="379"/>
      <c r="SYW516" s="379"/>
      <c r="SYX516" s="379"/>
      <c r="SYY516" s="13"/>
      <c r="SYZ516" s="13"/>
      <c r="SZA516" s="193"/>
      <c r="SZB516" s="379"/>
      <c r="SZC516" s="379"/>
      <c r="SZD516" s="379"/>
      <c r="SZE516" s="379"/>
      <c r="SZF516" s="379"/>
      <c r="SZG516" s="13"/>
      <c r="SZH516" s="13"/>
      <c r="SZI516" s="193"/>
      <c r="SZJ516" s="379"/>
      <c r="SZK516" s="379"/>
      <c r="SZL516" s="379"/>
      <c r="SZM516" s="379"/>
      <c r="SZN516" s="379"/>
      <c r="SZO516" s="13"/>
      <c r="SZP516" s="13"/>
      <c r="SZQ516" s="193"/>
      <c r="SZR516" s="379"/>
      <c r="SZS516" s="379"/>
      <c r="SZT516" s="379"/>
      <c r="SZU516" s="379"/>
      <c r="SZV516" s="379"/>
      <c r="SZW516" s="13"/>
      <c r="SZX516" s="13"/>
      <c r="SZY516" s="193"/>
      <c r="SZZ516" s="379"/>
      <c r="TAA516" s="379"/>
      <c r="TAB516" s="379"/>
      <c r="TAC516" s="379"/>
      <c r="TAD516" s="379"/>
      <c r="TAE516" s="13"/>
      <c r="TAF516" s="13"/>
      <c r="TAG516" s="193"/>
      <c r="TAH516" s="379"/>
      <c r="TAI516" s="379"/>
      <c r="TAJ516" s="379"/>
      <c r="TAK516" s="379"/>
      <c r="TAL516" s="379"/>
      <c r="TAM516" s="13"/>
      <c r="TAN516" s="13"/>
      <c r="TAO516" s="193"/>
      <c r="TAP516" s="379"/>
      <c r="TAQ516" s="379"/>
      <c r="TAR516" s="379"/>
      <c r="TAS516" s="379"/>
      <c r="TAT516" s="379"/>
      <c r="TAU516" s="13"/>
      <c r="TAV516" s="13"/>
      <c r="TAW516" s="193"/>
      <c r="TAX516" s="379"/>
      <c r="TAY516" s="379"/>
      <c r="TAZ516" s="379"/>
      <c r="TBA516" s="379"/>
      <c r="TBB516" s="379"/>
      <c r="TBC516" s="13"/>
      <c r="TBD516" s="13"/>
      <c r="TBE516" s="193"/>
      <c r="TBF516" s="379"/>
      <c r="TBG516" s="379"/>
      <c r="TBH516" s="379"/>
      <c r="TBI516" s="379"/>
      <c r="TBJ516" s="379"/>
      <c r="TBK516" s="13"/>
      <c r="TBL516" s="13"/>
      <c r="TBM516" s="193"/>
      <c r="TBN516" s="379"/>
      <c r="TBO516" s="379"/>
      <c r="TBP516" s="379"/>
      <c r="TBQ516" s="379"/>
      <c r="TBR516" s="379"/>
      <c r="TBS516" s="13"/>
      <c r="TBT516" s="13"/>
      <c r="TBU516" s="193"/>
      <c r="TBV516" s="379"/>
      <c r="TBW516" s="379"/>
      <c r="TBX516" s="379"/>
      <c r="TBY516" s="379"/>
      <c r="TBZ516" s="379"/>
      <c r="TCA516" s="13"/>
      <c r="TCB516" s="13"/>
      <c r="TCC516" s="193"/>
      <c r="TCD516" s="379"/>
      <c r="TCE516" s="379"/>
      <c r="TCF516" s="379"/>
      <c r="TCG516" s="379"/>
      <c r="TCH516" s="379"/>
      <c r="TCI516" s="13"/>
      <c r="TCJ516" s="13"/>
      <c r="TCK516" s="193"/>
      <c r="TCL516" s="379"/>
      <c r="TCM516" s="379"/>
      <c r="TCN516" s="379"/>
      <c r="TCO516" s="379"/>
      <c r="TCP516" s="379"/>
      <c r="TCQ516" s="13"/>
      <c r="TCR516" s="13"/>
      <c r="TCS516" s="193"/>
      <c r="TCT516" s="379"/>
      <c r="TCU516" s="379"/>
      <c r="TCV516" s="379"/>
      <c r="TCW516" s="379"/>
      <c r="TCX516" s="379"/>
      <c r="TCY516" s="13"/>
      <c r="TCZ516" s="13"/>
      <c r="TDA516" s="193"/>
      <c r="TDB516" s="379"/>
      <c r="TDC516" s="379"/>
      <c r="TDD516" s="379"/>
      <c r="TDE516" s="379"/>
      <c r="TDF516" s="379"/>
      <c r="TDG516" s="13"/>
      <c r="TDH516" s="13"/>
      <c r="TDI516" s="193"/>
      <c r="TDJ516" s="379"/>
      <c r="TDK516" s="379"/>
      <c r="TDL516" s="379"/>
      <c r="TDM516" s="379"/>
      <c r="TDN516" s="379"/>
      <c r="TDO516" s="13"/>
      <c r="TDP516" s="13"/>
      <c r="TDQ516" s="193"/>
      <c r="TDR516" s="379"/>
      <c r="TDS516" s="379"/>
      <c r="TDT516" s="379"/>
      <c r="TDU516" s="379"/>
      <c r="TDV516" s="379"/>
      <c r="TDW516" s="13"/>
      <c r="TDX516" s="13"/>
      <c r="TDY516" s="193"/>
      <c r="TDZ516" s="379"/>
      <c r="TEA516" s="379"/>
      <c r="TEB516" s="379"/>
      <c r="TEC516" s="379"/>
      <c r="TED516" s="379"/>
      <c r="TEE516" s="13"/>
      <c r="TEF516" s="13"/>
      <c r="TEG516" s="193"/>
      <c r="TEH516" s="379"/>
      <c r="TEI516" s="379"/>
      <c r="TEJ516" s="379"/>
      <c r="TEK516" s="379"/>
      <c r="TEL516" s="379"/>
      <c r="TEM516" s="13"/>
      <c r="TEN516" s="13"/>
      <c r="TEO516" s="193"/>
      <c r="TEP516" s="379"/>
      <c r="TEQ516" s="379"/>
      <c r="TER516" s="379"/>
      <c r="TES516" s="379"/>
      <c r="TET516" s="379"/>
      <c r="TEU516" s="13"/>
      <c r="TEV516" s="13"/>
      <c r="TEW516" s="193"/>
      <c r="TEX516" s="379"/>
      <c r="TEY516" s="379"/>
      <c r="TEZ516" s="379"/>
      <c r="TFA516" s="379"/>
      <c r="TFB516" s="379"/>
      <c r="TFC516" s="13"/>
      <c r="TFD516" s="13"/>
      <c r="TFE516" s="193"/>
      <c r="TFF516" s="379"/>
      <c r="TFG516" s="379"/>
      <c r="TFH516" s="379"/>
      <c r="TFI516" s="379"/>
      <c r="TFJ516" s="379"/>
      <c r="TFK516" s="13"/>
      <c r="TFL516" s="13"/>
      <c r="TFM516" s="193"/>
      <c r="TFN516" s="379"/>
      <c r="TFO516" s="379"/>
      <c r="TFP516" s="379"/>
      <c r="TFQ516" s="379"/>
      <c r="TFR516" s="379"/>
      <c r="TFS516" s="13"/>
      <c r="TFT516" s="13"/>
      <c r="TFU516" s="193"/>
      <c r="TFV516" s="379"/>
      <c r="TFW516" s="379"/>
      <c r="TFX516" s="379"/>
      <c r="TFY516" s="379"/>
      <c r="TFZ516" s="379"/>
      <c r="TGA516" s="13"/>
      <c r="TGB516" s="13"/>
      <c r="TGC516" s="193"/>
      <c r="TGD516" s="379"/>
      <c r="TGE516" s="379"/>
      <c r="TGF516" s="379"/>
      <c r="TGG516" s="379"/>
      <c r="TGH516" s="379"/>
      <c r="TGI516" s="13"/>
      <c r="TGJ516" s="13"/>
      <c r="TGK516" s="193"/>
      <c r="TGL516" s="379"/>
      <c r="TGM516" s="379"/>
      <c r="TGN516" s="379"/>
      <c r="TGO516" s="379"/>
      <c r="TGP516" s="379"/>
      <c r="TGQ516" s="13"/>
      <c r="TGR516" s="13"/>
      <c r="TGS516" s="193"/>
      <c r="TGT516" s="379"/>
      <c r="TGU516" s="379"/>
      <c r="TGV516" s="379"/>
      <c r="TGW516" s="379"/>
      <c r="TGX516" s="379"/>
      <c r="TGY516" s="13"/>
      <c r="TGZ516" s="13"/>
      <c r="THA516" s="193"/>
      <c r="THB516" s="379"/>
      <c r="THC516" s="379"/>
      <c r="THD516" s="379"/>
      <c r="THE516" s="379"/>
      <c r="THF516" s="379"/>
      <c r="THG516" s="13"/>
      <c r="THH516" s="13"/>
      <c r="THI516" s="193"/>
      <c r="THJ516" s="379"/>
      <c r="THK516" s="379"/>
      <c r="THL516" s="379"/>
      <c r="THM516" s="379"/>
      <c r="THN516" s="379"/>
      <c r="THO516" s="13"/>
      <c r="THP516" s="13"/>
      <c r="THQ516" s="193"/>
      <c r="THR516" s="379"/>
      <c r="THS516" s="379"/>
      <c r="THT516" s="379"/>
      <c r="THU516" s="379"/>
      <c r="THV516" s="379"/>
      <c r="THW516" s="13"/>
      <c r="THX516" s="13"/>
      <c r="THY516" s="193"/>
      <c r="THZ516" s="379"/>
      <c r="TIA516" s="379"/>
      <c r="TIB516" s="379"/>
      <c r="TIC516" s="379"/>
      <c r="TID516" s="379"/>
      <c r="TIE516" s="13"/>
      <c r="TIF516" s="13"/>
      <c r="TIG516" s="193"/>
      <c r="TIH516" s="379"/>
      <c r="TII516" s="379"/>
      <c r="TIJ516" s="379"/>
      <c r="TIK516" s="379"/>
      <c r="TIL516" s="379"/>
      <c r="TIM516" s="13"/>
      <c r="TIN516" s="13"/>
      <c r="TIO516" s="193"/>
      <c r="TIP516" s="379"/>
      <c r="TIQ516" s="379"/>
      <c r="TIR516" s="379"/>
      <c r="TIS516" s="379"/>
      <c r="TIT516" s="379"/>
      <c r="TIU516" s="13"/>
      <c r="TIV516" s="13"/>
      <c r="TIW516" s="193"/>
      <c r="TIX516" s="379"/>
      <c r="TIY516" s="379"/>
      <c r="TIZ516" s="379"/>
      <c r="TJA516" s="379"/>
      <c r="TJB516" s="379"/>
      <c r="TJC516" s="13"/>
      <c r="TJD516" s="13"/>
      <c r="TJE516" s="193"/>
      <c r="TJF516" s="379"/>
      <c r="TJG516" s="379"/>
      <c r="TJH516" s="379"/>
      <c r="TJI516" s="379"/>
      <c r="TJJ516" s="379"/>
      <c r="TJK516" s="13"/>
      <c r="TJL516" s="13"/>
      <c r="TJM516" s="193"/>
      <c r="TJN516" s="379"/>
      <c r="TJO516" s="379"/>
      <c r="TJP516" s="379"/>
      <c r="TJQ516" s="379"/>
      <c r="TJR516" s="379"/>
      <c r="TJS516" s="13"/>
      <c r="TJT516" s="13"/>
      <c r="TJU516" s="193"/>
      <c r="TJV516" s="379"/>
      <c r="TJW516" s="379"/>
      <c r="TJX516" s="379"/>
      <c r="TJY516" s="379"/>
      <c r="TJZ516" s="379"/>
      <c r="TKA516" s="13"/>
      <c r="TKB516" s="13"/>
      <c r="TKC516" s="193"/>
      <c r="TKD516" s="379"/>
      <c r="TKE516" s="379"/>
      <c r="TKF516" s="379"/>
      <c r="TKG516" s="379"/>
      <c r="TKH516" s="379"/>
      <c r="TKI516" s="13"/>
      <c r="TKJ516" s="13"/>
      <c r="TKK516" s="193"/>
      <c r="TKL516" s="379"/>
      <c r="TKM516" s="379"/>
      <c r="TKN516" s="379"/>
      <c r="TKO516" s="379"/>
      <c r="TKP516" s="379"/>
      <c r="TKQ516" s="13"/>
      <c r="TKR516" s="13"/>
      <c r="TKS516" s="193"/>
      <c r="TKT516" s="379"/>
      <c r="TKU516" s="379"/>
      <c r="TKV516" s="379"/>
      <c r="TKW516" s="379"/>
      <c r="TKX516" s="379"/>
      <c r="TKY516" s="13"/>
      <c r="TKZ516" s="13"/>
      <c r="TLA516" s="193"/>
      <c r="TLB516" s="379"/>
      <c r="TLC516" s="379"/>
      <c r="TLD516" s="379"/>
      <c r="TLE516" s="379"/>
      <c r="TLF516" s="379"/>
      <c r="TLG516" s="13"/>
      <c r="TLH516" s="13"/>
      <c r="TLI516" s="193"/>
      <c r="TLJ516" s="379"/>
      <c r="TLK516" s="379"/>
      <c r="TLL516" s="379"/>
      <c r="TLM516" s="379"/>
      <c r="TLN516" s="379"/>
      <c r="TLO516" s="13"/>
      <c r="TLP516" s="13"/>
      <c r="TLQ516" s="193"/>
      <c r="TLR516" s="379"/>
      <c r="TLS516" s="379"/>
      <c r="TLT516" s="379"/>
      <c r="TLU516" s="379"/>
      <c r="TLV516" s="379"/>
      <c r="TLW516" s="13"/>
      <c r="TLX516" s="13"/>
      <c r="TLY516" s="193"/>
      <c r="TLZ516" s="379"/>
      <c r="TMA516" s="379"/>
      <c r="TMB516" s="379"/>
      <c r="TMC516" s="379"/>
      <c r="TMD516" s="379"/>
      <c r="TME516" s="13"/>
      <c r="TMF516" s="13"/>
      <c r="TMG516" s="193"/>
      <c r="TMH516" s="379"/>
      <c r="TMI516" s="379"/>
      <c r="TMJ516" s="379"/>
      <c r="TMK516" s="379"/>
      <c r="TML516" s="379"/>
      <c r="TMM516" s="13"/>
      <c r="TMN516" s="13"/>
      <c r="TMO516" s="193"/>
      <c r="TMP516" s="379"/>
      <c r="TMQ516" s="379"/>
      <c r="TMR516" s="379"/>
      <c r="TMS516" s="379"/>
      <c r="TMT516" s="379"/>
      <c r="TMU516" s="13"/>
      <c r="TMV516" s="13"/>
      <c r="TMW516" s="193"/>
      <c r="TMX516" s="379"/>
      <c r="TMY516" s="379"/>
      <c r="TMZ516" s="379"/>
      <c r="TNA516" s="379"/>
      <c r="TNB516" s="379"/>
      <c r="TNC516" s="13"/>
      <c r="TND516" s="13"/>
      <c r="TNE516" s="193"/>
      <c r="TNF516" s="379"/>
      <c r="TNG516" s="379"/>
      <c r="TNH516" s="379"/>
      <c r="TNI516" s="379"/>
      <c r="TNJ516" s="379"/>
      <c r="TNK516" s="13"/>
      <c r="TNL516" s="13"/>
      <c r="TNM516" s="193"/>
      <c r="TNN516" s="379"/>
      <c r="TNO516" s="379"/>
      <c r="TNP516" s="379"/>
      <c r="TNQ516" s="379"/>
      <c r="TNR516" s="379"/>
      <c r="TNS516" s="13"/>
      <c r="TNT516" s="13"/>
      <c r="TNU516" s="193"/>
      <c r="TNV516" s="379"/>
      <c r="TNW516" s="379"/>
      <c r="TNX516" s="379"/>
      <c r="TNY516" s="379"/>
      <c r="TNZ516" s="379"/>
      <c r="TOA516" s="13"/>
      <c r="TOB516" s="13"/>
      <c r="TOC516" s="193"/>
      <c r="TOD516" s="379"/>
      <c r="TOE516" s="379"/>
      <c r="TOF516" s="379"/>
      <c r="TOG516" s="379"/>
      <c r="TOH516" s="379"/>
      <c r="TOI516" s="13"/>
      <c r="TOJ516" s="13"/>
      <c r="TOK516" s="193"/>
      <c r="TOL516" s="379"/>
      <c r="TOM516" s="379"/>
      <c r="TON516" s="379"/>
      <c r="TOO516" s="379"/>
      <c r="TOP516" s="379"/>
      <c r="TOQ516" s="13"/>
      <c r="TOR516" s="13"/>
      <c r="TOS516" s="193"/>
      <c r="TOT516" s="379"/>
      <c r="TOU516" s="379"/>
      <c r="TOV516" s="379"/>
      <c r="TOW516" s="379"/>
      <c r="TOX516" s="379"/>
      <c r="TOY516" s="13"/>
      <c r="TOZ516" s="13"/>
      <c r="TPA516" s="193"/>
      <c r="TPB516" s="379"/>
      <c r="TPC516" s="379"/>
      <c r="TPD516" s="379"/>
      <c r="TPE516" s="379"/>
      <c r="TPF516" s="379"/>
      <c r="TPG516" s="13"/>
      <c r="TPH516" s="13"/>
      <c r="TPI516" s="193"/>
      <c r="TPJ516" s="379"/>
      <c r="TPK516" s="379"/>
      <c r="TPL516" s="379"/>
      <c r="TPM516" s="379"/>
      <c r="TPN516" s="379"/>
      <c r="TPO516" s="13"/>
      <c r="TPP516" s="13"/>
      <c r="TPQ516" s="193"/>
      <c r="TPR516" s="379"/>
      <c r="TPS516" s="379"/>
      <c r="TPT516" s="379"/>
      <c r="TPU516" s="379"/>
      <c r="TPV516" s="379"/>
      <c r="TPW516" s="13"/>
      <c r="TPX516" s="13"/>
      <c r="TPY516" s="193"/>
      <c r="TPZ516" s="379"/>
      <c r="TQA516" s="379"/>
      <c r="TQB516" s="379"/>
      <c r="TQC516" s="379"/>
      <c r="TQD516" s="379"/>
      <c r="TQE516" s="13"/>
      <c r="TQF516" s="13"/>
      <c r="TQG516" s="193"/>
      <c r="TQH516" s="379"/>
      <c r="TQI516" s="379"/>
      <c r="TQJ516" s="379"/>
      <c r="TQK516" s="379"/>
      <c r="TQL516" s="379"/>
      <c r="TQM516" s="13"/>
      <c r="TQN516" s="13"/>
      <c r="TQO516" s="193"/>
      <c r="TQP516" s="379"/>
      <c r="TQQ516" s="379"/>
      <c r="TQR516" s="379"/>
      <c r="TQS516" s="379"/>
      <c r="TQT516" s="379"/>
      <c r="TQU516" s="13"/>
      <c r="TQV516" s="13"/>
      <c r="TQW516" s="193"/>
      <c r="TQX516" s="379"/>
      <c r="TQY516" s="379"/>
      <c r="TQZ516" s="379"/>
      <c r="TRA516" s="379"/>
      <c r="TRB516" s="379"/>
      <c r="TRC516" s="13"/>
      <c r="TRD516" s="13"/>
      <c r="TRE516" s="193"/>
      <c r="TRF516" s="379"/>
      <c r="TRG516" s="379"/>
      <c r="TRH516" s="379"/>
      <c r="TRI516" s="379"/>
      <c r="TRJ516" s="379"/>
      <c r="TRK516" s="13"/>
      <c r="TRL516" s="13"/>
      <c r="TRM516" s="193"/>
      <c r="TRN516" s="379"/>
      <c r="TRO516" s="379"/>
      <c r="TRP516" s="379"/>
      <c r="TRQ516" s="379"/>
      <c r="TRR516" s="379"/>
      <c r="TRS516" s="13"/>
      <c r="TRT516" s="13"/>
      <c r="TRU516" s="193"/>
      <c r="TRV516" s="379"/>
      <c r="TRW516" s="379"/>
      <c r="TRX516" s="379"/>
      <c r="TRY516" s="379"/>
      <c r="TRZ516" s="379"/>
      <c r="TSA516" s="13"/>
      <c r="TSB516" s="13"/>
      <c r="TSC516" s="193"/>
      <c r="TSD516" s="379"/>
      <c r="TSE516" s="379"/>
      <c r="TSF516" s="379"/>
      <c r="TSG516" s="379"/>
      <c r="TSH516" s="379"/>
      <c r="TSI516" s="13"/>
      <c r="TSJ516" s="13"/>
      <c r="TSK516" s="193"/>
      <c r="TSL516" s="379"/>
      <c r="TSM516" s="379"/>
      <c r="TSN516" s="379"/>
      <c r="TSO516" s="379"/>
      <c r="TSP516" s="379"/>
      <c r="TSQ516" s="13"/>
      <c r="TSR516" s="13"/>
      <c r="TSS516" s="193"/>
      <c r="TST516" s="379"/>
      <c r="TSU516" s="379"/>
      <c r="TSV516" s="379"/>
      <c r="TSW516" s="379"/>
      <c r="TSX516" s="379"/>
      <c r="TSY516" s="13"/>
      <c r="TSZ516" s="13"/>
      <c r="TTA516" s="193"/>
      <c r="TTB516" s="379"/>
      <c r="TTC516" s="379"/>
      <c r="TTD516" s="379"/>
      <c r="TTE516" s="379"/>
      <c r="TTF516" s="379"/>
      <c r="TTG516" s="13"/>
      <c r="TTH516" s="13"/>
      <c r="TTI516" s="193"/>
      <c r="TTJ516" s="379"/>
      <c r="TTK516" s="379"/>
      <c r="TTL516" s="379"/>
      <c r="TTM516" s="379"/>
      <c r="TTN516" s="379"/>
      <c r="TTO516" s="13"/>
      <c r="TTP516" s="13"/>
      <c r="TTQ516" s="193"/>
      <c r="TTR516" s="379"/>
      <c r="TTS516" s="379"/>
      <c r="TTT516" s="379"/>
      <c r="TTU516" s="379"/>
      <c r="TTV516" s="379"/>
      <c r="TTW516" s="13"/>
      <c r="TTX516" s="13"/>
      <c r="TTY516" s="193"/>
      <c r="TTZ516" s="379"/>
      <c r="TUA516" s="379"/>
      <c r="TUB516" s="379"/>
      <c r="TUC516" s="379"/>
      <c r="TUD516" s="379"/>
      <c r="TUE516" s="13"/>
      <c r="TUF516" s="13"/>
      <c r="TUG516" s="193"/>
      <c r="TUH516" s="379"/>
      <c r="TUI516" s="379"/>
      <c r="TUJ516" s="379"/>
      <c r="TUK516" s="379"/>
      <c r="TUL516" s="379"/>
      <c r="TUM516" s="13"/>
      <c r="TUN516" s="13"/>
      <c r="TUO516" s="193"/>
      <c r="TUP516" s="379"/>
      <c r="TUQ516" s="379"/>
      <c r="TUR516" s="379"/>
      <c r="TUS516" s="379"/>
      <c r="TUT516" s="379"/>
      <c r="TUU516" s="13"/>
      <c r="TUV516" s="13"/>
      <c r="TUW516" s="193"/>
      <c r="TUX516" s="379"/>
      <c r="TUY516" s="379"/>
      <c r="TUZ516" s="379"/>
      <c r="TVA516" s="379"/>
      <c r="TVB516" s="379"/>
      <c r="TVC516" s="13"/>
      <c r="TVD516" s="13"/>
      <c r="TVE516" s="193"/>
      <c r="TVF516" s="379"/>
      <c r="TVG516" s="379"/>
      <c r="TVH516" s="379"/>
      <c r="TVI516" s="379"/>
      <c r="TVJ516" s="379"/>
      <c r="TVK516" s="13"/>
      <c r="TVL516" s="13"/>
      <c r="TVM516" s="193"/>
      <c r="TVN516" s="379"/>
      <c r="TVO516" s="379"/>
      <c r="TVP516" s="379"/>
      <c r="TVQ516" s="379"/>
      <c r="TVR516" s="379"/>
      <c r="TVS516" s="13"/>
      <c r="TVT516" s="13"/>
      <c r="TVU516" s="193"/>
      <c r="TVV516" s="379"/>
      <c r="TVW516" s="379"/>
      <c r="TVX516" s="379"/>
      <c r="TVY516" s="379"/>
      <c r="TVZ516" s="379"/>
      <c r="TWA516" s="13"/>
      <c r="TWB516" s="13"/>
      <c r="TWC516" s="193"/>
      <c r="TWD516" s="379"/>
      <c r="TWE516" s="379"/>
      <c r="TWF516" s="379"/>
      <c r="TWG516" s="379"/>
      <c r="TWH516" s="379"/>
      <c r="TWI516" s="13"/>
      <c r="TWJ516" s="13"/>
      <c r="TWK516" s="193"/>
      <c r="TWL516" s="379"/>
      <c r="TWM516" s="379"/>
      <c r="TWN516" s="379"/>
      <c r="TWO516" s="379"/>
      <c r="TWP516" s="379"/>
      <c r="TWQ516" s="13"/>
      <c r="TWR516" s="13"/>
      <c r="TWS516" s="193"/>
      <c r="TWT516" s="379"/>
      <c r="TWU516" s="379"/>
      <c r="TWV516" s="379"/>
      <c r="TWW516" s="379"/>
      <c r="TWX516" s="379"/>
      <c r="TWY516" s="13"/>
      <c r="TWZ516" s="13"/>
      <c r="TXA516" s="193"/>
      <c r="TXB516" s="379"/>
      <c r="TXC516" s="379"/>
      <c r="TXD516" s="379"/>
      <c r="TXE516" s="379"/>
      <c r="TXF516" s="379"/>
      <c r="TXG516" s="13"/>
      <c r="TXH516" s="13"/>
      <c r="TXI516" s="193"/>
      <c r="TXJ516" s="379"/>
      <c r="TXK516" s="379"/>
      <c r="TXL516" s="379"/>
      <c r="TXM516" s="379"/>
      <c r="TXN516" s="379"/>
      <c r="TXO516" s="13"/>
      <c r="TXP516" s="13"/>
      <c r="TXQ516" s="193"/>
      <c r="TXR516" s="379"/>
      <c r="TXS516" s="379"/>
      <c r="TXT516" s="379"/>
      <c r="TXU516" s="379"/>
      <c r="TXV516" s="379"/>
      <c r="TXW516" s="13"/>
      <c r="TXX516" s="13"/>
      <c r="TXY516" s="193"/>
      <c r="TXZ516" s="379"/>
      <c r="TYA516" s="379"/>
      <c r="TYB516" s="379"/>
      <c r="TYC516" s="379"/>
      <c r="TYD516" s="379"/>
      <c r="TYE516" s="13"/>
      <c r="TYF516" s="13"/>
      <c r="TYG516" s="193"/>
      <c r="TYH516" s="379"/>
      <c r="TYI516" s="379"/>
      <c r="TYJ516" s="379"/>
      <c r="TYK516" s="379"/>
      <c r="TYL516" s="379"/>
      <c r="TYM516" s="13"/>
      <c r="TYN516" s="13"/>
      <c r="TYO516" s="193"/>
      <c r="TYP516" s="379"/>
      <c r="TYQ516" s="379"/>
      <c r="TYR516" s="379"/>
      <c r="TYS516" s="379"/>
      <c r="TYT516" s="379"/>
      <c r="TYU516" s="13"/>
      <c r="TYV516" s="13"/>
      <c r="TYW516" s="193"/>
      <c r="TYX516" s="379"/>
      <c r="TYY516" s="379"/>
      <c r="TYZ516" s="379"/>
      <c r="TZA516" s="379"/>
      <c r="TZB516" s="379"/>
      <c r="TZC516" s="13"/>
      <c r="TZD516" s="13"/>
      <c r="TZE516" s="193"/>
      <c r="TZF516" s="379"/>
      <c r="TZG516" s="379"/>
      <c r="TZH516" s="379"/>
      <c r="TZI516" s="379"/>
      <c r="TZJ516" s="379"/>
      <c r="TZK516" s="13"/>
      <c r="TZL516" s="13"/>
      <c r="TZM516" s="193"/>
      <c r="TZN516" s="379"/>
      <c r="TZO516" s="379"/>
      <c r="TZP516" s="379"/>
      <c r="TZQ516" s="379"/>
      <c r="TZR516" s="379"/>
      <c r="TZS516" s="13"/>
      <c r="TZT516" s="13"/>
      <c r="TZU516" s="193"/>
      <c r="TZV516" s="379"/>
      <c r="TZW516" s="379"/>
      <c r="TZX516" s="379"/>
      <c r="TZY516" s="379"/>
      <c r="TZZ516" s="379"/>
      <c r="UAA516" s="13"/>
      <c r="UAB516" s="13"/>
      <c r="UAC516" s="193"/>
      <c r="UAD516" s="379"/>
      <c r="UAE516" s="379"/>
      <c r="UAF516" s="379"/>
      <c r="UAG516" s="379"/>
      <c r="UAH516" s="379"/>
      <c r="UAI516" s="13"/>
      <c r="UAJ516" s="13"/>
      <c r="UAK516" s="193"/>
      <c r="UAL516" s="379"/>
      <c r="UAM516" s="379"/>
      <c r="UAN516" s="379"/>
      <c r="UAO516" s="379"/>
      <c r="UAP516" s="379"/>
      <c r="UAQ516" s="13"/>
      <c r="UAR516" s="13"/>
      <c r="UAS516" s="193"/>
      <c r="UAT516" s="379"/>
      <c r="UAU516" s="379"/>
      <c r="UAV516" s="379"/>
      <c r="UAW516" s="379"/>
      <c r="UAX516" s="379"/>
      <c r="UAY516" s="13"/>
      <c r="UAZ516" s="13"/>
      <c r="UBA516" s="193"/>
      <c r="UBB516" s="379"/>
      <c r="UBC516" s="379"/>
      <c r="UBD516" s="379"/>
      <c r="UBE516" s="379"/>
      <c r="UBF516" s="379"/>
      <c r="UBG516" s="13"/>
      <c r="UBH516" s="13"/>
      <c r="UBI516" s="193"/>
      <c r="UBJ516" s="379"/>
      <c r="UBK516" s="379"/>
      <c r="UBL516" s="379"/>
      <c r="UBM516" s="379"/>
      <c r="UBN516" s="379"/>
      <c r="UBO516" s="13"/>
      <c r="UBP516" s="13"/>
      <c r="UBQ516" s="193"/>
      <c r="UBR516" s="379"/>
      <c r="UBS516" s="379"/>
      <c r="UBT516" s="379"/>
      <c r="UBU516" s="379"/>
      <c r="UBV516" s="379"/>
      <c r="UBW516" s="13"/>
      <c r="UBX516" s="13"/>
      <c r="UBY516" s="193"/>
      <c r="UBZ516" s="379"/>
      <c r="UCA516" s="379"/>
      <c r="UCB516" s="379"/>
      <c r="UCC516" s="379"/>
      <c r="UCD516" s="379"/>
      <c r="UCE516" s="13"/>
      <c r="UCF516" s="13"/>
      <c r="UCG516" s="193"/>
      <c r="UCH516" s="379"/>
      <c r="UCI516" s="379"/>
      <c r="UCJ516" s="379"/>
      <c r="UCK516" s="379"/>
      <c r="UCL516" s="379"/>
      <c r="UCM516" s="13"/>
      <c r="UCN516" s="13"/>
      <c r="UCO516" s="193"/>
      <c r="UCP516" s="379"/>
      <c r="UCQ516" s="379"/>
      <c r="UCR516" s="379"/>
      <c r="UCS516" s="379"/>
      <c r="UCT516" s="379"/>
      <c r="UCU516" s="13"/>
      <c r="UCV516" s="13"/>
      <c r="UCW516" s="193"/>
      <c r="UCX516" s="379"/>
      <c r="UCY516" s="379"/>
      <c r="UCZ516" s="379"/>
      <c r="UDA516" s="379"/>
      <c r="UDB516" s="379"/>
      <c r="UDC516" s="13"/>
      <c r="UDD516" s="13"/>
      <c r="UDE516" s="193"/>
      <c r="UDF516" s="379"/>
      <c r="UDG516" s="379"/>
      <c r="UDH516" s="379"/>
      <c r="UDI516" s="379"/>
      <c r="UDJ516" s="379"/>
      <c r="UDK516" s="13"/>
      <c r="UDL516" s="13"/>
      <c r="UDM516" s="193"/>
      <c r="UDN516" s="379"/>
      <c r="UDO516" s="379"/>
      <c r="UDP516" s="379"/>
      <c r="UDQ516" s="379"/>
      <c r="UDR516" s="379"/>
      <c r="UDS516" s="13"/>
      <c r="UDT516" s="13"/>
      <c r="UDU516" s="193"/>
      <c r="UDV516" s="379"/>
      <c r="UDW516" s="379"/>
      <c r="UDX516" s="379"/>
      <c r="UDY516" s="379"/>
      <c r="UDZ516" s="379"/>
      <c r="UEA516" s="13"/>
      <c r="UEB516" s="13"/>
      <c r="UEC516" s="193"/>
      <c r="UED516" s="379"/>
      <c r="UEE516" s="379"/>
      <c r="UEF516" s="379"/>
      <c r="UEG516" s="379"/>
      <c r="UEH516" s="379"/>
      <c r="UEI516" s="13"/>
      <c r="UEJ516" s="13"/>
      <c r="UEK516" s="193"/>
      <c r="UEL516" s="379"/>
      <c r="UEM516" s="379"/>
      <c r="UEN516" s="379"/>
      <c r="UEO516" s="379"/>
      <c r="UEP516" s="379"/>
      <c r="UEQ516" s="13"/>
      <c r="UER516" s="13"/>
      <c r="UES516" s="193"/>
      <c r="UET516" s="379"/>
      <c r="UEU516" s="379"/>
      <c r="UEV516" s="379"/>
      <c r="UEW516" s="379"/>
      <c r="UEX516" s="379"/>
      <c r="UEY516" s="13"/>
      <c r="UEZ516" s="13"/>
      <c r="UFA516" s="193"/>
      <c r="UFB516" s="379"/>
      <c r="UFC516" s="379"/>
      <c r="UFD516" s="379"/>
      <c r="UFE516" s="379"/>
      <c r="UFF516" s="379"/>
      <c r="UFG516" s="13"/>
      <c r="UFH516" s="13"/>
      <c r="UFI516" s="193"/>
      <c r="UFJ516" s="379"/>
      <c r="UFK516" s="379"/>
      <c r="UFL516" s="379"/>
      <c r="UFM516" s="379"/>
      <c r="UFN516" s="379"/>
      <c r="UFO516" s="13"/>
      <c r="UFP516" s="13"/>
      <c r="UFQ516" s="193"/>
      <c r="UFR516" s="379"/>
      <c r="UFS516" s="379"/>
      <c r="UFT516" s="379"/>
      <c r="UFU516" s="379"/>
      <c r="UFV516" s="379"/>
      <c r="UFW516" s="13"/>
      <c r="UFX516" s="13"/>
      <c r="UFY516" s="193"/>
      <c r="UFZ516" s="379"/>
      <c r="UGA516" s="379"/>
      <c r="UGB516" s="379"/>
      <c r="UGC516" s="379"/>
      <c r="UGD516" s="379"/>
      <c r="UGE516" s="13"/>
      <c r="UGF516" s="13"/>
      <c r="UGG516" s="193"/>
      <c r="UGH516" s="379"/>
      <c r="UGI516" s="379"/>
      <c r="UGJ516" s="379"/>
      <c r="UGK516" s="379"/>
      <c r="UGL516" s="379"/>
      <c r="UGM516" s="13"/>
      <c r="UGN516" s="13"/>
      <c r="UGO516" s="193"/>
      <c r="UGP516" s="379"/>
      <c r="UGQ516" s="379"/>
      <c r="UGR516" s="379"/>
      <c r="UGS516" s="379"/>
      <c r="UGT516" s="379"/>
      <c r="UGU516" s="13"/>
      <c r="UGV516" s="13"/>
      <c r="UGW516" s="193"/>
      <c r="UGX516" s="379"/>
      <c r="UGY516" s="379"/>
      <c r="UGZ516" s="379"/>
      <c r="UHA516" s="379"/>
      <c r="UHB516" s="379"/>
      <c r="UHC516" s="13"/>
      <c r="UHD516" s="13"/>
      <c r="UHE516" s="193"/>
      <c r="UHF516" s="379"/>
      <c r="UHG516" s="379"/>
      <c r="UHH516" s="379"/>
      <c r="UHI516" s="379"/>
      <c r="UHJ516" s="379"/>
      <c r="UHK516" s="13"/>
      <c r="UHL516" s="13"/>
      <c r="UHM516" s="193"/>
      <c r="UHN516" s="379"/>
      <c r="UHO516" s="379"/>
      <c r="UHP516" s="379"/>
      <c r="UHQ516" s="379"/>
      <c r="UHR516" s="379"/>
      <c r="UHS516" s="13"/>
      <c r="UHT516" s="13"/>
      <c r="UHU516" s="193"/>
      <c r="UHV516" s="379"/>
      <c r="UHW516" s="379"/>
      <c r="UHX516" s="379"/>
      <c r="UHY516" s="379"/>
      <c r="UHZ516" s="379"/>
      <c r="UIA516" s="13"/>
      <c r="UIB516" s="13"/>
      <c r="UIC516" s="193"/>
      <c r="UID516" s="379"/>
      <c r="UIE516" s="379"/>
      <c r="UIF516" s="379"/>
      <c r="UIG516" s="379"/>
      <c r="UIH516" s="379"/>
      <c r="UII516" s="13"/>
      <c r="UIJ516" s="13"/>
      <c r="UIK516" s="193"/>
      <c r="UIL516" s="379"/>
      <c r="UIM516" s="379"/>
      <c r="UIN516" s="379"/>
      <c r="UIO516" s="379"/>
      <c r="UIP516" s="379"/>
      <c r="UIQ516" s="13"/>
      <c r="UIR516" s="13"/>
      <c r="UIS516" s="193"/>
      <c r="UIT516" s="379"/>
      <c r="UIU516" s="379"/>
      <c r="UIV516" s="379"/>
      <c r="UIW516" s="379"/>
      <c r="UIX516" s="379"/>
      <c r="UIY516" s="13"/>
      <c r="UIZ516" s="13"/>
      <c r="UJA516" s="193"/>
      <c r="UJB516" s="379"/>
      <c r="UJC516" s="379"/>
      <c r="UJD516" s="379"/>
      <c r="UJE516" s="379"/>
      <c r="UJF516" s="379"/>
      <c r="UJG516" s="13"/>
      <c r="UJH516" s="13"/>
      <c r="UJI516" s="193"/>
      <c r="UJJ516" s="379"/>
      <c r="UJK516" s="379"/>
      <c r="UJL516" s="379"/>
      <c r="UJM516" s="379"/>
      <c r="UJN516" s="379"/>
      <c r="UJO516" s="13"/>
      <c r="UJP516" s="13"/>
      <c r="UJQ516" s="193"/>
      <c r="UJR516" s="379"/>
      <c r="UJS516" s="379"/>
      <c r="UJT516" s="379"/>
      <c r="UJU516" s="379"/>
      <c r="UJV516" s="379"/>
      <c r="UJW516" s="13"/>
      <c r="UJX516" s="13"/>
      <c r="UJY516" s="193"/>
      <c r="UJZ516" s="379"/>
      <c r="UKA516" s="379"/>
      <c r="UKB516" s="379"/>
      <c r="UKC516" s="379"/>
      <c r="UKD516" s="379"/>
      <c r="UKE516" s="13"/>
      <c r="UKF516" s="13"/>
      <c r="UKG516" s="193"/>
      <c r="UKH516" s="379"/>
      <c r="UKI516" s="379"/>
      <c r="UKJ516" s="379"/>
      <c r="UKK516" s="379"/>
      <c r="UKL516" s="379"/>
      <c r="UKM516" s="13"/>
      <c r="UKN516" s="13"/>
      <c r="UKO516" s="193"/>
      <c r="UKP516" s="379"/>
      <c r="UKQ516" s="379"/>
      <c r="UKR516" s="379"/>
      <c r="UKS516" s="379"/>
      <c r="UKT516" s="379"/>
      <c r="UKU516" s="13"/>
      <c r="UKV516" s="13"/>
      <c r="UKW516" s="193"/>
      <c r="UKX516" s="379"/>
      <c r="UKY516" s="379"/>
      <c r="UKZ516" s="379"/>
      <c r="ULA516" s="379"/>
      <c r="ULB516" s="379"/>
      <c r="ULC516" s="13"/>
      <c r="ULD516" s="13"/>
      <c r="ULE516" s="193"/>
      <c r="ULF516" s="379"/>
      <c r="ULG516" s="379"/>
      <c r="ULH516" s="379"/>
      <c r="ULI516" s="379"/>
      <c r="ULJ516" s="379"/>
      <c r="ULK516" s="13"/>
      <c r="ULL516" s="13"/>
      <c r="ULM516" s="193"/>
      <c r="ULN516" s="379"/>
      <c r="ULO516" s="379"/>
      <c r="ULP516" s="379"/>
      <c r="ULQ516" s="379"/>
      <c r="ULR516" s="379"/>
      <c r="ULS516" s="13"/>
      <c r="ULT516" s="13"/>
      <c r="ULU516" s="193"/>
      <c r="ULV516" s="379"/>
      <c r="ULW516" s="379"/>
      <c r="ULX516" s="379"/>
      <c r="ULY516" s="379"/>
      <c r="ULZ516" s="379"/>
      <c r="UMA516" s="13"/>
      <c r="UMB516" s="13"/>
      <c r="UMC516" s="193"/>
      <c r="UMD516" s="379"/>
      <c r="UME516" s="379"/>
      <c r="UMF516" s="379"/>
      <c r="UMG516" s="379"/>
      <c r="UMH516" s="379"/>
      <c r="UMI516" s="13"/>
      <c r="UMJ516" s="13"/>
      <c r="UMK516" s="193"/>
      <c r="UML516" s="379"/>
      <c r="UMM516" s="379"/>
      <c r="UMN516" s="379"/>
      <c r="UMO516" s="379"/>
      <c r="UMP516" s="379"/>
      <c r="UMQ516" s="13"/>
      <c r="UMR516" s="13"/>
      <c r="UMS516" s="193"/>
      <c r="UMT516" s="379"/>
      <c r="UMU516" s="379"/>
      <c r="UMV516" s="379"/>
      <c r="UMW516" s="379"/>
      <c r="UMX516" s="379"/>
      <c r="UMY516" s="13"/>
      <c r="UMZ516" s="13"/>
      <c r="UNA516" s="193"/>
      <c r="UNB516" s="379"/>
      <c r="UNC516" s="379"/>
      <c r="UND516" s="379"/>
      <c r="UNE516" s="379"/>
      <c r="UNF516" s="379"/>
      <c r="UNG516" s="13"/>
      <c r="UNH516" s="13"/>
      <c r="UNI516" s="193"/>
      <c r="UNJ516" s="379"/>
      <c r="UNK516" s="379"/>
      <c r="UNL516" s="379"/>
      <c r="UNM516" s="379"/>
      <c r="UNN516" s="379"/>
      <c r="UNO516" s="13"/>
      <c r="UNP516" s="13"/>
      <c r="UNQ516" s="193"/>
      <c r="UNR516" s="379"/>
      <c r="UNS516" s="379"/>
      <c r="UNT516" s="379"/>
      <c r="UNU516" s="379"/>
      <c r="UNV516" s="379"/>
      <c r="UNW516" s="13"/>
      <c r="UNX516" s="13"/>
      <c r="UNY516" s="193"/>
      <c r="UNZ516" s="379"/>
      <c r="UOA516" s="379"/>
      <c r="UOB516" s="379"/>
      <c r="UOC516" s="379"/>
      <c r="UOD516" s="379"/>
      <c r="UOE516" s="13"/>
      <c r="UOF516" s="13"/>
      <c r="UOG516" s="193"/>
      <c r="UOH516" s="379"/>
      <c r="UOI516" s="379"/>
      <c r="UOJ516" s="379"/>
      <c r="UOK516" s="379"/>
      <c r="UOL516" s="379"/>
      <c r="UOM516" s="13"/>
      <c r="UON516" s="13"/>
      <c r="UOO516" s="193"/>
      <c r="UOP516" s="379"/>
      <c r="UOQ516" s="379"/>
      <c r="UOR516" s="379"/>
      <c r="UOS516" s="379"/>
      <c r="UOT516" s="379"/>
      <c r="UOU516" s="13"/>
      <c r="UOV516" s="13"/>
      <c r="UOW516" s="193"/>
      <c r="UOX516" s="379"/>
      <c r="UOY516" s="379"/>
      <c r="UOZ516" s="379"/>
      <c r="UPA516" s="379"/>
      <c r="UPB516" s="379"/>
      <c r="UPC516" s="13"/>
      <c r="UPD516" s="13"/>
      <c r="UPE516" s="193"/>
      <c r="UPF516" s="379"/>
      <c r="UPG516" s="379"/>
      <c r="UPH516" s="379"/>
      <c r="UPI516" s="379"/>
      <c r="UPJ516" s="379"/>
      <c r="UPK516" s="13"/>
      <c r="UPL516" s="13"/>
      <c r="UPM516" s="193"/>
      <c r="UPN516" s="379"/>
      <c r="UPO516" s="379"/>
      <c r="UPP516" s="379"/>
      <c r="UPQ516" s="379"/>
      <c r="UPR516" s="379"/>
      <c r="UPS516" s="13"/>
      <c r="UPT516" s="13"/>
      <c r="UPU516" s="193"/>
      <c r="UPV516" s="379"/>
      <c r="UPW516" s="379"/>
      <c r="UPX516" s="379"/>
      <c r="UPY516" s="379"/>
      <c r="UPZ516" s="379"/>
      <c r="UQA516" s="13"/>
      <c r="UQB516" s="13"/>
      <c r="UQC516" s="193"/>
      <c r="UQD516" s="379"/>
      <c r="UQE516" s="379"/>
      <c r="UQF516" s="379"/>
      <c r="UQG516" s="379"/>
      <c r="UQH516" s="379"/>
      <c r="UQI516" s="13"/>
      <c r="UQJ516" s="13"/>
      <c r="UQK516" s="193"/>
      <c r="UQL516" s="379"/>
      <c r="UQM516" s="379"/>
      <c r="UQN516" s="379"/>
      <c r="UQO516" s="379"/>
      <c r="UQP516" s="379"/>
      <c r="UQQ516" s="13"/>
      <c r="UQR516" s="13"/>
      <c r="UQS516" s="193"/>
      <c r="UQT516" s="379"/>
      <c r="UQU516" s="379"/>
      <c r="UQV516" s="379"/>
      <c r="UQW516" s="379"/>
      <c r="UQX516" s="379"/>
      <c r="UQY516" s="13"/>
      <c r="UQZ516" s="13"/>
      <c r="URA516" s="193"/>
      <c r="URB516" s="379"/>
      <c r="URC516" s="379"/>
      <c r="URD516" s="379"/>
      <c r="URE516" s="379"/>
      <c r="URF516" s="379"/>
      <c r="URG516" s="13"/>
      <c r="URH516" s="13"/>
      <c r="URI516" s="193"/>
      <c r="URJ516" s="379"/>
      <c r="URK516" s="379"/>
      <c r="URL516" s="379"/>
      <c r="URM516" s="379"/>
      <c r="URN516" s="379"/>
      <c r="URO516" s="13"/>
      <c r="URP516" s="13"/>
      <c r="URQ516" s="193"/>
      <c r="URR516" s="379"/>
      <c r="URS516" s="379"/>
      <c r="URT516" s="379"/>
      <c r="URU516" s="379"/>
      <c r="URV516" s="379"/>
      <c r="URW516" s="13"/>
      <c r="URX516" s="13"/>
      <c r="URY516" s="193"/>
      <c r="URZ516" s="379"/>
      <c r="USA516" s="379"/>
      <c r="USB516" s="379"/>
      <c r="USC516" s="379"/>
      <c r="USD516" s="379"/>
      <c r="USE516" s="13"/>
      <c r="USF516" s="13"/>
      <c r="USG516" s="193"/>
      <c r="USH516" s="379"/>
      <c r="USI516" s="379"/>
      <c r="USJ516" s="379"/>
      <c r="USK516" s="379"/>
      <c r="USL516" s="379"/>
      <c r="USM516" s="13"/>
      <c r="USN516" s="13"/>
      <c r="USO516" s="193"/>
      <c r="USP516" s="379"/>
      <c r="USQ516" s="379"/>
      <c r="USR516" s="379"/>
      <c r="USS516" s="379"/>
      <c r="UST516" s="379"/>
      <c r="USU516" s="13"/>
      <c r="USV516" s="13"/>
      <c r="USW516" s="193"/>
      <c r="USX516" s="379"/>
      <c r="USY516" s="379"/>
      <c r="USZ516" s="379"/>
      <c r="UTA516" s="379"/>
      <c r="UTB516" s="379"/>
      <c r="UTC516" s="13"/>
      <c r="UTD516" s="13"/>
      <c r="UTE516" s="193"/>
      <c r="UTF516" s="379"/>
      <c r="UTG516" s="379"/>
      <c r="UTH516" s="379"/>
      <c r="UTI516" s="379"/>
      <c r="UTJ516" s="379"/>
      <c r="UTK516" s="13"/>
      <c r="UTL516" s="13"/>
      <c r="UTM516" s="193"/>
      <c r="UTN516" s="379"/>
      <c r="UTO516" s="379"/>
      <c r="UTP516" s="379"/>
      <c r="UTQ516" s="379"/>
      <c r="UTR516" s="379"/>
      <c r="UTS516" s="13"/>
      <c r="UTT516" s="13"/>
      <c r="UTU516" s="193"/>
      <c r="UTV516" s="379"/>
      <c r="UTW516" s="379"/>
      <c r="UTX516" s="379"/>
      <c r="UTY516" s="379"/>
      <c r="UTZ516" s="379"/>
      <c r="UUA516" s="13"/>
      <c r="UUB516" s="13"/>
      <c r="UUC516" s="193"/>
      <c r="UUD516" s="379"/>
      <c r="UUE516" s="379"/>
      <c r="UUF516" s="379"/>
      <c r="UUG516" s="379"/>
      <c r="UUH516" s="379"/>
      <c r="UUI516" s="13"/>
      <c r="UUJ516" s="13"/>
      <c r="UUK516" s="193"/>
      <c r="UUL516" s="379"/>
      <c r="UUM516" s="379"/>
      <c r="UUN516" s="379"/>
      <c r="UUO516" s="379"/>
      <c r="UUP516" s="379"/>
      <c r="UUQ516" s="13"/>
      <c r="UUR516" s="13"/>
      <c r="UUS516" s="193"/>
      <c r="UUT516" s="379"/>
      <c r="UUU516" s="379"/>
      <c r="UUV516" s="379"/>
      <c r="UUW516" s="379"/>
      <c r="UUX516" s="379"/>
      <c r="UUY516" s="13"/>
      <c r="UUZ516" s="13"/>
      <c r="UVA516" s="193"/>
      <c r="UVB516" s="379"/>
      <c r="UVC516" s="379"/>
      <c r="UVD516" s="379"/>
      <c r="UVE516" s="379"/>
      <c r="UVF516" s="379"/>
      <c r="UVG516" s="13"/>
      <c r="UVH516" s="13"/>
      <c r="UVI516" s="193"/>
      <c r="UVJ516" s="379"/>
      <c r="UVK516" s="379"/>
      <c r="UVL516" s="379"/>
      <c r="UVM516" s="379"/>
      <c r="UVN516" s="379"/>
      <c r="UVO516" s="13"/>
      <c r="UVP516" s="13"/>
      <c r="UVQ516" s="193"/>
      <c r="UVR516" s="379"/>
      <c r="UVS516" s="379"/>
      <c r="UVT516" s="379"/>
      <c r="UVU516" s="379"/>
      <c r="UVV516" s="379"/>
      <c r="UVW516" s="13"/>
      <c r="UVX516" s="13"/>
      <c r="UVY516" s="193"/>
      <c r="UVZ516" s="379"/>
      <c r="UWA516" s="379"/>
      <c r="UWB516" s="379"/>
      <c r="UWC516" s="379"/>
      <c r="UWD516" s="379"/>
      <c r="UWE516" s="13"/>
      <c r="UWF516" s="13"/>
      <c r="UWG516" s="193"/>
      <c r="UWH516" s="379"/>
      <c r="UWI516" s="379"/>
      <c r="UWJ516" s="379"/>
      <c r="UWK516" s="379"/>
      <c r="UWL516" s="379"/>
      <c r="UWM516" s="13"/>
      <c r="UWN516" s="13"/>
      <c r="UWO516" s="193"/>
      <c r="UWP516" s="379"/>
      <c r="UWQ516" s="379"/>
      <c r="UWR516" s="379"/>
      <c r="UWS516" s="379"/>
      <c r="UWT516" s="379"/>
      <c r="UWU516" s="13"/>
      <c r="UWV516" s="13"/>
      <c r="UWW516" s="193"/>
      <c r="UWX516" s="379"/>
      <c r="UWY516" s="379"/>
      <c r="UWZ516" s="379"/>
      <c r="UXA516" s="379"/>
      <c r="UXB516" s="379"/>
      <c r="UXC516" s="13"/>
      <c r="UXD516" s="13"/>
      <c r="UXE516" s="193"/>
      <c r="UXF516" s="379"/>
      <c r="UXG516" s="379"/>
      <c r="UXH516" s="379"/>
      <c r="UXI516" s="379"/>
      <c r="UXJ516" s="379"/>
      <c r="UXK516" s="13"/>
      <c r="UXL516" s="13"/>
      <c r="UXM516" s="193"/>
      <c r="UXN516" s="379"/>
      <c r="UXO516" s="379"/>
      <c r="UXP516" s="379"/>
      <c r="UXQ516" s="379"/>
      <c r="UXR516" s="379"/>
      <c r="UXS516" s="13"/>
      <c r="UXT516" s="13"/>
      <c r="UXU516" s="193"/>
      <c r="UXV516" s="379"/>
      <c r="UXW516" s="379"/>
      <c r="UXX516" s="379"/>
      <c r="UXY516" s="379"/>
      <c r="UXZ516" s="379"/>
      <c r="UYA516" s="13"/>
      <c r="UYB516" s="13"/>
      <c r="UYC516" s="193"/>
      <c r="UYD516" s="379"/>
      <c r="UYE516" s="379"/>
      <c r="UYF516" s="379"/>
      <c r="UYG516" s="379"/>
      <c r="UYH516" s="379"/>
      <c r="UYI516" s="13"/>
      <c r="UYJ516" s="13"/>
      <c r="UYK516" s="193"/>
      <c r="UYL516" s="379"/>
      <c r="UYM516" s="379"/>
      <c r="UYN516" s="379"/>
      <c r="UYO516" s="379"/>
      <c r="UYP516" s="379"/>
      <c r="UYQ516" s="13"/>
      <c r="UYR516" s="13"/>
      <c r="UYS516" s="193"/>
      <c r="UYT516" s="379"/>
      <c r="UYU516" s="379"/>
      <c r="UYV516" s="379"/>
      <c r="UYW516" s="379"/>
      <c r="UYX516" s="379"/>
      <c r="UYY516" s="13"/>
      <c r="UYZ516" s="13"/>
      <c r="UZA516" s="193"/>
      <c r="UZB516" s="379"/>
      <c r="UZC516" s="379"/>
      <c r="UZD516" s="379"/>
      <c r="UZE516" s="379"/>
      <c r="UZF516" s="379"/>
      <c r="UZG516" s="13"/>
      <c r="UZH516" s="13"/>
      <c r="UZI516" s="193"/>
      <c r="UZJ516" s="379"/>
      <c r="UZK516" s="379"/>
      <c r="UZL516" s="379"/>
      <c r="UZM516" s="379"/>
      <c r="UZN516" s="379"/>
      <c r="UZO516" s="13"/>
      <c r="UZP516" s="13"/>
      <c r="UZQ516" s="193"/>
      <c r="UZR516" s="379"/>
      <c r="UZS516" s="379"/>
      <c r="UZT516" s="379"/>
      <c r="UZU516" s="379"/>
      <c r="UZV516" s="379"/>
      <c r="UZW516" s="13"/>
      <c r="UZX516" s="13"/>
      <c r="UZY516" s="193"/>
      <c r="UZZ516" s="379"/>
      <c r="VAA516" s="379"/>
      <c r="VAB516" s="379"/>
      <c r="VAC516" s="379"/>
      <c r="VAD516" s="379"/>
      <c r="VAE516" s="13"/>
      <c r="VAF516" s="13"/>
      <c r="VAG516" s="193"/>
      <c r="VAH516" s="379"/>
      <c r="VAI516" s="379"/>
      <c r="VAJ516" s="379"/>
      <c r="VAK516" s="379"/>
      <c r="VAL516" s="379"/>
      <c r="VAM516" s="13"/>
      <c r="VAN516" s="13"/>
      <c r="VAO516" s="193"/>
      <c r="VAP516" s="379"/>
      <c r="VAQ516" s="379"/>
      <c r="VAR516" s="379"/>
      <c r="VAS516" s="379"/>
      <c r="VAT516" s="379"/>
      <c r="VAU516" s="13"/>
      <c r="VAV516" s="13"/>
      <c r="VAW516" s="193"/>
      <c r="VAX516" s="379"/>
      <c r="VAY516" s="379"/>
      <c r="VAZ516" s="379"/>
      <c r="VBA516" s="379"/>
      <c r="VBB516" s="379"/>
      <c r="VBC516" s="13"/>
      <c r="VBD516" s="13"/>
      <c r="VBE516" s="193"/>
      <c r="VBF516" s="379"/>
      <c r="VBG516" s="379"/>
      <c r="VBH516" s="379"/>
      <c r="VBI516" s="379"/>
      <c r="VBJ516" s="379"/>
      <c r="VBK516" s="13"/>
      <c r="VBL516" s="13"/>
      <c r="VBM516" s="193"/>
      <c r="VBN516" s="379"/>
      <c r="VBO516" s="379"/>
      <c r="VBP516" s="379"/>
      <c r="VBQ516" s="379"/>
      <c r="VBR516" s="379"/>
      <c r="VBS516" s="13"/>
      <c r="VBT516" s="13"/>
      <c r="VBU516" s="193"/>
      <c r="VBV516" s="379"/>
      <c r="VBW516" s="379"/>
      <c r="VBX516" s="379"/>
      <c r="VBY516" s="379"/>
      <c r="VBZ516" s="379"/>
      <c r="VCA516" s="13"/>
      <c r="VCB516" s="13"/>
      <c r="VCC516" s="193"/>
      <c r="VCD516" s="379"/>
      <c r="VCE516" s="379"/>
      <c r="VCF516" s="379"/>
      <c r="VCG516" s="379"/>
      <c r="VCH516" s="379"/>
      <c r="VCI516" s="13"/>
      <c r="VCJ516" s="13"/>
      <c r="VCK516" s="193"/>
      <c r="VCL516" s="379"/>
      <c r="VCM516" s="379"/>
      <c r="VCN516" s="379"/>
      <c r="VCO516" s="379"/>
      <c r="VCP516" s="379"/>
      <c r="VCQ516" s="13"/>
      <c r="VCR516" s="13"/>
      <c r="VCS516" s="193"/>
      <c r="VCT516" s="379"/>
      <c r="VCU516" s="379"/>
      <c r="VCV516" s="379"/>
      <c r="VCW516" s="379"/>
      <c r="VCX516" s="379"/>
      <c r="VCY516" s="13"/>
      <c r="VCZ516" s="13"/>
      <c r="VDA516" s="193"/>
      <c r="VDB516" s="379"/>
      <c r="VDC516" s="379"/>
      <c r="VDD516" s="379"/>
      <c r="VDE516" s="379"/>
      <c r="VDF516" s="379"/>
      <c r="VDG516" s="13"/>
      <c r="VDH516" s="13"/>
      <c r="VDI516" s="193"/>
      <c r="VDJ516" s="379"/>
      <c r="VDK516" s="379"/>
      <c r="VDL516" s="379"/>
      <c r="VDM516" s="379"/>
      <c r="VDN516" s="379"/>
      <c r="VDO516" s="13"/>
      <c r="VDP516" s="13"/>
      <c r="VDQ516" s="193"/>
      <c r="VDR516" s="379"/>
      <c r="VDS516" s="379"/>
      <c r="VDT516" s="379"/>
      <c r="VDU516" s="379"/>
      <c r="VDV516" s="379"/>
      <c r="VDW516" s="13"/>
      <c r="VDX516" s="13"/>
      <c r="VDY516" s="193"/>
      <c r="VDZ516" s="379"/>
      <c r="VEA516" s="379"/>
      <c r="VEB516" s="379"/>
      <c r="VEC516" s="379"/>
      <c r="VED516" s="379"/>
      <c r="VEE516" s="13"/>
      <c r="VEF516" s="13"/>
      <c r="VEG516" s="193"/>
      <c r="VEH516" s="379"/>
      <c r="VEI516" s="379"/>
      <c r="VEJ516" s="379"/>
      <c r="VEK516" s="379"/>
      <c r="VEL516" s="379"/>
      <c r="VEM516" s="13"/>
      <c r="VEN516" s="13"/>
      <c r="VEO516" s="193"/>
      <c r="VEP516" s="379"/>
      <c r="VEQ516" s="379"/>
      <c r="VER516" s="379"/>
      <c r="VES516" s="379"/>
      <c r="VET516" s="379"/>
      <c r="VEU516" s="13"/>
      <c r="VEV516" s="13"/>
      <c r="VEW516" s="193"/>
      <c r="VEX516" s="379"/>
      <c r="VEY516" s="379"/>
      <c r="VEZ516" s="379"/>
      <c r="VFA516" s="379"/>
      <c r="VFB516" s="379"/>
      <c r="VFC516" s="13"/>
      <c r="VFD516" s="13"/>
      <c r="VFE516" s="193"/>
      <c r="VFF516" s="379"/>
      <c r="VFG516" s="379"/>
      <c r="VFH516" s="379"/>
      <c r="VFI516" s="379"/>
      <c r="VFJ516" s="379"/>
      <c r="VFK516" s="13"/>
      <c r="VFL516" s="13"/>
      <c r="VFM516" s="193"/>
      <c r="VFN516" s="379"/>
      <c r="VFO516" s="379"/>
      <c r="VFP516" s="379"/>
      <c r="VFQ516" s="379"/>
      <c r="VFR516" s="379"/>
      <c r="VFS516" s="13"/>
      <c r="VFT516" s="13"/>
      <c r="VFU516" s="193"/>
      <c r="VFV516" s="379"/>
      <c r="VFW516" s="379"/>
      <c r="VFX516" s="379"/>
      <c r="VFY516" s="379"/>
      <c r="VFZ516" s="379"/>
      <c r="VGA516" s="13"/>
      <c r="VGB516" s="13"/>
      <c r="VGC516" s="193"/>
      <c r="VGD516" s="379"/>
      <c r="VGE516" s="379"/>
      <c r="VGF516" s="379"/>
      <c r="VGG516" s="379"/>
      <c r="VGH516" s="379"/>
      <c r="VGI516" s="13"/>
      <c r="VGJ516" s="13"/>
      <c r="VGK516" s="193"/>
      <c r="VGL516" s="379"/>
      <c r="VGM516" s="379"/>
      <c r="VGN516" s="379"/>
      <c r="VGO516" s="379"/>
      <c r="VGP516" s="379"/>
      <c r="VGQ516" s="13"/>
      <c r="VGR516" s="13"/>
      <c r="VGS516" s="193"/>
      <c r="VGT516" s="379"/>
      <c r="VGU516" s="379"/>
      <c r="VGV516" s="379"/>
      <c r="VGW516" s="379"/>
      <c r="VGX516" s="379"/>
      <c r="VGY516" s="13"/>
      <c r="VGZ516" s="13"/>
      <c r="VHA516" s="193"/>
      <c r="VHB516" s="379"/>
      <c r="VHC516" s="379"/>
      <c r="VHD516" s="379"/>
      <c r="VHE516" s="379"/>
      <c r="VHF516" s="379"/>
      <c r="VHG516" s="13"/>
      <c r="VHH516" s="13"/>
      <c r="VHI516" s="193"/>
      <c r="VHJ516" s="379"/>
      <c r="VHK516" s="379"/>
      <c r="VHL516" s="379"/>
      <c r="VHM516" s="379"/>
      <c r="VHN516" s="379"/>
      <c r="VHO516" s="13"/>
      <c r="VHP516" s="13"/>
      <c r="VHQ516" s="193"/>
      <c r="VHR516" s="379"/>
      <c r="VHS516" s="379"/>
      <c r="VHT516" s="379"/>
      <c r="VHU516" s="379"/>
      <c r="VHV516" s="379"/>
      <c r="VHW516" s="13"/>
      <c r="VHX516" s="13"/>
      <c r="VHY516" s="193"/>
      <c r="VHZ516" s="379"/>
      <c r="VIA516" s="379"/>
      <c r="VIB516" s="379"/>
      <c r="VIC516" s="379"/>
      <c r="VID516" s="379"/>
      <c r="VIE516" s="13"/>
      <c r="VIF516" s="13"/>
      <c r="VIG516" s="193"/>
      <c r="VIH516" s="379"/>
      <c r="VII516" s="379"/>
      <c r="VIJ516" s="379"/>
      <c r="VIK516" s="379"/>
      <c r="VIL516" s="379"/>
      <c r="VIM516" s="13"/>
      <c r="VIN516" s="13"/>
      <c r="VIO516" s="193"/>
      <c r="VIP516" s="379"/>
      <c r="VIQ516" s="379"/>
      <c r="VIR516" s="379"/>
      <c r="VIS516" s="379"/>
      <c r="VIT516" s="379"/>
      <c r="VIU516" s="13"/>
      <c r="VIV516" s="13"/>
      <c r="VIW516" s="193"/>
      <c r="VIX516" s="379"/>
      <c r="VIY516" s="379"/>
      <c r="VIZ516" s="379"/>
      <c r="VJA516" s="379"/>
      <c r="VJB516" s="379"/>
      <c r="VJC516" s="13"/>
      <c r="VJD516" s="13"/>
      <c r="VJE516" s="193"/>
      <c r="VJF516" s="379"/>
      <c r="VJG516" s="379"/>
      <c r="VJH516" s="379"/>
      <c r="VJI516" s="379"/>
      <c r="VJJ516" s="379"/>
      <c r="VJK516" s="13"/>
      <c r="VJL516" s="13"/>
      <c r="VJM516" s="193"/>
      <c r="VJN516" s="379"/>
      <c r="VJO516" s="379"/>
      <c r="VJP516" s="379"/>
      <c r="VJQ516" s="379"/>
      <c r="VJR516" s="379"/>
      <c r="VJS516" s="13"/>
      <c r="VJT516" s="13"/>
      <c r="VJU516" s="193"/>
      <c r="VJV516" s="379"/>
      <c r="VJW516" s="379"/>
      <c r="VJX516" s="379"/>
      <c r="VJY516" s="379"/>
      <c r="VJZ516" s="379"/>
      <c r="VKA516" s="13"/>
      <c r="VKB516" s="13"/>
      <c r="VKC516" s="193"/>
      <c r="VKD516" s="379"/>
      <c r="VKE516" s="379"/>
      <c r="VKF516" s="379"/>
      <c r="VKG516" s="379"/>
      <c r="VKH516" s="379"/>
      <c r="VKI516" s="13"/>
      <c r="VKJ516" s="13"/>
      <c r="VKK516" s="193"/>
      <c r="VKL516" s="379"/>
      <c r="VKM516" s="379"/>
      <c r="VKN516" s="379"/>
      <c r="VKO516" s="379"/>
      <c r="VKP516" s="379"/>
      <c r="VKQ516" s="13"/>
      <c r="VKR516" s="13"/>
      <c r="VKS516" s="193"/>
      <c r="VKT516" s="379"/>
      <c r="VKU516" s="379"/>
      <c r="VKV516" s="379"/>
      <c r="VKW516" s="379"/>
      <c r="VKX516" s="379"/>
      <c r="VKY516" s="13"/>
      <c r="VKZ516" s="13"/>
      <c r="VLA516" s="193"/>
      <c r="VLB516" s="379"/>
      <c r="VLC516" s="379"/>
      <c r="VLD516" s="379"/>
      <c r="VLE516" s="379"/>
      <c r="VLF516" s="379"/>
      <c r="VLG516" s="13"/>
      <c r="VLH516" s="13"/>
      <c r="VLI516" s="193"/>
      <c r="VLJ516" s="379"/>
      <c r="VLK516" s="379"/>
      <c r="VLL516" s="379"/>
      <c r="VLM516" s="379"/>
      <c r="VLN516" s="379"/>
      <c r="VLO516" s="13"/>
      <c r="VLP516" s="13"/>
      <c r="VLQ516" s="193"/>
      <c r="VLR516" s="379"/>
      <c r="VLS516" s="379"/>
      <c r="VLT516" s="379"/>
      <c r="VLU516" s="379"/>
      <c r="VLV516" s="379"/>
      <c r="VLW516" s="13"/>
      <c r="VLX516" s="13"/>
      <c r="VLY516" s="193"/>
      <c r="VLZ516" s="379"/>
      <c r="VMA516" s="379"/>
      <c r="VMB516" s="379"/>
      <c r="VMC516" s="379"/>
      <c r="VMD516" s="379"/>
      <c r="VME516" s="13"/>
      <c r="VMF516" s="13"/>
      <c r="VMG516" s="193"/>
      <c r="VMH516" s="379"/>
      <c r="VMI516" s="379"/>
      <c r="VMJ516" s="379"/>
      <c r="VMK516" s="379"/>
      <c r="VML516" s="379"/>
      <c r="VMM516" s="13"/>
      <c r="VMN516" s="13"/>
      <c r="VMO516" s="193"/>
      <c r="VMP516" s="379"/>
      <c r="VMQ516" s="379"/>
      <c r="VMR516" s="379"/>
      <c r="VMS516" s="379"/>
      <c r="VMT516" s="379"/>
      <c r="VMU516" s="13"/>
      <c r="VMV516" s="13"/>
      <c r="VMW516" s="193"/>
      <c r="VMX516" s="379"/>
      <c r="VMY516" s="379"/>
      <c r="VMZ516" s="379"/>
      <c r="VNA516" s="379"/>
      <c r="VNB516" s="379"/>
      <c r="VNC516" s="13"/>
      <c r="VND516" s="13"/>
      <c r="VNE516" s="193"/>
      <c r="VNF516" s="379"/>
      <c r="VNG516" s="379"/>
      <c r="VNH516" s="379"/>
      <c r="VNI516" s="379"/>
      <c r="VNJ516" s="379"/>
      <c r="VNK516" s="13"/>
      <c r="VNL516" s="13"/>
      <c r="VNM516" s="193"/>
      <c r="VNN516" s="379"/>
      <c r="VNO516" s="379"/>
      <c r="VNP516" s="379"/>
      <c r="VNQ516" s="379"/>
      <c r="VNR516" s="379"/>
      <c r="VNS516" s="13"/>
      <c r="VNT516" s="13"/>
      <c r="VNU516" s="193"/>
      <c r="VNV516" s="379"/>
      <c r="VNW516" s="379"/>
      <c r="VNX516" s="379"/>
      <c r="VNY516" s="379"/>
      <c r="VNZ516" s="379"/>
      <c r="VOA516" s="13"/>
      <c r="VOB516" s="13"/>
      <c r="VOC516" s="193"/>
      <c r="VOD516" s="379"/>
      <c r="VOE516" s="379"/>
      <c r="VOF516" s="379"/>
      <c r="VOG516" s="379"/>
      <c r="VOH516" s="379"/>
      <c r="VOI516" s="13"/>
      <c r="VOJ516" s="13"/>
      <c r="VOK516" s="193"/>
      <c r="VOL516" s="379"/>
      <c r="VOM516" s="379"/>
      <c r="VON516" s="379"/>
      <c r="VOO516" s="379"/>
      <c r="VOP516" s="379"/>
      <c r="VOQ516" s="13"/>
      <c r="VOR516" s="13"/>
      <c r="VOS516" s="193"/>
      <c r="VOT516" s="379"/>
      <c r="VOU516" s="379"/>
      <c r="VOV516" s="379"/>
      <c r="VOW516" s="379"/>
      <c r="VOX516" s="379"/>
      <c r="VOY516" s="13"/>
      <c r="VOZ516" s="13"/>
      <c r="VPA516" s="193"/>
      <c r="VPB516" s="379"/>
      <c r="VPC516" s="379"/>
      <c r="VPD516" s="379"/>
      <c r="VPE516" s="379"/>
      <c r="VPF516" s="379"/>
      <c r="VPG516" s="13"/>
      <c r="VPH516" s="13"/>
      <c r="VPI516" s="193"/>
      <c r="VPJ516" s="379"/>
      <c r="VPK516" s="379"/>
      <c r="VPL516" s="379"/>
      <c r="VPM516" s="379"/>
      <c r="VPN516" s="379"/>
      <c r="VPO516" s="13"/>
      <c r="VPP516" s="13"/>
      <c r="VPQ516" s="193"/>
      <c r="VPR516" s="379"/>
      <c r="VPS516" s="379"/>
      <c r="VPT516" s="379"/>
      <c r="VPU516" s="379"/>
      <c r="VPV516" s="379"/>
      <c r="VPW516" s="13"/>
      <c r="VPX516" s="13"/>
      <c r="VPY516" s="193"/>
      <c r="VPZ516" s="379"/>
      <c r="VQA516" s="379"/>
      <c r="VQB516" s="379"/>
      <c r="VQC516" s="379"/>
      <c r="VQD516" s="379"/>
      <c r="VQE516" s="13"/>
      <c r="VQF516" s="13"/>
      <c r="VQG516" s="193"/>
      <c r="VQH516" s="379"/>
      <c r="VQI516" s="379"/>
      <c r="VQJ516" s="379"/>
      <c r="VQK516" s="379"/>
      <c r="VQL516" s="379"/>
      <c r="VQM516" s="13"/>
      <c r="VQN516" s="13"/>
      <c r="VQO516" s="193"/>
      <c r="VQP516" s="379"/>
      <c r="VQQ516" s="379"/>
      <c r="VQR516" s="379"/>
      <c r="VQS516" s="379"/>
      <c r="VQT516" s="379"/>
      <c r="VQU516" s="13"/>
      <c r="VQV516" s="13"/>
      <c r="VQW516" s="193"/>
      <c r="VQX516" s="379"/>
      <c r="VQY516" s="379"/>
      <c r="VQZ516" s="379"/>
      <c r="VRA516" s="379"/>
      <c r="VRB516" s="379"/>
      <c r="VRC516" s="13"/>
      <c r="VRD516" s="13"/>
      <c r="VRE516" s="193"/>
      <c r="VRF516" s="379"/>
      <c r="VRG516" s="379"/>
      <c r="VRH516" s="379"/>
      <c r="VRI516" s="379"/>
      <c r="VRJ516" s="379"/>
      <c r="VRK516" s="13"/>
      <c r="VRL516" s="13"/>
      <c r="VRM516" s="193"/>
      <c r="VRN516" s="379"/>
      <c r="VRO516" s="379"/>
      <c r="VRP516" s="379"/>
      <c r="VRQ516" s="379"/>
      <c r="VRR516" s="379"/>
      <c r="VRS516" s="13"/>
      <c r="VRT516" s="13"/>
      <c r="VRU516" s="193"/>
      <c r="VRV516" s="379"/>
      <c r="VRW516" s="379"/>
      <c r="VRX516" s="379"/>
      <c r="VRY516" s="379"/>
      <c r="VRZ516" s="379"/>
      <c r="VSA516" s="13"/>
      <c r="VSB516" s="13"/>
      <c r="VSC516" s="193"/>
      <c r="VSD516" s="379"/>
      <c r="VSE516" s="379"/>
      <c r="VSF516" s="379"/>
      <c r="VSG516" s="379"/>
      <c r="VSH516" s="379"/>
      <c r="VSI516" s="13"/>
      <c r="VSJ516" s="13"/>
      <c r="VSK516" s="193"/>
      <c r="VSL516" s="379"/>
      <c r="VSM516" s="379"/>
      <c r="VSN516" s="379"/>
      <c r="VSO516" s="379"/>
      <c r="VSP516" s="379"/>
      <c r="VSQ516" s="13"/>
      <c r="VSR516" s="13"/>
      <c r="VSS516" s="193"/>
      <c r="VST516" s="379"/>
      <c r="VSU516" s="379"/>
      <c r="VSV516" s="379"/>
      <c r="VSW516" s="379"/>
      <c r="VSX516" s="379"/>
      <c r="VSY516" s="13"/>
      <c r="VSZ516" s="13"/>
      <c r="VTA516" s="193"/>
      <c r="VTB516" s="379"/>
      <c r="VTC516" s="379"/>
      <c r="VTD516" s="379"/>
      <c r="VTE516" s="379"/>
      <c r="VTF516" s="379"/>
      <c r="VTG516" s="13"/>
      <c r="VTH516" s="13"/>
      <c r="VTI516" s="193"/>
      <c r="VTJ516" s="379"/>
      <c r="VTK516" s="379"/>
      <c r="VTL516" s="379"/>
      <c r="VTM516" s="379"/>
      <c r="VTN516" s="379"/>
      <c r="VTO516" s="13"/>
      <c r="VTP516" s="13"/>
      <c r="VTQ516" s="193"/>
      <c r="VTR516" s="379"/>
      <c r="VTS516" s="379"/>
      <c r="VTT516" s="379"/>
      <c r="VTU516" s="379"/>
      <c r="VTV516" s="379"/>
      <c r="VTW516" s="13"/>
      <c r="VTX516" s="13"/>
      <c r="VTY516" s="193"/>
      <c r="VTZ516" s="379"/>
      <c r="VUA516" s="379"/>
      <c r="VUB516" s="379"/>
      <c r="VUC516" s="379"/>
      <c r="VUD516" s="379"/>
      <c r="VUE516" s="13"/>
      <c r="VUF516" s="13"/>
      <c r="VUG516" s="193"/>
      <c r="VUH516" s="379"/>
      <c r="VUI516" s="379"/>
      <c r="VUJ516" s="379"/>
      <c r="VUK516" s="379"/>
      <c r="VUL516" s="379"/>
      <c r="VUM516" s="13"/>
      <c r="VUN516" s="13"/>
      <c r="VUO516" s="193"/>
      <c r="VUP516" s="379"/>
      <c r="VUQ516" s="379"/>
      <c r="VUR516" s="379"/>
      <c r="VUS516" s="379"/>
      <c r="VUT516" s="379"/>
      <c r="VUU516" s="13"/>
      <c r="VUV516" s="13"/>
      <c r="VUW516" s="193"/>
      <c r="VUX516" s="379"/>
      <c r="VUY516" s="379"/>
      <c r="VUZ516" s="379"/>
      <c r="VVA516" s="379"/>
      <c r="VVB516" s="379"/>
      <c r="VVC516" s="13"/>
      <c r="VVD516" s="13"/>
      <c r="VVE516" s="193"/>
      <c r="VVF516" s="379"/>
      <c r="VVG516" s="379"/>
      <c r="VVH516" s="379"/>
      <c r="VVI516" s="379"/>
      <c r="VVJ516" s="379"/>
      <c r="VVK516" s="13"/>
      <c r="VVL516" s="13"/>
      <c r="VVM516" s="193"/>
      <c r="VVN516" s="379"/>
      <c r="VVO516" s="379"/>
      <c r="VVP516" s="379"/>
      <c r="VVQ516" s="379"/>
      <c r="VVR516" s="379"/>
      <c r="VVS516" s="13"/>
      <c r="VVT516" s="13"/>
      <c r="VVU516" s="193"/>
      <c r="VVV516" s="379"/>
      <c r="VVW516" s="379"/>
      <c r="VVX516" s="379"/>
      <c r="VVY516" s="379"/>
      <c r="VVZ516" s="379"/>
      <c r="VWA516" s="13"/>
      <c r="VWB516" s="13"/>
      <c r="VWC516" s="193"/>
      <c r="VWD516" s="379"/>
      <c r="VWE516" s="379"/>
      <c r="VWF516" s="379"/>
      <c r="VWG516" s="379"/>
      <c r="VWH516" s="379"/>
      <c r="VWI516" s="13"/>
      <c r="VWJ516" s="13"/>
      <c r="VWK516" s="193"/>
      <c r="VWL516" s="379"/>
      <c r="VWM516" s="379"/>
      <c r="VWN516" s="379"/>
      <c r="VWO516" s="379"/>
      <c r="VWP516" s="379"/>
      <c r="VWQ516" s="13"/>
      <c r="VWR516" s="13"/>
      <c r="VWS516" s="193"/>
      <c r="VWT516" s="379"/>
      <c r="VWU516" s="379"/>
      <c r="VWV516" s="379"/>
      <c r="VWW516" s="379"/>
      <c r="VWX516" s="379"/>
      <c r="VWY516" s="13"/>
      <c r="VWZ516" s="13"/>
      <c r="VXA516" s="193"/>
      <c r="VXB516" s="379"/>
      <c r="VXC516" s="379"/>
      <c r="VXD516" s="379"/>
      <c r="VXE516" s="379"/>
      <c r="VXF516" s="379"/>
      <c r="VXG516" s="13"/>
      <c r="VXH516" s="13"/>
      <c r="VXI516" s="193"/>
      <c r="VXJ516" s="379"/>
      <c r="VXK516" s="379"/>
      <c r="VXL516" s="379"/>
      <c r="VXM516" s="379"/>
      <c r="VXN516" s="379"/>
      <c r="VXO516" s="13"/>
      <c r="VXP516" s="13"/>
      <c r="VXQ516" s="193"/>
      <c r="VXR516" s="379"/>
      <c r="VXS516" s="379"/>
      <c r="VXT516" s="379"/>
      <c r="VXU516" s="379"/>
      <c r="VXV516" s="379"/>
      <c r="VXW516" s="13"/>
      <c r="VXX516" s="13"/>
      <c r="VXY516" s="193"/>
      <c r="VXZ516" s="379"/>
      <c r="VYA516" s="379"/>
      <c r="VYB516" s="379"/>
      <c r="VYC516" s="379"/>
      <c r="VYD516" s="379"/>
      <c r="VYE516" s="13"/>
      <c r="VYF516" s="13"/>
      <c r="VYG516" s="193"/>
      <c r="VYH516" s="379"/>
      <c r="VYI516" s="379"/>
      <c r="VYJ516" s="379"/>
      <c r="VYK516" s="379"/>
      <c r="VYL516" s="379"/>
      <c r="VYM516" s="13"/>
      <c r="VYN516" s="13"/>
      <c r="VYO516" s="193"/>
      <c r="VYP516" s="379"/>
      <c r="VYQ516" s="379"/>
      <c r="VYR516" s="379"/>
      <c r="VYS516" s="379"/>
      <c r="VYT516" s="379"/>
      <c r="VYU516" s="13"/>
      <c r="VYV516" s="13"/>
      <c r="VYW516" s="193"/>
      <c r="VYX516" s="379"/>
      <c r="VYY516" s="379"/>
      <c r="VYZ516" s="379"/>
      <c r="VZA516" s="379"/>
      <c r="VZB516" s="379"/>
      <c r="VZC516" s="13"/>
      <c r="VZD516" s="13"/>
      <c r="VZE516" s="193"/>
      <c r="VZF516" s="379"/>
      <c r="VZG516" s="379"/>
      <c r="VZH516" s="379"/>
      <c r="VZI516" s="379"/>
      <c r="VZJ516" s="379"/>
      <c r="VZK516" s="13"/>
      <c r="VZL516" s="13"/>
      <c r="VZM516" s="193"/>
      <c r="VZN516" s="379"/>
      <c r="VZO516" s="379"/>
      <c r="VZP516" s="379"/>
      <c r="VZQ516" s="379"/>
      <c r="VZR516" s="379"/>
      <c r="VZS516" s="13"/>
      <c r="VZT516" s="13"/>
      <c r="VZU516" s="193"/>
      <c r="VZV516" s="379"/>
      <c r="VZW516" s="379"/>
      <c r="VZX516" s="379"/>
      <c r="VZY516" s="379"/>
      <c r="VZZ516" s="379"/>
      <c r="WAA516" s="13"/>
      <c r="WAB516" s="13"/>
      <c r="WAC516" s="193"/>
      <c r="WAD516" s="379"/>
      <c r="WAE516" s="379"/>
      <c r="WAF516" s="379"/>
      <c r="WAG516" s="379"/>
      <c r="WAH516" s="379"/>
      <c r="WAI516" s="13"/>
      <c r="WAJ516" s="13"/>
      <c r="WAK516" s="193"/>
      <c r="WAL516" s="379"/>
      <c r="WAM516" s="379"/>
      <c r="WAN516" s="379"/>
      <c r="WAO516" s="379"/>
      <c r="WAP516" s="379"/>
      <c r="WAQ516" s="13"/>
      <c r="WAR516" s="13"/>
      <c r="WAS516" s="193"/>
      <c r="WAT516" s="379"/>
      <c r="WAU516" s="379"/>
      <c r="WAV516" s="379"/>
      <c r="WAW516" s="379"/>
      <c r="WAX516" s="379"/>
      <c r="WAY516" s="13"/>
      <c r="WAZ516" s="13"/>
      <c r="WBA516" s="193"/>
      <c r="WBB516" s="379"/>
      <c r="WBC516" s="379"/>
      <c r="WBD516" s="379"/>
      <c r="WBE516" s="379"/>
      <c r="WBF516" s="379"/>
      <c r="WBG516" s="13"/>
      <c r="WBH516" s="13"/>
      <c r="WBI516" s="193"/>
      <c r="WBJ516" s="379"/>
      <c r="WBK516" s="379"/>
      <c r="WBL516" s="379"/>
      <c r="WBM516" s="379"/>
      <c r="WBN516" s="379"/>
      <c r="WBO516" s="13"/>
      <c r="WBP516" s="13"/>
      <c r="WBQ516" s="193"/>
      <c r="WBR516" s="379"/>
      <c r="WBS516" s="379"/>
      <c r="WBT516" s="379"/>
      <c r="WBU516" s="379"/>
      <c r="WBV516" s="379"/>
      <c r="WBW516" s="13"/>
      <c r="WBX516" s="13"/>
      <c r="WBY516" s="193"/>
      <c r="WBZ516" s="379"/>
      <c r="WCA516" s="379"/>
      <c r="WCB516" s="379"/>
      <c r="WCC516" s="379"/>
      <c r="WCD516" s="379"/>
      <c r="WCE516" s="13"/>
      <c r="WCF516" s="13"/>
      <c r="WCG516" s="193"/>
      <c r="WCH516" s="379"/>
      <c r="WCI516" s="379"/>
      <c r="WCJ516" s="379"/>
      <c r="WCK516" s="379"/>
      <c r="WCL516" s="379"/>
      <c r="WCM516" s="13"/>
      <c r="WCN516" s="13"/>
      <c r="WCO516" s="193"/>
      <c r="WCP516" s="379"/>
      <c r="WCQ516" s="379"/>
      <c r="WCR516" s="379"/>
      <c r="WCS516" s="379"/>
      <c r="WCT516" s="379"/>
      <c r="WCU516" s="13"/>
      <c r="WCV516" s="13"/>
      <c r="WCW516" s="193"/>
      <c r="WCX516" s="379"/>
      <c r="WCY516" s="379"/>
      <c r="WCZ516" s="379"/>
      <c r="WDA516" s="379"/>
      <c r="WDB516" s="379"/>
      <c r="WDC516" s="13"/>
      <c r="WDD516" s="13"/>
      <c r="WDE516" s="193"/>
      <c r="WDF516" s="379"/>
      <c r="WDG516" s="379"/>
      <c r="WDH516" s="379"/>
      <c r="WDI516" s="379"/>
      <c r="WDJ516" s="379"/>
      <c r="WDK516" s="13"/>
      <c r="WDL516" s="13"/>
      <c r="WDM516" s="193"/>
      <c r="WDN516" s="379"/>
      <c r="WDO516" s="379"/>
      <c r="WDP516" s="379"/>
      <c r="WDQ516" s="379"/>
      <c r="WDR516" s="379"/>
      <c r="WDS516" s="13"/>
      <c r="WDT516" s="13"/>
      <c r="WDU516" s="193"/>
      <c r="WDV516" s="379"/>
      <c r="WDW516" s="379"/>
      <c r="WDX516" s="379"/>
      <c r="WDY516" s="379"/>
      <c r="WDZ516" s="379"/>
      <c r="WEA516" s="13"/>
      <c r="WEB516" s="13"/>
      <c r="WEC516" s="193"/>
      <c r="WED516" s="379"/>
      <c r="WEE516" s="379"/>
      <c r="WEF516" s="379"/>
      <c r="WEG516" s="379"/>
      <c r="WEH516" s="379"/>
      <c r="WEI516" s="13"/>
      <c r="WEJ516" s="13"/>
      <c r="WEK516" s="193"/>
      <c r="WEL516" s="379"/>
      <c r="WEM516" s="379"/>
      <c r="WEN516" s="379"/>
      <c r="WEO516" s="379"/>
      <c r="WEP516" s="379"/>
      <c r="WEQ516" s="13"/>
      <c r="WER516" s="13"/>
      <c r="WES516" s="193"/>
      <c r="WET516" s="379"/>
      <c r="WEU516" s="379"/>
      <c r="WEV516" s="379"/>
      <c r="WEW516" s="379"/>
      <c r="WEX516" s="379"/>
      <c r="WEY516" s="13"/>
      <c r="WEZ516" s="13"/>
      <c r="WFA516" s="193"/>
      <c r="WFB516" s="379"/>
      <c r="WFC516" s="379"/>
      <c r="WFD516" s="379"/>
      <c r="WFE516" s="379"/>
      <c r="WFF516" s="379"/>
      <c r="WFG516" s="13"/>
      <c r="WFH516" s="13"/>
      <c r="WFI516" s="193"/>
      <c r="WFJ516" s="379"/>
      <c r="WFK516" s="379"/>
      <c r="WFL516" s="379"/>
      <c r="WFM516" s="379"/>
      <c r="WFN516" s="379"/>
      <c r="WFO516" s="13"/>
      <c r="WFP516" s="13"/>
      <c r="WFQ516" s="193"/>
      <c r="WFR516" s="379"/>
      <c r="WFS516" s="379"/>
      <c r="WFT516" s="379"/>
      <c r="WFU516" s="379"/>
      <c r="WFV516" s="379"/>
      <c r="WFW516" s="13"/>
      <c r="WFX516" s="13"/>
      <c r="WFY516" s="193"/>
      <c r="WFZ516" s="379"/>
      <c r="WGA516" s="379"/>
      <c r="WGB516" s="379"/>
      <c r="WGC516" s="379"/>
      <c r="WGD516" s="379"/>
      <c r="WGE516" s="13"/>
      <c r="WGF516" s="13"/>
      <c r="WGG516" s="193"/>
      <c r="WGH516" s="379"/>
      <c r="WGI516" s="379"/>
      <c r="WGJ516" s="379"/>
      <c r="WGK516" s="379"/>
      <c r="WGL516" s="379"/>
      <c r="WGM516" s="13"/>
      <c r="WGN516" s="13"/>
      <c r="WGO516" s="193"/>
      <c r="WGP516" s="379"/>
      <c r="WGQ516" s="379"/>
      <c r="WGR516" s="379"/>
      <c r="WGS516" s="379"/>
      <c r="WGT516" s="379"/>
      <c r="WGU516" s="13"/>
      <c r="WGV516" s="13"/>
      <c r="WGW516" s="193"/>
      <c r="WGX516" s="379"/>
      <c r="WGY516" s="379"/>
      <c r="WGZ516" s="379"/>
      <c r="WHA516" s="379"/>
      <c r="WHB516" s="379"/>
      <c r="WHC516" s="13"/>
      <c r="WHD516" s="13"/>
      <c r="WHE516" s="193"/>
      <c r="WHF516" s="379"/>
      <c r="WHG516" s="379"/>
      <c r="WHH516" s="379"/>
      <c r="WHI516" s="379"/>
      <c r="WHJ516" s="379"/>
      <c r="WHK516" s="13"/>
      <c r="WHL516" s="13"/>
      <c r="WHM516" s="193"/>
      <c r="WHN516" s="379"/>
      <c r="WHO516" s="379"/>
      <c r="WHP516" s="379"/>
      <c r="WHQ516" s="379"/>
      <c r="WHR516" s="379"/>
      <c r="WHS516" s="13"/>
      <c r="WHT516" s="13"/>
      <c r="WHU516" s="193"/>
      <c r="WHV516" s="379"/>
      <c r="WHW516" s="379"/>
      <c r="WHX516" s="379"/>
      <c r="WHY516" s="379"/>
      <c r="WHZ516" s="379"/>
      <c r="WIA516" s="13"/>
      <c r="WIB516" s="13"/>
      <c r="WIC516" s="193"/>
      <c r="WID516" s="379"/>
      <c r="WIE516" s="379"/>
      <c r="WIF516" s="379"/>
      <c r="WIG516" s="379"/>
      <c r="WIH516" s="379"/>
      <c r="WII516" s="13"/>
      <c r="WIJ516" s="13"/>
      <c r="WIK516" s="193"/>
      <c r="WIL516" s="379"/>
      <c r="WIM516" s="379"/>
      <c r="WIN516" s="379"/>
      <c r="WIO516" s="379"/>
      <c r="WIP516" s="379"/>
      <c r="WIQ516" s="13"/>
      <c r="WIR516" s="13"/>
      <c r="WIS516" s="193"/>
      <c r="WIT516" s="379"/>
      <c r="WIU516" s="379"/>
      <c r="WIV516" s="379"/>
      <c r="WIW516" s="379"/>
      <c r="WIX516" s="379"/>
      <c r="WIY516" s="13"/>
      <c r="WIZ516" s="13"/>
      <c r="WJA516" s="193"/>
      <c r="WJB516" s="379"/>
      <c r="WJC516" s="379"/>
      <c r="WJD516" s="379"/>
      <c r="WJE516" s="379"/>
      <c r="WJF516" s="379"/>
      <c r="WJG516" s="13"/>
      <c r="WJH516" s="13"/>
      <c r="WJI516" s="193"/>
      <c r="WJJ516" s="379"/>
      <c r="WJK516" s="379"/>
      <c r="WJL516" s="379"/>
      <c r="WJM516" s="379"/>
      <c r="WJN516" s="379"/>
      <c r="WJO516" s="13"/>
      <c r="WJP516" s="13"/>
      <c r="WJQ516" s="193"/>
      <c r="WJR516" s="379"/>
      <c r="WJS516" s="379"/>
      <c r="WJT516" s="379"/>
      <c r="WJU516" s="379"/>
      <c r="WJV516" s="379"/>
      <c r="WJW516" s="13"/>
      <c r="WJX516" s="13"/>
      <c r="WJY516" s="193"/>
      <c r="WJZ516" s="379"/>
      <c r="WKA516" s="379"/>
      <c r="WKB516" s="379"/>
      <c r="WKC516" s="379"/>
      <c r="WKD516" s="379"/>
      <c r="WKE516" s="13"/>
      <c r="WKF516" s="13"/>
      <c r="WKG516" s="193"/>
      <c r="WKH516" s="379"/>
      <c r="WKI516" s="379"/>
      <c r="WKJ516" s="379"/>
      <c r="WKK516" s="379"/>
      <c r="WKL516" s="379"/>
      <c r="WKM516" s="13"/>
      <c r="WKN516" s="13"/>
      <c r="WKO516" s="193"/>
      <c r="WKP516" s="379"/>
      <c r="WKQ516" s="379"/>
      <c r="WKR516" s="379"/>
      <c r="WKS516" s="379"/>
      <c r="WKT516" s="379"/>
      <c r="WKU516" s="13"/>
      <c r="WKV516" s="13"/>
      <c r="WKW516" s="193"/>
      <c r="WKX516" s="379"/>
      <c r="WKY516" s="379"/>
      <c r="WKZ516" s="379"/>
      <c r="WLA516" s="379"/>
      <c r="WLB516" s="379"/>
      <c r="WLC516" s="13"/>
      <c r="WLD516" s="13"/>
      <c r="WLE516" s="193"/>
      <c r="WLF516" s="379"/>
      <c r="WLG516" s="379"/>
      <c r="WLH516" s="379"/>
      <c r="WLI516" s="379"/>
      <c r="WLJ516" s="379"/>
      <c r="WLK516" s="13"/>
      <c r="WLL516" s="13"/>
      <c r="WLM516" s="193"/>
      <c r="WLN516" s="379"/>
      <c r="WLO516" s="379"/>
      <c r="WLP516" s="379"/>
      <c r="WLQ516" s="379"/>
      <c r="WLR516" s="379"/>
      <c r="WLS516" s="13"/>
      <c r="WLT516" s="13"/>
      <c r="WLU516" s="193"/>
      <c r="WLV516" s="379"/>
      <c r="WLW516" s="379"/>
      <c r="WLX516" s="379"/>
      <c r="WLY516" s="379"/>
      <c r="WLZ516" s="379"/>
      <c r="WMA516" s="13"/>
      <c r="WMB516" s="13"/>
      <c r="WMC516" s="193"/>
      <c r="WMD516" s="379"/>
      <c r="WME516" s="379"/>
      <c r="WMF516" s="379"/>
      <c r="WMG516" s="379"/>
      <c r="WMH516" s="379"/>
      <c r="WMI516" s="13"/>
      <c r="WMJ516" s="13"/>
      <c r="WMK516" s="193"/>
      <c r="WML516" s="379"/>
      <c r="WMM516" s="379"/>
      <c r="WMN516" s="379"/>
      <c r="WMO516" s="379"/>
      <c r="WMP516" s="379"/>
      <c r="WMQ516" s="13"/>
      <c r="WMR516" s="13"/>
      <c r="WMS516" s="193"/>
      <c r="WMT516" s="379"/>
      <c r="WMU516" s="379"/>
      <c r="WMV516" s="379"/>
      <c r="WMW516" s="379"/>
      <c r="WMX516" s="379"/>
      <c r="WMY516" s="13"/>
      <c r="WMZ516" s="13"/>
      <c r="WNA516" s="193"/>
      <c r="WNB516" s="379"/>
      <c r="WNC516" s="379"/>
      <c r="WND516" s="379"/>
      <c r="WNE516" s="379"/>
      <c r="WNF516" s="379"/>
      <c r="WNG516" s="13"/>
      <c r="WNH516" s="13"/>
      <c r="WNI516" s="193"/>
      <c r="WNJ516" s="379"/>
      <c r="WNK516" s="379"/>
      <c r="WNL516" s="379"/>
      <c r="WNM516" s="379"/>
      <c r="WNN516" s="379"/>
      <c r="WNO516" s="13"/>
      <c r="WNP516" s="13"/>
      <c r="WNQ516" s="193"/>
      <c r="WNR516" s="379"/>
      <c r="WNS516" s="379"/>
      <c r="WNT516" s="379"/>
      <c r="WNU516" s="379"/>
      <c r="WNV516" s="379"/>
      <c r="WNW516" s="13"/>
      <c r="WNX516" s="13"/>
      <c r="WNY516" s="193"/>
      <c r="WNZ516" s="379"/>
      <c r="WOA516" s="379"/>
      <c r="WOB516" s="379"/>
      <c r="WOC516" s="379"/>
      <c r="WOD516" s="379"/>
      <c r="WOE516" s="13"/>
      <c r="WOF516" s="13"/>
      <c r="WOG516" s="193"/>
      <c r="WOH516" s="379"/>
      <c r="WOI516" s="379"/>
      <c r="WOJ516" s="379"/>
      <c r="WOK516" s="379"/>
      <c r="WOL516" s="379"/>
      <c r="WOM516" s="13"/>
      <c r="WON516" s="13"/>
      <c r="WOO516" s="193"/>
      <c r="WOP516" s="379"/>
      <c r="WOQ516" s="379"/>
      <c r="WOR516" s="379"/>
      <c r="WOS516" s="379"/>
      <c r="WOT516" s="379"/>
      <c r="WOU516" s="13"/>
      <c r="WOV516" s="13"/>
      <c r="WOW516" s="193"/>
      <c r="WOX516" s="379"/>
      <c r="WOY516" s="379"/>
      <c r="WOZ516" s="379"/>
      <c r="WPA516" s="379"/>
      <c r="WPB516" s="379"/>
      <c r="WPC516" s="13"/>
      <c r="WPD516" s="13"/>
      <c r="WPE516" s="193"/>
      <c r="WPF516" s="379"/>
      <c r="WPG516" s="379"/>
      <c r="WPH516" s="379"/>
      <c r="WPI516" s="379"/>
      <c r="WPJ516" s="379"/>
      <c r="WPK516" s="13"/>
      <c r="WPL516" s="13"/>
      <c r="WPM516" s="193"/>
      <c r="WPN516" s="379"/>
      <c r="WPO516" s="379"/>
      <c r="WPP516" s="379"/>
      <c r="WPQ516" s="379"/>
      <c r="WPR516" s="379"/>
      <c r="WPS516" s="13"/>
      <c r="WPT516" s="13"/>
      <c r="WPU516" s="193"/>
      <c r="WPV516" s="379"/>
      <c r="WPW516" s="379"/>
      <c r="WPX516" s="379"/>
      <c r="WPY516" s="379"/>
      <c r="WPZ516" s="379"/>
      <c r="WQA516" s="13"/>
      <c r="WQB516" s="13"/>
      <c r="WQC516" s="193"/>
      <c r="WQD516" s="379"/>
      <c r="WQE516" s="379"/>
      <c r="WQF516" s="379"/>
      <c r="WQG516" s="379"/>
      <c r="WQH516" s="379"/>
      <c r="WQI516" s="13"/>
      <c r="WQJ516" s="13"/>
      <c r="WQK516" s="193"/>
      <c r="WQL516" s="379"/>
      <c r="WQM516" s="379"/>
      <c r="WQN516" s="379"/>
      <c r="WQO516" s="379"/>
      <c r="WQP516" s="379"/>
      <c r="WQQ516" s="13"/>
      <c r="WQR516" s="13"/>
      <c r="WQS516" s="193"/>
      <c r="WQT516" s="379"/>
      <c r="WQU516" s="379"/>
      <c r="WQV516" s="379"/>
      <c r="WQW516" s="379"/>
      <c r="WQX516" s="379"/>
      <c r="WQY516" s="13"/>
      <c r="WQZ516" s="13"/>
      <c r="WRA516" s="193"/>
      <c r="WRB516" s="379"/>
      <c r="WRC516" s="379"/>
      <c r="WRD516" s="379"/>
      <c r="WRE516" s="379"/>
      <c r="WRF516" s="379"/>
      <c r="WRG516" s="13"/>
      <c r="WRH516" s="13"/>
      <c r="WRI516" s="193"/>
      <c r="WRJ516" s="379"/>
      <c r="WRK516" s="379"/>
      <c r="WRL516" s="379"/>
      <c r="WRM516" s="379"/>
      <c r="WRN516" s="379"/>
      <c r="WRO516" s="13"/>
      <c r="WRP516" s="13"/>
      <c r="WRQ516" s="193"/>
      <c r="WRR516" s="379"/>
      <c r="WRS516" s="379"/>
      <c r="WRT516" s="379"/>
      <c r="WRU516" s="379"/>
      <c r="WRV516" s="379"/>
      <c r="WRW516" s="13"/>
      <c r="WRX516" s="13"/>
      <c r="WRY516" s="193"/>
      <c r="WRZ516" s="379"/>
      <c r="WSA516" s="379"/>
      <c r="WSB516" s="379"/>
      <c r="WSC516" s="379"/>
      <c r="WSD516" s="379"/>
      <c r="WSE516" s="13"/>
      <c r="WSF516" s="13"/>
      <c r="WSG516" s="193"/>
      <c r="WSH516" s="379"/>
      <c r="WSI516" s="379"/>
      <c r="WSJ516" s="379"/>
      <c r="WSK516" s="379"/>
      <c r="WSL516" s="379"/>
      <c r="WSM516" s="13"/>
      <c r="WSN516" s="13"/>
      <c r="WSO516" s="193"/>
      <c r="WSP516" s="379"/>
      <c r="WSQ516" s="379"/>
      <c r="WSR516" s="379"/>
      <c r="WSS516" s="379"/>
      <c r="WST516" s="379"/>
      <c r="WSU516" s="13"/>
      <c r="WSV516" s="13"/>
      <c r="WSW516" s="193"/>
      <c r="WSX516" s="379"/>
      <c r="WSY516" s="379"/>
      <c r="WSZ516" s="379"/>
      <c r="WTA516" s="379"/>
      <c r="WTB516" s="379"/>
      <c r="WTC516" s="13"/>
      <c r="WTD516" s="13"/>
      <c r="WTE516" s="193"/>
      <c r="WTF516" s="379"/>
      <c r="WTG516" s="379"/>
      <c r="WTH516" s="379"/>
      <c r="WTI516" s="379"/>
      <c r="WTJ516" s="379"/>
      <c r="WTK516" s="13"/>
      <c r="WTL516" s="13"/>
      <c r="WTM516" s="193"/>
      <c r="WTN516" s="379"/>
      <c r="WTO516" s="379"/>
      <c r="WTP516" s="379"/>
      <c r="WTQ516" s="379"/>
      <c r="WTR516" s="379"/>
      <c r="WTS516" s="13"/>
      <c r="WTT516" s="13"/>
      <c r="WTU516" s="193"/>
      <c r="WTV516" s="379"/>
      <c r="WTW516" s="379"/>
      <c r="WTX516" s="379"/>
      <c r="WTY516" s="379"/>
      <c r="WTZ516" s="379"/>
      <c r="WUA516" s="13"/>
      <c r="WUB516" s="13"/>
      <c r="WUC516" s="193"/>
      <c r="WUD516" s="379"/>
      <c r="WUE516" s="379"/>
      <c r="WUF516" s="379"/>
      <c r="WUG516" s="379"/>
      <c r="WUH516" s="379"/>
      <c r="WUI516" s="13"/>
      <c r="WUJ516" s="13"/>
      <c r="WUK516" s="193"/>
      <c r="WUL516" s="379"/>
      <c r="WUM516" s="379"/>
      <c r="WUN516" s="379"/>
      <c r="WUO516" s="379"/>
      <c r="WUP516" s="379"/>
      <c r="WUQ516" s="13"/>
      <c r="WUR516" s="13"/>
      <c r="WUS516" s="193"/>
      <c r="WUT516" s="379"/>
      <c r="WUU516" s="379"/>
      <c r="WUV516" s="379"/>
      <c r="WUW516" s="379"/>
      <c r="WUX516" s="379"/>
      <c r="WUY516" s="13"/>
      <c r="WUZ516" s="13"/>
      <c r="WVA516" s="193"/>
      <c r="WVB516" s="379"/>
      <c r="WVC516" s="379"/>
      <c r="WVD516" s="379"/>
      <c r="WVE516" s="379"/>
      <c r="WVF516" s="379"/>
      <c r="WVG516" s="13"/>
      <c r="WVH516" s="13"/>
      <c r="WVI516" s="193"/>
      <c r="WVJ516" s="379"/>
      <c r="WVK516" s="379"/>
      <c r="WVL516" s="379"/>
      <c r="WVM516" s="379"/>
      <c r="WVN516" s="379"/>
      <c r="WVO516" s="13"/>
      <c r="WVP516" s="13"/>
      <c r="WVQ516" s="193"/>
      <c r="WVR516" s="379"/>
      <c r="WVS516" s="379"/>
      <c r="WVT516" s="379"/>
      <c r="WVU516" s="379"/>
      <c r="WVV516" s="379"/>
      <c r="WVW516" s="13"/>
      <c r="WVX516" s="13"/>
      <c r="WVY516" s="193"/>
      <c r="WVZ516" s="379"/>
      <c r="WWA516" s="379"/>
      <c r="WWB516" s="379"/>
      <c r="WWC516" s="379"/>
      <c r="WWD516" s="379"/>
      <c r="WWE516" s="13"/>
      <c r="WWF516" s="13"/>
      <c r="WWG516" s="193"/>
      <c r="WWH516" s="379"/>
      <c r="WWI516" s="379"/>
      <c r="WWJ516" s="379"/>
      <c r="WWK516" s="379"/>
      <c r="WWL516" s="379"/>
      <c r="WWM516" s="13"/>
      <c r="WWN516" s="13"/>
      <c r="WWO516" s="193"/>
      <c r="WWP516" s="379"/>
      <c r="WWQ516" s="379"/>
      <c r="WWR516" s="379"/>
      <c r="WWS516" s="379"/>
      <c r="WWT516" s="379"/>
      <c r="WWU516" s="13"/>
      <c r="WWV516" s="13"/>
      <c r="WWW516" s="193"/>
      <c r="WWX516" s="379"/>
      <c r="WWY516" s="379"/>
      <c r="WWZ516" s="379"/>
      <c r="WXA516" s="379"/>
      <c r="WXB516" s="379"/>
      <c r="WXC516" s="13"/>
      <c r="WXD516" s="13"/>
      <c r="WXE516" s="193"/>
      <c r="WXF516" s="379"/>
      <c r="WXG516" s="379"/>
      <c r="WXH516" s="379"/>
      <c r="WXI516" s="379"/>
      <c r="WXJ516" s="379"/>
      <c r="WXK516" s="13"/>
      <c r="WXL516" s="13"/>
      <c r="WXM516" s="193"/>
      <c r="WXN516" s="379"/>
      <c r="WXO516" s="379"/>
      <c r="WXP516" s="379"/>
      <c r="WXQ516" s="379"/>
      <c r="WXR516" s="379"/>
      <c r="WXS516" s="13"/>
      <c r="WXT516" s="13"/>
      <c r="WXU516" s="193"/>
      <c r="WXV516" s="379"/>
      <c r="WXW516" s="379"/>
      <c r="WXX516" s="379"/>
      <c r="WXY516" s="379"/>
      <c r="WXZ516" s="379"/>
      <c r="WYA516" s="13"/>
      <c r="WYB516" s="13"/>
      <c r="WYC516" s="193"/>
      <c r="WYD516" s="379"/>
      <c r="WYE516" s="379"/>
      <c r="WYF516" s="379"/>
      <c r="WYG516" s="379"/>
      <c r="WYH516" s="379"/>
      <c r="WYI516" s="13"/>
      <c r="WYJ516" s="13"/>
      <c r="WYK516" s="193"/>
      <c r="WYL516" s="379"/>
      <c r="WYM516" s="379"/>
      <c r="WYN516" s="379"/>
      <c r="WYO516" s="379"/>
      <c r="WYP516" s="379"/>
      <c r="WYQ516" s="13"/>
      <c r="WYR516" s="13"/>
      <c r="WYS516" s="193"/>
      <c r="WYT516" s="379"/>
      <c r="WYU516" s="379"/>
      <c r="WYV516" s="379"/>
      <c r="WYW516" s="379"/>
      <c r="WYX516" s="379"/>
      <c r="WYY516" s="13"/>
      <c r="WYZ516" s="13"/>
      <c r="WZA516" s="193"/>
      <c r="WZB516" s="379"/>
      <c r="WZC516" s="379"/>
      <c r="WZD516" s="379"/>
      <c r="WZE516" s="379"/>
      <c r="WZF516" s="379"/>
      <c r="WZG516" s="13"/>
      <c r="WZH516" s="13"/>
      <c r="WZI516" s="193"/>
      <c r="WZJ516" s="379"/>
      <c r="WZK516" s="379"/>
      <c r="WZL516" s="379"/>
      <c r="WZM516" s="379"/>
      <c r="WZN516" s="379"/>
      <c r="WZO516" s="13"/>
      <c r="WZP516" s="13"/>
      <c r="WZQ516" s="193"/>
      <c r="WZR516" s="379"/>
      <c r="WZS516" s="379"/>
      <c r="WZT516" s="379"/>
      <c r="WZU516" s="379"/>
      <c r="WZV516" s="379"/>
      <c r="WZW516" s="13"/>
      <c r="WZX516" s="13"/>
      <c r="WZY516" s="193"/>
      <c r="WZZ516" s="379"/>
      <c r="XAA516" s="379"/>
      <c r="XAB516" s="379"/>
      <c r="XAC516" s="379"/>
      <c r="XAD516" s="379"/>
      <c r="XAE516" s="13"/>
      <c r="XAF516" s="13"/>
      <c r="XAG516" s="193"/>
      <c r="XAH516" s="379"/>
      <c r="XAI516" s="379"/>
      <c r="XAJ516" s="379"/>
      <c r="XAK516" s="379"/>
      <c r="XAL516" s="379"/>
      <c r="XAM516" s="13"/>
      <c r="XAN516" s="13"/>
      <c r="XAO516" s="193"/>
      <c r="XAP516" s="379"/>
      <c r="XAQ516" s="379"/>
      <c r="XAR516" s="379"/>
      <c r="XAS516" s="379"/>
      <c r="XAT516" s="379"/>
      <c r="XAU516" s="13"/>
      <c r="XAV516" s="13"/>
      <c r="XAW516" s="193"/>
      <c r="XAX516" s="379"/>
      <c r="XAY516" s="379"/>
      <c r="XAZ516" s="379"/>
      <c r="XBA516" s="379"/>
      <c r="XBB516" s="379"/>
      <c r="XBC516" s="13"/>
      <c r="XBD516" s="13"/>
      <c r="XBE516" s="193"/>
      <c r="XBF516" s="379"/>
      <c r="XBG516" s="379"/>
      <c r="XBH516" s="379"/>
      <c r="XBI516" s="379"/>
      <c r="XBJ516" s="379"/>
      <c r="XBK516" s="13"/>
      <c r="XBL516" s="13"/>
      <c r="XBM516" s="193"/>
      <c r="XBN516" s="379"/>
      <c r="XBO516" s="379"/>
      <c r="XBP516" s="379"/>
      <c r="XBQ516" s="379"/>
      <c r="XBR516" s="379"/>
      <c r="XBS516" s="13"/>
      <c r="XBT516" s="13"/>
      <c r="XBU516" s="193"/>
      <c r="XBV516" s="379"/>
      <c r="XBW516" s="379"/>
      <c r="XBX516" s="379"/>
      <c r="XBY516" s="379"/>
      <c r="XBZ516" s="379"/>
      <c r="XCA516" s="13"/>
      <c r="XCB516" s="13"/>
      <c r="XCC516" s="193"/>
      <c r="XCD516" s="379"/>
      <c r="XCE516" s="379"/>
      <c r="XCF516" s="379"/>
      <c r="XCG516" s="379"/>
      <c r="XCH516" s="379"/>
      <c r="XCI516" s="13"/>
      <c r="XCJ516" s="13"/>
      <c r="XCK516" s="193"/>
      <c r="XCL516" s="379"/>
      <c r="XCM516" s="379"/>
      <c r="XCN516" s="379"/>
      <c r="XCO516" s="379"/>
      <c r="XCP516" s="379"/>
      <c r="XCQ516" s="13"/>
      <c r="XCR516" s="13"/>
      <c r="XCS516" s="193"/>
      <c r="XCT516" s="379"/>
      <c r="XCU516" s="379"/>
      <c r="XCV516" s="379"/>
      <c r="XCW516" s="379"/>
      <c r="XCX516" s="379"/>
      <c r="XCY516" s="13"/>
      <c r="XCZ516" s="13"/>
      <c r="XDA516" s="193"/>
      <c r="XDB516" s="379"/>
      <c r="XDC516" s="379"/>
      <c r="XDD516" s="379"/>
      <c r="XDE516" s="379"/>
      <c r="XDF516" s="379"/>
      <c r="XDG516" s="13"/>
      <c r="XDH516" s="13"/>
      <c r="XDI516" s="193"/>
      <c r="XDJ516" s="379"/>
      <c r="XDK516" s="379"/>
      <c r="XDL516" s="379"/>
      <c r="XDM516" s="379"/>
      <c r="XDN516" s="379"/>
      <c r="XDO516" s="13"/>
      <c r="XDP516" s="13"/>
      <c r="XDQ516" s="193"/>
      <c r="XDR516" s="379"/>
      <c r="XDS516" s="379"/>
      <c r="XDT516" s="379"/>
      <c r="XDU516" s="379"/>
      <c r="XDV516" s="379"/>
      <c r="XDW516" s="13"/>
      <c r="XDX516" s="13"/>
      <c r="XDY516" s="193"/>
      <c r="XDZ516" s="379"/>
      <c r="XEA516" s="379"/>
      <c r="XEB516" s="379"/>
      <c r="XEC516" s="379"/>
      <c r="XED516" s="379"/>
      <c r="XEE516" s="13"/>
      <c r="XEF516" s="13"/>
      <c r="XEG516" s="193"/>
      <c r="XEH516" s="379"/>
      <c r="XEI516" s="379"/>
      <c r="XEJ516" s="379"/>
      <c r="XEK516" s="379"/>
      <c r="XEL516" s="379"/>
      <c r="XEM516" s="13"/>
      <c r="XEN516" s="13"/>
      <c r="XEO516" s="193"/>
      <c r="XEP516" s="379"/>
      <c r="XEQ516" s="379"/>
      <c r="XER516" s="379"/>
      <c r="XES516" s="379"/>
      <c r="XET516" s="379"/>
      <c r="XEU516" s="13"/>
      <c r="XEV516" s="13"/>
      <c r="XEW516" s="193"/>
      <c r="XEX516" s="379"/>
      <c r="XEY516" s="379"/>
      <c r="XEZ516" s="379"/>
      <c r="XFA516" s="379"/>
      <c r="XFB516" s="379"/>
      <c r="XFC516" s="13"/>
      <c r="XFD516" s="13"/>
    </row>
    <row r="517" spans="1:16384" s="640" customFormat="1" ht="18" customHeight="1" x14ac:dyDescent="0.3">
      <c r="A517" s="2314"/>
      <c r="B517" s="1718"/>
      <c r="C517" s="1718"/>
      <c r="D517" s="1718"/>
      <c r="E517" s="1718"/>
      <c r="F517" s="385" t="s">
        <v>14</v>
      </c>
      <c r="G517" s="69">
        <f t="shared" si="265"/>
        <v>0</v>
      </c>
      <c r="H517" s="69">
        <v>0</v>
      </c>
      <c r="I517" s="69"/>
      <c r="J517" s="69"/>
      <c r="K517" s="69"/>
      <c r="L517" s="69"/>
      <c r="M517" s="677"/>
      <c r="N517" s="609"/>
      <c r="O517" s="69"/>
      <c r="P517" s="1117"/>
      <c r="Q517" s="193"/>
      <c r="R517" s="379"/>
      <c r="S517" s="379"/>
      <c r="T517" s="379"/>
      <c r="U517" s="379"/>
      <c r="V517" s="379"/>
      <c r="W517" s="1172"/>
      <c r="X517" s="13"/>
      <c r="Y517" s="193"/>
      <c r="Z517" s="379"/>
      <c r="AA517" s="379"/>
      <c r="AB517" s="379"/>
      <c r="AC517" s="379"/>
      <c r="AD517" s="379"/>
      <c r="AE517" s="13"/>
      <c r="AF517" s="13"/>
      <c r="AG517" s="193"/>
      <c r="AH517" s="379"/>
      <c r="AI517" s="379"/>
      <c r="AJ517" s="379"/>
      <c r="AK517" s="379"/>
      <c r="AL517" s="379"/>
      <c r="AM517" s="13"/>
      <c r="AN517" s="13"/>
      <c r="AO517" s="193"/>
      <c r="AP517" s="379"/>
      <c r="AQ517" s="379"/>
      <c r="AR517" s="379"/>
      <c r="AS517" s="379"/>
      <c r="AT517" s="379"/>
      <c r="AU517" s="13"/>
      <c r="AV517" s="13"/>
      <c r="AW517" s="193"/>
      <c r="AX517" s="379"/>
      <c r="AY517" s="379"/>
      <c r="AZ517" s="379"/>
      <c r="BA517" s="379"/>
      <c r="BB517" s="379"/>
      <c r="BC517" s="13"/>
      <c r="BD517" s="13"/>
      <c r="BE517" s="193"/>
      <c r="BF517" s="379"/>
      <c r="BG517" s="379"/>
      <c r="BH517" s="379"/>
      <c r="BI517" s="379"/>
      <c r="BJ517" s="379"/>
      <c r="BK517" s="13"/>
      <c r="BL517" s="13"/>
      <c r="BM517" s="193"/>
      <c r="BN517" s="379"/>
      <c r="BO517" s="379"/>
      <c r="BP517" s="379"/>
      <c r="BQ517" s="379"/>
      <c r="BR517" s="379"/>
      <c r="BS517" s="13"/>
      <c r="BT517" s="13"/>
      <c r="BU517" s="193"/>
      <c r="BV517" s="379"/>
      <c r="BW517" s="379"/>
      <c r="BX517" s="379"/>
      <c r="BY517" s="379"/>
      <c r="BZ517" s="379"/>
      <c r="CA517" s="13"/>
      <c r="CB517" s="13"/>
      <c r="CC517" s="193"/>
      <c r="CD517" s="379"/>
      <c r="CE517" s="379"/>
      <c r="CF517" s="379"/>
      <c r="CG517" s="379"/>
      <c r="CH517" s="379"/>
      <c r="CI517" s="13"/>
      <c r="CJ517" s="13"/>
      <c r="CK517" s="193"/>
      <c r="CL517" s="379"/>
      <c r="CM517" s="379"/>
      <c r="CN517" s="379"/>
      <c r="CO517" s="379"/>
      <c r="CP517" s="379"/>
      <c r="CQ517" s="13"/>
      <c r="CR517" s="13"/>
      <c r="CS517" s="193"/>
      <c r="CT517" s="379"/>
      <c r="CU517" s="379"/>
      <c r="CV517" s="379"/>
      <c r="CW517" s="379"/>
      <c r="CX517" s="379"/>
      <c r="CY517" s="13"/>
      <c r="CZ517" s="13"/>
      <c r="DA517" s="193"/>
      <c r="DB517" s="379"/>
      <c r="DC517" s="379"/>
      <c r="DD517" s="379"/>
      <c r="DE517" s="379"/>
      <c r="DF517" s="379"/>
      <c r="DG517" s="13"/>
      <c r="DH517" s="13"/>
      <c r="DI517" s="193"/>
      <c r="DJ517" s="379"/>
      <c r="DK517" s="379"/>
      <c r="DL517" s="379"/>
      <c r="DM517" s="379"/>
      <c r="DN517" s="379"/>
      <c r="DO517" s="13"/>
      <c r="DP517" s="13"/>
      <c r="DQ517" s="193"/>
      <c r="DR517" s="379"/>
      <c r="DS517" s="379"/>
      <c r="DT517" s="379"/>
      <c r="DU517" s="379"/>
      <c r="DV517" s="379"/>
      <c r="DW517" s="13"/>
      <c r="DX517" s="13"/>
      <c r="DY517" s="193"/>
      <c r="DZ517" s="379"/>
      <c r="EA517" s="379"/>
      <c r="EB517" s="379"/>
      <c r="EC517" s="379"/>
      <c r="ED517" s="379"/>
      <c r="EE517" s="13"/>
      <c r="EF517" s="13"/>
      <c r="EG517" s="193"/>
      <c r="EH517" s="379"/>
      <c r="EI517" s="379"/>
      <c r="EJ517" s="379"/>
      <c r="EK517" s="379"/>
      <c r="EL517" s="379"/>
      <c r="EM517" s="13"/>
      <c r="EN517" s="13"/>
      <c r="EO517" s="193"/>
      <c r="EP517" s="379"/>
      <c r="EQ517" s="379"/>
      <c r="ER517" s="379"/>
      <c r="ES517" s="379"/>
      <c r="ET517" s="379"/>
      <c r="EU517" s="13"/>
      <c r="EV517" s="13"/>
      <c r="EW517" s="193"/>
      <c r="EX517" s="379"/>
      <c r="EY517" s="379"/>
      <c r="EZ517" s="379"/>
      <c r="FA517" s="379"/>
      <c r="FB517" s="379"/>
      <c r="FC517" s="13"/>
      <c r="FD517" s="13"/>
      <c r="FE517" s="193"/>
      <c r="FF517" s="379"/>
      <c r="FG517" s="379"/>
      <c r="FH517" s="379"/>
      <c r="FI517" s="379"/>
      <c r="FJ517" s="379"/>
      <c r="FK517" s="13"/>
      <c r="FL517" s="13"/>
      <c r="FM517" s="193"/>
      <c r="FN517" s="379"/>
      <c r="FO517" s="379"/>
      <c r="FP517" s="379"/>
      <c r="FQ517" s="379"/>
      <c r="FR517" s="379"/>
      <c r="FS517" s="13"/>
      <c r="FT517" s="13"/>
      <c r="FU517" s="193"/>
      <c r="FV517" s="379"/>
      <c r="FW517" s="379"/>
      <c r="FX517" s="379"/>
      <c r="FY517" s="379"/>
      <c r="FZ517" s="379"/>
      <c r="GA517" s="13"/>
      <c r="GB517" s="13"/>
      <c r="GC517" s="193"/>
      <c r="GD517" s="379"/>
      <c r="GE517" s="379"/>
      <c r="GF517" s="379"/>
      <c r="GG517" s="379"/>
      <c r="GH517" s="379"/>
      <c r="GI517" s="13"/>
      <c r="GJ517" s="13"/>
      <c r="GK517" s="193"/>
      <c r="GL517" s="379"/>
      <c r="GM517" s="379"/>
      <c r="GN517" s="379"/>
      <c r="GO517" s="379"/>
      <c r="GP517" s="379"/>
      <c r="GQ517" s="13"/>
      <c r="GR517" s="13"/>
      <c r="GS517" s="193"/>
      <c r="GT517" s="379"/>
      <c r="GU517" s="379"/>
      <c r="GV517" s="379"/>
      <c r="GW517" s="379"/>
      <c r="GX517" s="379"/>
      <c r="GY517" s="13"/>
      <c r="GZ517" s="13"/>
      <c r="HA517" s="193"/>
      <c r="HB517" s="379"/>
      <c r="HC517" s="379"/>
      <c r="HD517" s="379"/>
      <c r="HE517" s="379"/>
      <c r="HF517" s="379"/>
      <c r="HG517" s="13"/>
      <c r="HH517" s="13"/>
      <c r="HI517" s="193"/>
      <c r="HJ517" s="379"/>
      <c r="HK517" s="379"/>
      <c r="HL517" s="379"/>
      <c r="HM517" s="379"/>
      <c r="HN517" s="379"/>
      <c r="HO517" s="13"/>
      <c r="HP517" s="13"/>
      <c r="HQ517" s="193"/>
      <c r="HR517" s="379"/>
      <c r="HS517" s="379"/>
      <c r="HT517" s="379"/>
      <c r="HU517" s="379"/>
      <c r="HV517" s="379"/>
      <c r="HW517" s="13"/>
      <c r="HX517" s="13"/>
      <c r="HY517" s="193"/>
      <c r="HZ517" s="379"/>
      <c r="IA517" s="379"/>
      <c r="IB517" s="379"/>
      <c r="IC517" s="379"/>
      <c r="ID517" s="379"/>
      <c r="IE517" s="13"/>
      <c r="IF517" s="13"/>
      <c r="IG517" s="193"/>
      <c r="IH517" s="379"/>
      <c r="II517" s="379"/>
      <c r="IJ517" s="379"/>
      <c r="IK517" s="379"/>
      <c r="IL517" s="379"/>
      <c r="IM517" s="13"/>
      <c r="IN517" s="13"/>
      <c r="IO517" s="193"/>
      <c r="IP517" s="379"/>
      <c r="IQ517" s="379"/>
      <c r="IR517" s="379"/>
      <c r="IS517" s="379"/>
      <c r="IT517" s="379"/>
      <c r="IU517" s="13"/>
      <c r="IV517" s="13"/>
      <c r="IW517" s="193"/>
      <c r="IX517" s="379"/>
      <c r="IY517" s="379"/>
      <c r="IZ517" s="379"/>
      <c r="JA517" s="379"/>
      <c r="JB517" s="379"/>
      <c r="JC517" s="13"/>
      <c r="JD517" s="13"/>
      <c r="JE517" s="193"/>
      <c r="JF517" s="379"/>
      <c r="JG517" s="379"/>
      <c r="JH517" s="379"/>
      <c r="JI517" s="379"/>
      <c r="JJ517" s="379"/>
      <c r="JK517" s="13"/>
      <c r="JL517" s="13"/>
      <c r="JM517" s="193"/>
      <c r="JN517" s="379"/>
      <c r="JO517" s="379"/>
      <c r="JP517" s="379"/>
      <c r="JQ517" s="379"/>
      <c r="JR517" s="379"/>
      <c r="JS517" s="13"/>
      <c r="JT517" s="13"/>
      <c r="JU517" s="193"/>
      <c r="JV517" s="379"/>
      <c r="JW517" s="379"/>
      <c r="JX517" s="379"/>
      <c r="JY517" s="379"/>
      <c r="JZ517" s="379"/>
      <c r="KA517" s="13"/>
      <c r="KB517" s="13"/>
      <c r="KC517" s="193"/>
      <c r="KD517" s="379"/>
      <c r="KE517" s="379"/>
      <c r="KF517" s="379"/>
      <c r="KG517" s="379"/>
      <c r="KH517" s="379"/>
      <c r="KI517" s="13"/>
      <c r="KJ517" s="13"/>
      <c r="KK517" s="193"/>
      <c r="KL517" s="379"/>
      <c r="KM517" s="379"/>
      <c r="KN517" s="379"/>
      <c r="KO517" s="379"/>
      <c r="KP517" s="379"/>
      <c r="KQ517" s="13"/>
      <c r="KR517" s="13"/>
      <c r="KS517" s="193"/>
      <c r="KT517" s="379"/>
      <c r="KU517" s="379"/>
      <c r="KV517" s="379"/>
      <c r="KW517" s="379"/>
      <c r="KX517" s="379"/>
      <c r="KY517" s="13"/>
      <c r="KZ517" s="13"/>
      <c r="LA517" s="193"/>
      <c r="LB517" s="379"/>
      <c r="LC517" s="379"/>
      <c r="LD517" s="379"/>
      <c r="LE517" s="379"/>
      <c r="LF517" s="379"/>
      <c r="LG517" s="13"/>
      <c r="LH517" s="13"/>
      <c r="LI517" s="193"/>
      <c r="LJ517" s="379"/>
      <c r="LK517" s="379"/>
      <c r="LL517" s="379"/>
      <c r="LM517" s="379"/>
      <c r="LN517" s="379"/>
      <c r="LO517" s="13"/>
      <c r="LP517" s="13"/>
      <c r="LQ517" s="193"/>
      <c r="LR517" s="379"/>
      <c r="LS517" s="379"/>
      <c r="LT517" s="379"/>
      <c r="LU517" s="379"/>
      <c r="LV517" s="379"/>
      <c r="LW517" s="13"/>
      <c r="LX517" s="13"/>
      <c r="LY517" s="193"/>
      <c r="LZ517" s="379"/>
      <c r="MA517" s="379"/>
      <c r="MB517" s="379"/>
      <c r="MC517" s="379"/>
      <c r="MD517" s="379"/>
      <c r="ME517" s="13"/>
      <c r="MF517" s="13"/>
      <c r="MG517" s="193"/>
      <c r="MH517" s="379"/>
      <c r="MI517" s="379"/>
      <c r="MJ517" s="379"/>
      <c r="MK517" s="379"/>
      <c r="ML517" s="379"/>
      <c r="MM517" s="13"/>
      <c r="MN517" s="13"/>
      <c r="MO517" s="193"/>
      <c r="MP517" s="379"/>
      <c r="MQ517" s="379"/>
      <c r="MR517" s="379"/>
      <c r="MS517" s="379"/>
      <c r="MT517" s="379"/>
      <c r="MU517" s="13"/>
      <c r="MV517" s="13"/>
      <c r="MW517" s="193"/>
      <c r="MX517" s="379"/>
      <c r="MY517" s="379"/>
      <c r="MZ517" s="379"/>
      <c r="NA517" s="379"/>
      <c r="NB517" s="379"/>
      <c r="NC517" s="13"/>
      <c r="ND517" s="13"/>
      <c r="NE517" s="193"/>
      <c r="NF517" s="379"/>
      <c r="NG517" s="379"/>
      <c r="NH517" s="379"/>
      <c r="NI517" s="379"/>
      <c r="NJ517" s="379"/>
      <c r="NK517" s="13"/>
      <c r="NL517" s="13"/>
      <c r="NM517" s="193"/>
      <c r="NN517" s="379"/>
      <c r="NO517" s="379"/>
      <c r="NP517" s="379"/>
      <c r="NQ517" s="379"/>
      <c r="NR517" s="379"/>
      <c r="NS517" s="13"/>
      <c r="NT517" s="13"/>
      <c r="NU517" s="193"/>
      <c r="NV517" s="379"/>
      <c r="NW517" s="379"/>
      <c r="NX517" s="379"/>
      <c r="NY517" s="379"/>
      <c r="NZ517" s="379"/>
      <c r="OA517" s="13"/>
      <c r="OB517" s="13"/>
      <c r="OC517" s="193"/>
      <c r="OD517" s="379"/>
      <c r="OE517" s="379"/>
      <c r="OF517" s="379"/>
      <c r="OG517" s="379"/>
      <c r="OH517" s="379"/>
      <c r="OI517" s="13"/>
      <c r="OJ517" s="13"/>
      <c r="OK517" s="193"/>
      <c r="OL517" s="379"/>
      <c r="OM517" s="379"/>
      <c r="ON517" s="379"/>
      <c r="OO517" s="379"/>
      <c r="OP517" s="379"/>
      <c r="OQ517" s="13"/>
      <c r="OR517" s="13"/>
      <c r="OS517" s="193"/>
      <c r="OT517" s="379"/>
      <c r="OU517" s="379"/>
      <c r="OV517" s="379"/>
      <c r="OW517" s="379"/>
      <c r="OX517" s="379"/>
      <c r="OY517" s="13"/>
      <c r="OZ517" s="13"/>
      <c r="PA517" s="193"/>
      <c r="PB517" s="379"/>
      <c r="PC517" s="379"/>
      <c r="PD517" s="379"/>
      <c r="PE517" s="379"/>
      <c r="PF517" s="379"/>
      <c r="PG517" s="13"/>
      <c r="PH517" s="13"/>
      <c r="PI517" s="193"/>
      <c r="PJ517" s="379"/>
      <c r="PK517" s="379"/>
      <c r="PL517" s="379"/>
      <c r="PM517" s="379"/>
      <c r="PN517" s="379"/>
      <c r="PO517" s="13"/>
      <c r="PP517" s="13"/>
      <c r="PQ517" s="193"/>
      <c r="PR517" s="379"/>
      <c r="PS517" s="379"/>
      <c r="PT517" s="379"/>
      <c r="PU517" s="379"/>
      <c r="PV517" s="379"/>
      <c r="PW517" s="13"/>
      <c r="PX517" s="13"/>
      <c r="PY517" s="193"/>
      <c r="PZ517" s="379"/>
      <c r="QA517" s="379"/>
      <c r="QB517" s="379"/>
      <c r="QC517" s="379"/>
      <c r="QD517" s="379"/>
      <c r="QE517" s="13"/>
      <c r="QF517" s="13"/>
      <c r="QG517" s="193"/>
      <c r="QH517" s="379"/>
      <c r="QI517" s="379"/>
      <c r="QJ517" s="379"/>
      <c r="QK517" s="379"/>
      <c r="QL517" s="379"/>
      <c r="QM517" s="13"/>
      <c r="QN517" s="13"/>
      <c r="QO517" s="193"/>
      <c r="QP517" s="379"/>
      <c r="QQ517" s="379"/>
      <c r="QR517" s="379"/>
      <c r="QS517" s="379"/>
      <c r="QT517" s="379"/>
      <c r="QU517" s="13"/>
      <c r="QV517" s="13"/>
      <c r="QW517" s="193"/>
      <c r="QX517" s="379"/>
      <c r="QY517" s="379"/>
      <c r="QZ517" s="379"/>
      <c r="RA517" s="379"/>
      <c r="RB517" s="379"/>
      <c r="RC517" s="13"/>
      <c r="RD517" s="13"/>
      <c r="RE517" s="193"/>
      <c r="RF517" s="379"/>
      <c r="RG517" s="379"/>
      <c r="RH517" s="379"/>
      <c r="RI517" s="379"/>
      <c r="RJ517" s="379"/>
      <c r="RK517" s="13"/>
      <c r="RL517" s="13"/>
      <c r="RM517" s="193"/>
      <c r="RN517" s="379"/>
      <c r="RO517" s="379"/>
      <c r="RP517" s="379"/>
      <c r="RQ517" s="379"/>
      <c r="RR517" s="379"/>
      <c r="RS517" s="13"/>
      <c r="RT517" s="13"/>
      <c r="RU517" s="193"/>
      <c r="RV517" s="379"/>
      <c r="RW517" s="379"/>
      <c r="RX517" s="379"/>
      <c r="RY517" s="379"/>
      <c r="RZ517" s="379"/>
      <c r="SA517" s="13"/>
      <c r="SB517" s="13"/>
      <c r="SC517" s="193"/>
      <c r="SD517" s="379"/>
      <c r="SE517" s="379"/>
      <c r="SF517" s="379"/>
      <c r="SG517" s="379"/>
      <c r="SH517" s="379"/>
      <c r="SI517" s="13"/>
      <c r="SJ517" s="13"/>
      <c r="SK517" s="193"/>
      <c r="SL517" s="379"/>
      <c r="SM517" s="379"/>
      <c r="SN517" s="379"/>
      <c r="SO517" s="379"/>
      <c r="SP517" s="379"/>
      <c r="SQ517" s="13"/>
      <c r="SR517" s="13"/>
      <c r="SS517" s="193"/>
      <c r="ST517" s="379"/>
      <c r="SU517" s="379"/>
      <c r="SV517" s="379"/>
      <c r="SW517" s="379"/>
      <c r="SX517" s="379"/>
      <c r="SY517" s="13"/>
      <c r="SZ517" s="13"/>
      <c r="TA517" s="193"/>
      <c r="TB517" s="379"/>
      <c r="TC517" s="379"/>
      <c r="TD517" s="379"/>
      <c r="TE517" s="379"/>
      <c r="TF517" s="379"/>
      <c r="TG517" s="13"/>
      <c r="TH517" s="13"/>
      <c r="TI517" s="193"/>
      <c r="TJ517" s="379"/>
      <c r="TK517" s="379"/>
      <c r="TL517" s="379"/>
      <c r="TM517" s="379"/>
      <c r="TN517" s="379"/>
      <c r="TO517" s="13"/>
      <c r="TP517" s="13"/>
      <c r="TQ517" s="193"/>
      <c r="TR517" s="379"/>
      <c r="TS517" s="379"/>
      <c r="TT517" s="379"/>
      <c r="TU517" s="379"/>
      <c r="TV517" s="379"/>
      <c r="TW517" s="13"/>
      <c r="TX517" s="13"/>
      <c r="TY517" s="193"/>
      <c r="TZ517" s="379"/>
      <c r="UA517" s="379"/>
      <c r="UB517" s="379"/>
      <c r="UC517" s="379"/>
      <c r="UD517" s="379"/>
      <c r="UE517" s="13"/>
      <c r="UF517" s="13"/>
      <c r="UG517" s="193"/>
      <c r="UH517" s="379"/>
      <c r="UI517" s="379"/>
      <c r="UJ517" s="379"/>
      <c r="UK517" s="379"/>
      <c r="UL517" s="379"/>
      <c r="UM517" s="13"/>
      <c r="UN517" s="13"/>
      <c r="UO517" s="193"/>
      <c r="UP517" s="379"/>
      <c r="UQ517" s="379"/>
      <c r="UR517" s="379"/>
      <c r="US517" s="379"/>
      <c r="UT517" s="379"/>
      <c r="UU517" s="13"/>
      <c r="UV517" s="13"/>
      <c r="UW517" s="193"/>
      <c r="UX517" s="379"/>
      <c r="UY517" s="379"/>
      <c r="UZ517" s="379"/>
      <c r="VA517" s="379"/>
      <c r="VB517" s="379"/>
      <c r="VC517" s="13"/>
      <c r="VD517" s="13"/>
      <c r="VE517" s="193"/>
      <c r="VF517" s="379"/>
      <c r="VG517" s="379"/>
      <c r="VH517" s="379"/>
      <c r="VI517" s="379"/>
      <c r="VJ517" s="379"/>
      <c r="VK517" s="13"/>
      <c r="VL517" s="13"/>
      <c r="VM517" s="193"/>
      <c r="VN517" s="379"/>
      <c r="VO517" s="379"/>
      <c r="VP517" s="379"/>
      <c r="VQ517" s="379"/>
      <c r="VR517" s="379"/>
      <c r="VS517" s="13"/>
      <c r="VT517" s="13"/>
      <c r="VU517" s="193"/>
      <c r="VV517" s="379"/>
      <c r="VW517" s="379"/>
      <c r="VX517" s="379"/>
      <c r="VY517" s="379"/>
      <c r="VZ517" s="379"/>
      <c r="WA517" s="13"/>
      <c r="WB517" s="13"/>
      <c r="WC517" s="193"/>
      <c r="WD517" s="379"/>
      <c r="WE517" s="379"/>
      <c r="WF517" s="379"/>
      <c r="WG517" s="379"/>
      <c r="WH517" s="379"/>
      <c r="WI517" s="13"/>
      <c r="WJ517" s="13"/>
      <c r="WK517" s="193"/>
      <c r="WL517" s="379"/>
      <c r="WM517" s="379"/>
      <c r="WN517" s="379"/>
      <c r="WO517" s="379"/>
      <c r="WP517" s="379"/>
      <c r="WQ517" s="13"/>
      <c r="WR517" s="13"/>
      <c r="WS517" s="193"/>
      <c r="WT517" s="379"/>
      <c r="WU517" s="379"/>
      <c r="WV517" s="379"/>
      <c r="WW517" s="379"/>
      <c r="WX517" s="379"/>
      <c r="WY517" s="13"/>
      <c r="WZ517" s="13"/>
      <c r="XA517" s="193"/>
      <c r="XB517" s="379"/>
      <c r="XC517" s="379"/>
      <c r="XD517" s="379"/>
      <c r="XE517" s="379"/>
      <c r="XF517" s="379"/>
      <c r="XG517" s="13"/>
      <c r="XH517" s="13"/>
      <c r="XI517" s="193"/>
      <c r="XJ517" s="379"/>
      <c r="XK517" s="379"/>
      <c r="XL517" s="379"/>
      <c r="XM517" s="379"/>
      <c r="XN517" s="379"/>
      <c r="XO517" s="13"/>
      <c r="XP517" s="13"/>
      <c r="XQ517" s="193"/>
      <c r="XR517" s="379"/>
      <c r="XS517" s="379"/>
      <c r="XT517" s="379"/>
      <c r="XU517" s="379"/>
      <c r="XV517" s="379"/>
      <c r="XW517" s="13"/>
      <c r="XX517" s="13"/>
      <c r="XY517" s="193"/>
      <c r="XZ517" s="379"/>
      <c r="YA517" s="379"/>
      <c r="YB517" s="379"/>
      <c r="YC517" s="379"/>
      <c r="YD517" s="379"/>
      <c r="YE517" s="13"/>
      <c r="YF517" s="13"/>
      <c r="YG517" s="193"/>
      <c r="YH517" s="379"/>
      <c r="YI517" s="379"/>
      <c r="YJ517" s="379"/>
      <c r="YK517" s="379"/>
      <c r="YL517" s="379"/>
      <c r="YM517" s="13"/>
      <c r="YN517" s="13"/>
      <c r="YO517" s="193"/>
      <c r="YP517" s="379"/>
      <c r="YQ517" s="379"/>
      <c r="YR517" s="379"/>
      <c r="YS517" s="379"/>
      <c r="YT517" s="379"/>
      <c r="YU517" s="13"/>
      <c r="YV517" s="13"/>
      <c r="YW517" s="193"/>
      <c r="YX517" s="379"/>
      <c r="YY517" s="379"/>
      <c r="YZ517" s="379"/>
      <c r="ZA517" s="379"/>
      <c r="ZB517" s="379"/>
      <c r="ZC517" s="13"/>
      <c r="ZD517" s="13"/>
      <c r="ZE517" s="193"/>
      <c r="ZF517" s="379"/>
      <c r="ZG517" s="379"/>
      <c r="ZH517" s="379"/>
      <c r="ZI517" s="379"/>
      <c r="ZJ517" s="379"/>
      <c r="ZK517" s="13"/>
      <c r="ZL517" s="13"/>
      <c r="ZM517" s="193"/>
      <c r="ZN517" s="379"/>
      <c r="ZO517" s="379"/>
      <c r="ZP517" s="379"/>
      <c r="ZQ517" s="379"/>
      <c r="ZR517" s="379"/>
      <c r="ZS517" s="13"/>
      <c r="ZT517" s="13"/>
      <c r="ZU517" s="193"/>
      <c r="ZV517" s="379"/>
      <c r="ZW517" s="379"/>
      <c r="ZX517" s="379"/>
      <c r="ZY517" s="379"/>
      <c r="ZZ517" s="379"/>
      <c r="AAA517" s="13"/>
      <c r="AAB517" s="13"/>
      <c r="AAC517" s="193"/>
      <c r="AAD517" s="379"/>
      <c r="AAE517" s="379"/>
      <c r="AAF517" s="379"/>
      <c r="AAG517" s="379"/>
      <c r="AAH517" s="379"/>
      <c r="AAI517" s="13"/>
      <c r="AAJ517" s="13"/>
      <c r="AAK517" s="193"/>
      <c r="AAL517" s="379"/>
      <c r="AAM517" s="379"/>
      <c r="AAN517" s="379"/>
      <c r="AAO517" s="379"/>
      <c r="AAP517" s="379"/>
      <c r="AAQ517" s="13"/>
      <c r="AAR517" s="13"/>
      <c r="AAS517" s="193"/>
      <c r="AAT517" s="379"/>
      <c r="AAU517" s="379"/>
      <c r="AAV517" s="379"/>
      <c r="AAW517" s="379"/>
      <c r="AAX517" s="379"/>
      <c r="AAY517" s="13"/>
      <c r="AAZ517" s="13"/>
      <c r="ABA517" s="193"/>
      <c r="ABB517" s="379"/>
      <c r="ABC517" s="379"/>
      <c r="ABD517" s="379"/>
      <c r="ABE517" s="379"/>
      <c r="ABF517" s="379"/>
      <c r="ABG517" s="13"/>
      <c r="ABH517" s="13"/>
      <c r="ABI517" s="193"/>
      <c r="ABJ517" s="379"/>
      <c r="ABK517" s="379"/>
      <c r="ABL517" s="379"/>
      <c r="ABM517" s="379"/>
      <c r="ABN517" s="379"/>
      <c r="ABO517" s="13"/>
      <c r="ABP517" s="13"/>
      <c r="ABQ517" s="193"/>
      <c r="ABR517" s="379"/>
      <c r="ABS517" s="379"/>
      <c r="ABT517" s="379"/>
      <c r="ABU517" s="379"/>
      <c r="ABV517" s="379"/>
      <c r="ABW517" s="13"/>
      <c r="ABX517" s="13"/>
      <c r="ABY517" s="193"/>
      <c r="ABZ517" s="379"/>
      <c r="ACA517" s="379"/>
      <c r="ACB517" s="379"/>
      <c r="ACC517" s="379"/>
      <c r="ACD517" s="379"/>
      <c r="ACE517" s="13"/>
      <c r="ACF517" s="13"/>
      <c r="ACG517" s="193"/>
      <c r="ACH517" s="379"/>
      <c r="ACI517" s="379"/>
      <c r="ACJ517" s="379"/>
      <c r="ACK517" s="379"/>
      <c r="ACL517" s="379"/>
      <c r="ACM517" s="13"/>
      <c r="ACN517" s="13"/>
      <c r="ACO517" s="193"/>
      <c r="ACP517" s="379"/>
      <c r="ACQ517" s="379"/>
      <c r="ACR517" s="379"/>
      <c r="ACS517" s="379"/>
      <c r="ACT517" s="379"/>
      <c r="ACU517" s="13"/>
      <c r="ACV517" s="13"/>
      <c r="ACW517" s="193"/>
      <c r="ACX517" s="379"/>
      <c r="ACY517" s="379"/>
      <c r="ACZ517" s="379"/>
      <c r="ADA517" s="379"/>
      <c r="ADB517" s="379"/>
      <c r="ADC517" s="13"/>
      <c r="ADD517" s="13"/>
      <c r="ADE517" s="193"/>
      <c r="ADF517" s="379"/>
      <c r="ADG517" s="379"/>
      <c r="ADH517" s="379"/>
      <c r="ADI517" s="379"/>
      <c r="ADJ517" s="379"/>
      <c r="ADK517" s="13"/>
      <c r="ADL517" s="13"/>
      <c r="ADM517" s="193"/>
      <c r="ADN517" s="379"/>
      <c r="ADO517" s="379"/>
      <c r="ADP517" s="379"/>
      <c r="ADQ517" s="379"/>
      <c r="ADR517" s="379"/>
      <c r="ADS517" s="13"/>
      <c r="ADT517" s="13"/>
      <c r="ADU517" s="193"/>
      <c r="ADV517" s="379"/>
      <c r="ADW517" s="379"/>
      <c r="ADX517" s="379"/>
      <c r="ADY517" s="379"/>
      <c r="ADZ517" s="379"/>
      <c r="AEA517" s="13"/>
      <c r="AEB517" s="13"/>
      <c r="AEC517" s="193"/>
      <c r="AED517" s="379"/>
      <c r="AEE517" s="379"/>
      <c r="AEF517" s="379"/>
      <c r="AEG517" s="379"/>
      <c r="AEH517" s="379"/>
      <c r="AEI517" s="13"/>
      <c r="AEJ517" s="13"/>
      <c r="AEK517" s="193"/>
      <c r="AEL517" s="379"/>
      <c r="AEM517" s="379"/>
      <c r="AEN517" s="379"/>
      <c r="AEO517" s="379"/>
      <c r="AEP517" s="379"/>
      <c r="AEQ517" s="13"/>
      <c r="AER517" s="13"/>
      <c r="AES517" s="193"/>
      <c r="AET517" s="379"/>
      <c r="AEU517" s="379"/>
      <c r="AEV517" s="379"/>
      <c r="AEW517" s="379"/>
      <c r="AEX517" s="379"/>
      <c r="AEY517" s="13"/>
      <c r="AEZ517" s="13"/>
      <c r="AFA517" s="193"/>
      <c r="AFB517" s="379"/>
      <c r="AFC517" s="379"/>
      <c r="AFD517" s="379"/>
      <c r="AFE517" s="379"/>
      <c r="AFF517" s="379"/>
      <c r="AFG517" s="13"/>
      <c r="AFH517" s="13"/>
      <c r="AFI517" s="193"/>
      <c r="AFJ517" s="379"/>
      <c r="AFK517" s="379"/>
      <c r="AFL517" s="379"/>
      <c r="AFM517" s="379"/>
      <c r="AFN517" s="379"/>
      <c r="AFO517" s="13"/>
      <c r="AFP517" s="13"/>
      <c r="AFQ517" s="193"/>
      <c r="AFR517" s="379"/>
      <c r="AFS517" s="379"/>
      <c r="AFT517" s="379"/>
      <c r="AFU517" s="379"/>
      <c r="AFV517" s="379"/>
      <c r="AFW517" s="13"/>
      <c r="AFX517" s="13"/>
      <c r="AFY517" s="193"/>
      <c r="AFZ517" s="379"/>
      <c r="AGA517" s="379"/>
      <c r="AGB517" s="379"/>
      <c r="AGC517" s="379"/>
      <c r="AGD517" s="379"/>
      <c r="AGE517" s="13"/>
      <c r="AGF517" s="13"/>
      <c r="AGG517" s="193"/>
      <c r="AGH517" s="379"/>
      <c r="AGI517" s="379"/>
      <c r="AGJ517" s="379"/>
      <c r="AGK517" s="379"/>
      <c r="AGL517" s="379"/>
      <c r="AGM517" s="13"/>
      <c r="AGN517" s="13"/>
      <c r="AGO517" s="193"/>
      <c r="AGP517" s="379"/>
      <c r="AGQ517" s="379"/>
      <c r="AGR517" s="379"/>
      <c r="AGS517" s="379"/>
      <c r="AGT517" s="379"/>
      <c r="AGU517" s="13"/>
      <c r="AGV517" s="13"/>
      <c r="AGW517" s="193"/>
      <c r="AGX517" s="379"/>
      <c r="AGY517" s="379"/>
      <c r="AGZ517" s="379"/>
      <c r="AHA517" s="379"/>
      <c r="AHB517" s="379"/>
      <c r="AHC517" s="13"/>
      <c r="AHD517" s="13"/>
      <c r="AHE517" s="193"/>
      <c r="AHF517" s="379"/>
      <c r="AHG517" s="379"/>
      <c r="AHH517" s="379"/>
      <c r="AHI517" s="379"/>
      <c r="AHJ517" s="379"/>
      <c r="AHK517" s="13"/>
      <c r="AHL517" s="13"/>
      <c r="AHM517" s="193"/>
      <c r="AHN517" s="379"/>
      <c r="AHO517" s="379"/>
      <c r="AHP517" s="379"/>
      <c r="AHQ517" s="379"/>
      <c r="AHR517" s="379"/>
      <c r="AHS517" s="13"/>
      <c r="AHT517" s="13"/>
      <c r="AHU517" s="193"/>
      <c r="AHV517" s="379"/>
      <c r="AHW517" s="379"/>
      <c r="AHX517" s="379"/>
      <c r="AHY517" s="379"/>
      <c r="AHZ517" s="379"/>
      <c r="AIA517" s="13"/>
      <c r="AIB517" s="13"/>
      <c r="AIC517" s="193"/>
      <c r="AID517" s="379"/>
      <c r="AIE517" s="379"/>
      <c r="AIF517" s="379"/>
      <c r="AIG517" s="379"/>
      <c r="AIH517" s="379"/>
      <c r="AII517" s="13"/>
      <c r="AIJ517" s="13"/>
      <c r="AIK517" s="193"/>
      <c r="AIL517" s="379"/>
      <c r="AIM517" s="379"/>
      <c r="AIN517" s="379"/>
      <c r="AIO517" s="379"/>
      <c r="AIP517" s="379"/>
      <c r="AIQ517" s="13"/>
      <c r="AIR517" s="13"/>
      <c r="AIS517" s="193"/>
      <c r="AIT517" s="379"/>
      <c r="AIU517" s="379"/>
      <c r="AIV517" s="379"/>
      <c r="AIW517" s="379"/>
      <c r="AIX517" s="379"/>
      <c r="AIY517" s="13"/>
      <c r="AIZ517" s="13"/>
      <c r="AJA517" s="193"/>
      <c r="AJB517" s="379"/>
      <c r="AJC517" s="379"/>
      <c r="AJD517" s="379"/>
      <c r="AJE517" s="379"/>
      <c r="AJF517" s="379"/>
      <c r="AJG517" s="13"/>
      <c r="AJH517" s="13"/>
      <c r="AJI517" s="193"/>
      <c r="AJJ517" s="379"/>
      <c r="AJK517" s="379"/>
      <c r="AJL517" s="379"/>
      <c r="AJM517" s="379"/>
      <c r="AJN517" s="379"/>
      <c r="AJO517" s="13"/>
      <c r="AJP517" s="13"/>
      <c r="AJQ517" s="193"/>
      <c r="AJR517" s="379"/>
      <c r="AJS517" s="379"/>
      <c r="AJT517" s="379"/>
      <c r="AJU517" s="379"/>
      <c r="AJV517" s="379"/>
      <c r="AJW517" s="13"/>
      <c r="AJX517" s="13"/>
      <c r="AJY517" s="193"/>
      <c r="AJZ517" s="379"/>
      <c r="AKA517" s="379"/>
      <c r="AKB517" s="379"/>
      <c r="AKC517" s="379"/>
      <c r="AKD517" s="379"/>
      <c r="AKE517" s="13"/>
      <c r="AKF517" s="13"/>
      <c r="AKG517" s="193"/>
      <c r="AKH517" s="379"/>
      <c r="AKI517" s="379"/>
      <c r="AKJ517" s="379"/>
      <c r="AKK517" s="379"/>
      <c r="AKL517" s="379"/>
      <c r="AKM517" s="13"/>
      <c r="AKN517" s="13"/>
      <c r="AKO517" s="193"/>
      <c r="AKP517" s="379"/>
      <c r="AKQ517" s="379"/>
      <c r="AKR517" s="379"/>
      <c r="AKS517" s="379"/>
      <c r="AKT517" s="379"/>
      <c r="AKU517" s="13"/>
      <c r="AKV517" s="13"/>
      <c r="AKW517" s="193"/>
      <c r="AKX517" s="379"/>
      <c r="AKY517" s="379"/>
      <c r="AKZ517" s="379"/>
      <c r="ALA517" s="379"/>
      <c r="ALB517" s="379"/>
      <c r="ALC517" s="13"/>
      <c r="ALD517" s="13"/>
      <c r="ALE517" s="193"/>
      <c r="ALF517" s="379"/>
      <c r="ALG517" s="379"/>
      <c r="ALH517" s="379"/>
      <c r="ALI517" s="379"/>
      <c r="ALJ517" s="379"/>
      <c r="ALK517" s="13"/>
      <c r="ALL517" s="13"/>
      <c r="ALM517" s="193"/>
      <c r="ALN517" s="379"/>
      <c r="ALO517" s="379"/>
      <c r="ALP517" s="379"/>
      <c r="ALQ517" s="379"/>
      <c r="ALR517" s="379"/>
      <c r="ALS517" s="13"/>
      <c r="ALT517" s="13"/>
      <c r="ALU517" s="193"/>
      <c r="ALV517" s="379"/>
      <c r="ALW517" s="379"/>
      <c r="ALX517" s="379"/>
      <c r="ALY517" s="379"/>
      <c r="ALZ517" s="379"/>
      <c r="AMA517" s="13"/>
      <c r="AMB517" s="13"/>
      <c r="AMC517" s="193"/>
      <c r="AMD517" s="379"/>
      <c r="AME517" s="379"/>
      <c r="AMF517" s="379"/>
      <c r="AMG517" s="379"/>
      <c r="AMH517" s="379"/>
      <c r="AMI517" s="13"/>
      <c r="AMJ517" s="13"/>
      <c r="AMK517" s="193"/>
      <c r="AML517" s="379"/>
      <c r="AMM517" s="379"/>
      <c r="AMN517" s="379"/>
      <c r="AMO517" s="379"/>
      <c r="AMP517" s="379"/>
      <c r="AMQ517" s="13"/>
      <c r="AMR517" s="13"/>
      <c r="AMS517" s="193"/>
      <c r="AMT517" s="379"/>
      <c r="AMU517" s="379"/>
      <c r="AMV517" s="379"/>
      <c r="AMW517" s="379"/>
      <c r="AMX517" s="379"/>
      <c r="AMY517" s="13"/>
      <c r="AMZ517" s="13"/>
      <c r="ANA517" s="193"/>
      <c r="ANB517" s="379"/>
      <c r="ANC517" s="379"/>
      <c r="AND517" s="379"/>
      <c r="ANE517" s="379"/>
      <c r="ANF517" s="379"/>
      <c r="ANG517" s="13"/>
      <c r="ANH517" s="13"/>
      <c r="ANI517" s="193"/>
      <c r="ANJ517" s="379"/>
      <c r="ANK517" s="379"/>
      <c r="ANL517" s="379"/>
      <c r="ANM517" s="379"/>
      <c r="ANN517" s="379"/>
      <c r="ANO517" s="13"/>
      <c r="ANP517" s="13"/>
      <c r="ANQ517" s="193"/>
      <c r="ANR517" s="379"/>
      <c r="ANS517" s="379"/>
      <c r="ANT517" s="379"/>
      <c r="ANU517" s="379"/>
      <c r="ANV517" s="379"/>
      <c r="ANW517" s="13"/>
      <c r="ANX517" s="13"/>
      <c r="ANY517" s="193"/>
      <c r="ANZ517" s="379"/>
      <c r="AOA517" s="379"/>
      <c r="AOB517" s="379"/>
      <c r="AOC517" s="379"/>
      <c r="AOD517" s="379"/>
      <c r="AOE517" s="13"/>
      <c r="AOF517" s="13"/>
      <c r="AOG517" s="193"/>
      <c r="AOH517" s="379"/>
      <c r="AOI517" s="379"/>
      <c r="AOJ517" s="379"/>
      <c r="AOK517" s="379"/>
      <c r="AOL517" s="379"/>
      <c r="AOM517" s="13"/>
      <c r="AON517" s="13"/>
      <c r="AOO517" s="193"/>
      <c r="AOP517" s="379"/>
      <c r="AOQ517" s="379"/>
      <c r="AOR517" s="379"/>
      <c r="AOS517" s="379"/>
      <c r="AOT517" s="379"/>
      <c r="AOU517" s="13"/>
      <c r="AOV517" s="13"/>
      <c r="AOW517" s="193"/>
      <c r="AOX517" s="379"/>
      <c r="AOY517" s="379"/>
      <c r="AOZ517" s="379"/>
      <c r="APA517" s="379"/>
      <c r="APB517" s="379"/>
      <c r="APC517" s="13"/>
      <c r="APD517" s="13"/>
      <c r="APE517" s="193"/>
      <c r="APF517" s="379"/>
      <c r="APG517" s="379"/>
      <c r="APH517" s="379"/>
      <c r="API517" s="379"/>
      <c r="APJ517" s="379"/>
      <c r="APK517" s="13"/>
      <c r="APL517" s="13"/>
      <c r="APM517" s="193"/>
      <c r="APN517" s="379"/>
      <c r="APO517" s="379"/>
      <c r="APP517" s="379"/>
      <c r="APQ517" s="379"/>
      <c r="APR517" s="379"/>
      <c r="APS517" s="13"/>
      <c r="APT517" s="13"/>
      <c r="APU517" s="193"/>
      <c r="APV517" s="379"/>
      <c r="APW517" s="379"/>
      <c r="APX517" s="379"/>
      <c r="APY517" s="379"/>
      <c r="APZ517" s="379"/>
      <c r="AQA517" s="13"/>
      <c r="AQB517" s="13"/>
      <c r="AQC517" s="193"/>
      <c r="AQD517" s="379"/>
      <c r="AQE517" s="379"/>
      <c r="AQF517" s="379"/>
      <c r="AQG517" s="379"/>
      <c r="AQH517" s="379"/>
      <c r="AQI517" s="13"/>
      <c r="AQJ517" s="13"/>
      <c r="AQK517" s="193"/>
      <c r="AQL517" s="379"/>
      <c r="AQM517" s="379"/>
      <c r="AQN517" s="379"/>
      <c r="AQO517" s="379"/>
      <c r="AQP517" s="379"/>
      <c r="AQQ517" s="13"/>
      <c r="AQR517" s="13"/>
      <c r="AQS517" s="193"/>
      <c r="AQT517" s="379"/>
      <c r="AQU517" s="379"/>
      <c r="AQV517" s="379"/>
      <c r="AQW517" s="379"/>
      <c r="AQX517" s="379"/>
      <c r="AQY517" s="13"/>
      <c r="AQZ517" s="13"/>
      <c r="ARA517" s="193"/>
      <c r="ARB517" s="379"/>
      <c r="ARC517" s="379"/>
      <c r="ARD517" s="379"/>
      <c r="ARE517" s="379"/>
      <c r="ARF517" s="379"/>
      <c r="ARG517" s="13"/>
      <c r="ARH517" s="13"/>
      <c r="ARI517" s="193"/>
      <c r="ARJ517" s="379"/>
      <c r="ARK517" s="379"/>
      <c r="ARL517" s="379"/>
      <c r="ARM517" s="379"/>
      <c r="ARN517" s="379"/>
      <c r="ARO517" s="13"/>
      <c r="ARP517" s="13"/>
      <c r="ARQ517" s="193"/>
      <c r="ARR517" s="379"/>
      <c r="ARS517" s="379"/>
      <c r="ART517" s="379"/>
      <c r="ARU517" s="379"/>
      <c r="ARV517" s="379"/>
      <c r="ARW517" s="13"/>
      <c r="ARX517" s="13"/>
      <c r="ARY517" s="193"/>
      <c r="ARZ517" s="379"/>
      <c r="ASA517" s="379"/>
      <c r="ASB517" s="379"/>
      <c r="ASC517" s="379"/>
      <c r="ASD517" s="379"/>
      <c r="ASE517" s="13"/>
      <c r="ASF517" s="13"/>
      <c r="ASG517" s="193"/>
      <c r="ASH517" s="379"/>
      <c r="ASI517" s="379"/>
      <c r="ASJ517" s="379"/>
      <c r="ASK517" s="379"/>
      <c r="ASL517" s="379"/>
      <c r="ASM517" s="13"/>
      <c r="ASN517" s="13"/>
      <c r="ASO517" s="193"/>
      <c r="ASP517" s="379"/>
      <c r="ASQ517" s="379"/>
      <c r="ASR517" s="379"/>
      <c r="ASS517" s="379"/>
      <c r="AST517" s="379"/>
      <c r="ASU517" s="13"/>
      <c r="ASV517" s="13"/>
      <c r="ASW517" s="193"/>
      <c r="ASX517" s="379"/>
      <c r="ASY517" s="379"/>
      <c r="ASZ517" s="379"/>
      <c r="ATA517" s="379"/>
      <c r="ATB517" s="379"/>
      <c r="ATC517" s="13"/>
      <c r="ATD517" s="13"/>
      <c r="ATE517" s="193"/>
      <c r="ATF517" s="379"/>
      <c r="ATG517" s="379"/>
      <c r="ATH517" s="379"/>
      <c r="ATI517" s="379"/>
      <c r="ATJ517" s="379"/>
      <c r="ATK517" s="13"/>
      <c r="ATL517" s="13"/>
      <c r="ATM517" s="193"/>
      <c r="ATN517" s="379"/>
      <c r="ATO517" s="379"/>
      <c r="ATP517" s="379"/>
      <c r="ATQ517" s="379"/>
      <c r="ATR517" s="379"/>
      <c r="ATS517" s="13"/>
      <c r="ATT517" s="13"/>
      <c r="ATU517" s="193"/>
      <c r="ATV517" s="379"/>
      <c r="ATW517" s="379"/>
      <c r="ATX517" s="379"/>
      <c r="ATY517" s="379"/>
      <c r="ATZ517" s="379"/>
      <c r="AUA517" s="13"/>
      <c r="AUB517" s="13"/>
      <c r="AUC517" s="193"/>
      <c r="AUD517" s="379"/>
      <c r="AUE517" s="379"/>
      <c r="AUF517" s="379"/>
      <c r="AUG517" s="379"/>
      <c r="AUH517" s="379"/>
      <c r="AUI517" s="13"/>
      <c r="AUJ517" s="13"/>
      <c r="AUK517" s="193"/>
      <c r="AUL517" s="379"/>
      <c r="AUM517" s="379"/>
      <c r="AUN517" s="379"/>
      <c r="AUO517" s="379"/>
      <c r="AUP517" s="379"/>
      <c r="AUQ517" s="13"/>
      <c r="AUR517" s="13"/>
      <c r="AUS517" s="193"/>
      <c r="AUT517" s="379"/>
      <c r="AUU517" s="379"/>
      <c r="AUV517" s="379"/>
      <c r="AUW517" s="379"/>
      <c r="AUX517" s="379"/>
      <c r="AUY517" s="13"/>
      <c r="AUZ517" s="13"/>
      <c r="AVA517" s="193"/>
      <c r="AVB517" s="379"/>
      <c r="AVC517" s="379"/>
      <c r="AVD517" s="379"/>
      <c r="AVE517" s="379"/>
      <c r="AVF517" s="379"/>
      <c r="AVG517" s="13"/>
      <c r="AVH517" s="13"/>
      <c r="AVI517" s="193"/>
      <c r="AVJ517" s="379"/>
      <c r="AVK517" s="379"/>
      <c r="AVL517" s="379"/>
      <c r="AVM517" s="379"/>
      <c r="AVN517" s="379"/>
      <c r="AVO517" s="13"/>
      <c r="AVP517" s="13"/>
      <c r="AVQ517" s="193"/>
      <c r="AVR517" s="379"/>
      <c r="AVS517" s="379"/>
      <c r="AVT517" s="379"/>
      <c r="AVU517" s="379"/>
      <c r="AVV517" s="379"/>
      <c r="AVW517" s="13"/>
      <c r="AVX517" s="13"/>
      <c r="AVY517" s="193"/>
      <c r="AVZ517" s="379"/>
      <c r="AWA517" s="379"/>
      <c r="AWB517" s="379"/>
      <c r="AWC517" s="379"/>
      <c r="AWD517" s="379"/>
      <c r="AWE517" s="13"/>
      <c r="AWF517" s="13"/>
      <c r="AWG517" s="193"/>
      <c r="AWH517" s="379"/>
      <c r="AWI517" s="379"/>
      <c r="AWJ517" s="379"/>
      <c r="AWK517" s="379"/>
      <c r="AWL517" s="379"/>
      <c r="AWM517" s="13"/>
      <c r="AWN517" s="13"/>
      <c r="AWO517" s="193"/>
      <c r="AWP517" s="379"/>
      <c r="AWQ517" s="379"/>
      <c r="AWR517" s="379"/>
      <c r="AWS517" s="379"/>
      <c r="AWT517" s="379"/>
      <c r="AWU517" s="13"/>
      <c r="AWV517" s="13"/>
      <c r="AWW517" s="193"/>
      <c r="AWX517" s="379"/>
      <c r="AWY517" s="379"/>
      <c r="AWZ517" s="379"/>
      <c r="AXA517" s="379"/>
      <c r="AXB517" s="379"/>
      <c r="AXC517" s="13"/>
      <c r="AXD517" s="13"/>
      <c r="AXE517" s="193"/>
      <c r="AXF517" s="379"/>
      <c r="AXG517" s="379"/>
      <c r="AXH517" s="379"/>
      <c r="AXI517" s="379"/>
      <c r="AXJ517" s="379"/>
      <c r="AXK517" s="13"/>
      <c r="AXL517" s="13"/>
      <c r="AXM517" s="193"/>
      <c r="AXN517" s="379"/>
      <c r="AXO517" s="379"/>
      <c r="AXP517" s="379"/>
      <c r="AXQ517" s="379"/>
      <c r="AXR517" s="379"/>
      <c r="AXS517" s="13"/>
      <c r="AXT517" s="13"/>
      <c r="AXU517" s="193"/>
      <c r="AXV517" s="379"/>
      <c r="AXW517" s="379"/>
      <c r="AXX517" s="379"/>
      <c r="AXY517" s="379"/>
      <c r="AXZ517" s="379"/>
      <c r="AYA517" s="13"/>
      <c r="AYB517" s="13"/>
      <c r="AYC517" s="193"/>
      <c r="AYD517" s="379"/>
      <c r="AYE517" s="379"/>
      <c r="AYF517" s="379"/>
      <c r="AYG517" s="379"/>
      <c r="AYH517" s="379"/>
      <c r="AYI517" s="13"/>
      <c r="AYJ517" s="13"/>
      <c r="AYK517" s="193"/>
      <c r="AYL517" s="379"/>
      <c r="AYM517" s="379"/>
      <c r="AYN517" s="379"/>
      <c r="AYO517" s="379"/>
      <c r="AYP517" s="379"/>
      <c r="AYQ517" s="13"/>
      <c r="AYR517" s="13"/>
      <c r="AYS517" s="193"/>
      <c r="AYT517" s="379"/>
      <c r="AYU517" s="379"/>
      <c r="AYV517" s="379"/>
      <c r="AYW517" s="379"/>
      <c r="AYX517" s="379"/>
      <c r="AYY517" s="13"/>
      <c r="AYZ517" s="13"/>
      <c r="AZA517" s="193"/>
      <c r="AZB517" s="379"/>
      <c r="AZC517" s="379"/>
      <c r="AZD517" s="379"/>
      <c r="AZE517" s="379"/>
      <c r="AZF517" s="379"/>
      <c r="AZG517" s="13"/>
      <c r="AZH517" s="13"/>
      <c r="AZI517" s="193"/>
      <c r="AZJ517" s="379"/>
      <c r="AZK517" s="379"/>
      <c r="AZL517" s="379"/>
      <c r="AZM517" s="379"/>
      <c r="AZN517" s="379"/>
      <c r="AZO517" s="13"/>
      <c r="AZP517" s="13"/>
      <c r="AZQ517" s="193"/>
      <c r="AZR517" s="379"/>
      <c r="AZS517" s="379"/>
      <c r="AZT517" s="379"/>
      <c r="AZU517" s="379"/>
      <c r="AZV517" s="379"/>
      <c r="AZW517" s="13"/>
      <c r="AZX517" s="13"/>
      <c r="AZY517" s="193"/>
      <c r="AZZ517" s="379"/>
      <c r="BAA517" s="379"/>
      <c r="BAB517" s="379"/>
      <c r="BAC517" s="379"/>
      <c r="BAD517" s="379"/>
      <c r="BAE517" s="13"/>
      <c r="BAF517" s="13"/>
      <c r="BAG517" s="193"/>
      <c r="BAH517" s="379"/>
      <c r="BAI517" s="379"/>
      <c r="BAJ517" s="379"/>
      <c r="BAK517" s="379"/>
      <c r="BAL517" s="379"/>
      <c r="BAM517" s="13"/>
      <c r="BAN517" s="13"/>
      <c r="BAO517" s="193"/>
      <c r="BAP517" s="379"/>
      <c r="BAQ517" s="379"/>
      <c r="BAR517" s="379"/>
      <c r="BAS517" s="379"/>
      <c r="BAT517" s="379"/>
      <c r="BAU517" s="13"/>
      <c r="BAV517" s="13"/>
      <c r="BAW517" s="193"/>
      <c r="BAX517" s="379"/>
      <c r="BAY517" s="379"/>
      <c r="BAZ517" s="379"/>
      <c r="BBA517" s="379"/>
      <c r="BBB517" s="379"/>
      <c r="BBC517" s="13"/>
      <c r="BBD517" s="13"/>
      <c r="BBE517" s="193"/>
      <c r="BBF517" s="379"/>
      <c r="BBG517" s="379"/>
      <c r="BBH517" s="379"/>
      <c r="BBI517" s="379"/>
      <c r="BBJ517" s="379"/>
      <c r="BBK517" s="13"/>
      <c r="BBL517" s="13"/>
      <c r="BBM517" s="193"/>
      <c r="BBN517" s="379"/>
      <c r="BBO517" s="379"/>
      <c r="BBP517" s="379"/>
      <c r="BBQ517" s="379"/>
      <c r="BBR517" s="379"/>
      <c r="BBS517" s="13"/>
      <c r="BBT517" s="13"/>
      <c r="BBU517" s="193"/>
      <c r="BBV517" s="379"/>
      <c r="BBW517" s="379"/>
      <c r="BBX517" s="379"/>
      <c r="BBY517" s="379"/>
      <c r="BBZ517" s="379"/>
      <c r="BCA517" s="13"/>
      <c r="BCB517" s="13"/>
      <c r="BCC517" s="193"/>
      <c r="BCD517" s="379"/>
      <c r="BCE517" s="379"/>
      <c r="BCF517" s="379"/>
      <c r="BCG517" s="379"/>
      <c r="BCH517" s="379"/>
      <c r="BCI517" s="13"/>
      <c r="BCJ517" s="13"/>
      <c r="BCK517" s="193"/>
      <c r="BCL517" s="379"/>
      <c r="BCM517" s="379"/>
      <c r="BCN517" s="379"/>
      <c r="BCO517" s="379"/>
      <c r="BCP517" s="379"/>
      <c r="BCQ517" s="13"/>
      <c r="BCR517" s="13"/>
      <c r="BCS517" s="193"/>
      <c r="BCT517" s="379"/>
      <c r="BCU517" s="379"/>
      <c r="BCV517" s="379"/>
      <c r="BCW517" s="379"/>
      <c r="BCX517" s="379"/>
      <c r="BCY517" s="13"/>
      <c r="BCZ517" s="13"/>
      <c r="BDA517" s="193"/>
      <c r="BDB517" s="379"/>
      <c r="BDC517" s="379"/>
      <c r="BDD517" s="379"/>
      <c r="BDE517" s="379"/>
      <c r="BDF517" s="379"/>
      <c r="BDG517" s="13"/>
      <c r="BDH517" s="13"/>
      <c r="BDI517" s="193"/>
      <c r="BDJ517" s="379"/>
      <c r="BDK517" s="379"/>
      <c r="BDL517" s="379"/>
      <c r="BDM517" s="379"/>
      <c r="BDN517" s="379"/>
      <c r="BDO517" s="13"/>
      <c r="BDP517" s="13"/>
      <c r="BDQ517" s="193"/>
      <c r="BDR517" s="379"/>
      <c r="BDS517" s="379"/>
      <c r="BDT517" s="379"/>
      <c r="BDU517" s="379"/>
      <c r="BDV517" s="379"/>
      <c r="BDW517" s="13"/>
      <c r="BDX517" s="13"/>
      <c r="BDY517" s="193"/>
      <c r="BDZ517" s="379"/>
      <c r="BEA517" s="379"/>
      <c r="BEB517" s="379"/>
      <c r="BEC517" s="379"/>
      <c r="BED517" s="379"/>
      <c r="BEE517" s="13"/>
      <c r="BEF517" s="13"/>
      <c r="BEG517" s="193"/>
      <c r="BEH517" s="379"/>
      <c r="BEI517" s="379"/>
      <c r="BEJ517" s="379"/>
      <c r="BEK517" s="379"/>
      <c r="BEL517" s="379"/>
      <c r="BEM517" s="13"/>
      <c r="BEN517" s="13"/>
      <c r="BEO517" s="193"/>
      <c r="BEP517" s="379"/>
      <c r="BEQ517" s="379"/>
      <c r="BER517" s="379"/>
      <c r="BES517" s="379"/>
      <c r="BET517" s="379"/>
      <c r="BEU517" s="13"/>
      <c r="BEV517" s="13"/>
      <c r="BEW517" s="193"/>
      <c r="BEX517" s="379"/>
      <c r="BEY517" s="379"/>
      <c r="BEZ517" s="379"/>
      <c r="BFA517" s="379"/>
      <c r="BFB517" s="379"/>
      <c r="BFC517" s="13"/>
      <c r="BFD517" s="13"/>
      <c r="BFE517" s="193"/>
      <c r="BFF517" s="379"/>
      <c r="BFG517" s="379"/>
      <c r="BFH517" s="379"/>
      <c r="BFI517" s="379"/>
      <c r="BFJ517" s="379"/>
      <c r="BFK517" s="13"/>
      <c r="BFL517" s="13"/>
      <c r="BFM517" s="193"/>
      <c r="BFN517" s="379"/>
      <c r="BFO517" s="379"/>
      <c r="BFP517" s="379"/>
      <c r="BFQ517" s="379"/>
      <c r="BFR517" s="379"/>
      <c r="BFS517" s="13"/>
      <c r="BFT517" s="13"/>
      <c r="BFU517" s="193"/>
      <c r="BFV517" s="379"/>
      <c r="BFW517" s="379"/>
      <c r="BFX517" s="379"/>
      <c r="BFY517" s="379"/>
      <c r="BFZ517" s="379"/>
      <c r="BGA517" s="13"/>
      <c r="BGB517" s="13"/>
      <c r="BGC517" s="193"/>
      <c r="BGD517" s="379"/>
      <c r="BGE517" s="379"/>
      <c r="BGF517" s="379"/>
      <c r="BGG517" s="379"/>
      <c r="BGH517" s="379"/>
      <c r="BGI517" s="13"/>
      <c r="BGJ517" s="13"/>
      <c r="BGK517" s="193"/>
      <c r="BGL517" s="379"/>
      <c r="BGM517" s="379"/>
      <c r="BGN517" s="379"/>
      <c r="BGO517" s="379"/>
      <c r="BGP517" s="379"/>
      <c r="BGQ517" s="13"/>
      <c r="BGR517" s="13"/>
      <c r="BGS517" s="193"/>
      <c r="BGT517" s="379"/>
      <c r="BGU517" s="379"/>
      <c r="BGV517" s="379"/>
      <c r="BGW517" s="379"/>
      <c r="BGX517" s="379"/>
      <c r="BGY517" s="13"/>
      <c r="BGZ517" s="13"/>
      <c r="BHA517" s="193"/>
      <c r="BHB517" s="379"/>
      <c r="BHC517" s="379"/>
      <c r="BHD517" s="379"/>
      <c r="BHE517" s="379"/>
      <c r="BHF517" s="379"/>
      <c r="BHG517" s="13"/>
      <c r="BHH517" s="13"/>
      <c r="BHI517" s="193"/>
      <c r="BHJ517" s="379"/>
      <c r="BHK517" s="379"/>
      <c r="BHL517" s="379"/>
      <c r="BHM517" s="379"/>
      <c r="BHN517" s="379"/>
      <c r="BHO517" s="13"/>
      <c r="BHP517" s="13"/>
      <c r="BHQ517" s="193"/>
      <c r="BHR517" s="379"/>
      <c r="BHS517" s="379"/>
      <c r="BHT517" s="379"/>
      <c r="BHU517" s="379"/>
      <c r="BHV517" s="379"/>
      <c r="BHW517" s="13"/>
      <c r="BHX517" s="13"/>
      <c r="BHY517" s="193"/>
      <c r="BHZ517" s="379"/>
      <c r="BIA517" s="379"/>
      <c r="BIB517" s="379"/>
      <c r="BIC517" s="379"/>
      <c r="BID517" s="379"/>
      <c r="BIE517" s="13"/>
      <c r="BIF517" s="13"/>
      <c r="BIG517" s="193"/>
      <c r="BIH517" s="379"/>
      <c r="BII517" s="379"/>
      <c r="BIJ517" s="379"/>
      <c r="BIK517" s="379"/>
      <c r="BIL517" s="379"/>
      <c r="BIM517" s="13"/>
      <c r="BIN517" s="13"/>
      <c r="BIO517" s="193"/>
      <c r="BIP517" s="379"/>
      <c r="BIQ517" s="379"/>
      <c r="BIR517" s="379"/>
      <c r="BIS517" s="379"/>
      <c r="BIT517" s="379"/>
      <c r="BIU517" s="13"/>
      <c r="BIV517" s="13"/>
      <c r="BIW517" s="193"/>
      <c r="BIX517" s="379"/>
      <c r="BIY517" s="379"/>
      <c r="BIZ517" s="379"/>
      <c r="BJA517" s="379"/>
      <c r="BJB517" s="379"/>
      <c r="BJC517" s="13"/>
      <c r="BJD517" s="13"/>
      <c r="BJE517" s="193"/>
      <c r="BJF517" s="379"/>
      <c r="BJG517" s="379"/>
      <c r="BJH517" s="379"/>
      <c r="BJI517" s="379"/>
      <c r="BJJ517" s="379"/>
      <c r="BJK517" s="13"/>
      <c r="BJL517" s="13"/>
      <c r="BJM517" s="193"/>
      <c r="BJN517" s="379"/>
      <c r="BJO517" s="379"/>
      <c r="BJP517" s="379"/>
      <c r="BJQ517" s="379"/>
      <c r="BJR517" s="379"/>
      <c r="BJS517" s="13"/>
      <c r="BJT517" s="13"/>
      <c r="BJU517" s="193"/>
      <c r="BJV517" s="379"/>
      <c r="BJW517" s="379"/>
      <c r="BJX517" s="379"/>
      <c r="BJY517" s="379"/>
      <c r="BJZ517" s="379"/>
      <c r="BKA517" s="13"/>
      <c r="BKB517" s="13"/>
      <c r="BKC517" s="193"/>
      <c r="BKD517" s="379"/>
      <c r="BKE517" s="379"/>
      <c r="BKF517" s="379"/>
      <c r="BKG517" s="379"/>
      <c r="BKH517" s="379"/>
      <c r="BKI517" s="13"/>
      <c r="BKJ517" s="13"/>
      <c r="BKK517" s="193"/>
      <c r="BKL517" s="379"/>
      <c r="BKM517" s="379"/>
      <c r="BKN517" s="379"/>
      <c r="BKO517" s="379"/>
      <c r="BKP517" s="379"/>
      <c r="BKQ517" s="13"/>
      <c r="BKR517" s="13"/>
      <c r="BKS517" s="193"/>
      <c r="BKT517" s="379"/>
      <c r="BKU517" s="379"/>
      <c r="BKV517" s="379"/>
      <c r="BKW517" s="379"/>
      <c r="BKX517" s="379"/>
      <c r="BKY517" s="13"/>
      <c r="BKZ517" s="13"/>
      <c r="BLA517" s="193"/>
      <c r="BLB517" s="379"/>
      <c r="BLC517" s="379"/>
      <c r="BLD517" s="379"/>
      <c r="BLE517" s="379"/>
      <c r="BLF517" s="379"/>
      <c r="BLG517" s="13"/>
      <c r="BLH517" s="13"/>
      <c r="BLI517" s="193"/>
      <c r="BLJ517" s="379"/>
      <c r="BLK517" s="379"/>
      <c r="BLL517" s="379"/>
      <c r="BLM517" s="379"/>
      <c r="BLN517" s="379"/>
      <c r="BLO517" s="13"/>
      <c r="BLP517" s="13"/>
      <c r="BLQ517" s="193"/>
      <c r="BLR517" s="379"/>
      <c r="BLS517" s="379"/>
      <c r="BLT517" s="379"/>
      <c r="BLU517" s="379"/>
      <c r="BLV517" s="379"/>
      <c r="BLW517" s="13"/>
      <c r="BLX517" s="13"/>
      <c r="BLY517" s="193"/>
      <c r="BLZ517" s="379"/>
      <c r="BMA517" s="379"/>
      <c r="BMB517" s="379"/>
      <c r="BMC517" s="379"/>
      <c r="BMD517" s="379"/>
      <c r="BME517" s="13"/>
      <c r="BMF517" s="13"/>
      <c r="BMG517" s="193"/>
      <c r="BMH517" s="379"/>
      <c r="BMI517" s="379"/>
      <c r="BMJ517" s="379"/>
      <c r="BMK517" s="379"/>
      <c r="BML517" s="379"/>
      <c r="BMM517" s="13"/>
      <c r="BMN517" s="13"/>
      <c r="BMO517" s="193"/>
      <c r="BMP517" s="379"/>
      <c r="BMQ517" s="379"/>
      <c r="BMR517" s="379"/>
      <c r="BMS517" s="379"/>
      <c r="BMT517" s="379"/>
      <c r="BMU517" s="13"/>
      <c r="BMV517" s="13"/>
      <c r="BMW517" s="193"/>
      <c r="BMX517" s="379"/>
      <c r="BMY517" s="379"/>
      <c r="BMZ517" s="379"/>
      <c r="BNA517" s="379"/>
      <c r="BNB517" s="379"/>
      <c r="BNC517" s="13"/>
      <c r="BND517" s="13"/>
      <c r="BNE517" s="193"/>
      <c r="BNF517" s="379"/>
      <c r="BNG517" s="379"/>
      <c r="BNH517" s="379"/>
      <c r="BNI517" s="379"/>
      <c r="BNJ517" s="379"/>
      <c r="BNK517" s="13"/>
      <c r="BNL517" s="13"/>
      <c r="BNM517" s="193"/>
      <c r="BNN517" s="379"/>
      <c r="BNO517" s="379"/>
      <c r="BNP517" s="379"/>
      <c r="BNQ517" s="379"/>
      <c r="BNR517" s="379"/>
      <c r="BNS517" s="13"/>
      <c r="BNT517" s="13"/>
      <c r="BNU517" s="193"/>
      <c r="BNV517" s="379"/>
      <c r="BNW517" s="379"/>
      <c r="BNX517" s="379"/>
      <c r="BNY517" s="379"/>
      <c r="BNZ517" s="379"/>
      <c r="BOA517" s="13"/>
      <c r="BOB517" s="13"/>
      <c r="BOC517" s="193"/>
      <c r="BOD517" s="379"/>
      <c r="BOE517" s="379"/>
      <c r="BOF517" s="379"/>
      <c r="BOG517" s="379"/>
      <c r="BOH517" s="379"/>
      <c r="BOI517" s="13"/>
      <c r="BOJ517" s="13"/>
      <c r="BOK517" s="193"/>
      <c r="BOL517" s="379"/>
      <c r="BOM517" s="379"/>
      <c r="BON517" s="379"/>
      <c r="BOO517" s="379"/>
      <c r="BOP517" s="379"/>
      <c r="BOQ517" s="13"/>
      <c r="BOR517" s="13"/>
      <c r="BOS517" s="193"/>
      <c r="BOT517" s="379"/>
      <c r="BOU517" s="379"/>
      <c r="BOV517" s="379"/>
      <c r="BOW517" s="379"/>
      <c r="BOX517" s="379"/>
      <c r="BOY517" s="13"/>
      <c r="BOZ517" s="13"/>
      <c r="BPA517" s="193"/>
      <c r="BPB517" s="379"/>
      <c r="BPC517" s="379"/>
      <c r="BPD517" s="379"/>
      <c r="BPE517" s="379"/>
      <c r="BPF517" s="379"/>
      <c r="BPG517" s="13"/>
      <c r="BPH517" s="13"/>
      <c r="BPI517" s="193"/>
      <c r="BPJ517" s="379"/>
      <c r="BPK517" s="379"/>
      <c r="BPL517" s="379"/>
      <c r="BPM517" s="379"/>
      <c r="BPN517" s="379"/>
      <c r="BPO517" s="13"/>
      <c r="BPP517" s="13"/>
      <c r="BPQ517" s="193"/>
      <c r="BPR517" s="379"/>
      <c r="BPS517" s="379"/>
      <c r="BPT517" s="379"/>
      <c r="BPU517" s="379"/>
      <c r="BPV517" s="379"/>
      <c r="BPW517" s="13"/>
      <c r="BPX517" s="13"/>
      <c r="BPY517" s="193"/>
      <c r="BPZ517" s="379"/>
      <c r="BQA517" s="379"/>
      <c r="BQB517" s="379"/>
      <c r="BQC517" s="379"/>
      <c r="BQD517" s="379"/>
      <c r="BQE517" s="13"/>
      <c r="BQF517" s="13"/>
      <c r="BQG517" s="193"/>
      <c r="BQH517" s="379"/>
      <c r="BQI517" s="379"/>
      <c r="BQJ517" s="379"/>
      <c r="BQK517" s="379"/>
      <c r="BQL517" s="379"/>
      <c r="BQM517" s="13"/>
      <c r="BQN517" s="13"/>
      <c r="BQO517" s="193"/>
      <c r="BQP517" s="379"/>
      <c r="BQQ517" s="379"/>
      <c r="BQR517" s="379"/>
      <c r="BQS517" s="379"/>
      <c r="BQT517" s="379"/>
      <c r="BQU517" s="13"/>
      <c r="BQV517" s="13"/>
      <c r="BQW517" s="193"/>
      <c r="BQX517" s="379"/>
      <c r="BQY517" s="379"/>
      <c r="BQZ517" s="379"/>
      <c r="BRA517" s="379"/>
      <c r="BRB517" s="379"/>
      <c r="BRC517" s="13"/>
      <c r="BRD517" s="13"/>
      <c r="BRE517" s="193"/>
      <c r="BRF517" s="379"/>
      <c r="BRG517" s="379"/>
      <c r="BRH517" s="379"/>
      <c r="BRI517" s="379"/>
      <c r="BRJ517" s="379"/>
      <c r="BRK517" s="13"/>
      <c r="BRL517" s="13"/>
      <c r="BRM517" s="193"/>
      <c r="BRN517" s="379"/>
      <c r="BRO517" s="379"/>
      <c r="BRP517" s="379"/>
      <c r="BRQ517" s="379"/>
      <c r="BRR517" s="379"/>
      <c r="BRS517" s="13"/>
      <c r="BRT517" s="13"/>
      <c r="BRU517" s="193"/>
      <c r="BRV517" s="379"/>
      <c r="BRW517" s="379"/>
      <c r="BRX517" s="379"/>
      <c r="BRY517" s="379"/>
      <c r="BRZ517" s="379"/>
      <c r="BSA517" s="13"/>
      <c r="BSB517" s="13"/>
      <c r="BSC517" s="193"/>
      <c r="BSD517" s="379"/>
      <c r="BSE517" s="379"/>
      <c r="BSF517" s="379"/>
      <c r="BSG517" s="379"/>
      <c r="BSH517" s="379"/>
      <c r="BSI517" s="13"/>
      <c r="BSJ517" s="13"/>
      <c r="BSK517" s="193"/>
      <c r="BSL517" s="379"/>
      <c r="BSM517" s="379"/>
      <c r="BSN517" s="379"/>
      <c r="BSO517" s="379"/>
      <c r="BSP517" s="379"/>
      <c r="BSQ517" s="13"/>
      <c r="BSR517" s="13"/>
      <c r="BSS517" s="193"/>
      <c r="BST517" s="379"/>
      <c r="BSU517" s="379"/>
      <c r="BSV517" s="379"/>
      <c r="BSW517" s="379"/>
      <c r="BSX517" s="379"/>
      <c r="BSY517" s="13"/>
      <c r="BSZ517" s="13"/>
      <c r="BTA517" s="193"/>
      <c r="BTB517" s="379"/>
      <c r="BTC517" s="379"/>
      <c r="BTD517" s="379"/>
      <c r="BTE517" s="379"/>
      <c r="BTF517" s="379"/>
      <c r="BTG517" s="13"/>
      <c r="BTH517" s="13"/>
      <c r="BTI517" s="193"/>
      <c r="BTJ517" s="379"/>
      <c r="BTK517" s="379"/>
      <c r="BTL517" s="379"/>
      <c r="BTM517" s="379"/>
      <c r="BTN517" s="379"/>
      <c r="BTO517" s="13"/>
      <c r="BTP517" s="13"/>
      <c r="BTQ517" s="193"/>
      <c r="BTR517" s="379"/>
      <c r="BTS517" s="379"/>
      <c r="BTT517" s="379"/>
      <c r="BTU517" s="379"/>
      <c r="BTV517" s="379"/>
      <c r="BTW517" s="13"/>
      <c r="BTX517" s="13"/>
      <c r="BTY517" s="193"/>
      <c r="BTZ517" s="379"/>
      <c r="BUA517" s="379"/>
      <c r="BUB517" s="379"/>
      <c r="BUC517" s="379"/>
      <c r="BUD517" s="379"/>
      <c r="BUE517" s="13"/>
      <c r="BUF517" s="13"/>
      <c r="BUG517" s="193"/>
      <c r="BUH517" s="379"/>
      <c r="BUI517" s="379"/>
      <c r="BUJ517" s="379"/>
      <c r="BUK517" s="379"/>
      <c r="BUL517" s="379"/>
      <c r="BUM517" s="13"/>
      <c r="BUN517" s="13"/>
      <c r="BUO517" s="193"/>
      <c r="BUP517" s="379"/>
      <c r="BUQ517" s="379"/>
      <c r="BUR517" s="379"/>
      <c r="BUS517" s="379"/>
      <c r="BUT517" s="379"/>
      <c r="BUU517" s="13"/>
      <c r="BUV517" s="13"/>
      <c r="BUW517" s="193"/>
      <c r="BUX517" s="379"/>
      <c r="BUY517" s="379"/>
      <c r="BUZ517" s="379"/>
      <c r="BVA517" s="379"/>
      <c r="BVB517" s="379"/>
      <c r="BVC517" s="13"/>
      <c r="BVD517" s="13"/>
      <c r="BVE517" s="193"/>
      <c r="BVF517" s="379"/>
      <c r="BVG517" s="379"/>
      <c r="BVH517" s="379"/>
      <c r="BVI517" s="379"/>
      <c r="BVJ517" s="379"/>
      <c r="BVK517" s="13"/>
      <c r="BVL517" s="13"/>
      <c r="BVM517" s="193"/>
      <c r="BVN517" s="379"/>
      <c r="BVO517" s="379"/>
      <c r="BVP517" s="379"/>
      <c r="BVQ517" s="379"/>
      <c r="BVR517" s="379"/>
      <c r="BVS517" s="13"/>
      <c r="BVT517" s="13"/>
      <c r="BVU517" s="193"/>
      <c r="BVV517" s="379"/>
      <c r="BVW517" s="379"/>
      <c r="BVX517" s="379"/>
      <c r="BVY517" s="379"/>
      <c r="BVZ517" s="379"/>
      <c r="BWA517" s="13"/>
      <c r="BWB517" s="13"/>
      <c r="BWC517" s="193"/>
      <c r="BWD517" s="379"/>
      <c r="BWE517" s="379"/>
      <c r="BWF517" s="379"/>
      <c r="BWG517" s="379"/>
      <c r="BWH517" s="379"/>
      <c r="BWI517" s="13"/>
      <c r="BWJ517" s="13"/>
      <c r="BWK517" s="193"/>
      <c r="BWL517" s="379"/>
      <c r="BWM517" s="379"/>
      <c r="BWN517" s="379"/>
      <c r="BWO517" s="379"/>
      <c r="BWP517" s="379"/>
      <c r="BWQ517" s="13"/>
      <c r="BWR517" s="13"/>
      <c r="BWS517" s="193"/>
      <c r="BWT517" s="379"/>
      <c r="BWU517" s="379"/>
      <c r="BWV517" s="379"/>
      <c r="BWW517" s="379"/>
      <c r="BWX517" s="379"/>
      <c r="BWY517" s="13"/>
      <c r="BWZ517" s="13"/>
      <c r="BXA517" s="193"/>
      <c r="BXB517" s="379"/>
      <c r="BXC517" s="379"/>
      <c r="BXD517" s="379"/>
      <c r="BXE517" s="379"/>
      <c r="BXF517" s="379"/>
      <c r="BXG517" s="13"/>
      <c r="BXH517" s="13"/>
      <c r="BXI517" s="193"/>
      <c r="BXJ517" s="379"/>
      <c r="BXK517" s="379"/>
      <c r="BXL517" s="379"/>
      <c r="BXM517" s="379"/>
      <c r="BXN517" s="379"/>
      <c r="BXO517" s="13"/>
      <c r="BXP517" s="13"/>
      <c r="BXQ517" s="193"/>
      <c r="BXR517" s="379"/>
      <c r="BXS517" s="379"/>
      <c r="BXT517" s="379"/>
      <c r="BXU517" s="379"/>
      <c r="BXV517" s="379"/>
      <c r="BXW517" s="13"/>
      <c r="BXX517" s="13"/>
      <c r="BXY517" s="193"/>
      <c r="BXZ517" s="379"/>
      <c r="BYA517" s="379"/>
      <c r="BYB517" s="379"/>
      <c r="BYC517" s="379"/>
      <c r="BYD517" s="379"/>
      <c r="BYE517" s="13"/>
      <c r="BYF517" s="13"/>
      <c r="BYG517" s="193"/>
      <c r="BYH517" s="379"/>
      <c r="BYI517" s="379"/>
      <c r="BYJ517" s="379"/>
      <c r="BYK517" s="379"/>
      <c r="BYL517" s="379"/>
      <c r="BYM517" s="13"/>
      <c r="BYN517" s="13"/>
      <c r="BYO517" s="193"/>
      <c r="BYP517" s="379"/>
      <c r="BYQ517" s="379"/>
      <c r="BYR517" s="379"/>
      <c r="BYS517" s="379"/>
      <c r="BYT517" s="379"/>
      <c r="BYU517" s="13"/>
      <c r="BYV517" s="13"/>
      <c r="BYW517" s="193"/>
      <c r="BYX517" s="379"/>
      <c r="BYY517" s="379"/>
      <c r="BYZ517" s="379"/>
      <c r="BZA517" s="379"/>
      <c r="BZB517" s="379"/>
      <c r="BZC517" s="13"/>
      <c r="BZD517" s="13"/>
      <c r="BZE517" s="193"/>
      <c r="BZF517" s="379"/>
      <c r="BZG517" s="379"/>
      <c r="BZH517" s="379"/>
      <c r="BZI517" s="379"/>
      <c r="BZJ517" s="379"/>
      <c r="BZK517" s="13"/>
      <c r="BZL517" s="13"/>
      <c r="BZM517" s="193"/>
      <c r="BZN517" s="379"/>
      <c r="BZO517" s="379"/>
      <c r="BZP517" s="379"/>
      <c r="BZQ517" s="379"/>
      <c r="BZR517" s="379"/>
      <c r="BZS517" s="13"/>
      <c r="BZT517" s="13"/>
      <c r="BZU517" s="193"/>
      <c r="BZV517" s="379"/>
      <c r="BZW517" s="379"/>
      <c r="BZX517" s="379"/>
      <c r="BZY517" s="379"/>
      <c r="BZZ517" s="379"/>
      <c r="CAA517" s="13"/>
      <c r="CAB517" s="13"/>
      <c r="CAC517" s="193"/>
      <c r="CAD517" s="379"/>
      <c r="CAE517" s="379"/>
      <c r="CAF517" s="379"/>
      <c r="CAG517" s="379"/>
      <c r="CAH517" s="379"/>
      <c r="CAI517" s="13"/>
      <c r="CAJ517" s="13"/>
      <c r="CAK517" s="193"/>
      <c r="CAL517" s="379"/>
      <c r="CAM517" s="379"/>
      <c r="CAN517" s="379"/>
      <c r="CAO517" s="379"/>
      <c r="CAP517" s="379"/>
      <c r="CAQ517" s="13"/>
      <c r="CAR517" s="13"/>
      <c r="CAS517" s="193"/>
      <c r="CAT517" s="379"/>
      <c r="CAU517" s="379"/>
      <c r="CAV517" s="379"/>
      <c r="CAW517" s="379"/>
      <c r="CAX517" s="379"/>
      <c r="CAY517" s="13"/>
      <c r="CAZ517" s="13"/>
      <c r="CBA517" s="193"/>
      <c r="CBB517" s="379"/>
      <c r="CBC517" s="379"/>
      <c r="CBD517" s="379"/>
      <c r="CBE517" s="379"/>
      <c r="CBF517" s="379"/>
      <c r="CBG517" s="13"/>
      <c r="CBH517" s="13"/>
      <c r="CBI517" s="193"/>
      <c r="CBJ517" s="379"/>
      <c r="CBK517" s="379"/>
      <c r="CBL517" s="379"/>
      <c r="CBM517" s="379"/>
      <c r="CBN517" s="379"/>
      <c r="CBO517" s="13"/>
      <c r="CBP517" s="13"/>
      <c r="CBQ517" s="193"/>
      <c r="CBR517" s="379"/>
      <c r="CBS517" s="379"/>
      <c r="CBT517" s="379"/>
      <c r="CBU517" s="379"/>
      <c r="CBV517" s="379"/>
      <c r="CBW517" s="13"/>
      <c r="CBX517" s="13"/>
      <c r="CBY517" s="193"/>
      <c r="CBZ517" s="379"/>
      <c r="CCA517" s="379"/>
      <c r="CCB517" s="379"/>
      <c r="CCC517" s="379"/>
      <c r="CCD517" s="379"/>
      <c r="CCE517" s="13"/>
      <c r="CCF517" s="13"/>
      <c r="CCG517" s="193"/>
      <c r="CCH517" s="379"/>
      <c r="CCI517" s="379"/>
      <c r="CCJ517" s="379"/>
      <c r="CCK517" s="379"/>
      <c r="CCL517" s="379"/>
      <c r="CCM517" s="13"/>
      <c r="CCN517" s="13"/>
      <c r="CCO517" s="193"/>
      <c r="CCP517" s="379"/>
      <c r="CCQ517" s="379"/>
      <c r="CCR517" s="379"/>
      <c r="CCS517" s="379"/>
      <c r="CCT517" s="379"/>
      <c r="CCU517" s="13"/>
      <c r="CCV517" s="13"/>
      <c r="CCW517" s="193"/>
      <c r="CCX517" s="379"/>
      <c r="CCY517" s="379"/>
      <c r="CCZ517" s="379"/>
      <c r="CDA517" s="379"/>
      <c r="CDB517" s="379"/>
      <c r="CDC517" s="13"/>
      <c r="CDD517" s="13"/>
      <c r="CDE517" s="193"/>
      <c r="CDF517" s="379"/>
      <c r="CDG517" s="379"/>
      <c r="CDH517" s="379"/>
      <c r="CDI517" s="379"/>
      <c r="CDJ517" s="379"/>
      <c r="CDK517" s="13"/>
      <c r="CDL517" s="13"/>
      <c r="CDM517" s="193"/>
      <c r="CDN517" s="379"/>
      <c r="CDO517" s="379"/>
      <c r="CDP517" s="379"/>
      <c r="CDQ517" s="379"/>
      <c r="CDR517" s="379"/>
      <c r="CDS517" s="13"/>
      <c r="CDT517" s="13"/>
      <c r="CDU517" s="193"/>
      <c r="CDV517" s="379"/>
      <c r="CDW517" s="379"/>
      <c r="CDX517" s="379"/>
      <c r="CDY517" s="379"/>
      <c r="CDZ517" s="379"/>
      <c r="CEA517" s="13"/>
      <c r="CEB517" s="13"/>
      <c r="CEC517" s="193"/>
      <c r="CED517" s="379"/>
      <c r="CEE517" s="379"/>
      <c r="CEF517" s="379"/>
      <c r="CEG517" s="379"/>
      <c r="CEH517" s="379"/>
      <c r="CEI517" s="13"/>
      <c r="CEJ517" s="13"/>
      <c r="CEK517" s="193"/>
      <c r="CEL517" s="379"/>
      <c r="CEM517" s="379"/>
      <c r="CEN517" s="379"/>
      <c r="CEO517" s="379"/>
      <c r="CEP517" s="379"/>
      <c r="CEQ517" s="13"/>
      <c r="CER517" s="13"/>
      <c r="CES517" s="193"/>
      <c r="CET517" s="379"/>
      <c r="CEU517" s="379"/>
      <c r="CEV517" s="379"/>
      <c r="CEW517" s="379"/>
      <c r="CEX517" s="379"/>
      <c r="CEY517" s="13"/>
      <c r="CEZ517" s="13"/>
      <c r="CFA517" s="193"/>
      <c r="CFB517" s="379"/>
      <c r="CFC517" s="379"/>
      <c r="CFD517" s="379"/>
      <c r="CFE517" s="379"/>
      <c r="CFF517" s="379"/>
      <c r="CFG517" s="13"/>
      <c r="CFH517" s="13"/>
      <c r="CFI517" s="193"/>
      <c r="CFJ517" s="379"/>
      <c r="CFK517" s="379"/>
      <c r="CFL517" s="379"/>
      <c r="CFM517" s="379"/>
      <c r="CFN517" s="379"/>
      <c r="CFO517" s="13"/>
      <c r="CFP517" s="13"/>
      <c r="CFQ517" s="193"/>
      <c r="CFR517" s="379"/>
      <c r="CFS517" s="379"/>
      <c r="CFT517" s="379"/>
      <c r="CFU517" s="379"/>
      <c r="CFV517" s="379"/>
      <c r="CFW517" s="13"/>
      <c r="CFX517" s="13"/>
      <c r="CFY517" s="193"/>
      <c r="CFZ517" s="379"/>
      <c r="CGA517" s="379"/>
      <c r="CGB517" s="379"/>
      <c r="CGC517" s="379"/>
      <c r="CGD517" s="379"/>
      <c r="CGE517" s="13"/>
      <c r="CGF517" s="13"/>
      <c r="CGG517" s="193"/>
      <c r="CGH517" s="379"/>
      <c r="CGI517" s="379"/>
      <c r="CGJ517" s="379"/>
      <c r="CGK517" s="379"/>
      <c r="CGL517" s="379"/>
      <c r="CGM517" s="13"/>
      <c r="CGN517" s="13"/>
      <c r="CGO517" s="193"/>
      <c r="CGP517" s="379"/>
      <c r="CGQ517" s="379"/>
      <c r="CGR517" s="379"/>
      <c r="CGS517" s="379"/>
      <c r="CGT517" s="379"/>
      <c r="CGU517" s="13"/>
      <c r="CGV517" s="13"/>
      <c r="CGW517" s="193"/>
      <c r="CGX517" s="379"/>
      <c r="CGY517" s="379"/>
      <c r="CGZ517" s="379"/>
      <c r="CHA517" s="379"/>
      <c r="CHB517" s="379"/>
      <c r="CHC517" s="13"/>
      <c r="CHD517" s="13"/>
      <c r="CHE517" s="193"/>
      <c r="CHF517" s="379"/>
      <c r="CHG517" s="379"/>
      <c r="CHH517" s="379"/>
      <c r="CHI517" s="379"/>
      <c r="CHJ517" s="379"/>
      <c r="CHK517" s="13"/>
      <c r="CHL517" s="13"/>
      <c r="CHM517" s="193"/>
      <c r="CHN517" s="379"/>
      <c r="CHO517" s="379"/>
      <c r="CHP517" s="379"/>
      <c r="CHQ517" s="379"/>
      <c r="CHR517" s="379"/>
      <c r="CHS517" s="13"/>
      <c r="CHT517" s="13"/>
      <c r="CHU517" s="193"/>
      <c r="CHV517" s="379"/>
      <c r="CHW517" s="379"/>
      <c r="CHX517" s="379"/>
      <c r="CHY517" s="379"/>
      <c r="CHZ517" s="379"/>
      <c r="CIA517" s="13"/>
      <c r="CIB517" s="13"/>
      <c r="CIC517" s="193"/>
      <c r="CID517" s="379"/>
      <c r="CIE517" s="379"/>
      <c r="CIF517" s="379"/>
      <c r="CIG517" s="379"/>
      <c r="CIH517" s="379"/>
      <c r="CII517" s="13"/>
      <c r="CIJ517" s="13"/>
      <c r="CIK517" s="193"/>
      <c r="CIL517" s="379"/>
      <c r="CIM517" s="379"/>
      <c r="CIN517" s="379"/>
      <c r="CIO517" s="379"/>
      <c r="CIP517" s="379"/>
      <c r="CIQ517" s="13"/>
      <c r="CIR517" s="13"/>
      <c r="CIS517" s="193"/>
      <c r="CIT517" s="379"/>
      <c r="CIU517" s="379"/>
      <c r="CIV517" s="379"/>
      <c r="CIW517" s="379"/>
      <c r="CIX517" s="379"/>
      <c r="CIY517" s="13"/>
      <c r="CIZ517" s="13"/>
      <c r="CJA517" s="193"/>
      <c r="CJB517" s="379"/>
      <c r="CJC517" s="379"/>
      <c r="CJD517" s="379"/>
      <c r="CJE517" s="379"/>
      <c r="CJF517" s="379"/>
      <c r="CJG517" s="13"/>
      <c r="CJH517" s="13"/>
      <c r="CJI517" s="193"/>
      <c r="CJJ517" s="379"/>
      <c r="CJK517" s="379"/>
      <c r="CJL517" s="379"/>
      <c r="CJM517" s="379"/>
      <c r="CJN517" s="379"/>
      <c r="CJO517" s="13"/>
      <c r="CJP517" s="13"/>
      <c r="CJQ517" s="193"/>
      <c r="CJR517" s="379"/>
      <c r="CJS517" s="379"/>
      <c r="CJT517" s="379"/>
      <c r="CJU517" s="379"/>
      <c r="CJV517" s="379"/>
      <c r="CJW517" s="13"/>
      <c r="CJX517" s="13"/>
      <c r="CJY517" s="193"/>
      <c r="CJZ517" s="379"/>
      <c r="CKA517" s="379"/>
      <c r="CKB517" s="379"/>
      <c r="CKC517" s="379"/>
      <c r="CKD517" s="379"/>
      <c r="CKE517" s="13"/>
      <c r="CKF517" s="13"/>
      <c r="CKG517" s="193"/>
      <c r="CKH517" s="379"/>
      <c r="CKI517" s="379"/>
      <c r="CKJ517" s="379"/>
      <c r="CKK517" s="379"/>
      <c r="CKL517" s="379"/>
      <c r="CKM517" s="13"/>
      <c r="CKN517" s="13"/>
      <c r="CKO517" s="193"/>
      <c r="CKP517" s="379"/>
      <c r="CKQ517" s="379"/>
      <c r="CKR517" s="379"/>
      <c r="CKS517" s="379"/>
      <c r="CKT517" s="379"/>
      <c r="CKU517" s="13"/>
      <c r="CKV517" s="13"/>
      <c r="CKW517" s="193"/>
      <c r="CKX517" s="379"/>
      <c r="CKY517" s="379"/>
      <c r="CKZ517" s="379"/>
      <c r="CLA517" s="379"/>
      <c r="CLB517" s="379"/>
      <c r="CLC517" s="13"/>
      <c r="CLD517" s="13"/>
      <c r="CLE517" s="193"/>
      <c r="CLF517" s="379"/>
      <c r="CLG517" s="379"/>
      <c r="CLH517" s="379"/>
      <c r="CLI517" s="379"/>
      <c r="CLJ517" s="379"/>
      <c r="CLK517" s="13"/>
      <c r="CLL517" s="13"/>
      <c r="CLM517" s="193"/>
      <c r="CLN517" s="379"/>
      <c r="CLO517" s="379"/>
      <c r="CLP517" s="379"/>
      <c r="CLQ517" s="379"/>
      <c r="CLR517" s="379"/>
      <c r="CLS517" s="13"/>
      <c r="CLT517" s="13"/>
      <c r="CLU517" s="193"/>
      <c r="CLV517" s="379"/>
      <c r="CLW517" s="379"/>
      <c r="CLX517" s="379"/>
      <c r="CLY517" s="379"/>
      <c r="CLZ517" s="379"/>
      <c r="CMA517" s="13"/>
      <c r="CMB517" s="13"/>
      <c r="CMC517" s="193"/>
      <c r="CMD517" s="379"/>
      <c r="CME517" s="379"/>
      <c r="CMF517" s="379"/>
      <c r="CMG517" s="379"/>
      <c r="CMH517" s="379"/>
      <c r="CMI517" s="13"/>
      <c r="CMJ517" s="13"/>
      <c r="CMK517" s="193"/>
      <c r="CML517" s="379"/>
      <c r="CMM517" s="379"/>
      <c r="CMN517" s="379"/>
      <c r="CMO517" s="379"/>
      <c r="CMP517" s="379"/>
      <c r="CMQ517" s="13"/>
      <c r="CMR517" s="13"/>
      <c r="CMS517" s="193"/>
      <c r="CMT517" s="379"/>
      <c r="CMU517" s="379"/>
      <c r="CMV517" s="379"/>
      <c r="CMW517" s="379"/>
      <c r="CMX517" s="379"/>
      <c r="CMY517" s="13"/>
      <c r="CMZ517" s="13"/>
      <c r="CNA517" s="193"/>
      <c r="CNB517" s="379"/>
      <c r="CNC517" s="379"/>
      <c r="CND517" s="379"/>
      <c r="CNE517" s="379"/>
      <c r="CNF517" s="379"/>
      <c r="CNG517" s="13"/>
      <c r="CNH517" s="13"/>
      <c r="CNI517" s="193"/>
      <c r="CNJ517" s="379"/>
      <c r="CNK517" s="379"/>
      <c r="CNL517" s="379"/>
      <c r="CNM517" s="379"/>
      <c r="CNN517" s="379"/>
      <c r="CNO517" s="13"/>
      <c r="CNP517" s="13"/>
      <c r="CNQ517" s="193"/>
      <c r="CNR517" s="379"/>
      <c r="CNS517" s="379"/>
      <c r="CNT517" s="379"/>
      <c r="CNU517" s="379"/>
      <c r="CNV517" s="379"/>
      <c r="CNW517" s="13"/>
      <c r="CNX517" s="13"/>
      <c r="CNY517" s="193"/>
      <c r="CNZ517" s="379"/>
      <c r="COA517" s="379"/>
      <c r="COB517" s="379"/>
      <c r="COC517" s="379"/>
      <c r="COD517" s="379"/>
      <c r="COE517" s="13"/>
      <c r="COF517" s="13"/>
      <c r="COG517" s="193"/>
      <c r="COH517" s="379"/>
      <c r="COI517" s="379"/>
      <c r="COJ517" s="379"/>
      <c r="COK517" s="379"/>
      <c r="COL517" s="379"/>
      <c r="COM517" s="13"/>
      <c r="CON517" s="13"/>
      <c r="COO517" s="193"/>
      <c r="COP517" s="379"/>
      <c r="COQ517" s="379"/>
      <c r="COR517" s="379"/>
      <c r="COS517" s="379"/>
      <c r="COT517" s="379"/>
      <c r="COU517" s="13"/>
      <c r="COV517" s="13"/>
      <c r="COW517" s="193"/>
      <c r="COX517" s="379"/>
      <c r="COY517" s="379"/>
      <c r="COZ517" s="379"/>
      <c r="CPA517" s="379"/>
      <c r="CPB517" s="379"/>
      <c r="CPC517" s="13"/>
      <c r="CPD517" s="13"/>
      <c r="CPE517" s="193"/>
      <c r="CPF517" s="379"/>
      <c r="CPG517" s="379"/>
      <c r="CPH517" s="379"/>
      <c r="CPI517" s="379"/>
      <c r="CPJ517" s="379"/>
      <c r="CPK517" s="13"/>
      <c r="CPL517" s="13"/>
      <c r="CPM517" s="193"/>
      <c r="CPN517" s="379"/>
      <c r="CPO517" s="379"/>
      <c r="CPP517" s="379"/>
      <c r="CPQ517" s="379"/>
      <c r="CPR517" s="379"/>
      <c r="CPS517" s="13"/>
      <c r="CPT517" s="13"/>
      <c r="CPU517" s="193"/>
      <c r="CPV517" s="379"/>
      <c r="CPW517" s="379"/>
      <c r="CPX517" s="379"/>
      <c r="CPY517" s="379"/>
      <c r="CPZ517" s="379"/>
      <c r="CQA517" s="13"/>
      <c r="CQB517" s="13"/>
      <c r="CQC517" s="193"/>
      <c r="CQD517" s="379"/>
      <c r="CQE517" s="379"/>
      <c r="CQF517" s="379"/>
      <c r="CQG517" s="379"/>
      <c r="CQH517" s="379"/>
      <c r="CQI517" s="13"/>
      <c r="CQJ517" s="13"/>
      <c r="CQK517" s="193"/>
      <c r="CQL517" s="379"/>
      <c r="CQM517" s="379"/>
      <c r="CQN517" s="379"/>
      <c r="CQO517" s="379"/>
      <c r="CQP517" s="379"/>
      <c r="CQQ517" s="13"/>
      <c r="CQR517" s="13"/>
      <c r="CQS517" s="193"/>
      <c r="CQT517" s="379"/>
      <c r="CQU517" s="379"/>
      <c r="CQV517" s="379"/>
      <c r="CQW517" s="379"/>
      <c r="CQX517" s="379"/>
      <c r="CQY517" s="13"/>
      <c r="CQZ517" s="13"/>
      <c r="CRA517" s="193"/>
      <c r="CRB517" s="379"/>
      <c r="CRC517" s="379"/>
      <c r="CRD517" s="379"/>
      <c r="CRE517" s="379"/>
      <c r="CRF517" s="379"/>
      <c r="CRG517" s="13"/>
      <c r="CRH517" s="13"/>
      <c r="CRI517" s="193"/>
      <c r="CRJ517" s="379"/>
      <c r="CRK517" s="379"/>
      <c r="CRL517" s="379"/>
      <c r="CRM517" s="379"/>
      <c r="CRN517" s="379"/>
      <c r="CRO517" s="13"/>
      <c r="CRP517" s="13"/>
      <c r="CRQ517" s="193"/>
      <c r="CRR517" s="379"/>
      <c r="CRS517" s="379"/>
      <c r="CRT517" s="379"/>
      <c r="CRU517" s="379"/>
      <c r="CRV517" s="379"/>
      <c r="CRW517" s="13"/>
      <c r="CRX517" s="13"/>
      <c r="CRY517" s="193"/>
      <c r="CRZ517" s="379"/>
      <c r="CSA517" s="379"/>
      <c r="CSB517" s="379"/>
      <c r="CSC517" s="379"/>
      <c r="CSD517" s="379"/>
      <c r="CSE517" s="13"/>
      <c r="CSF517" s="13"/>
      <c r="CSG517" s="193"/>
      <c r="CSH517" s="379"/>
      <c r="CSI517" s="379"/>
      <c r="CSJ517" s="379"/>
      <c r="CSK517" s="379"/>
      <c r="CSL517" s="379"/>
      <c r="CSM517" s="13"/>
      <c r="CSN517" s="13"/>
      <c r="CSO517" s="193"/>
      <c r="CSP517" s="379"/>
      <c r="CSQ517" s="379"/>
      <c r="CSR517" s="379"/>
      <c r="CSS517" s="379"/>
      <c r="CST517" s="379"/>
      <c r="CSU517" s="13"/>
      <c r="CSV517" s="13"/>
      <c r="CSW517" s="193"/>
      <c r="CSX517" s="379"/>
      <c r="CSY517" s="379"/>
      <c r="CSZ517" s="379"/>
      <c r="CTA517" s="379"/>
      <c r="CTB517" s="379"/>
      <c r="CTC517" s="13"/>
      <c r="CTD517" s="13"/>
      <c r="CTE517" s="193"/>
      <c r="CTF517" s="379"/>
      <c r="CTG517" s="379"/>
      <c r="CTH517" s="379"/>
      <c r="CTI517" s="379"/>
      <c r="CTJ517" s="379"/>
      <c r="CTK517" s="13"/>
      <c r="CTL517" s="13"/>
      <c r="CTM517" s="193"/>
      <c r="CTN517" s="379"/>
      <c r="CTO517" s="379"/>
      <c r="CTP517" s="379"/>
      <c r="CTQ517" s="379"/>
      <c r="CTR517" s="379"/>
      <c r="CTS517" s="13"/>
      <c r="CTT517" s="13"/>
      <c r="CTU517" s="193"/>
      <c r="CTV517" s="379"/>
      <c r="CTW517" s="379"/>
      <c r="CTX517" s="379"/>
      <c r="CTY517" s="379"/>
      <c r="CTZ517" s="379"/>
      <c r="CUA517" s="13"/>
      <c r="CUB517" s="13"/>
      <c r="CUC517" s="193"/>
      <c r="CUD517" s="379"/>
      <c r="CUE517" s="379"/>
      <c r="CUF517" s="379"/>
      <c r="CUG517" s="379"/>
      <c r="CUH517" s="379"/>
      <c r="CUI517" s="13"/>
      <c r="CUJ517" s="13"/>
      <c r="CUK517" s="193"/>
      <c r="CUL517" s="379"/>
      <c r="CUM517" s="379"/>
      <c r="CUN517" s="379"/>
      <c r="CUO517" s="379"/>
      <c r="CUP517" s="379"/>
      <c r="CUQ517" s="13"/>
      <c r="CUR517" s="13"/>
      <c r="CUS517" s="193"/>
      <c r="CUT517" s="379"/>
      <c r="CUU517" s="379"/>
      <c r="CUV517" s="379"/>
      <c r="CUW517" s="379"/>
      <c r="CUX517" s="379"/>
      <c r="CUY517" s="13"/>
      <c r="CUZ517" s="13"/>
      <c r="CVA517" s="193"/>
      <c r="CVB517" s="379"/>
      <c r="CVC517" s="379"/>
      <c r="CVD517" s="379"/>
      <c r="CVE517" s="379"/>
      <c r="CVF517" s="379"/>
      <c r="CVG517" s="13"/>
      <c r="CVH517" s="13"/>
      <c r="CVI517" s="193"/>
      <c r="CVJ517" s="379"/>
      <c r="CVK517" s="379"/>
      <c r="CVL517" s="379"/>
      <c r="CVM517" s="379"/>
      <c r="CVN517" s="379"/>
      <c r="CVO517" s="13"/>
      <c r="CVP517" s="13"/>
      <c r="CVQ517" s="193"/>
      <c r="CVR517" s="379"/>
      <c r="CVS517" s="379"/>
      <c r="CVT517" s="379"/>
      <c r="CVU517" s="379"/>
      <c r="CVV517" s="379"/>
      <c r="CVW517" s="13"/>
      <c r="CVX517" s="13"/>
      <c r="CVY517" s="193"/>
      <c r="CVZ517" s="379"/>
      <c r="CWA517" s="379"/>
      <c r="CWB517" s="379"/>
      <c r="CWC517" s="379"/>
      <c r="CWD517" s="379"/>
      <c r="CWE517" s="13"/>
      <c r="CWF517" s="13"/>
      <c r="CWG517" s="193"/>
      <c r="CWH517" s="379"/>
      <c r="CWI517" s="379"/>
      <c r="CWJ517" s="379"/>
      <c r="CWK517" s="379"/>
      <c r="CWL517" s="379"/>
      <c r="CWM517" s="13"/>
      <c r="CWN517" s="13"/>
      <c r="CWO517" s="193"/>
      <c r="CWP517" s="379"/>
      <c r="CWQ517" s="379"/>
      <c r="CWR517" s="379"/>
      <c r="CWS517" s="379"/>
      <c r="CWT517" s="379"/>
      <c r="CWU517" s="13"/>
      <c r="CWV517" s="13"/>
      <c r="CWW517" s="193"/>
      <c r="CWX517" s="379"/>
      <c r="CWY517" s="379"/>
      <c r="CWZ517" s="379"/>
      <c r="CXA517" s="379"/>
      <c r="CXB517" s="379"/>
      <c r="CXC517" s="13"/>
      <c r="CXD517" s="13"/>
      <c r="CXE517" s="193"/>
      <c r="CXF517" s="379"/>
      <c r="CXG517" s="379"/>
      <c r="CXH517" s="379"/>
      <c r="CXI517" s="379"/>
      <c r="CXJ517" s="379"/>
      <c r="CXK517" s="13"/>
      <c r="CXL517" s="13"/>
      <c r="CXM517" s="193"/>
      <c r="CXN517" s="379"/>
      <c r="CXO517" s="379"/>
      <c r="CXP517" s="379"/>
      <c r="CXQ517" s="379"/>
      <c r="CXR517" s="379"/>
      <c r="CXS517" s="13"/>
      <c r="CXT517" s="13"/>
      <c r="CXU517" s="193"/>
      <c r="CXV517" s="379"/>
      <c r="CXW517" s="379"/>
      <c r="CXX517" s="379"/>
      <c r="CXY517" s="379"/>
      <c r="CXZ517" s="379"/>
      <c r="CYA517" s="13"/>
      <c r="CYB517" s="13"/>
      <c r="CYC517" s="193"/>
      <c r="CYD517" s="379"/>
      <c r="CYE517" s="379"/>
      <c r="CYF517" s="379"/>
      <c r="CYG517" s="379"/>
      <c r="CYH517" s="379"/>
      <c r="CYI517" s="13"/>
      <c r="CYJ517" s="13"/>
      <c r="CYK517" s="193"/>
      <c r="CYL517" s="379"/>
      <c r="CYM517" s="379"/>
      <c r="CYN517" s="379"/>
      <c r="CYO517" s="379"/>
      <c r="CYP517" s="379"/>
      <c r="CYQ517" s="13"/>
      <c r="CYR517" s="13"/>
      <c r="CYS517" s="193"/>
      <c r="CYT517" s="379"/>
      <c r="CYU517" s="379"/>
      <c r="CYV517" s="379"/>
      <c r="CYW517" s="379"/>
      <c r="CYX517" s="379"/>
      <c r="CYY517" s="13"/>
      <c r="CYZ517" s="13"/>
      <c r="CZA517" s="193"/>
      <c r="CZB517" s="379"/>
      <c r="CZC517" s="379"/>
      <c r="CZD517" s="379"/>
      <c r="CZE517" s="379"/>
      <c r="CZF517" s="379"/>
      <c r="CZG517" s="13"/>
      <c r="CZH517" s="13"/>
      <c r="CZI517" s="193"/>
      <c r="CZJ517" s="379"/>
      <c r="CZK517" s="379"/>
      <c r="CZL517" s="379"/>
      <c r="CZM517" s="379"/>
      <c r="CZN517" s="379"/>
      <c r="CZO517" s="13"/>
      <c r="CZP517" s="13"/>
      <c r="CZQ517" s="193"/>
      <c r="CZR517" s="379"/>
      <c r="CZS517" s="379"/>
      <c r="CZT517" s="379"/>
      <c r="CZU517" s="379"/>
      <c r="CZV517" s="379"/>
      <c r="CZW517" s="13"/>
      <c r="CZX517" s="13"/>
      <c r="CZY517" s="193"/>
      <c r="CZZ517" s="379"/>
      <c r="DAA517" s="379"/>
      <c r="DAB517" s="379"/>
      <c r="DAC517" s="379"/>
      <c r="DAD517" s="379"/>
      <c r="DAE517" s="13"/>
      <c r="DAF517" s="13"/>
      <c r="DAG517" s="193"/>
      <c r="DAH517" s="379"/>
      <c r="DAI517" s="379"/>
      <c r="DAJ517" s="379"/>
      <c r="DAK517" s="379"/>
      <c r="DAL517" s="379"/>
      <c r="DAM517" s="13"/>
      <c r="DAN517" s="13"/>
      <c r="DAO517" s="193"/>
      <c r="DAP517" s="379"/>
      <c r="DAQ517" s="379"/>
      <c r="DAR517" s="379"/>
      <c r="DAS517" s="379"/>
      <c r="DAT517" s="379"/>
      <c r="DAU517" s="13"/>
      <c r="DAV517" s="13"/>
      <c r="DAW517" s="193"/>
      <c r="DAX517" s="379"/>
      <c r="DAY517" s="379"/>
      <c r="DAZ517" s="379"/>
      <c r="DBA517" s="379"/>
      <c r="DBB517" s="379"/>
      <c r="DBC517" s="13"/>
      <c r="DBD517" s="13"/>
      <c r="DBE517" s="193"/>
      <c r="DBF517" s="379"/>
      <c r="DBG517" s="379"/>
      <c r="DBH517" s="379"/>
      <c r="DBI517" s="379"/>
      <c r="DBJ517" s="379"/>
      <c r="DBK517" s="13"/>
      <c r="DBL517" s="13"/>
      <c r="DBM517" s="193"/>
      <c r="DBN517" s="379"/>
      <c r="DBO517" s="379"/>
      <c r="DBP517" s="379"/>
      <c r="DBQ517" s="379"/>
      <c r="DBR517" s="379"/>
      <c r="DBS517" s="13"/>
      <c r="DBT517" s="13"/>
      <c r="DBU517" s="193"/>
      <c r="DBV517" s="379"/>
      <c r="DBW517" s="379"/>
      <c r="DBX517" s="379"/>
      <c r="DBY517" s="379"/>
      <c r="DBZ517" s="379"/>
      <c r="DCA517" s="13"/>
      <c r="DCB517" s="13"/>
      <c r="DCC517" s="193"/>
      <c r="DCD517" s="379"/>
      <c r="DCE517" s="379"/>
      <c r="DCF517" s="379"/>
      <c r="DCG517" s="379"/>
      <c r="DCH517" s="379"/>
      <c r="DCI517" s="13"/>
      <c r="DCJ517" s="13"/>
      <c r="DCK517" s="193"/>
      <c r="DCL517" s="379"/>
      <c r="DCM517" s="379"/>
      <c r="DCN517" s="379"/>
      <c r="DCO517" s="379"/>
      <c r="DCP517" s="379"/>
      <c r="DCQ517" s="13"/>
      <c r="DCR517" s="13"/>
      <c r="DCS517" s="193"/>
      <c r="DCT517" s="379"/>
      <c r="DCU517" s="379"/>
      <c r="DCV517" s="379"/>
      <c r="DCW517" s="379"/>
      <c r="DCX517" s="379"/>
      <c r="DCY517" s="13"/>
      <c r="DCZ517" s="13"/>
      <c r="DDA517" s="193"/>
      <c r="DDB517" s="379"/>
      <c r="DDC517" s="379"/>
      <c r="DDD517" s="379"/>
      <c r="DDE517" s="379"/>
      <c r="DDF517" s="379"/>
      <c r="DDG517" s="13"/>
      <c r="DDH517" s="13"/>
      <c r="DDI517" s="193"/>
      <c r="DDJ517" s="379"/>
      <c r="DDK517" s="379"/>
      <c r="DDL517" s="379"/>
      <c r="DDM517" s="379"/>
      <c r="DDN517" s="379"/>
      <c r="DDO517" s="13"/>
      <c r="DDP517" s="13"/>
      <c r="DDQ517" s="193"/>
      <c r="DDR517" s="379"/>
      <c r="DDS517" s="379"/>
      <c r="DDT517" s="379"/>
      <c r="DDU517" s="379"/>
      <c r="DDV517" s="379"/>
      <c r="DDW517" s="13"/>
      <c r="DDX517" s="13"/>
      <c r="DDY517" s="193"/>
      <c r="DDZ517" s="379"/>
      <c r="DEA517" s="379"/>
      <c r="DEB517" s="379"/>
      <c r="DEC517" s="379"/>
      <c r="DED517" s="379"/>
      <c r="DEE517" s="13"/>
      <c r="DEF517" s="13"/>
      <c r="DEG517" s="193"/>
      <c r="DEH517" s="379"/>
      <c r="DEI517" s="379"/>
      <c r="DEJ517" s="379"/>
      <c r="DEK517" s="379"/>
      <c r="DEL517" s="379"/>
      <c r="DEM517" s="13"/>
      <c r="DEN517" s="13"/>
      <c r="DEO517" s="193"/>
      <c r="DEP517" s="379"/>
      <c r="DEQ517" s="379"/>
      <c r="DER517" s="379"/>
      <c r="DES517" s="379"/>
      <c r="DET517" s="379"/>
      <c r="DEU517" s="13"/>
      <c r="DEV517" s="13"/>
      <c r="DEW517" s="193"/>
      <c r="DEX517" s="379"/>
      <c r="DEY517" s="379"/>
      <c r="DEZ517" s="379"/>
      <c r="DFA517" s="379"/>
      <c r="DFB517" s="379"/>
      <c r="DFC517" s="13"/>
      <c r="DFD517" s="13"/>
      <c r="DFE517" s="193"/>
      <c r="DFF517" s="379"/>
      <c r="DFG517" s="379"/>
      <c r="DFH517" s="379"/>
      <c r="DFI517" s="379"/>
      <c r="DFJ517" s="379"/>
      <c r="DFK517" s="13"/>
      <c r="DFL517" s="13"/>
      <c r="DFM517" s="193"/>
      <c r="DFN517" s="379"/>
      <c r="DFO517" s="379"/>
      <c r="DFP517" s="379"/>
      <c r="DFQ517" s="379"/>
      <c r="DFR517" s="379"/>
      <c r="DFS517" s="13"/>
      <c r="DFT517" s="13"/>
      <c r="DFU517" s="193"/>
      <c r="DFV517" s="379"/>
      <c r="DFW517" s="379"/>
      <c r="DFX517" s="379"/>
      <c r="DFY517" s="379"/>
      <c r="DFZ517" s="379"/>
      <c r="DGA517" s="13"/>
      <c r="DGB517" s="13"/>
      <c r="DGC517" s="193"/>
      <c r="DGD517" s="379"/>
      <c r="DGE517" s="379"/>
      <c r="DGF517" s="379"/>
      <c r="DGG517" s="379"/>
      <c r="DGH517" s="379"/>
      <c r="DGI517" s="13"/>
      <c r="DGJ517" s="13"/>
      <c r="DGK517" s="193"/>
      <c r="DGL517" s="379"/>
      <c r="DGM517" s="379"/>
      <c r="DGN517" s="379"/>
      <c r="DGO517" s="379"/>
      <c r="DGP517" s="379"/>
      <c r="DGQ517" s="13"/>
      <c r="DGR517" s="13"/>
      <c r="DGS517" s="193"/>
      <c r="DGT517" s="379"/>
      <c r="DGU517" s="379"/>
      <c r="DGV517" s="379"/>
      <c r="DGW517" s="379"/>
      <c r="DGX517" s="379"/>
      <c r="DGY517" s="13"/>
      <c r="DGZ517" s="13"/>
      <c r="DHA517" s="193"/>
      <c r="DHB517" s="379"/>
      <c r="DHC517" s="379"/>
      <c r="DHD517" s="379"/>
      <c r="DHE517" s="379"/>
      <c r="DHF517" s="379"/>
      <c r="DHG517" s="13"/>
      <c r="DHH517" s="13"/>
      <c r="DHI517" s="193"/>
      <c r="DHJ517" s="379"/>
      <c r="DHK517" s="379"/>
      <c r="DHL517" s="379"/>
      <c r="DHM517" s="379"/>
      <c r="DHN517" s="379"/>
      <c r="DHO517" s="13"/>
      <c r="DHP517" s="13"/>
      <c r="DHQ517" s="193"/>
      <c r="DHR517" s="379"/>
      <c r="DHS517" s="379"/>
      <c r="DHT517" s="379"/>
      <c r="DHU517" s="379"/>
      <c r="DHV517" s="379"/>
      <c r="DHW517" s="13"/>
      <c r="DHX517" s="13"/>
      <c r="DHY517" s="193"/>
      <c r="DHZ517" s="379"/>
      <c r="DIA517" s="379"/>
      <c r="DIB517" s="379"/>
      <c r="DIC517" s="379"/>
      <c r="DID517" s="379"/>
      <c r="DIE517" s="13"/>
      <c r="DIF517" s="13"/>
      <c r="DIG517" s="193"/>
      <c r="DIH517" s="379"/>
      <c r="DII517" s="379"/>
      <c r="DIJ517" s="379"/>
      <c r="DIK517" s="379"/>
      <c r="DIL517" s="379"/>
      <c r="DIM517" s="13"/>
      <c r="DIN517" s="13"/>
      <c r="DIO517" s="193"/>
      <c r="DIP517" s="379"/>
      <c r="DIQ517" s="379"/>
      <c r="DIR517" s="379"/>
      <c r="DIS517" s="379"/>
      <c r="DIT517" s="379"/>
      <c r="DIU517" s="13"/>
      <c r="DIV517" s="13"/>
      <c r="DIW517" s="193"/>
      <c r="DIX517" s="379"/>
      <c r="DIY517" s="379"/>
      <c r="DIZ517" s="379"/>
      <c r="DJA517" s="379"/>
      <c r="DJB517" s="379"/>
      <c r="DJC517" s="13"/>
      <c r="DJD517" s="13"/>
      <c r="DJE517" s="193"/>
      <c r="DJF517" s="379"/>
      <c r="DJG517" s="379"/>
      <c r="DJH517" s="379"/>
      <c r="DJI517" s="379"/>
      <c r="DJJ517" s="379"/>
      <c r="DJK517" s="13"/>
      <c r="DJL517" s="13"/>
      <c r="DJM517" s="193"/>
      <c r="DJN517" s="379"/>
      <c r="DJO517" s="379"/>
      <c r="DJP517" s="379"/>
      <c r="DJQ517" s="379"/>
      <c r="DJR517" s="379"/>
      <c r="DJS517" s="13"/>
      <c r="DJT517" s="13"/>
      <c r="DJU517" s="193"/>
      <c r="DJV517" s="379"/>
      <c r="DJW517" s="379"/>
      <c r="DJX517" s="379"/>
      <c r="DJY517" s="379"/>
      <c r="DJZ517" s="379"/>
      <c r="DKA517" s="13"/>
      <c r="DKB517" s="13"/>
      <c r="DKC517" s="193"/>
      <c r="DKD517" s="379"/>
      <c r="DKE517" s="379"/>
      <c r="DKF517" s="379"/>
      <c r="DKG517" s="379"/>
      <c r="DKH517" s="379"/>
      <c r="DKI517" s="13"/>
      <c r="DKJ517" s="13"/>
      <c r="DKK517" s="193"/>
      <c r="DKL517" s="379"/>
      <c r="DKM517" s="379"/>
      <c r="DKN517" s="379"/>
      <c r="DKO517" s="379"/>
      <c r="DKP517" s="379"/>
      <c r="DKQ517" s="13"/>
      <c r="DKR517" s="13"/>
      <c r="DKS517" s="193"/>
      <c r="DKT517" s="379"/>
      <c r="DKU517" s="379"/>
      <c r="DKV517" s="379"/>
      <c r="DKW517" s="379"/>
      <c r="DKX517" s="379"/>
      <c r="DKY517" s="13"/>
      <c r="DKZ517" s="13"/>
      <c r="DLA517" s="193"/>
      <c r="DLB517" s="379"/>
      <c r="DLC517" s="379"/>
      <c r="DLD517" s="379"/>
      <c r="DLE517" s="379"/>
      <c r="DLF517" s="379"/>
      <c r="DLG517" s="13"/>
      <c r="DLH517" s="13"/>
      <c r="DLI517" s="193"/>
      <c r="DLJ517" s="379"/>
      <c r="DLK517" s="379"/>
      <c r="DLL517" s="379"/>
      <c r="DLM517" s="379"/>
      <c r="DLN517" s="379"/>
      <c r="DLO517" s="13"/>
      <c r="DLP517" s="13"/>
      <c r="DLQ517" s="193"/>
      <c r="DLR517" s="379"/>
      <c r="DLS517" s="379"/>
      <c r="DLT517" s="379"/>
      <c r="DLU517" s="379"/>
      <c r="DLV517" s="379"/>
      <c r="DLW517" s="13"/>
      <c r="DLX517" s="13"/>
      <c r="DLY517" s="193"/>
      <c r="DLZ517" s="379"/>
      <c r="DMA517" s="379"/>
      <c r="DMB517" s="379"/>
      <c r="DMC517" s="379"/>
      <c r="DMD517" s="379"/>
      <c r="DME517" s="13"/>
      <c r="DMF517" s="13"/>
      <c r="DMG517" s="193"/>
      <c r="DMH517" s="379"/>
      <c r="DMI517" s="379"/>
      <c r="DMJ517" s="379"/>
      <c r="DMK517" s="379"/>
      <c r="DML517" s="379"/>
      <c r="DMM517" s="13"/>
      <c r="DMN517" s="13"/>
      <c r="DMO517" s="193"/>
      <c r="DMP517" s="379"/>
      <c r="DMQ517" s="379"/>
      <c r="DMR517" s="379"/>
      <c r="DMS517" s="379"/>
      <c r="DMT517" s="379"/>
      <c r="DMU517" s="13"/>
      <c r="DMV517" s="13"/>
      <c r="DMW517" s="193"/>
      <c r="DMX517" s="379"/>
      <c r="DMY517" s="379"/>
      <c r="DMZ517" s="379"/>
      <c r="DNA517" s="379"/>
      <c r="DNB517" s="379"/>
      <c r="DNC517" s="13"/>
      <c r="DND517" s="13"/>
      <c r="DNE517" s="193"/>
      <c r="DNF517" s="379"/>
      <c r="DNG517" s="379"/>
      <c r="DNH517" s="379"/>
      <c r="DNI517" s="379"/>
      <c r="DNJ517" s="379"/>
      <c r="DNK517" s="13"/>
      <c r="DNL517" s="13"/>
      <c r="DNM517" s="193"/>
      <c r="DNN517" s="379"/>
      <c r="DNO517" s="379"/>
      <c r="DNP517" s="379"/>
      <c r="DNQ517" s="379"/>
      <c r="DNR517" s="379"/>
      <c r="DNS517" s="13"/>
      <c r="DNT517" s="13"/>
      <c r="DNU517" s="193"/>
      <c r="DNV517" s="379"/>
      <c r="DNW517" s="379"/>
      <c r="DNX517" s="379"/>
      <c r="DNY517" s="379"/>
      <c r="DNZ517" s="379"/>
      <c r="DOA517" s="13"/>
      <c r="DOB517" s="13"/>
      <c r="DOC517" s="193"/>
      <c r="DOD517" s="379"/>
      <c r="DOE517" s="379"/>
      <c r="DOF517" s="379"/>
      <c r="DOG517" s="379"/>
      <c r="DOH517" s="379"/>
      <c r="DOI517" s="13"/>
      <c r="DOJ517" s="13"/>
      <c r="DOK517" s="193"/>
      <c r="DOL517" s="379"/>
      <c r="DOM517" s="379"/>
      <c r="DON517" s="379"/>
      <c r="DOO517" s="379"/>
      <c r="DOP517" s="379"/>
      <c r="DOQ517" s="13"/>
      <c r="DOR517" s="13"/>
      <c r="DOS517" s="193"/>
      <c r="DOT517" s="379"/>
      <c r="DOU517" s="379"/>
      <c r="DOV517" s="379"/>
      <c r="DOW517" s="379"/>
      <c r="DOX517" s="379"/>
      <c r="DOY517" s="13"/>
      <c r="DOZ517" s="13"/>
      <c r="DPA517" s="193"/>
      <c r="DPB517" s="379"/>
      <c r="DPC517" s="379"/>
      <c r="DPD517" s="379"/>
      <c r="DPE517" s="379"/>
      <c r="DPF517" s="379"/>
      <c r="DPG517" s="13"/>
      <c r="DPH517" s="13"/>
      <c r="DPI517" s="193"/>
      <c r="DPJ517" s="379"/>
      <c r="DPK517" s="379"/>
      <c r="DPL517" s="379"/>
      <c r="DPM517" s="379"/>
      <c r="DPN517" s="379"/>
      <c r="DPO517" s="13"/>
      <c r="DPP517" s="13"/>
      <c r="DPQ517" s="193"/>
      <c r="DPR517" s="379"/>
      <c r="DPS517" s="379"/>
      <c r="DPT517" s="379"/>
      <c r="DPU517" s="379"/>
      <c r="DPV517" s="379"/>
      <c r="DPW517" s="13"/>
      <c r="DPX517" s="13"/>
      <c r="DPY517" s="193"/>
      <c r="DPZ517" s="379"/>
      <c r="DQA517" s="379"/>
      <c r="DQB517" s="379"/>
      <c r="DQC517" s="379"/>
      <c r="DQD517" s="379"/>
      <c r="DQE517" s="13"/>
      <c r="DQF517" s="13"/>
      <c r="DQG517" s="193"/>
      <c r="DQH517" s="379"/>
      <c r="DQI517" s="379"/>
      <c r="DQJ517" s="379"/>
      <c r="DQK517" s="379"/>
      <c r="DQL517" s="379"/>
      <c r="DQM517" s="13"/>
      <c r="DQN517" s="13"/>
      <c r="DQO517" s="193"/>
      <c r="DQP517" s="379"/>
      <c r="DQQ517" s="379"/>
      <c r="DQR517" s="379"/>
      <c r="DQS517" s="379"/>
      <c r="DQT517" s="379"/>
      <c r="DQU517" s="13"/>
      <c r="DQV517" s="13"/>
      <c r="DQW517" s="193"/>
      <c r="DQX517" s="379"/>
      <c r="DQY517" s="379"/>
      <c r="DQZ517" s="379"/>
      <c r="DRA517" s="379"/>
      <c r="DRB517" s="379"/>
      <c r="DRC517" s="13"/>
      <c r="DRD517" s="13"/>
      <c r="DRE517" s="193"/>
      <c r="DRF517" s="379"/>
      <c r="DRG517" s="379"/>
      <c r="DRH517" s="379"/>
      <c r="DRI517" s="379"/>
      <c r="DRJ517" s="379"/>
      <c r="DRK517" s="13"/>
      <c r="DRL517" s="13"/>
      <c r="DRM517" s="193"/>
      <c r="DRN517" s="379"/>
      <c r="DRO517" s="379"/>
      <c r="DRP517" s="379"/>
      <c r="DRQ517" s="379"/>
      <c r="DRR517" s="379"/>
      <c r="DRS517" s="13"/>
      <c r="DRT517" s="13"/>
      <c r="DRU517" s="193"/>
      <c r="DRV517" s="379"/>
      <c r="DRW517" s="379"/>
      <c r="DRX517" s="379"/>
      <c r="DRY517" s="379"/>
      <c r="DRZ517" s="379"/>
      <c r="DSA517" s="13"/>
      <c r="DSB517" s="13"/>
      <c r="DSC517" s="193"/>
      <c r="DSD517" s="379"/>
      <c r="DSE517" s="379"/>
      <c r="DSF517" s="379"/>
      <c r="DSG517" s="379"/>
      <c r="DSH517" s="379"/>
      <c r="DSI517" s="13"/>
      <c r="DSJ517" s="13"/>
      <c r="DSK517" s="193"/>
      <c r="DSL517" s="379"/>
      <c r="DSM517" s="379"/>
      <c r="DSN517" s="379"/>
      <c r="DSO517" s="379"/>
      <c r="DSP517" s="379"/>
      <c r="DSQ517" s="13"/>
      <c r="DSR517" s="13"/>
      <c r="DSS517" s="193"/>
      <c r="DST517" s="379"/>
      <c r="DSU517" s="379"/>
      <c r="DSV517" s="379"/>
      <c r="DSW517" s="379"/>
      <c r="DSX517" s="379"/>
      <c r="DSY517" s="13"/>
      <c r="DSZ517" s="13"/>
      <c r="DTA517" s="193"/>
      <c r="DTB517" s="379"/>
      <c r="DTC517" s="379"/>
      <c r="DTD517" s="379"/>
      <c r="DTE517" s="379"/>
      <c r="DTF517" s="379"/>
      <c r="DTG517" s="13"/>
      <c r="DTH517" s="13"/>
      <c r="DTI517" s="193"/>
      <c r="DTJ517" s="379"/>
      <c r="DTK517" s="379"/>
      <c r="DTL517" s="379"/>
      <c r="DTM517" s="379"/>
      <c r="DTN517" s="379"/>
      <c r="DTO517" s="13"/>
      <c r="DTP517" s="13"/>
      <c r="DTQ517" s="193"/>
      <c r="DTR517" s="379"/>
      <c r="DTS517" s="379"/>
      <c r="DTT517" s="379"/>
      <c r="DTU517" s="379"/>
      <c r="DTV517" s="379"/>
      <c r="DTW517" s="13"/>
      <c r="DTX517" s="13"/>
      <c r="DTY517" s="193"/>
      <c r="DTZ517" s="379"/>
      <c r="DUA517" s="379"/>
      <c r="DUB517" s="379"/>
      <c r="DUC517" s="379"/>
      <c r="DUD517" s="379"/>
      <c r="DUE517" s="13"/>
      <c r="DUF517" s="13"/>
      <c r="DUG517" s="193"/>
      <c r="DUH517" s="379"/>
      <c r="DUI517" s="379"/>
      <c r="DUJ517" s="379"/>
      <c r="DUK517" s="379"/>
      <c r="DUL517" s="379"/>
      <c r="DUM517" s="13"/>
      <c r="DUN517" s="13"/>
      <c r="DUO517" s="193"/>
      <c r="DUP517" s="379"/>
      <c r="DUQ517" s="379"/>
      <c r="DUR517" s="379"/>
      <c r="DUS517" s="379"/>
      <c r="DUT517" s="379"/>
      <c r="DUU517" s="13"/>
      <c r="DUV517" s="13"/>
      <c r="DUW517" s="193"/>
      <c r="DUX517" s="379"/>
      <c r="DUY517" s="379"/>
      <c r="DUZ517" s="379"/>
      <c r="DVA517" s="379"/>
      <c r="DVB517" s="379"/>
      <c r="DVC517" s="13"/>
      <c r="DVD517" s="13"/>
      <c r="DVE517" s="193"/>
      <c r="DVF517" s="379"/>
      <c r="DVG517" s="379"/>
      <c r="DVH517" s="379"/>
      <c r="DVI517" s="379"/>
      <c r="DVJ517" s="379"/>
      <c r="DVK517" s="13"/>
      <c r="DVL517" s="13"/>
      <c r="DVM517" s="193"/>
      <c r="DVN517" s="379"/>
      <c r="DVO517" s="379"/>
      <c r="DVP517" s="379"/>
      <c r="DVQ517" s="379"/>
      <c r="DVR517" s="379"/>
      <c r="DVS517" s="13"/>
      <c r="DVT517" s="13"/>
      <c r="DVU517" s="193"/>
      <c r="DVV517" s="379"/>
      <c r="DVW517" s="379"/>
      <c r="DVX517" s="379"/>
      <c r="DVY517" s="379"/>
      <c r="DVZ517" s="379"/>
      <c r="DWA517" s="13"/>
      <c r="DWB517" s="13"/>
      <c r="DWC517" s="193"/>
      <c r="DWD517" s="379"/>
      <c r="DWE517" s="379"/>
      <c r="DWF517" s="379"/>
      <c r="DWG517" s="379"/>
      <c r="DWH517" s="379"/>
      <c r="DWI517" s="13"/>
      <c r="DWJ517" s="13"/>
      <c r="DWK517" s="193"/>
      <c r="DWL517" s="379"/>
      <c r="DWM517" s="379"/>
      <c r="DWN517" s="379"/>
      <c r="DWO517" s="379"/>
      <c r="DWP517" s="379"/>
      <c r="DWQ517" s="13"/>
      <c r="DWR517" s="13"/>
      <c r="DWS517" s="193"/>
      <c r="DWT517" s="379"/>
      <c r="DWU517" s="379"/>
      <c r="DWV517" s="379"/>
      <c r="DWW517" s="379"/>
      <c r="DWX517" s="379"/>
      <c r="DWY517" s="13"/>
      <c r="DWZ517" s="13"/>
      <c r="DXA517" s="193"/>
      <c r="DXB517" s="379"/>
      <c r="DXC517" s="379"/>
      <c r="DXD517" s="379"/>
      <c r="DXE517" s="379"/>
      <c r="DXF517" s="379"/>
      <c r="DXG517" s="13"/>
      <c r="DXH517" s="13"/>
      <c r="DXI517" s="193"/>
      <c r="DXJ517" s="379"/>
      <c r="DXK517" s="379"/>
      <c r="DXL517" s="379"/>
      <c r="DXM517" s="379"/>
      <c r="DXN517" s="379"/>
      <c r="DXO517" s="13"/>
      <c r="DXP517" s="13"/>
      <c r="DXQ517" s="193"/>
      <c r="DXR517" s="379"/>
      <c r="DXS517" s="379"/>
      <c r="DXT517" s="379"/>
      <c r="DXU517" s="379"/>
      <c r="DXV517" s="379"/>
      <c r="DXW517" s="13"/>
      <c r="DXX517" s="13"/>
      <c r="DXY517" s="193"/>
      <c r="DXZ517" s="379"/>
      <c r="DYA517" s="379"/>
      <c r="DYB517" s="379"/>
      <c r="DYC517" s="379"/>
      <c r="DYD517" s="379"/>
      <c r="DYE517" s="13"/>
      <c r="DYF517" s="13"/>
      <c r="DYG517" s="193"/>
      <c r="DYH517" s="379"/>
      <c r="DYI517" s="379"/>
      <c r="DYJ517" s="379"/>
      <c r="DYK517" s="379"/>
      <c r="DYL517" s="379"/>
      <c r="DYM517" s="13"/>
      <c r="DYN517" s="13"/>
      <c r="DYO517" s="193"/>
      <c r="DYP517" s="379"/>
      <c r="DYQ517" s="379"/>
      <c r="DYR517" s="379"/>
      <c r="DYS517" s="379"/>
      <c r="DYT517" s="379"/>
      <c r="DYU517" s="13"/>
      <c r="DYV517" s="13"/>
      <c r="DYW517" s="193"/>
      <c r="DYX517" s="379"/>
      <c r="DYY517" s="379"/>
      <c r="DYZ517" s="379"/>
      <c r="DZA517" s="379"/>
      <c r="DZB517" s="379"/>
      <c r="DZC517" s="13"/>
      <c r="DZD517" s="13"/>
      <c r="DZE517" s="193"/>
      <c r="DZF517" s="379"/>
      <c r="DZG517" s="379"/>
      <c r="DZH517" s="379"/>
      <c r="DZI517" s="379"/>
      <c r="DZJ517" s="379"/>
      <c r="DZK517" s="13"/>
      <c r="DZL517" s="13"/>
      <c r="DZM517" s="193"/>
      <c r="DZN517" s="379"/>
      <c r="DZO517" s="379"/>
      <c r="DZP517" s="379"/>
      <c r="DZQ517" s="379"/>
      <c r="DZR517" s="379"/>
      <c r="DZS517" s="13"/>
      <c r="DZT517" s="13"/>
      <c r="DZU517" s="193"/>
      <c r="DZV517" s="379"/>
      <c r="DZW517" s="379"/>
      <c r="DZX517" s="379"/>
      <c r="DZY517" s="379"/>
      <c r="DZZ517" s="379"/>
      <c r="EAA517" s="13"/>
      <c r="EAB517" s="13"/>
      <c r="EAC517" s="193"/>
      <c r="EAD517" s="379"/>
      <c r="EAE517" s="379"/>
      <c r="EAF517" s="379"/>
      <c r="EAG517" s="379"/>
      <c r="EAH517" s="379"/>
      <c r="EAI517" s="13"/>
      <c r="EAJ517" s="13"/>
      <c r="EAK517" s="193"/>
      <c r="EAL517" s="379"/>
      <c r="EAM517" s="379"/>
      <c r="EAN517" s="379"/>
      <c r="EAO517" s="379"/>
      <c r="EAP517" s="379"/>
      <c r="EAQ517" s="13"/>
      <c r="EAR517" s="13"/>
      <c r="EAS517" s="193"/>
      <c r="EAT517" s="379"/>
      <c r="EAU517" s="379"/>
      <c r="EAV517" s="379"/>
      <c r="EAW517" s="379"/>
      <c r="EAX517" s="379"/>
      <c r="EAY517" s="13"/>
      <c r="EAZ517" s="13"/>
      <c r="EBA517" s="193"/>
      <c r="EBB517" s="379"/>
      <c r="EBC517" s="379"/>
      <c r="EBD517" s="379"/>
      <c r="EBE517" s="379"/>
      <c r="EBF517" s="379"/>
      <c r="EBG517" s="13"/>
      <c r="EBH517" s="13"/>
      <c r="EBI517" s="193"/>
      <c r="EBJ517" s="379"/>
      <c r="EBK517" s="379"/>
      <c r="EBL517" s="379"/>
      <c r="EBM517" s="379"/>
      <c r="EBN517" s="379"/>
      <c r="EBO517" s="13"/>
      <c r="EBP517" s="13"/>
      <c r="EBQ517" s="193"/>
      <c r="EBR517" s="379"/>
      <c r="EBS517" s="379"/>
      <c r="EBT517" s="379"/>
      <c r="EBU517" s="379"/>
      <c r="EBV517" s="379"/>
      <c r="EBW517" s="13"/>
      <c r="EBX517" s="13"/>
      <c r="EBY517" s="193"/>
      <c r="EBZ517" s="379"/>
      <c r="ECA517" s="379"/>
      <c r="ECB517" s="379"/>
      <c r="ECC517" s="379"/>
      <c r="ECD517" s="379"/>
      <c r="ECE517" s="13"/>
      <c r="ECF517" s="13"/>
      <c r="ECG517" s="193"/>
      <c r="ECH517" s="379"/>
      <c r="ECI517" s="379"/>
      <c r="ECJ517" s="379"/>
      <c r="ECK517" s="379"/>
      <c r="ECL517" s="379"/>
      <c r="ECM517" s="13"/>
      <c r="ECN517" s="13"/>
      <c r="ECO517" s="193"/>
      <c r="ECP517" s="379"/>
      <c r="ECQ517" s="379"/>
      <c r="ECR517" s="379"/>
      <c r="ECS517" s="379"/>
      <c r="ECT517" s="379"/>
      <c r="ECU517" s="13"/>
      <c r="ECV517" s="13"/>
      <c r="ECW517" s="193"/>
      <c r="ECX517" s="379"/>
      <c r="ECY517" s="379"/>
      <c r="ECZ517" s="379"/>
      <c r="EDA517" s="379"/>
      <c r="EDB517" s="379"/>
      <c r="EDC517" s="13"/>
      <c r="EDD517" s="13"/>
      <c r="EDE517" s="193"/>
      <c r="EDF517" s="379"/>
      <c r="EDG517" s="379"/>
      <c r="EDH517" s="379"/>
      <c r="EDI517" s="379"/>
      <c r="EDJ517" s="379"/>
      <c r="EDK517" s="13"/>
      <c r="EDL517" s="13"/>
      <c r="EDM517" s="193"/>
      <c r="EDN517" s="379"/>
      <c r="EDO517" s="379"/>
      <c r="EDP517" s="379"/>
      <c r="EDQ517" s="379"/>
      <c r="EDR517" s="379"/>
      <c r="EDS517" s="13"/>
      <c r="EDT517" s="13"/>
      <c r="EDU517" s="193"/>
      <c r="EDV517" s="379"/>
      <c r="EDW517" s="379"/>
      <c r="EDX517" s="379"/>
      <c r="EDY517" s="379"/>
      <c r="EDZ517" s="379"/>
      <c r="EEA517" s="13"/>
      <c r="EEB517" s="13"/>
      <c r="EEC517" s="193"/>
      <c r="EED517" s="379"/>
      <c r="EEE517" s="379"/>
      <c r="EEF517" s="379"/>
      <c r="EEG517" s="379"/>
      <c r="EEH517" s="379"/>
      <c r="EEI517" s="13"/>
      <c r="EEJ517" s="13"/>
      <c r="EEK517" s="193"/>
      <c r="EEL517" s="379"/>
      <c r="EEM517" s="379"/>
      <c r="EEN517" s="379"/>
      <c r="EEO517" s="379"/>
      <c r="EEP517" s="379"/>
      <c r="EEQ517" s="13"/>
      <c r="EER517" s="13"/>
      <c r="EES517" s="193"/>
      <c r="EET517" s="379"/>
      <c r="EEU517" s="379"/>
      <c r="EEV517" s="379"/>
      <c r="EEW517" s="379"/>
      <c r="EEX517" s="379"/>
      <c r="EEY517" s="13"/>
      <c r="EEZ517" s="13"/>
      <c r="EFA517" s="193"/>
      <c r="EFB517" s="379"/>
      <c r="EFC517" s="379"/>
      <c r="EFD517" s="379"/>
      <c r="EFE517" s="379"/>
      <c r="EFF517" s="379"/>
      <c r="EFG517" s="13"/>
      <c r="EFH517" s="13"/>
      <c r="EFI517" s="193"/>
      <c r="EFJ517" s="379"/>
      <c r="EFK517" s="379"/>
      <c r="EFL517" s="379"/>
      <c r="EFM517" s="379"/>
      <c r="EFN517" s="379"/>
      <c r="EFO517" s="13"/>
      <c r="EFP517" s="13"/>
      <c r="EFQ517" s="193"/>
      <c r="EFR517" s="379"/>
      <c r="EFS517" s="379"/>
      <c r="EFT517" s="379"/>
      <c r="EFU517" s="379"/>
      <c r="EFV517" s="379"/>
      <c r="EFW517" s="13"/>
      <c r="EFX517" s="13"/>
      <c r="EFY517" s="193"/>
      <c r="EFZ517" s="379"/>
      <c r="EGA517" s="379"/>
      <c r="EGB517" s="379"/>
      <c r="EGC517" s="379"/>
      <c r="EGD517" s="379"/>
      <c r="EGE517" s="13"/>
      <c r="EGF517" s="13"/>
      <c r="EGG517" s="193"/>
      <c r="EGH517" s="379"/>
      <c r="EGI517" s="379"/>
      <c r="EGJ517" s="379"/>
      <c r="EGK517" s="379"/>
      <c r="EGL517" s="379"/>
      <c r="EGM517" s="13"/>
      <c r="EGN517" s="13"/>
      <c r="EGO517" s="193"/>
      <c r="EGP517" s="379"/>
      <c r="EGQ517" s="379"/>
      <c r="EGR517" s="379"/>
      <c r="EGS517" s="379"/>
      <c r="EGT517" s="379"/>
      <c r="EGU517" s="13"/>
      <c r="EGV517" s="13"/>
      <c r="EGW517" s="193"/>
      <c r="EGX517" s="379"/>
      <c r="EGY517" s="379"/>
      <c r="EGZ517" s="379"/>
      <c r="EHA517" s="379"/>
      <c r="EHB517" s="379"/>
      <c r="EHC517" s="13"/>
      <c r="EHD517" s="13"/>
      <c r="EHE517" s="193"/>
      <c r="EHF517" s="379"/>
      <c r="EHG517" s="379"/>
      <c r="EHH517" s="379"/>
      <c r="EHI517" s="379"/>
      <c r="EHJ517" s="379"/>
      <c r="EHK517" s="13"/>
      <c r="EHL517" s="13"/>
      <c r="EHM517" s="193"/>
      <c r="EHN517" s="379"/>
      <c r="EHO517" s="379"/>
      <c r="EHP517" s="379"/>
      <c r="EHQ517" s="379"/>
      <c r="EHR517" s="379"/>
      <c r="EHS517" s="13"/>
      <c r="EHT517" s="13"/>
      <c r="EHU517" s="193"/>
      <c r="EHV517" s="379"/>
      <c r="EHW517" s="379"/>
      <c r="EHX517" s="379"/>
      <c r="EHY517" s="379"/>
      <c r="EHZ517" s="379"/>
      <c r="EIA517" s="13"/>
      <c r="EIB517" s="13"/>
      <c r="EIC517" s="193"/>
      <c r="EID517" s="379"/>
      <c r="EIE517" s="379"/>
      <c r="EIF517" s="379"/>
      <c r="EIG517" s="379"/>
      <c r="EIH517" s="379"/>
      <c r="EII517" s="13"/>
      <c r="EIJ517" s="13"/>
      <c r="EIK517" s="193"/>
      <c r="EIL517" s="379"/>
      <c r="EIM517" s="379"/>
      <c r="EIN517" s="379"/>
      <c r="EIO517" s="379"/>
      <c r="EIP517" s="379"/>
      <c r="EIQ517" s="13"/>
      <c r="EIR517" s="13"/>
      <c r="EIS517" s="193"/>
      <c r="EIT517" s="379"/>
      <c r="EIU517" s="379"/>
      <c r="EIV517" s="379"/>
      <c r="EIW517" s="379"/>
      <c r="EIX517" s="379"/>
      <c r="EIY517" s="13"/>
      <c r="EIZ517" s="13"/>
      <c r="EJA517" s="193"/>
      <c r="EJB517" s="379"/>
      <c r="EJC517" s="379"/>
      <c r="EJD517" s="379"/>
      <c r="EJE517" s="379"/>
      <c r="EJF517" s="379"/>
      <c r="EJG517" s="13"/>
      <c r="EJH517" s="13"/>
      <c r="EJI517" s="193"/>
      <c r="EJJ517" s="379"/>
      <c r="EJK517" s="379"/>
      <c r="EJL517" s="379"/>
      <c r="EJM517" s="379"/>
      <c r="EJN517" s="379"/>
      <c r="EJO517" s="13"/>
      <c r="EJP517" s="13"/>
      <c r="EJQ517" s="193"/>
      <c r="EJR517" s="379"/>
      <c r="EJS517" s="379"/>
      <c r="EJT517" s="379"/>
      <c r="EJU517" s="379"/>
      <c r="EJV517" s="379"/>
      <c r="EJW517" s="13"/>
      <c r="EJX517" s="13"/>
      <c r="EJY517" s="193"/>
      <c r="EJZ517" s="379"/>
      <c r="EKA517" s="379"/>
      <c r="EKB517" s="379"/>
      <c r="EKC517" s="379"/>
      <c r="EKD517" s="379"/>
      <c r="EKE517" s="13"/>
      <c r="EKF517" s="13"/>
      <c r="EKG517" s="193"/>
      <c r="EKH517" s="379"/>
      <c r="EKI517" s="379"/>
      <c r="EKJ517" s="379"/>
      <c r="EKK517" s="379"/>
      <c r="EKL517" s="379"/>
      <c r="EKM517" s="13"/>
      <c r="EKN517" s="13"/>
      <c r="EKO517" s="193"/>
      <c r="EKP517" s="379"/>
      <c r="EKQ517" s="379"/>
      <c r="EKR517" s="379"/>
      <c r="EKS517" s="379"/>
      <c r="EKT517" s="379"/>
      <c r="EKU517" s="13"/>
      <c r="EKV517" s="13"/>
      <c r="EKW517" s="193"/>
      <c r="EKX517" s="379"/>
      <c r="EKY517" s="379"/>
      <c r="EKZ517" s="379"/>
      <c r="ELA517" s="379"/>
      <c r="ELB517" s="379"/>
      <c r="ELC517" s="13"/>
      <c r="ELD517" s="13"/>
      <c r="ELE517" s="193"/>
      <c r="ELF517" s="379"/>
      <c r="ELG517" s="379"/>
      <c r="ELH517" s="379"/>
      <c r="ELI517" s="379"/>
      <c r="ELJ517" s="379"/>
      <c r="ELK517" s="13"/>
      <c r="ELL517" s="13"/>
      <c r="ELM517" s="193"/>
      <c r="ELN517" s="379"/>
      <c r="ELO517" s="379"/>
      <c r="ELP517" s="379"/>
      <c r="ELQ517" s="379"/>
      <c r="ELR517" s="379"/>
      <c r="ELS517" s="13"/>
      <c r="ELT517" s="13"/>
      <c r="ELU517" s="193"/>
      <c r="ELV517" s="379"/>
      <c r="ELW517" s="379"/>
      <c r="ELX517" s="379"/>
      <c r="ELY517" s="379"/>
      <c r="ELZ517" s="379"/>
      <c r="EMA517" s="13"/>
      <c r="EMB517" s="13"/>
      <c r="EMC517" s="193"/>
      <c r="EMD517" s="379"/>
      <c r="EME517" s="379"/>
      <c r="EMF517" s="379"/>
      <c r="EMG517" s="379"/>
      <c r="EMH517" s="379"/>
      <c r="EMI517" s="13"/>
      <c r="EMJ517" s="13"/>
      <c r="EMK517" s="193"/>
      <c r="EML517" s="379"/>
      <c r="EMM517" s="379"/>
      <c r="EMN517" s="379"/>
      <c r="EMO517" s="379"/>
      <c r="EMP517" s="379"/>
      <c r="EMQ517" s="13"/>
      <c r="EMR517" s="13"/>
      <c r="EMS517" s="193"/>
      <c r="EMT517" s="379"/>
      <c r="EMU517" s="379"/>
      <c r="EMV517" s="379"/>
      <c r="EMW517" s="379"/>
      <c r="EMX517" s="379"/>
      <c r="EMY517" s="13"/>
      <c r="EMZ517" s="13"/>
      <c r="ENA517" s="193"/>
      <c r="ENB517" s="379"/>
      <c r="ENC517" s="379"/>
      <c r="END517" s="379"/>
      <c r="ENE517" s="379"/>
      <c r="ENF517" s="379"/>
      <c r="ENG517" s="13"/>
      <c r="ENH517" s="13"/>
      <c r="ENI517" s="193"/>
      <c r="ENJ517" s="379"/>
      <c r="ENK517" s="379"/>
      <c r="ENL517" s="379"/>
      <c r="ENM517" s="379"/>
      <c r="ENN517" s="379"/>
      <c r="ENO517" s="13"/>
      <c r="ENP517" s="13"/>
      <c r="ENQ517" s="193"/>
      <c r="ENR517" s="379"/>
      <c r="ENS517" s="379"/>
      <c r="ENT517" s="379"/>
      <c r="ENU517" s="379"/>
      <c r="ENV517" s="379"/>
      <c r="ENW517" s="13"/>
      <c r="ENX517" s="13"/>
      <c r="ENY517" s="193"/>
      <c r="ENZ517" s="379"/>
      <c r="EOA517" s="379"/>
      <c r="EOB517" s="379"/>
      <c r="EOC517" s="379"/>
      <c r="EOD517" s="379"/>
      <c r="EOE517" s="13"/>
      <c r="EOF517" s="13"/>
      <c r="EOG517" s="193"/>
      <c r="EOH517" s="379"/>
      <c r="EOI517" s="379"/>
      <c r="EOJ517" s="379"/>
      <c r="EOK517" s="379"/>
      <c r="EOL517" s="379"/>
      <c r="EOM517" s="13"/>
      <c r="EON517" s="13"/>
      <c r="EOO517" s="193"/>
      <c r="EOP517" s="379"/>
      <c r="EOQ517" s="379"/>
      <c r="EOR517" s="379"/>
      <c r="EOS517" s="379"/>
      <c r="EOT517" s="379"/>
      <c r="EOU517" s="13"/>
      <c r="EOV517" s="13"/>
      <c r="EOW517" s="193"/>
      <c r="EOX517" s="379"/>
      <c r="EOY517" s="379"/>
      <c r="EOZ517" s="379"/>
      <c r="EPA517" s="379"/>
      <c r="EPB517" s="379"/>
      <c r="EPC517" s="13"/>
      <c r="EPD517" s="13"/>
      <c r="EPE517" s="193"/>
      <c r="EPF517" s="379"/>
      <c r="EPG517" s="379"/>
      <c r="EPH517" s="379"/>
      <c r="EPI517" s="379"/>
      <c r="EPJ517" s="379"/>
      <c r="EPK517" s="13"/>
      <c r="EPL517" s="13"/>
      <c r="EPM517" s="193"/>
      <c r="EPN517" s="379"/>
      <c r="EPO517" s="379"/>
      <c r="EPP517" s="379"/>
      <c r="EPQ517" s="379"/>
      <c r="EPR517" s="379"/>
      <c r="EPS517" s="13"/>
      <c r="EPT517" s="13"/>
      <c r="EPU517" s="193"/>
      <c r="EPV517" s="379"/>
      <c r="EPW517" s="379"/>
      <c r="EPX517" s="379"/>
      <c r="EPY517" s="379"/>
      <c r="EPZ517" s="379"/>
      <c r="EQA517" s="13"/>
      <c r="EQB517" s="13"/>
      <c r="EQC517" s="193"/>
      <c r="EQD517" s="379"/>
      <c r="EQE517" s="379"/>
      <c r="EQF517" s="379"/>
      <c r="EQG517" s="379"/>
      <c r="EQH517" s="379"/>
      <c r="EQI517" s="13"/>
      <c r="EQJ517" s="13"/>
      <c r="EQK517" s="193"/>
      <c r="EQL517" s="379"/>
      <c r="EQM517" s="379"/>
      <c r="EQN517" s="379"/>
      <c r="EQO517" s="379"/>
      <c r="EQP517" s="379"/>
      <c r="EQQ517" s="13"/>
      <c r="EQR517" s="13"/>
      <c r="EQS517" s="193"/>
      <c r="EQT517" s="379"/>
      <c r="EQU517" s="379"/>
      <c r="EQV517" s="379"/>
      <c r="EQW517" s="379"/>
      <c r="EQX517" s="379"/>
      <c r="EQY517" s="13"/>
      <c r="EQZ517" s="13"/>
      <c r="ERA517" s="193"/>
      <c r="ERB517" s="379"/>
      <c r="ERC517" s="379"/>
      <c r="ERD517" s="379"/>
      <c r="ERE517" s="379"/>
      <c r="ERF517" s="379"/>
      <c r="ERG517" s="13"/>
      <c r="ERH517" s="13"/>
      <c r="ERI517" s="193"/>
      <c r="ERJ517" s="379"/>
      <c r="ERK517" s="379"/>
      <c r="ERL517" s="379"/>
      <c r="ERM517" s="379"/>
      <c r="ERN517" s="379"/>
      <c r="ERO517" s="13"/>
      <c r="ERP517" s="13"/>
      <c r="ERQ517" s="193"/>
      <c r="ERR517" s="379"/>
      <c r="ERS517" s="379"/>
      <c r="ERT517" s="379"/>
      <c r="ERU517" s="379"/>
      <c r="ERV517" s="379"/>
      <c r="ERW517" s="13"/>
      <c r="ERX517" s="13"/>
      <c r="ERY517" s="193"/>
      <c r="ERZ517" s="379"/>
      <c r="ESA517" s="379"/>
      <c r="ESB517" s="379"/>
      <c r="ESC517" s="379"/>
      <c r="ESD517" s="379"/>
      <c r="ESE517" s="13"/>
      <c r="ESF517" s="13"/>
      <c r="ESG517" s="193"/>
      <c r="ESH517" s="379"/>
      <c r="ESI517" s="379"/>
      <c r="ESJ517" s="379"/>
      <c r="ESK517" s="379"/>
      <c r="ESL517" s="379"/>
      <c r="ESM517" s="13"/>
      <c r="ESN517" s="13"/>
      <c r="ESO517" s="193"/>
      <c r="ESP517" s="379"/>
      <c r="ESQ517" s="379"/>
      <c r="ESR517" s="379"/>
      <c r="ESS517" s="379"/>
      <c r="EST517" s="379"/>
      <c r="ESU517" s="13"/>
      <c r="ESV517" s="13"/>
      <c r="ESW517" s="193"/>
      <c r="ESX517" s="379"/>
      <c r="ESY517" s="379"/>
      <c r="ESZ517" s="379"/>
      <c r="ETA517" s="379"/>
      <c r="ETB517" s="379"/>
      <c r="ETC517" s="13"/>
      <c r="ETD517" s="13"/>
      <c r="ETE517" s="193"/>
      <c r="ETF517" s="379"/>
      <c r="ETG517" s="379"/>
      <c r="ETH517" s="379"/>
      <c r="ETI517" s="379"/>
      <c r="ETJ517" s="379"/>
      <c r="ETK517" s="13"/>
      <c r="ETL517" s="13"/>
      <c r="ETM517" s="193"/>
      <c r="ETN517" s="379"/>
      <c r="ETO517" s="379"/>
      <c r="ETP517" s="379"/>
      <c r="ETQ517" s="379"/>
      <c r="ETR517" s="379"/>
      <c r="ETS517" s="13"/>
      <c r="ETT517" s="13"/>
      <c r="ETU517" s="193"/>
      <c r="ETV517" s="379"/>
      <c r="ETW517" s="379"/>
      <c r="ETX517" s="379"/>
      <c r="ETY517" s="379"/>
      <c r="ETZ517" s="379"/>
      <c r="EUA517" s="13"/>
      <c r="EUB517" s="13"/>
      <c r="EUC517" s="193"/>
      <c r="EUD517" s="379"/>
      <c r="EUE517" s="379"/>
      <c r="EUF517" s="379"/>
      <c r="EUG517" s="379"/>
      <c r="EUH517" s="379"/>
      <c r="EUI517" s="13"/>
      <c r="EUJ517" s="13"/>
      <c r="EUK517" s="193"/>
      <c r="EUL517" s="379"/>
      <c r="EUM517" s="379"/>
      <c r="EUN517" s="379"/>
      <c r="EUO517" s="379"/>
      <c r="EUP517" s="379"/>
      <c r="EUQ517" s="13"/>
      <c r="EUR517" s="13"/>
      <c r="EUS517" s="193"/>
      <c r="EUT517" s="379"/>
      <c r="EUU517" s="379"/>
      <c r="EUV517" s="379"/>
      <c r="EUW517" s="379"/>
      <c r="EUX517" s="379"/>
      <c r="EUY517" s="13"/>
      <c r="EUZ517" s="13"/>
      <c r="EVA517" s="193"/>
      <c r="EVB517" s="379"/>
      <c r="EVC517" s="379"/>
      <c r="EVD517" s="379"/>
      <c r="EVE517" s="379"/>
      <c r="EVF517" s="379"/>
      <c r="EVG517" s="13"/>
      <c r="EVH517" s="13"/>
      <c r="EVI517" s="193"/>
      <c r="EVJ517" s="379"/>
      <c r="EVK517" s="379"/>
      <c r="EVL517" s="379"/>
      <c r="EVM517" s="379"/>
      <c r="EVN517" s="379"/>
      <c r="EVO517" s="13"/>
      <c r="EVP517" s="13"/>
      <c r="EVQ517" s="193"/>
      <c r="EVR517" s="379"/>
      <c r="EVS517" s="379"/>
      <c r="EVT517" s="379"/>
      <c r="EVU517" s="379"/>
      <c r="EVV517" s="379"/>
      <c r="EVW517" s="13"/>
      <c r="EVX517" s="13"/>
      <c r="EVY517" s="193"/>
      <c r="EVZ517" s="379"/>
      <c r="EWA517" s="379"/>
      <c r="EWB517" s="379"/>
      <c r="EWC517" s="379"/>
      <c r="EWD517" s="379"/>
      <c r="EWE517" s="13"/>
      <c r="EWF517" s="13"/>
      <c r="EWG517" s="193"/>
      <c r="EWH517" s="379"/>
      <c r="EWI517" s="379"/>
      <c r="EWJ517" s="379"/>
      <c r="EWK517" s="379"/>
      <c r="EWL517" s="379"/>
      <c r="EWM517" s="13"/>
      <c r="EWN517" s="13"/>
      <c r="EWO517" s="193"/>
      <c r="EWP517" s="379"/>
      <c r="EWQ517" s="379"/>
      <c r="EWR517" s="379"/>
      <c r="EWS517" s="379"/>
      <c r="EWT517" s="379"/>
      <c r="EWU517" s="13"/>
      <c r="EWV517" s="13"/>
      <c r="EWW517" s="193"/>
      <c r="EWX517" s="379"/>
      <c r="EWY517" s="379"/>
      <c r="EWZ517" s="379"/>
      <c r="EXA517" s="379"/>
      <c r="EXB517" s="379"/>
      <c r="EXC517" s="13"/>
      <c r="EXD517" s="13"/>
      <c r="EXE517" s="193"/>
      <c r="EXF517" s="379"/>
      <c r="EXG517" s="379"/>
      <c r="EXH517" s="379"/>
      <c r="EXI517" s="379"/>
      <c r="EXJ517" s="379"/>
      <c r="EXK517" s="13"/>
      <c r="EXL517" s="13"/>
      <c r="EXM517" s="193"/>
      <c r="EXN517" s="379"/>
      <c r="EXO517" s="379"/>
      <c r="EXP517" s="379"/>
      <c r="EXQ517" s="379"/>
      <c r="EXR517" s="379"/>
      <c r="EXS517" s="13"/>
      <c r="EXT517" s="13"/>
      <c r="EXU517" s="193"/>
      <c r="EXV517" s="379"/>
      <c r="EXW517" s="379"/>
      <c r="EXX517" s="379"/>
      <c r="EXY517" s="379"/>
      <c r="EXZ517" s="379"/>
      <c r="EYA517" s="13"/>
      <c r="EYB517" s="13"/>
      <c r="EYC517" s="193"/>
      <c r="EYD517" s="379"/>
      <c r="EYE517" s="379"/>
      <c r="EYF517" s="379"/>
      <c r="EYG517" s="379"/>
      <c r="EYH517" s="379"/>
      <c r="EYI517" s="13"/>
      <c r="EYJ517" s="13"/>
      <c r="EYK517" s="193"/>
      <c r="EYL517" s="379"/>
      <c r="EYM517" s="379"/>
      <c r="EYN517" s="379"/>
      <c r="EYO517" s="379"/>
      <c r="EYP517" s="379"/>
      <c r="EYQ517" s="13"/>
      <c r="EYR517" s="13"/>
      <c r="EYS517" s="193"/>
      <c r="EYT517" s="379"/>
      <c r="EYU517" s="379"/>
      <c r="EYV517" s="379"/>
      <c r="EYW517" s="379"/>
      <c r="EYX517" s="379"/>
      <c r="EYY517" s="13"/>
      <c r="EYZ517" s="13"/>
      <c r="EZA517" s="193"/>
      <c r="EZB517" s="379"/>
      <c r="EZC517" s="379"/>
      <c r="EZD517" s="379"/>
      <c r="EZE517" s="379"/>
      <c r="EZF517" s="379"/>
      <c r="EZG517" s="13"/>
      <c r="EZH517" s="13"/>
      <c r="EZI517" s="193"/>
      <c r="EZJ517" s="379"/>
      <c r="EZK517" s="379"/>
      <c r="EZL517" s="379"/>
      <c r="EZM517" s="379"/>
      <c r="EZN517" s="379"/>
      <c r="EZO517" s="13"/>
      <c r="EZP517" s="13"/>
      <c r="EZQ517" s="193"/>
      <c r="EZR517" s="379"/>
      <c r="EZS517" s="379"/>
      <c r="EZT517" s="379"/>
      <c r="EZU517" s="379"/>
      <c r="EZV517" s="379"/>
      <c r="EZW517" s="13"/>
      <c r="EZX517" s="13"/>
      <c r="EZY517" s="193"/>
      <c r="EZZ517" s="379"/>
      <c r="FAA517" s="379"/>
      <c r="FAB517" s="379"/>
      <c r="FAC517" s="379"/>
      <c r="FAD517" s="379"/>
      <c r="FAE517" s="13"/>
      <c r="FAF517" s="13"/>
      <c r="FAG517" s="193"/>
      <c r="FAH517" s="379"/>
      <c r="FAI517" s="379"/>
      <c r="FAJ517" s="379"/>
      <c r="FAK517" s="379"/>
      <c r="FAL517" s="379"/>
      <c r="FAM517" s="13"/>
      <c r="FAN517" s="13"/>
      <c r="FAO517" s="193"/>
      <c r="FAP517" s="379"/>
      <c r="FAQ517" s="379"/>
      <c r="FAR517" s="379"/>
      <c r="FAS517" s="379"/>
      <c r="FAT517" s="379"/>
      <c r="FAU517" s="13"/>
      <c r="FAV517" s="13"/>
      <c r="FAW517" s="193"/>
      <c r="FAX517" s="379"/>
      <c r="FAY517" s="379"/>
      <c r="FAZ517" s="379"/>
      <c r="FBA517" s="379"/>
      <c r="FBB517" s="379"/>
      <c r="FBC517" s="13"/>
      <c r="FBD517" s="13"/>
      <c r="FBE517" s="193"/>
      <c r="FBF517" s="379"/>
      <c r="FBG517" s="379"/>
      <c r="FBH517" s="379"/>
      <c r="FBI517" s="379"/>
      <c r="FBJ517" s="379"/>
      <c r="FBK517" s="13"/>
      <c r="FBL517" s="13"/>
      <c r="FBM517" s="193"/>
      <c r="FBN517" s="379"/>
      <c r="FBO517" s="379"/>
      <c r="FBP517" s="379"/>
      <c r="FBQ517" s="379"/>
      <c r="FBR517" s="379"/>
      <c r="FBS517" s="13"/>
      <c r="FBT517" s="13"/>
      <c r="FBU517" s="193"/>
      <c r="FBV517" s="379"/>
      <c r="FBW517" s="379"/>
      <c r="FBX517" s="379"/>
      <c r="FBY517" s="379"/>
      <c r="FBZ517" s="379"/>
      <c r="FCA517" s="13"/>
      <c r="FCB517" s="13"/>
      <c r="FCC517" s="193"/>
      <c r="FCD517" s="379"/>
      <c r="FCE517" s="379"/>
      <c r="FCF517" s="379"/>
      <c r="FCG517" s="379"/>
      <c r="FCH517" s="379"/>
      <c r="FCI517" s="13"/>
      <c r="FCJ517" s="13"/>
      <c r="FCK517" s="193"/>
      <c r="FCL517" s="379"/>
      <c r="FCM517" s="379"/>
      <c r="FCN517" s="379"/>
      <c r="FCO517" s="379"/>
      <c r="FCP517" s="379"/>
      <c r="FCQ517" s="13"/>
      <c r="FCR517" s="13"/>
      <c r="FCS517" s="193"/>
      <c r="FCT517" s="379"/>
      <c r="FCU517" s="379"/>
      <c r="FCV517" s="379"/>
      <c r="FCW517" s="379"/>
      <c r="FCX517" s="379"/>
      <c r="FCY517" s="13"/>
      <c r="FCZ517" s="13"/>
      <c r="FDA517" s="193"/>
      <c r="FDB517" s="379"/>
      <c r="FDC517" s="379"/>
      <c r="FDD517" s="379"/>
      <c r="FDE517" s="379"/>
      <c r="FDF517" s="379"/>
      <c r="FDG517" s="13"/>
      <c r="FDH517" s="13"/>
      <c r="FDI517" s="193"/>
      <c r="FDJ517" s="379"/>
      <c r="FDK517" s="379"/>
      <c r="FDL517" s="379"/>
      <c r="FDM517" s="379"/>
      <c r="FDN517" s="379"/>
      <c r="FDO517" s="13"/>
      <c r="FDP517" s="13"/>
      <c r="FDQ517" s="193"/>
      <c r="FDR517" s="379"/>
      <c r="FDS517" s="379"/>
      <c r="FDT517" s="379"/>
      <c r="FDU517" s="379"/>
      <c r="FDV517" s="379"/>
      <c r="FDW517" s="13"/>
      <c r="FDX517" s="13"/>
      <c r="FDY517" s="193"/>
      <c r="FDZ517" s="379"/>
      <c r="FEA517" s="379"/>
      <c r="FEB517" s="379"/>
      <c r="FEC517" s="379"/>
      <c r="FED517" s="379"/>
      <c r="FEE517" s="13"/>
      <c r="FEF517" s="13"/>
      <c r="FEG517" s="193"/>
      <c r="FEH517" s="379"/>
      <c r="FEI517" s="379"/>
      <c r="FEJ517" s="379"/>
      <c r="FEK517" s="379"/>
      <c r="FEL517" s="379"/>
      <c r="FEM517" s="13"/>
      <c r="FEN517" s="13"/>
      <c r="FEO517" s="193"/>
      <c r="FEP517" s="379"/>
      <c r="FEQ517" s="379"/>
      <c r="FER517" s="379"/>
      <c r="FES517" s="379"/>
      <c r="FET517" s="379"/>
      <c r="FEU517" s="13"/>
      <c r="FEV517" s="13"/>
      <c r="FEW517" s="193"/>
      <c r="FEX517" s="379"/>
      <c r="FEY517" s="379"/>
      <c r="FEZ517" s="379"/>
      <c r="FFA517" s="379"/>
      <c r="FFB517" s="379"/>
      <c r="FFC517" s="13"/>
      <c r="FFD517" s="13"/>
      <c r="FFE517" s="193"/>
      <c r="FFF517" s="379"/>
      <c r="FFG517" s="379"/>
      <c r="FFH517" s="379"/>
      <c r="FFI517" s="379"/>
      <c r="FFJ517" s="379"/>
      <c r="FFK517" s="13"/>
      <c r="FFL517" s="13"/>
      <c r="FFM517" s="193"/>
      <c r="FFN517" s="379"/>
      <c r="FFO517" s="379"/>
      <c r="FFP517" s="379"/>
      <c r="FFQ517" s="379"/>
      <c r="FFR517" s="379"/>
      <c r="FFS517" s="13"/>
      <c r="FFT517" s="13"/>
      <c r="FFU517" s="193"/>
      <c r="FFV517" s="379"/>
      <c r="FFW517" s="379"/>
      <c r="FFX517" s="379"/>
      <c r="FFY517" s="379"/>
      <c r="FFZ517" s="379"/>
      <c r="FGA517" s="13"/>
      <c r="FGB517" s="13"/>
      <c r="FGC517" s="193"/>
      <c r="FGD517" s="379"/>
      <c r="FGE517" s="379"/>
      <c r="FGF517" s="379"/>
      <c r="FGG517" s="379"/>
      <c r="FGH517" s="379"/>
      <c r="FGI517" s="13"/>
      <c r="FGJ517" s="13"/>
      <c r="FGK517" s="193"/>
      <c r="FGL517" s="379"/>
      <c r="FGM517" s="379"/>
      <c r="FGN517" s="379"/>
      <c r="FGO517" s="379"/>
      <c r="FGP517" s="379"/>
      <c r="FGQ517" s="13"/>
      <c r="FGR517" s="13"/>
      <c r="FGS517" s="193"/>
      <c r="FGT517" s="379"/>
      <c r="FGU517" s="379"/>
      <c r="FGV517" s="379"/>
      <c r="FGW517" s="379"/>
      <c r="FGX517" s="379"/>
      <c r="FGY517" s="13"/>
      <c r="FGZ517" s="13"/>
      <c r="FHA517" s="193"/>
      <c r="FHB517" s="379"/>
      <c r="FHC517" s="379"/>
      <c r="FHD517" s="379"/>
      <c r="FHE517" s="379"/>
      <c r="FHF517" s="379"/>
      <c r="FHG517" s="13"/>
      <c r="FHH517" s="13"/>
      <c r="FHI517" s="193"/>
      <c r="FHJ517" s="379"/>
      <c r="FHK517" s="379"/>
      <c r="FHL517" s="379"/>
      <c r="FHM517" s="379"/>
      <c r="FHN517" s="379"/>
      <c r="FHO517" s="13"/>
      <c r="FHP517" s="13"/>
      <c r="FHQ517" s="193"/>
      <c r="FHR517" s="379"/>
      <c r="FHS517" s="379"/>
      <c r="FHT517" s="379"/>
      <c r="FHU517" s="379"/>
      <c r="FHV517" s="379"/>
      <c r="FHW517" s="13"/>
      <c r="FHX517" s="13"/>
      <c r="FHY517" s="193"/>
      <c r="FHZ517" s="379"/>
      <c r="FIA517" s="379"/>
      <c r="FIB517" s="379"/>
      <c r="FIC517" s="379"/>
      <c r="FID517" s="379"/>
      <c r="FIE517" s="13"/>
      <c r="FIF517" s="13"/>
      <c r="FIG517" s="193"/>
      <c r="FIH517" s="379"/>
      <c r="FII517" s="379"/>
      <c r="FIJ517" s="379"/>
      <c r="FIK517" s="379"/>
      <c r="FIL517" s="379"/>
      <c r="FIM517" s="13"/>
      <c r="FIN517" s="13"/>
      <c r="FIO517" s="193"/>
      <c r="FIP517" s="379"/>
      <c r="FIQ517" s="379"/>
      <c r="FIR517" s="379"/>
      <c r="FIS517" s="379"/>
      <c r="FIT517" s="379"/>
      <c r="FIU517" s="13"/>
      <c r="FIV517" s="13"/>
      <c r="FIW517" s="193"/>
      <c r="FIX517" s="379"/>
      <c r="FIY517" s="379"/>
      <c r="FIZ517" s="379"/>
      <c r="FJA517" s="379"/>
      <c r="FJB517" s="379"/>
      <c r="FJC517" s="13"/>
      <c r="FJD517" s="13"/>
      <c r="FJE517" s="193"/>
      <c r="FJF517" s="379"/>
      <c r="FJG517" s="379"/>
      <c r="FJH517" s="379"/>
      <c r="FJI517" s="379"/>
      <c r="FJJ517" s="379"/>
      <c r="FJK517" s="13"/>
      <c r="FJL517" s="13"/>
      <c r="FJM517" s="193"/>
      <c r="FJN517" s="379"/>
      <c r="FJO517" s="379"/>
      <c r="FJP517" s="379"/>
      <c r="FJQ517" s="379"/>
      <c r="FJR517" s="379"/>
      <c r="FJS517" s="13"/>
      <c r="FJT517" s="13"/>
      <c r="FJU517" s="193"/>
      <c r="FJV517" s="379"/>
      <c r="FJW517" s="379"/>
      <c r="FJX517" s="379"/>
      <c r="FJY517" s="379"/>
      <c r="FJZ517" s="379"/>
      <c r="FKA517" s="13"/>
      <c r="FKB517" s="13"/>
      <c r="FKC517" s="193"/>
      <c r="FKD517" s="379"/>
      <c r="FKE517" s="379"/>
      <c r="FKF517" s="379"/>
      <c r="FKG517" s="379"/>
      <c r="FKH517" s="379"/>
      <c r="FKI517" s="13"/>
      <c r="FKJ517" s="13"/>
      <c r="FKK517" s="193"/>
      <c r="FKL517" s="379"/>
      <c r="FKM517" s="379"/>
      <c r="FKN517" s="379"/>
      <c r="FKO517" s="379"/>
      <c r="FKP517" s="379"/>
      <c r="FKQ517" s="13"/>
      <c r="FKR517" s="13"/>
      <c r="FKS517" s="193"/>
      <c r="FKT517" s="379"/>
      <c r="FKU517" s="379"/>
      <c r="FKV517" s="379"/>
      <c r="FKW517" s="379"/>
      <c r="FKX517" s="379"/>
      <c r="FKY517" s="13"/>
      <c r="FKZ517" s="13"/>
      <c r="FLA517" s="193"/>
      <c r="FLB517" s="379"/>
      <c r="FLC517" s="379"/>
      <c r="FLD517" s="379"/>
      <c r="FLE517" s="379"/>
      <c r="FLF517" s="379"/>
      <c r="FLG517" s="13"/>
      <c r="FLH517" s="13"/>
      <c r="FLI517" s="193"/>
      <c r="FLJ517" s="379"/>
      <c r="FLK517" s="379"/>
      <c r="FLL517" s="379"/>
      <c r="FLM517" s="379"/>
      <c r="FLN517" s="379"/>
      <c r="FLO517" s="13"/>
      <c r="FLP517" s="13"/>
      <c r="FLQ517" s="193"/>
      <c r="FLR517" s="379"/>
      <c r="FLS517" s="379"/>
      <c r="FLT517" s="379"/>
      <c r="FLU517" s="379"/>
      <c r="FLV517" s="379"/>
      <c r="FLW517" s="13"/>
      <c r="FLX517" s="13"/>
      <c r="FLY517" s="193"/>
      <c r="FLZ517" s="379"/>
      <c r="FMA517" s="379"/>
      <c r="FMB517" s="379"/>
      <c r="FMC517" s="379"/>
      <c r="FMD517" s="379"/>
      <c r="FME517" s="13"/>
      <c r="FMF517" s="13"/>
      <c r="FMG517" s="193"/>
      <c r="FMH517" s="379"/>
      <c r="FMI517" s="379"/>
      <c r="FMJ517" s="379"/>
      <c r="FMK517" s="379"/>
      <c r="FML517" s="379"/>
      <c r="FMM517" s="13"/>
      <c r="FMN517" s="13"/>
      <c r="FMO517" s="193"/>
      <c r="FMP517" s="379"/>
      <c r="FMQ517" s="379"/>
      <c r="FMR517" s="379"/>
      <c r="FMS517" s="379"/>
      <c r="FMT517" s="379"/>
      <c r="FMU517" s="13"/>
      <c r="FMV517" s="13"/>
      <c r="FMW517" s="193"/>
      <c r="FMX517" s="379"/>
      <c r="FMY517" s="379"/>
      <c r="FMZ517" s="379"/>
      <c r="FNA517" s="379"/>
      <c r="FNB517" s="379"/>
      <c r="FNC517" s="13"/>
      <c r="FND517" s="13"/>
      <c r="FNE517" s="193"/>
      <c r="FNF517" s="379"/>
      <c r="FNG517" s="379"/>
      <c r="FNH517" s="379"/>
      <c r="FNI517" s="379"/>
      <c r="FNJ517" s="379"/>
      <c r="FNK517" s="13"/>
      <c r="FNL517" s="13"/>
      <c r="FNM517" s="193"/>
      <c r="FNN517" s="379"/>
      <c r="FNO517" s="379"/>
      <c r="FNP517" s="379"/>
      <c r="FNQ517" s="379"/>
      <c r="FNR517" s="379"/>
      <c r="FNS517" s="13"/>
      <c r="FNT517" s="13"/>
      <c r="FNU517" s="193"/>
      <c r="FNV517" s="379"/>
      <c r="FNW517" s="379"/>
      <c r="FNX517" s="379"/>
      <c r="FNY517" s="379"/>
      <c r="FNZ517" s="379"/>
      <c r="FOA517" s="13"/>
      <c r="FOB517" s="13"/>
      <c r="FOC517" s="193"/>
      <c r="FOD517" s="379"/>
      <c r="FOE517" s="379"/>
      <c r="FOF517" s="379"/>
      <c r="FOG517" s="379"/>
      <c r="FOH517" s="379"/>
      <c r="FOI517" s="13"/>
      <c r="FOJ517" s="13"/>
      <c r="FOK517" s="193"/>
      <c r="FOL517" s="379"/>
      <c r="FOM517" s="379"/>
      <c r="FON517" s="379"/>
      <c r="FOO517" s="379"/>
      <c r="FOP517" s="379"/>
      <c r="FOQ517" s="13"/>
      <c r="FOR517" s="13"/>
      <c r="FOS517" s="193"/>
      <c r="FOT517" s="379"/>
      <c r="FOU517" s="379"/>
      <c r="FOV517" s="379"/>
      <c r="FOW517" s="379"/>
      <c r="FOX517" s="379"/>
      <c r="FOY517" s="13"/>
      <c r="FOZ517" s="13"/>
      <c r="FPA517" s="193"/>
      <c r="FPB517" s="379"/>
      <c r="FPC517" s="379"/>
      <c r="FPD517" s="379"/>
      <c r="FPE517" s="379"/>
      <c r="FPF517" s="379"/>
      <c r="FPG517" s="13"/>
      <c r="FPH517" s="13"/>
      <c r="FPI517" s="193"/>
      <c r="FPJ517" s="379"/>
      <c r="FPK517" s="379"/>
      <c r="FPL517" s="379"/>
      <c r="FPM517" s="379"/>
      <c r="FPN517" s="379"/>
      <c r="FPO517" s="13"/>
      <c r="FPP517" s="13"/>
      <c r="FPQ517" s="193"/>
      <c r="FPR517" s="379"/>
      <c r="FPS517" s="379"/>
      <c r="FPT517" s="379"/>
      <c r="FPU517" s="379"/>
      <c r="FPV517" s="379"/>
      <c r="FPW517" s="13"/>
      <c r="FPX517" s="13"/>
      <c r="FPY517" s="193"/>
      <c r="FPZ517" s="379"/>
      <c r="FQA517" s="379"/>
      <c r="FQB517" s="379"/>
      <c r="FQC517" s="379"/>
      <c r="FQD517" s="379"/>
      <c r="FQE517" s="13"/>
      <c r="FQF517" s="13"/>
      <c r="FQG517" s="193"/>
      <c r="FQH517" s="379"/>
      <c r="FQI517" s="379"/>
      <c r="FQJ517" s="379"/>
      <c r="FQK517" s="379"/>
      <c r="FQL517" s="379"/>
      <c r="FQM517" s="13"/>
      <c r="FQN517" s="13"/>
      <c r="FQO517" s="193"/>
      <c r="FQP517" s="379"/>
      <c r="FQQ517" s="379"/>
      <c r="FQR517" s="379"/>
      <c r="FQS517" s="379"/>
      <c r="FQT517" s="379"/>
      <c r="FQU517" s="13"/>
      <c r="FQV517" s="13"/>
      <c r="FQW517" s="193"/>
      <c r="FQX517" s="379"/>
      <c r="FQY517" s="379"/>
      <c r="FQZ517" s="379"/>
      <c r="FRA517" s="379"/>
      <c r="FRB517" s="379"/>
      <c r="FRC517" s="13"/>
      <c r="FRD517" s="13"/>
      <c r="FRE517" s="193"/>
      <c r="FRF517" s="379"/>
      <c r="FRG517" s="379"/>
      <c r="FRH517" s="379"/>
      <c r="FRI517" s="379"/>
      <c r="FRJ517" s="379"/>
      <c r="FRK517" s="13"/>
      <c r="FRL517" s="13"/>
      <c r="FRM517" s="193"/>
      <c r="FRN517" s="379"/>
      <c r="FRO517" s="379"/>
      <c r="FRP517" s="379"/>
      <c r="FRQ517" s="379"/>
      <c r="FRR517" s="379"/>
      <c r="FRS517" s="13"/>
      <c r="FRT517" s="13"/>
      <c r="FRU517" s="193"/>
      <c r="FRV517" s="379"/>
      <c r="FRW517" s="379"/>
      <c r="FRX517" s="379"/>
      <c r="FRY517" s="379"/>
      <c r="FRZ517" s="379"/>
      <c r="FSA517" s="13"/>
      <c r="FSB517" s="13"/>
      <c r="FSC517" s="193"/>
      <c r="FSD517" s="379"/>
      <c r="FSE517" s="379"/>
      <c r="FSF517" s="379"/>
      <c r="FSG517" s="379"/>
      <c r="FSH517" s="379"/>
      <c r="FSI517" s="13"/>
      <c r="FSJ517" s="13"/>
      <c r="FSK517" s="193"/>
      <c r="FSL517" s="379"/>
      <c r="FSM517" s="379"/>
      <c r="FSN517" s="379"/>
      <c r="FSO517" s="379"/>
      <c r="FSP517" s="379"/>
      <c r="FSQ517" s="13"/>
      <c r="FSR517" s="13"/>
      <c r="FSS517" s="193"/>
      <c r="FST517" s="379"/>
      <c r="FSU517" s="379"/>
      <c r="FSV517" s="379"/>
      <c r="FSW517" s="379"/>
      <c r="FSX517" s="379"/>
      <c r="FSY517" s="13"/>
      <c r="FSZ517" s="13"/>
      <c r="FTA517" s="193"/>
      <c r="FTB517" s="379"/>
      <c r="FTC517" s="379"/>
      <c r="FTD517" s="379"/>
      <c r="FTE517" s="379"/>
      <c r="FTF517" s="379"/>
      <c r="FTG517" s="13"/>
      <c r="FTH517" s="13"/>
      <c r="FTI517" s="193"/>
      <c r="FTJ517" s="379"/>
      <c r="FTK517" s="379"/>
      <c r="FTL517" s="379"/>
      <c r="FTM517" s="379"/>
      <c r="FTN517" s="379"/>
      <c r="FTO517" s="13"/>
      <c r="FTP517" s="13"/>
      <c r="FTQ517" s="193"/>
      <c r="FTR517" s="379"/>
      <c r="FTS517" s="379"/>
      <c r="FTT517" s="379"/>
      <c r="FTU517" s="379"/>
      <c r="FTV517" s="379"/>
      <c r="FTW517" s="13"/>
      <c r="FTX517" s="13"/>
      <c r="FTY517" s="193"/>
      <c r="FTZ517" s="379"/>
      <c r="FUA517" s="379"/>
      <c r="FUB517" s="379"/>
      <c r="FUC517" s="379"/>
      <c r="FUD517" s="379"/>
      <c r="FUE517" s="13"/>
      <c r="FUF517" s="13"/>
      <c r="FUG517" s="193"/>
      <c r="FUH517" s="379"/>
      <c r="FUI517" s="379"/>
      <c r="FUJ517" s="379"/>
      <c r="FUK517" s="379"/>
      <c r="FUL517" s="379"/>
      <c r="FUM517" s="13"/>
      <c r="FUN517" s="13"/>
      <c r="FUO517" s="193"/>
      <c r="FUP517" s="379"/>
      <c r="FUQ517" s="379"/>
      <c r="FUR517" s="379"/>
      <c r="FUS517" s="379"/>
      <c r="FUT517" s="379"/>
      <c r="FUU517" s="13"/>
      <c r="FUV517" s="13"/>
      <c r="FUW517" s="193"/>
      <c r="FUX517" s="379"/>
      <c r="FUY517" s="379"/>
      <c r="FUZ517" s="379"/>
      <c r="FVA517" s="379"/>
      <c r="FVB517" s="379"/>
      <c r="FVC517" s="13"/>
      <c r="FVD517" s="13"/>
      <c r="FVE517" s="193"/>
      <c r="FVF517" s="379"/>
      <c r="FVG517" s="379"/>
      <c r="FVH517" s="379"/>
      <c r="FVI517" s="379"/>
      <c r="FVJ517" s="379"/>
      <c r="FVK517" s="13"/>
      <c r="FVL517" s="13"/>
      <c r="FVM517" s="193"/>
      <c r="FVN517" s="379"/>
      <c r="FVO517" s="379"/>
      <c r="FVP517" s="379"/>
      <c r="FVQ517" s="379"/>
      <c r="FVR517" s="379"/>
      <c r="FVS517" s="13"/>
      <c r="FVT517" s="13"/>
      <c r="FVU517" s="193"/>
      <c r="FVV517" s="379"/>
      <c r="FVW517" s="379"/>
      <c r="FVX517" s="379"/>
      <c r="FVY517" s="379"/>
      <c r="FVZ517" s="379"/>
      <c r="FWA517" s="13"/>
      <c r="FWB517" s="13"/>
      <c r="FWC517" s="193"/>
      <c r="FWD517" s="379"/>
      <c r="FWE517" s="379"/>
      <c r="FWF517" s="379"/>
      <c r="FWG517" s="379"/>
      <c r="FWH517" s="379"/>
      <c r="FWI517" s="13"/>
      <c r="FWJ517" s="13"/>
      <c r="FWK517" s="193"/>
      <c r="FWL517" s="379"/>
      <c r="FWM517" s="379"/>
      <c r="FWN517" s="379"/>
      <c r="FWO517" s="379"/>
      <c r="FWP517" s="379"/>
      <c r="FWQ517" s="13"/>
      <c r="FWR517" s="13"/>
      <c r="FWS517" s="193"/>
      <c r="FWT517" s="379"/>
      <c r="FWU517" s="379"/>
      <c r="FWV517" s="379"/>
      <c r="FWW517" s="379"/>
      <c r="FWX517" s="379"/>
      <c r="FWY517" s="13"/>
      <c r="FWZ517" s="13"/>
      <c r="FXA517" s="193"/>
      <c r="FXB517" s="379"/>
      <c r="FXC517" s="379"/>
      <c r="FXD517" s="379"/>
      <c r="FXE517" s="379"/>
      <c r="FXF517" s="379"/>
      <c r="FXG517" s="13"/>
      <c r="FXH517" s="13"/>
      <c r="FXI517" s="193"/>
      <c r="FXJ517" s="379"/>
      <c r="FXK517" s="379"/>
      <c r="FXL517" s="379"/>
      <c r="FXM517" s="379"/>
      <c r="FXN517" s="379"/>
      <c r="FXO517" s="13"/>
      <c r="FXP517" s="13"/>
      <c r="FXQ517" s="193"/>
      <c r="FXR517" s="379"/>
      <c r="FXS517" s="379"/>
      <c r="FXT517" s="379"/>
      <c r="FXU517" s="379"/>
      <c r="FXV517" s="379"/>
      <c r="FXW517" s="13"/>
      <c r="FXX517" s="13"/>
      <c r="FXY517" s="193"/>
      <c r="FXZ517" s="379"/>
      <c r="FYA517" s="379"/>
      <c r="FYB517" s="379"/>
      <c r="FYC517" s="379"/>
      <c r="FYD517" s="379"/>
      <c r="FYE517" s="13"/>
      <c r="FYF517" s="13"/>
      <c r="FYG517" s="193"/>
      <c r="FYH517" s="379"/>
      <c r="FYI517" s="379"/>
      <c r="FYJ517" s="379"/>
      <c r="FYK517" s="379"/>
      <c r="FYL517" s="379"/>
      <c r="FYM517" s="13"/>
      <c r="FYN517" s="13"/>
      <c r="FYO517" s="193"/>
      <c r="FYP517" s="379"/>
      <c r="FYQ517" s="379"/>
      <c r="FYR517" s="379"/>
      <c r="FYS517" s="379"/>
      <c r="FYT517" s="379"/>
      <c r="FYU517" s="13"/>
      <c r="FYV517" s="13"/>
      <c r="FYW517" s="193"/>
      <c r="FYX517" s="379"/>
      <c r="FYY517" s="379"/>
      <c r="FYZ517" s="379"/>
      <c r="FZA517" s="379"/>
      <c r="FZB517" s="379"/>
      <c r="FZC517" s="13"/>
      <c r="FZD517" s="13"/>
      <c r="FZE517" s="193"/>
      <c r="FZF517" s="379"/>
      <c r="FZG517" s="379"/>
      <c r="FZH517" s="379"/>
      <c r="FZI517" s="379"/>
      <c r="FZJ517" s="379"/>
      <c r="FZK517" s="13"/>
      <c r="FZL517" s="13"/>
      <c r="FZM517" s="193"/>
      <c r="FZN517" s="379"/>
      <c r="FZO517" s="379"/>
      <c r="FZP517" s="379"/>
      <c r="FZQ517" s="379"/>
      <c r="FZR517" s="379"/>
      <c r="FZS517" s="13"/>
      <c r="FZT517" s="13"/>
      <c r="FZU517" s="193"/>
      <c r="FZV517" s="379"/>
      <c r="FZW517" s="379"/>
      <c r="FZX517" s="379"/>
      <c r="FZY517" s="379"/>
      <c r="FZZ517" s="379"/>
      <c r="GAA517" s="13"/>
      <c r="GAB517" s="13"/>
      <c r="GAC517" s="193"/>
      <c r="GAD517" s="379"/>
      <c r="GAE517" s="379"/>
      <c r="GAF517" s="379"/>
      <c r="GAG517" s="379"/>
      <c r="GAH517" s="379"/>
      <c r="GAI517" s="13"/>
      <c r="GAJ517" s="13"/>
      <c r="GAK517" s="193"/>
      <c r="GAL517" s="379"/>
      <c r="GAM517" s="379"/>
      <c r="GAN517" s="379"/>
      <c r="GAO517" s="379"/>
      <c r="GAP517" s="379"/>
      <c r="GAQ517" s="13"/>
      <c r="GAR517" s="13"/>
      <c r="GAS517" s="193"/>
      <c r="GAT517" s="379"/>
      <c r="GAU517" s="379"/>
      <c r="GAV517" s="379"/>
      <c r="GAW517" s="379"/>
      <c r="GAX517" s="379"/>
      <c r="GAY517" s="13"/>
      <c r="GAZ517" s="13"/>
      <c r="GBA517" s="193"/>
      <c r="GBB517" s="379"/>
      <c r="GBC517" s="379"/>
      <c r="GBD517" s="379"/>
      <c r="GBE517" s="379"/>
      <c r="GBF517" s="379"/>
      <c r="GBG517" s="13"/>
      <c r="GBH517" s="13"/>
      <c r="GBI517" s="193"/>
      <c r="GBJ517" s="379"/>
      <c r="GBK517" s="379"/>
      <c r="GBL517" s="379"/>
      <c r="GBM517" s="379"/>
      <c r="GBN517" s="379"/>
      <c r="GBO517" s="13"/>
      <c r="GBP517" s="13"/>
      <c r="GBQ517" s="193"/>
      <c r="GBR517" s="379"/>
      <c r="GBS517" s="379"/>
      <c r="GBT517" s="379"/>
      <c r="GBU517" s="379"/>
      <c r="GBV517" s="379"/>
      <c r="GBW517" s="13"/>
      <c r="GBX517" s="13"/>
      <c r="GBY517" s="193"/>
      <c r="GBZ517" s="379"/>
      <c r="GCA517" s="379"/>
      <c r="GCB517" s="379"/>
      <c r="GCC517" s="379"/>
      <c r="GCD517" s="379"/>
      <c r="GCE517" s="13"/>
      <c r="GCF517" s="13"/>
      <c r="GCG517" s="193"/>
      <c r="GCH517" s="379"/>
      <c r="GCI517" s="379"/>
      <c r="GCJ517" s="379"/>
      <c r="GCK517" s="379"/>
      <c r="GCL517" s="379"/>
      <c r="GCM517" s="13"/>
      <c r="GCN517" s="13"/>
      <c r="GCO517" s="193"/>
      <c r="GCP517" s="379"/>
      <c r="GCQ517" s="379"/>
      <c r="GCR517" s="379"/>
      <c r="GCS517" s="379"/>
      <c r="GCT517" s="379"/>
      <c r="GCU517" s="13"/>
      <c r="GCV517" s="13"/>
      <c r="GCW517" s="193"/>
      <c r="GCX517" s="379"/>
      <c r="GCY517" s="379"/>
      <c r="GCZ517" s="379"/>
      <c r="GDA517" s="379"/>
      <c r="GDB517" s="379"/>
      <c r="GDC517" s="13"/>
      <c r="GDD517" s="13"/>
      <c r="GDE517" s="193"/>
      <c r="GDF517" s="379"/>
      <c r="GDG517" s="379"/>
      <c r="GDH517" s="379"/>
      <c r="GDI517" s="379"/>
      <c r="GDJ517" s="379"/>
      <c r="GDK517" s="13"/>
      <c r="GDL517" s="13"/>
      <c r="GDM517" s="193"/>
      <c r="GDN517" s="379"/>
      <c r="GDO517" s="379"/>
      <c r="GDP517" s="379"/>
      <c r="GDQ517" s="379"/>
      <c r="GDR517" s="379"/>
      <c r="GDS517" s="13"/>
      <c r="GDT517" s="13"/>
      <c r="GDU517" s="193"/>
      <c r="GDV517" s="379"/>
      <c r="GDW517" s="379"/>
      <c r="GDX517" s="379"/>
      <c r="GDY517" s="379"/>
      <c r="GDZ517" s="379"/>
      <c r="GEA517" s="13"/>
      <c r="GEB517" s="13"/>
      <c r="GEC517" s="193"/>
      <c r="GED517" s="379"/>
      <c r="GEE517" s="379"/>
      <c r="GEF517" s="379"/>
      <c r="GEG517" s="379"/>
      <c r="GEH517" s="379"/>
      <c r="GEI517" s="13"/>
      <c r="GEJ517" s="13"/>
      <c r="GEK517" s="193"/>
      <c r="GEL517" s="379"/>
      <c r="GEM517" s="379"/>
      <c r="GEN517" s="379"/>
      <c r="GEO517" s="379"/>
      <c r="GEP517" s="379"/>
      <c r="GEQ517" s="13"/>
      <c r="GER517" s="13"/>
      <c r="GES517" s="193"/>
      <c r="GET517" s="379"/>
      <c r="GEU517" s="379"/>
      <c r="GEV517" s="379"/>
      <c r="GEW517" s="379"/>
      <c r="GEX517" s="379"/>
      <c r="GEY517" s="13"/>
      <c r="GEZ517" s="13"/>
      <c r="GFA517" s="193"/>
      <c r="GFB517" s="379"/>
      <c r="GFC517" s="379"/>
      <c r="GFD517" s="379"/>
      <c r="GFE517" s="379"/>
      <c r="GFF517" s="379"/>
      <c r="GFG517" s="13"/>
      <c r="GFH517" s="13"/>
      <c r="GFI517" s="193"/>
      <c r="GFJ517" s="379"/>
      <c r="GFK517" s="379"/>
      <c r="GFL517" s="379"/>
      <c r="GFM517" s="379"/>
      <c r="GFN517" s="379"/>
      <c r="GFO517" s="13"/>
      <c r="GFP517" s="13"/>
      <c r="GFQ517" s="193"/>
      <c r="GFR517" s="379"/>
      <c r="GFS517" s="379"/>
      <c r="GFT517" s="379"/>
      <c r="GFU517" s="379"/>
      <c r="GFV517" s="379"/>
      <c r="GFW517" s="13"/>
      <c r="GFX517" s="13"/>
      <c r="GFY517" s="193"/>
      <c r="GFZ517" s="379"/>
      <c r="GGA517" s="379"/>
      <c r="GGB517" s="379"/>
      <c r="GGC517" s="379"/>
      <c r="GGD517" s="379"/>
      <c r="GGE517" s="13"/>
      <c r="GGF517" s="13"/>
      <c r="GGG517" s="193"/>
      <c r="GGH517" s="379"/>
      <c r="GGI517" s="379"/>
      <c r="GGJ517" s="379"/>
      <c r="GGK517" s="379"/>
      <c r="GGL517" s="379"/>
      <c r="GGM517" s="13"/>
      <c r="GGN517" s="13"/>
      <c r="GGO517" s="193"/>
      <c r="GGP517" s="379"/>
      <c r="GGQ517" s="379"/>
      <c r="GGR517" s="379"/>
      <c r="GGS517" s="379"/>
      <c r="GGT517" s="379"/>
      <c r="GGU517" s="13"/>
      <c r="GGV517" s="13"/>
      <c r="GGW517" s="193"/>
      <c r="GGX517" s="379"/>
      <c r="GGY517" s="379"/>
      <c r="GGZ517" s="379"/>
      <c r="GHA517" s="379"/>
      <c r="GHB517" s="379"/>
      <c r="GHC517" s="13"/>
      <c r="GHD517" s="13"/>
      <c r="GHE517" s="193"/>
      <c r="GHF517" s="379"/>
      <c r="GHG517" s="379"/>
      <c r="GHH517" s="379"/>
      <c r="GHI517" s="379"/>
      <c r="GHJ517" s="379"/>
      <c r="GHK517" s="13"/>
      <c r="GHL517" s="13"/>
      <c r="GHM517" s="193"/>
      <c r="GHN517" s="379"/>
      <c r="GHO517" s="379"/>
      <c r="GHP517" s="379"/>
      <c r="GHQ517" s="379"/>
      <c r="GHR517" s="379"/>
      <c r="GHS517" s="13"/>
      <c r="GHT517" s="13"/>
      <c r="GHU517" s="193"/>
      <c r="GHV517" s="379"/>
      <c r="GHW517" s="379"/>
      <c r="GHX517" s="379"/>
      <c r="GHY517" s="379"/>
      <c r="GHZ517" s="379"/>
      <c r="GIA517" s="13"/>
      <c r="GIB517" s="13"/>
      <c r="GIC517" s="193"/>
      <c r="GID517" s="379"/>
      <c r="GIE517" s="379"/>
      <c r="GIF517" s="379"/>
      <c r="GIG517" s="379"/>
      <c r="GIH517" s="379"/>
      <c r="GII517" s="13"/>
      <c r="GIJ517" s="13"/>
      <c r="GIK517" s="193"/>
      <c r="GIL517" s="379"/>
      <c r="GIM517" s="379"/>
      <c r="GIN517" s="379"/>
      <c r="GIO517" s="379"/>
      <c r="GIP517" s="379"/>
      <c r="GIQ517" s="13"/>
      <c r="GIR517" s="13"/>
      <c r="GIS517" s="193"/>
      <c r="GIT517" s="379"/>
      <c r="GIU517" s="379"/>
      <c r="GIV517" s="379"/>
      <c r="GIW517" s="379"/>
      <c r="GIX517" s="379"/>
      <c r="GIY517" s="13"/>
      <c r="GIZ517" s="13"/>
      <c r="GJA517" s="193"/>
      <c r="GJB517" s="379"/>
      <c r="GJC517" s="379"/>
      <c r="GJD517" s="379"/>
      <c r="GJE517" s="379"/>
      <c r="GJF517" s="379"/>
      <c r="GJG517" s="13"/>
      <c r="GJH517" s="13"/>
      <c r="GJI517" s="193"/>
      <c r="GJJ517" s="379"/>
      <c r="GJK517" s="379"/>
      <c r="GJL517" s="379"/>
      <c r="GJM517" s="379"/>
      <c r="GJN517" s="379"/>
      <c r="GJO517" s="13"/>
      <c r="GJP517" s="13"/>
      <c r="GJQ517" s="193"/>
      <c r="GJR517" s="379"/>
      <c r="GJS517" s="379"/>
      <c r="GJT517" s="379"/>
      <c r="GJU517" s="379"/>
      <c r="GJV517" s="379"/>
      <c r="GJW517" s="13"/>
      <c r="GJX517" s="13"/>
      <c r="GJY517" s="193"/>
      <c r="GJZ517" s="379"/>
      <c r="GKA517" s="379"/>
      <c r="GKB517" s="379"/>
      <c r="GKC517" s="379"/>
      <c r="GKD517" s="379"/>
      <c r="GKE517" s="13"/>
      <c r="GKF517" s="13"/>
      <c r="GKG517" s="193"/>
      <c r="GKH517" s="379"/>
      <c r="GKI517" s="379"/>
      <c r="GKJ517" s="379"/>
      <c r="GKK517" s="379"/>
      <c r="GKL517" s="379"/>
      <c r="GKM517" s="13"/>
      <c r="GKN517" s="13"/>
      <c r="GKO517" s="193"/>
      <c r="GKP517" s="379"/>
      <c r="GKQ517" s="379"/>
      <c r="GKR517" s="379"/>
      <c r="GKS517" s="379"/>
      <c r="GKT517" s="379"/>
      <c r="GKU517" s="13"/>
      <c r="GKV517" s="13"/>
      <c r="GKW517" s="193"/>
      <c r="GKX517" s="379"/>
      <c r="GKY517" s="379"/>
      <c r="GKZ517" s="379"/>
      <c r="GLA517" s="379"/>
      <c r="GLB517" s="379"/>
      <c r="GLC517" s="13"/>
      <c r="GLD517" s="13"/>
      <c r="GLE517" s="193"/>
      <c r="GLF517" s="379"/>
      <c r="GLG517" s="379"/>
      <c r="GLH517" s="379"/>
      <c r="GLI517" s="379"/>
      <c r="GLJ517" s="379"/>
      <c r="GLK517" s="13"/>
      <c r="GLL517" s="13"/>
      <c r="GLM517" s="193"/>
      <c r="GLN517" s="379"/>
      <c r="GLO517" s="379"/>
      <c r="GLP517" s="379"/>
      <c r="GLQ517" s="379"/>
      <c r="GLR517" s="379"/>
      <c r="GLS517" s="13"/>
      <c r="GLT517" s="13"/>
      <c r="GLU517" s="193"/>
      <c r="GLV517" s="379"/>
      <c r="GLW517" s="379"/>
      <c r="GLX517" s="379"/>
      <c r="GLY517" s="379"/>
      <c r="GLZ517" s="379"/>
      <c r="GMA517" s="13"/>
      <c r="GMB517" s="13"/>
      <c r="GMC517" s="193"/>
      <c r="GMD517" s="379"/>
      <c r="GME517" s="379"/>
      <c r="GMF517" s="379"/>
      <c r="GMG517" s="379"/>
      <c r="GMH517" s="379"/>
      <c r="GMI517" s="13"/>
      <c r="GMJ517" s="13"/>
      <c r="GMK517" s="193"/>
      <c r="GML517" s="379"/>
      <c r="GMM517" s="379"/>
      <c r="GMN517" s="379"/>
      <c r="GMO517" s="379"/>
      <c r="GMP517" s="379"/>
      <c r="GMQ517" s="13"/>
      <c r="GMR517" s="13"/>
      <c r="GMS517" s="193"/>
      <c r="GMT517" s="379"/>
      <c r="GMU517" s="379"/>
      <c r="GMV517" s="379"/>
      <c r="GMW517" s="379"/>
      <c r="GMX517" s="379"/>
      <c r="GMY517" s="13"/>
      <c r="GMZ517" s="13"/>
      <c r="GNA517" s="193"/>
      <c r="GNB517" s="379"/>
      <c r="GNC517" s="379"/>
      <c r="GND517" s="379"/>
      <c r="GNE517" s="379"/>
      <c r="GNF517" s="379"/>
      <c r="GNG517" s="13"/>
      <c r="GNH517" s="13"/>
      <c r="GNI517" s="193"/>
      <c r="GNJ517" s="379"/>
      <c r="GNK517" s="379"/>
      <c r="GNL517" s="379"/>
      <c r="GNM517" s="379"/>
      <c r="GNN517" s="379"/>
      <c r="GNO517" s="13"/>
      <c r="GNP517" s="13"/>
      <c r="GNQ517" s="193"/>
      <c r="GNR517" s="379"/>
      <c r="GNS517" s="379"/>
      <c r="GNT517" s="379"/>
      <c r="GNU517" s="379"/>
      <c r="GNV517" s="379"/>
      <c r="GNW517" s="13"/>
      <c r="GNX517" s="13"/>
      <c r="GNY517" s="193"/>
      <c r="GNZ517" s="379"/>
      <c r="GOA517" s="379"/>
      <c r="GOB517" s="379"/>
      <c r="GOC517" s="379"/>
      <c r="GOD517" s="379"/>
      <c r="GOE517" s="13"/>
      <c r="GOF517" s="13"/>
      <c r="GOG517" s="193"/>
      <c r="GOH517" s="379"/>
      <c r="GOI517" s="379"/>
      <c r="GOJ517" s="379"/>
      <c r="GOK517" s="379"/>
      <c r="GOL517" s="379"/>
      <c r="GOM517" s="13"/>
      <c r="GON517" s="13"/>
      <c r="GOO517" s="193"/>
      <c r="GOP517" s="379"/>
      <c r="GOQ517" s="379"/>
      <c r="GOR517" s="379"/>
      <c r="GOS517" s="379"/>
      <c r="GOT517" s="379"/>
      <c r="GOU517" s="13"/>
      <c r="GOV517" s="13"/>
      <c r="GOW517" s="193"/>
      <c r="GOX517" s="379"/>
      <c r="GOY517" s="379"/>
      <c r="GOZ517" s="379"/>
      <c r="GPA517" s="379"/>
      <c r="GPB517" s="379"/>
      <c r="GPC517" s="13"/>
      <c r="GPD517" s="13"/>
      <c r="GPE517" s="193"/>
      <c r="GPF517" s="379"/>
      <c r="GPG517" s="379"/>
      <c r="GPH517" s="379"/>
      <c r="GPI517" s="379"/>
      <c r="GPJ517" s="379"/>
      <c r="GPK517" s="13"/>
      <c r="GPL517" s="13"/>
      <c r="GPM517" s="193"/>
      <c r="GPN517" s="379"/>
      <c r="GPO517" s="379"/>
      <c r="GPP517" s="379"/>
      <c r="GPQ517" s="379"/>
      <c r="GPR517" s="379"/>
      <c r="GPS517" s="13"/>
      <c r="GPT517" s="13"/>
      <c r="GPU517" s="193"/>
      <c r="GPV517" s="379"/>
      <c r="GPW517" s="379"/>
      <c r="GPX517" s="379"/>
      <c r="GPY517" s="379"/>
      <c r="GPZ517" s="379"/>
      <c r="GQA517" s="13"/>
      <c r="GQB517" s="13"/>
      <c r="GQC517" s="193"/>
      <c r="GQD517" s="379"/>
      <c r="GQE517" s="379"/>
      <c r="GQF517" s="379"/>
      <c r="GQG517" s="379"/>
      <c r="GQH517" s="379"/>
      <c r="GQI517" s="13"/>
      <c r="GQJ517" s="13"/>
      <c r="GQK517" s="193"/>
      <c r="GQL517" s="379"/>
      <c r="GQM517" s="379"/>
      <c r="GQN517" s="379"/>
      <c r="GQO517" s="379"/>
      <c r="GQP517" s="379"/>
      <c r="GQQ517" s="13"/>
      <c r="GQR517" s="13"/>
      <c r="GQS517" s="193"/>
      <c r="GQT517" s="379"/>
      <c r="GQU517" s="379"/>
      <c r="GQV517" s="379"/>
      <c r="GQW517" s="379"/>
      <c r="GQX517" s="379"/>
      <c r="GQY517" s="13"/>
      <c r="GQZ517" s="13"/>
      <c r="GRA517" s="193"/>
      <c r="GRB517" s="379"/>
      <c r="GRC517" s="379"/>
      <c r="GRD517" s="379"/>
      <c r="GRE517" s="379"/>
      <c r="GRF517" s="379"/>
      <c r="GRG517" s="13"/>
      <c r="GRH517" s="13"/>
      <c r="GRI517" s="193"/>
      <c r="GRJ517" s="379"/>
      <c r="GRK517" s="379"/>
      <c r="GRL517" s="379"/>
      <c r="GRM517" s="379"/>
      <c r="GRN517" s="379"/>
      <c r="GRO517" s="13"/>
      <c r="GRP517" s="13"/>
      <c r="GRQ517" s="193"/>
      <c r="GRR517" s="379"/>
      <c r="GRS517" s="379"/>
      <c r="GRT517" s="379"/>
      <c r="GRU517" s="379"/>
      <c r="GRV517" s="379"/>
      <c r="GRW517" s="13"/>
      <c r="GRX517" s="13"/>
      <c r="GRY517" s="193"/>
      <c r="GRZ517" s="379"/>
      <c r="GSA517" s="379"/>
      <c r="GSB517" s="379"/>
      <c r="GSC517" s="379"/>
      <c r="GSD517" s="379"/>
      <c r="GSE517" s="13"/>
      <c r="GSF517" s="13"/>
      <c r="GSG517" s="193"/>
      <c r="GSH517" s="379"/>
      <c r="GSI517" s="379"/>
      <c r="GSJ517" s="379"/>
      <c r="GSK517" s="379"/>
      <c r="GSL517" s="379"/>
      <c r="GSM517" s="13"/>
      <c r="GSN517" s="13"/>
      <c r="GSO517" s="193"/>
      <c r="GSP517" s="379"/>
      <c r="GSQ517" s="379"/>
      <c r="GSR517" s="379"/>
      <c r="GSS517" s="379"/>
      <c r="GST517" s="379"/>
      <c r="GSU517" s="13"/>
      <c r="GSV517" s="13"/>
      <c r="GSW517" s="193"/>
      <c r="GSX517" s="379"/>
      <c r="GSY517" s="379"/>
      <c r="GSZ517" s="379"/>
      <c r="GTA517" s="379"/>
      <c r="GTB517" s="379"/>
      <c r="GTC517" s="13"/>
      <c r="GTD517" s="13"/>
      <c r="GTE517" s="193"/>
      <c r="GTF517" s="379"/>
      <c r="GTG517" s="379"/>
      <c r="GTH517" s="379"/>
      <c r="GTI517" s="379"/>
      <c r="GTJ517" s="379"/>
      <c r="GTK517" s="13"/>
      <c r="GTL517" s="13"/>
      <c r="GTM517" s="193"/>
      <c r="GTN517" s="379"/>
      <c r="GTO517" s="379"/>
      <c r="GTP517" s="379"/>
      <c r="GTQ517" s="379"/>
      <c r="GTR517" s="379"/>
      <c r="GTS517" s="13"/>
      <c r="GTT517" s="13"/>
      <c r="GTU517" s="193"/>
      <c r="GTV517" s="379"/>
      <c r="GTW517" s="379"/>
      <c r="GTX517" s="379"/>
      <c r="GTY517" s="379"/>
      <c r="GTZ517" s="379"/>
      <c r="GUA517" s="13"/>
      <c r="GUB517" s="13"/>
      <c r="GUC517" s="193"/>
      <c r="GUD517" s="379"/>
      <c r="GUE517" s="379"/>
      <c r="GUF517" s="379"/>
      <c r="GUG517" s="379"/>
      <c r="GUH517" s="379"/>
      <c r="GUI517" s="13"/>
      <c r="GUJ517" s="13"/>
      <c r="GUK517" s="193"/>
      <c r="GUL517" s="379"/>
      <c r="GUM517" s="379"/>
      <c r="GUN517" s="379"/>
      <c r="GUO517" s="379"/>
      <c r="GUP517" s="379"/>
      <c r="GUQ517" s="13"/>
      <c r="GUR517" s="13"/>
      <c r="GUS517" s="193"/>
      <c r="GUT517" s="379"/>
      <c r="GUU517" s="379"/>
      <c r="GUV517" s="379"/>
      <c r="GUW517" s="379"/>
      <c r="GUX517" s="379"/>
      <c r="GUY517" s="13"/>
      <c r="GUZ517" s="13"/>
      <c r="GVA517" s="193"/>
      <c r="GVB517" s="379"/>
      <c r="GVC517" s="379"/>
      <c r="GVD517" s="379"/>
      <c r="GVE517" s="379"/>
      <c r="GVF517" s="379"/>
      <c r="GVG517" s="13"/>
      <c r="GVH517" s="13"/>
      <c r="GVI517" s="193"/>
      <c r="GVJ517" s="379"/>
      <c r="GVK517" s="379"/>
      <c r="GVL517" s="379"/>
      <c r="GVM517" s="379"/>
      <c r="GVN517" s="379"/>
      <c r="GVO517" s="13"/>
      <c r="GVP517" s="13"/>
      <c r="GVQ517" s="193"/>
      <c r="GVR517" s="379"/>
      <c r="GVS517" s="379"/>
      <c r="GVT517" s="379"/>
      <c r="GVU517" s="379"/>
      <c r="GVV517" s="379"/>
      <c r="GVW517" s="13"/>
      <c r="GVX517" s="13"/>
      <c r="GVY517" s="193"/>
      <c r="GVZ517" s="379"/>
      <c r="GWA517" s="379"/>
      <c r="GWB517" s="379"/>
      <c r="GWC517" s="379"/>
      <c r="GWD517" s="379"/>
      <c r="GWE517" s="13"/>
      <c r="GWF517" s="13"/>
      <c r="GWG517" s="193"/>
      <c r="GWH517" s="379"/>
      <c r="GWI517" s="379"/>
      <c r="GWJ517" s="379"/>
      <c r="GWK517" s="379"/>
      <c r="GWL517" s="379"/>
      <c r="GWM517" s="13"/>
      <c r="GWN517" s="13"/>
      <c r="GWO517" s="193"/>
      <c r="GWP517" s="379"/>
      <c r="GWQ517" s="379"/>
      <c r="GWR517" s="379"/>
      <c r="GWS517" s="379"/>
      <c r="GWT517" s="379"/>
      <c r="GWU517" s="13"/>
      <c r="GWV517" s="13"/>
      <c r="GWW517" s="193"/>
      <c r="GWX517" s="379"/>
      <c r="GWY517" s="379"/>
      <c r="GWZ517" s="379"/>
      <c r="GXA517" s="379"/>
      <c r="GXB517" s="379"/>
      <c r="GXC517" s="13"/>
      <c r="GXD517" s="13"/>
      <c r="GXE517" s="193"/>
      <c r="GXF517" s="379"/>
      <c r="GXG517" s="379"/>
      <c r="GXH517" s="379"/>
      <c r="GXI517" s="379"/>
      <c r="GXJ517" s="379"/>
      <c r="GXK517" s="13"/>
      <c r="GXL517" s="13"/>
      <c r="GXM517" s="193"/>
      <c r="GXN517" s="379"/>
      <c r="GXO517" s="379"/>
      <c r="GXP517" s="379"/>
      <c r="GXQ517" s="379"/>
      <c r="GXR517" s="379"/>
      <c r="GXS517" s="13"/>
      <c r="GXT517" s="13"/>
      <c r="GXU517" s="193"/>
      <c r="GXV517" s="379"/>
      <c r="GXW517" s="379"/>
      <c r="GXX517" s="379"/>
      <c r="GXY517" s="379"/>
      <c r="GXZ517" s="379"/>
      <c r="GYA517" s="13"/>
      <c r="GYB517" s="13"/>
      <c r="GYC517" s="193"/>
      <c r="GYD517" s="379"/>
      <c r="GYE517" s="379"/>
      <c r="GYF517" s="379"/>
      <c r="GYG517" s="379"/>
      <c r="GYH517" s="379"/>
      <c r="GYI517" s="13"/>
      <c r="GYJ517" s="13"/>
      <c r="GYK517" s="193"/>
      <c r="GYL517" s="379"/>
      <c r="GYM517" s="379"/>
      <c r="GYN517" s="379"/>
      <c r="GYO517" s="379"/>
      <c r="GYP517" s="379"/>
      <c r="GYQ517" s="13"/>
      <c r="GYR517" s="13"/>
      <c r="GYS517" s="193"/>
      <c r="GYT517" s="379"/>
      <c r="GYU517" s="379"/>
      <c r="GYV517" s="379"/>
      <c r="GYW517" s="379"/>
      <c r="GYX517" s="379"/>
      <c r="GYY517" s="13"/>
      <c r="GYZ517" s="13"/>
      <c r="GZA517" s="193"/>
      <c r="GZB517" s="379"/>
      <c r="GZC517" s="379"/>
      <c r="GZD517" s="379"/>
      <c r="GZE517" s="379"/>
      <c r="GZF517" s="379"/>
      <c r="GZG517" s="13"/>
      <c r="GZH517" s="13"/>
      <c r="GZI517" s="193"/>
      <c r="GZJ517" s="379"/>
      <c r="GZK517" s="379"/>
      <c r="GZL517" s="379"/>
      <c r="GZM517" s="379"/>
      <c r="GZN517" s="379"/>
      <c r="GZO517" s="13"/>
      <c r="GZP517" s="13"/>
      <c r="GZQ517" s="193"/>
      <c r="GZR517" s="379"/>
      <c r="GZS517" s="379"/>
      <c r="GZT517" s="379"/>
      <c r="GZU517" s="379"/>
      <c r="GZV517" s="379"/>
      <c r="GZW517" s="13"/>
      <c r="GZX517" s="13"/>
      <c r="GZY517" s="193"/>
      <c r="GZZ517" s="379"/>
      <c r="HAA517" s="379"/>
      <c r="HAB517" s="379"/>
      <c r="HAC517" s="379"/>
      <c r="HAD517" s="379"/>
      <c r="HAE517" s="13"/>
      <c r="HAF517" s="13"/>
      <c r="HAG517" s="193"/>
      <c r="HAH517" s="379"/>
      <c r="HAI517" s="379"/>
      <c r="HAJ517" s="379"/>
      <c r="HAK517" s="379"/>
      <c r="HAL517" s="379"/>
      <c r="HAM517" s="13"/>
      <c r="HAN517" s="13"/>
      <c r="HAO517" s="193"/>
      <c r="HAP517" s="379"/>
      <c r="HAQ517" s="379"/>
      <c r="HAR517" s="379"/>
      <c r="HAS517" s="379"/>
      <c r="HAT517" s="379"/>
      <c r="HAU517" s="13"/>
      <c r="HAV517" s="13"/>
      <c r="HAW517" s="193"/>
      <c r="HAX517" s="379"/>
      <c r="HAY517" s="379"/>
      <c r="HAZ517" s="379"/>
      <c r="HBA517" s="379"/>
      <c r="HBB517" s="379"/>
      <c r="HBC517" s="13"/>
      <c r="HBD517" s="13"/>
      <c r="HBE517" s="193"/>
      <c r="HBF517" s="379"/>
      <c r="HBG517" s="379"/>
      <c r="HBH517" s="379"/>
      <c r="HBI517" s="379"/>
      <c r="HBJ517" s="379"/>
      <c r="HBK517" s="13"/>
      <c r="HBL517" s="13"/>
      <c r="HBM517" s="193"/>
      <c r="HBN517" s="379"/>
      <c r="HBO517" s="379"/>
      <c r="HBP517" s="379"/>
      <c r="HBQ517" s="379"/>
      <c r="HBR517" s="379"/>
      <c r="HBS517" s="13"/>
      <c r="HBT517" s="13"/>
      <c r="HBU517" s="193"/>
      <c r="HBV517" s="379"/>
      <c r="HBW517" s="379"/>
      <c r="HBX517" s="379"/>
      <c r="HBY517" s="379"/>
      <c r="HBZ517" s="379"/>
      <c r="HCA517" s="13"/>
      <c r="HCB517" s="13"/>
      <c r="HCC517" s="193"/>
      <c r="HCD517" s="379"/>
      <c r="HCE517" s="379"/>
      <c r="HCF517" s="379"/>
      <c r="HCG517" s="379"/>
      <c r="HCH517" s="379"/>
      <c r="HCI517" s="13"/>
      <c r="HCJ517" s="13"/>
      <c r="HCK517" s="193"/>
      <c r="HCL517" s="379"/>
      <c r="HCM517" s="379"/>
      <c r="HCN517" s="379"/>
      <c r="HCO517" s="379"/>
      <c r="HCP517" s="379"/>
      <c r="HCQ517" s="13"/>
      <c r="HCR517" s="13"/>
      <c r="HCS517" s="193"/>
      <c r="HCT517" s="379"/>
      <c r="HCU517" s="379"/>
      <c r="HCV517" s="379"/>
      <c r="HCW517" s="379"/>
      <c r="HCX517" s="379"/>
      <c r="HCY517" s="13"/>
      <c r="HCZ517" s="13"/>
      <c r="HDA517" s="193"/>
      <c r="HDB517" s="379"/>
      <c r="HDC517" s="379"/>
      <c r="HDD517" s="379"/>
      <c r="HDE517" s="379"/>
      <c r="HDF517" s="379"/>
      <c r="HDG517" s="13"/>
      <c r="HDH517" s="13"/>
      <c r="HDI517" s="193"/>
      <c r="HDJ517" s="379"/>
      <c r="HDK517" s="379"/>
      <c r="HDL517" s="379"/>
      <c r="HDM517" s="379"/>
      <c r="HDN517" s="379"/>
      <c r="HDO517" s="13"/>
      <c r="HDP517" s="13"/>
      <c r="HDQ517" s="193"/>
      <c r="HDR517" s="379"/>
      <c r="HDS517" s="379"/>
      <c r="HDT517" s="379"/>
      <c r="HDU517" s="379"/>
      <c r="HDV517" s="379"/>
      <c r="HDW517" s="13"/>
      <c r="HDX517" s="13"/>
      <c r="HDY517" s="193"/>
      <c r="HDZ517" s="379"/>
      <c r="HEA517" s="379"/>
      <c r="HEB517" s="379"/>
      <c r="HEC517" s="379"/>
      <c r="HED517" s="379"/>
      <c r="HEE517" s="13"/>
      <c r="HEF517" s="13"/>
      <c r="HEG517" s="193"/>
      <c r="HEH517" s="379"/>
      <c r="HEI517" s="379"/>
      <c r="HEJ517" s="379"/>
      <c r="HEK517" s="379"/>
      <c r="HEL517" s="379"/>
      <c r="HEM517" s="13"/>
      <c r="HEN517" s="13"/>
      <c r="HEO517" s="193"/>
      <c r="HEP517" s="379"/>
      <c r="HEQ517" s="379"/>
      <c r="HER517" s="379"/>
      <c r="HES517" s="379"/>
      <c r="HET517" s="379"/>
      <c r="HEU517" s="13"/>
      <c r="HEV517" s="13"/>
      <c r="HEW517" s="193"/>
      <c r="HEX517" s="379"/>
      <c r="HEY517" s="379"/>
      <c r="HEZ517" s="379"/>
      <c r="HFA517" s="379"/>
      <c r="HFB517" s="379"/>
      <c r="HFC517" s="13"/>
      <c r="HFD517" s="13"/>
      <c r="HFE517" s="193"/>
      <c r="HFF517" s="379"/>
      <c r="HFG517" s="379"/>
      <c r="HFH517" s="379"/>
      <c r="HFI517" s="379"/>
      <c r="HFJ517" s="379"/>
      <c r="HFK517" s="13"/>
      <c r="HFL517" s="13"/>
      <c r="HFM517" s="193"/>
      <c r="HFN517" s="379"/>
      <c r="HFO517" s="379"/>
      <c r="HFP517" s="379"/>
      <c r="HFQ517" s="379"/>
      <c r="HFR517" s="379"/>
      <c r="HFS517" s="13"/>
      <c r="HFT517" s="13"/>
      <c r="HFU517" s="193"/>
      <c r="HFV517" s="379"/>
      <c r="HFW517" s="379"/>
      <c r="HFX517" s="379"/>
      <c r="HFY517" s="379"/>
      <c r="HFZ517" s="379"/>
      <c r="HGA517" s="13"/>
      <c r="HGB517" s="13"/>
      <c r="HGC517" s="193"/>
      <c r="HGD517" s="379"/>
      <c r="HGE517" s="379"/>
      <c r="HGF517" s="379"/>
      <c r="HGG517" s="379"/>
      <c r="HGH517" s="379"/>
      <c r="HGI517" s="13"/>
      <c r="HGJ517" s="13"/>
      <c r="HGK517" s="193"/>
      <c r="HGL517" s="379"/>
      <c r="HGM517" s="379"/>
      <c r="HGN517" s="379"/>
      <c r="HGO517" s="379"/>
      <c r="HGP517" s="379"/>
      <c r="HGQ517" s="13"/>
      <c r="HGR517" s="13"/>
      <c r="HGS517" s="193"/>
      <c r="HGT517" s="379"/>
      <c r="HGU517" s="379"/>
      <c r="HGV517" s="379"/>
      <c r="HGW517" s="379"/>
      <c r="HGX517" s="379"/>
      <c r="HGY517" s="13"/>
      <c r="HGZ517" s="13"/>
      <c r="HHA517" s="193"/>
      <c r="HHB517" s="379"/>
      <c r="HHC517" s="379"/>
      <c r="HHD517" s="379"/>
      <c r="HHE517" s="379"/>
      <c r="HHF517" s="379"/>
      <c r="HHG517" s="13"/>
      <c r="HHH517" s="13"/>
      <c r="HHI517" s="193"/>
      <c r="HHJ517" s="379"/>
      <c r="HHK517" s="379"/>
      <c r="HHL517" s="379"/>
      <c r="HHM517" s="379"/>
      <c r="HHN517" s="379"/>
      <c r="HHO517" s="13"/>
      <c r="HHP517" s="13"/>
      <c r="HHQ517" s="193"/>
      <c r="HHR517" s="379"/>
      <c r="HHS517" s="379"/>
      <c r="HHT517" s="379"/>
      <c r="HHU517" s="379"/>
      <c r="HHV517" s="379"/>
      <c r="HHW517" s="13"/>
      <c r="HHX517" s="13"/>
      <c r="HHY517" s="193"/>
      <c r="HHZ517" s="379"/>
      <c r="HIA517" s="379"/>
      <c r="HIB517" s="379"/>
      <c r="HIC517" s="379"/>
      <c r="HID517" s="379"/>
      <c r="HIE517" s="13"/>
      <c r="HIF517" s="13"/>
      <c r="HIG517" s="193"/>
      <c r="HIH517" s="379"/>
      <c r="HII517" s="379"/>
      <c r="HIJ517" s="379"/>
      <c r="HIK517" s="379"/>
      <c r="HIL517" s="379"/>
      <c r="HIM517" s="13"/>
      <c r="HIN517" s="13"/>
      <c r="HIO517" s="193"/>
      <c r="HIP517" s="379"/>
      <c r="HIQ517" s="379"/>
      <c r="HIR517" s="379"/>
      <c r="HIS517" s="379"/>
      <c r="HIT517" s="379"/>
      <c r="HIU517" s="13"/>
      <c r="HIV517" s="13"/>
      <c r="HIW517" s="193"/>
      <c r="HIX517" s="379"/>
      <c r="HIY517" s="379"/>
      <c r="HIZ517" s="379"/>
      <c r="HJA517" s="379"/>
      <c r="HJB517" s="379"/>
      <c r="HJC517" s="13"/>
      <c r="HJD517" s="13"/>
      <c r="HJE517" s="193"/>
      <c r="HJF517" s="379"/>
      <c r="HJG517" s="379"/>
      <c r="HJH517" s="379"/>
      <c r="HJI517" s="379"/>
      <c r="HJJ517" s="379"/>
      <c r="HJK517" s="13"/>
      <c r="HJL517" s="13"/>
      <c r="HJM517" s="193"/>
      <c r="HJN517" s="379"/>
      <c r="HJO517" s="379"/>
      <c r="HJP517" s="379"/>
      <c r="HJQ517" s="379"/>
      <c r="HJR517" s="379"/>
      <c r="HJS517" s="13"/>
      <c r="HJT517" s="13"/>
      <c r="HJU517" s="193"/>
      <c r="HJV517" s="379"/>
      <c r="HJW517" s="379"/>
      <c r="HJX517" s="379"/>
      <c r="HJY517" s="379"/>
      <c r="HJZ517" s="379"/>
      <c r="HKA517" s="13"/>
      <c r="HKB517" s="13"/>
      <c r="HKC517" s="193"/>
      <c r="HKD517" s="379"/>
      <c r="HKE517" s="379"/>
      <c r="HKF517" s="379"/>
      <c r="HKG517" s="379"/>
      <c r="HKH517" s="379"/>
      <c r="HKI517" s="13"/>
      <c r="HKJ517" s="13"/>
      <c r="HKK517" s="193"/>
      <c r="HKL517" s="379"/>
      <c r="HKM517" s="379"/>
      <c r="HKN517" s="379"/>
      <c r="HKO517" s="379"/>
      <c r="HKP517" s="379"/>
      <c r="HKQ517" s="13"/>
      <c r="HKR517" s="13"/>
      <c r="HKS517" s="193"/>
      <c r="HKT517" s="379"/>
      <c r="HKU517" s="379"/>
      <c r="HKV517" s="379"/>
      <c r="HKW517" s="379"/>
      <c r="HKX517" s="379"/>
      <c r="HKY517" s="13"/>
      <c r="HKZ517" s="13"/>
      <c r="HLA517" s="193"/>
      <c r="HLB517" s="379"/>
      <c r="HLC517" s="379"/>
      <c r="HLD517" s="379"/>
      <c r="HLE517" s="379"/>
      <c r="HLF517" s="379"/>
      <c r="HLG517" s="13"/>
      <c r="HLH517" s="13"/>
      <c r="HLI517" s="193"/>
      <c r="HLJ517" s="379"/>
      <c r="HLK517" s="379"/>
      <c r="HLL517" s="379"/>
      <c r="HLM517" s="379"/>
      <c r="HLN517" s="379"/>
      <c r="HLO517" s="13"/>
      <c r="HLP517" s="13"/>
      <c r="HLQ517" s="193"/>
      <c r="HLR517" s="379"/>
      <c r="HLS517" s="379"/>
      <c r="HLT517" s="379"/>
      <c r="HLU517" s="379"/>
      <c r="HLV517" s="379"/>
      <c r="HLW517" s="13"/>
      <c r="HLX517" s="13"/>
      <c r="HLY517" s="193"/>
      <c r="HLZ517" s="379"/>
      <c r="HMA517" s="379"/>
      <c r="HMB517" s="379"/>
      <c r="HMC517" s="379"/>
      <c r="HMD517" s="379"/>
      <c r="HME517" s="13"/>
      <c r="HMF517" s="13"/>
      <c r="HMG517" s="193"/>
      <c r="HMH517" s="379"/>
      <c r="HMI517" s="379"/>
      <c r="HMJ517" s="379"/>
      <c r="HMK517" s="379"/>
      <c r="HML517" s="379"/>
      <c r="HMM517" s="13"/>
      <c r="HMN517" s="13"/>
      <c r="HMO517" s="193"/>
      <c r="HMP517" s="379"/>
      <c r="HMQ517" s="379"/>
      <c r="HMR517" s="379"/>
      <c r="HMS517" s="379"/>
      <c r="HMT517" s="379"/>
      <c r="HMU517" s="13"/>
      <c r="HMV517" s="13"/>
      <c r="HMW517" s="193"/>
      <c r="HMX517" s="379"/>
      <c r="HMY517" s="379"/>
      <c r="HMZ517" s="379"/>
      <c r="HNA517" s="379"/>
      <c r="HNB517" s="379"/>
      <c r="HNC517" s="13"/>
      <c r="HND517" s="13"/>
      <c r="HNE517" s="193"/>
      <c r="HNF517" s="379"/>
      <c r="HNG517" s="379"/>
      <c r="HNH517" s="379"/>
      <c r="HNI517" s="379"/>
      <c r="HNJ517" s="379"/>
      <c r="HNK517" s="13"/>
      <c r="HNL517" s="13"/>
      <c r="HNM517" s="193"/>
      <c r="HNN517" s="379"/>
      <c r="HNO517" s="379"/>
      <c r="HNP517" s="379"/>
      <c r="HNQ517" s="379"/>
      <c r="HNR517" s="379"/>
      <c r="HNS517" s="13"/>
      <c r="HNT517" s="13"/>
      <c r="HNU517" s="193"/>
      <c r="HNV517" s="379"/>
      <c r="HNW517" s="379"/>
      <c r="HNX517" s="379"/>
      <c r="HNY517" s="379"/>
      <c r="HNZ517" s="379"/>
      <c r="HOA517" s="13"/>
      <c r="HOB517" s="13"/>
      <c r="HOC517" s="193"/>
      <c r="HOD517" s="379"/>
      <c r="HOE517" s="379"/>
      <c r="HOF517" s="379"/>
      <c r="HOG517" s="379"/>
      <c r="HOH517" s="379"/>
      <c r="HOI517" s="13"/>
      <c r="HOJ517" s="13"/>
      <c r="HOK517" s="193"/>
      <c r="HOL517" s="379"/>
      <c r="HOM517" s="379"/>
      <c r="HON517" s="379"/>
      <c r="HOO517" s="379"/>
      <c r="HOP517" s="379"/>
      <c r="HOQ517" s="13"/>
      <c r="HOR517" s="13"/>
      <c r="HOS517" s="193"/>
      <c r="HOT517" s="379"/>
      <c r="HOU517" s="379"/>
      <c r="HOV517" s="379"/>
      <c r="HOW517" s="379"/>
      <c r="HOX517" s="379"/>
      <c r="HOY517" s="13"/>
      <c r="HOZ517" s="13"/>
      <c r="HPA517" s="193"/>
      <c r="HPB517" s="379"/>
      <c r="HPC517" s="379"/>
      <c r="HPD517" s="379"/>
      <c r="HPE517" s="379"/>
      <c r="HPF517" s="379"/>
      <c r="HPG517" s="13"/>
      <c r="HPH517" s="13"/>
      <c r="HPI517" s="193"/>
      <c r="HPJ517" s="379"/>
      <c r="HPK517" s="379"/>
      <c r="HPL517" s="379"/>
      <c r="HPM517" s="379"/>
      <c r="HPN517" s="379"/>
      <c r="HPO517" s="13"/>
      <c r="HPP517" s="13"/>
      <c r="HPQ517" s="193"/>
      <c r="HPR517" s="379"/>
      <c r="HPS517" s="379"/>
      <c r="HPT517" s="379"/>
      <c r="HPU517" s="379"/>
      <c r="HPV517" s="379"/>
      <c r="HPW517" s="13"/>
      <c r="HPX517" s="13"/>
      <c r="HPY517" s="193"/>
      <c r="HPZ517" s="379"/>
      <c r="HQA517" s="379"/>
      <c r="HQB517" s="379"/>
      <c r="HQC517" s="379"/>
      <c r="HQD517" s="379"/>
      <c r="HQE517" s="13"/>
      <c r="HQF517" s="13"/>
      <c r="HQG517" s="193"/>
      <c r="HQH517" s="379"/>
      <c r="HQI517" s="379"/>
      <c r="HQJ517" s="379"/>
      <c r="HQK517" s="379"/>
      <c r="HQL517" s="379"/>
      <c r="HQM517" s="13"/>
      <c r="HQN517" s="13"/>
      <c r="HQO517" s="193"/>
      <c r="HQP517" s="379"/>
      <c r="HQQ517" s="379"/>
      <c r="HQR517" s="379"/>
      <c r="HQS517" s="379"/>
      <c r="HQT517" s="379"/>
      <c r="HQU517" s="13"/>
      <c r="HQV517" s="13"/>
      <c r="HQW517" s="193"/>
      <c r="HQX517" s="379"/>
      <c r="HQY517" s="379"/>
      <c r="HQZ517" s="379"/>
      <c r="HRA517" s="379"/>
      <c r="HRB517" s="379"/>
      <c r="HRC517" s="13"/>
      <c r="HRD517" s="13"/>
      <c r="HRE517" s="193"/>
      <c r="HRF517" s="379"/>
      <c r="HRG517" s="379"/>
      <c r="HRH517" s="379"/>
      <c r="HRI517" s="379"/>
      <c r="HRJ517" s="379"/>
      <c r="HRK517" s="13"/>
      <c r="HRL517" s="13"/>
      <c r="HRM517" s="193"/>
      <c r="HRN517" s="379"/>
      <c r="HRO517" s="379"/>
      <c r="HRP517" s="379"/>
      <c r="HRQ517" s="379"/>
      <c r="HRR517" s="379"/>
      <c r="HRS517" s="13"/>
      <c r="HRT517" s="13"/>
      <c r="HRU517" s="193"/>
      <c r="HRV517" s="379"/>
      <c r="HRW517" s="379"/>
      <c r="HRX517" s="379"/>
      <c r="HRY517" s="379"/>
      <c r="HRZ517" s="379"/>
      <c r="HSA517" s="13"/>
      <c r="HSB517" s="13"/>
      <c r="HSC517" s="193"/>
      <c r="HSD517" s="379"/>
      <c r="HSE517" s="379"/>
      <c r="HSF517" s="379"/>
      <c r="HSG517" s="379"/>
      <c r="HSH517" s="379"/>
      <c r="HSI517" s="13"/>
      <c r="HSJ517" s="13"/>
      <c r="HSK517" s="193"/>
      <c r="HSL517" s="379"/>
      <c r="HSM517" s="379"/>
      <c r="HSN517" s="379"/>
      <c r="HSO517" s="379"/>
      <c r="HSP517" s="379"/>
      <c r="HSQ517" s="13"/>
      <c r="HSR517" s="13"/>
      <c r="HSS517" s="193"/>
      <c r="HST517" s="379"/>
      <c r="HSU517" s="379"/>
      <c r="HSV517" s="379"/>
      <c r="HSW517" s="379"/>
      <c r="HSX517" s="379"/>
      <c r="HSY517" s="13"/>
      <c r="HSZ517" s="13"/>
      <c r="HTA517" s="193"/>
      <c r="HTB517" s="379"/>
      <c r="HTC517" s="379"/>
      <c r="HTD517" s="379"/>
      <c r="HTE517" s="379"/>
      <c r="HTF517" s="379"/>
      <c r="HTG517" s="13"/>
      <c r="HTH517" s="13"/>
      <c r="HTI517" s="193"/>
      <c r="HTJ517" s="379"/>
      <c r="HTK517" s="379"/>
      <c r="HTL517" s="379"/>
      <c r="HTM517" s="379"/>
      <c r="HTN517" s="379"/>
      <c r="HTO517" s="13"/>
      <c r="HTP517" s="13"/>
      <c r="HTQ517" s="193"/>
      <c r="HTR517" s="379"/>
      <c r="HTS517" s="379"/>
      <c r="HTT517" s="379"/>
      <c r="HTU517" s="379"/>
      <c r="HTV517" s="379"/>
      <c r="HTW517" s="13"/>
      <c r="HTX517" s="13"/>
      <c r="HTY517" s="193"/>
      <c r="HTZ517" s="379"/>
      <c r="HUA517" s="379"/>
      <c r="HUB517" s="379"/>
      <c r="HUC517" s="379"/>
      <c r="HUD517" s="379"/>
      <c r="HUE517" s="13"/>
      <c r="HUF517" s="13"/>
      <c r="HUG517" s="193"/>
      <c r="HUH517" s="379"/>
      <c r="HUI517" s="379"/>
      <c r="HUJ517" s="379"/>
      <c r="HUK517" s="379"/>
      <c r="HUL517" s="379"/>
      <c r="HUM517" s="13"/>
      <c r="HUN517" s="13"/>
      <c r="HUO517" s="193"/>
      <c r="HUP517" s="379"/>
      <c r="HUQ517" s="379"/>
      <c r="HUR517" s="379"/>
      <c r="HUS517" s="379"/>
      <c r="HUT517" s="379"/>
      <c r="HUU517" s="13"/>
      <c r="HUV517" s="13"/>
      <c r="HUW517" s="193"/>
      <c r="HUX517" s="379"/>
      <c r="HUY517" s="379"/>
      <c r="HUZ517" s="379"/>
      <c r="HVA517" s="379"/>
      <c r="HVB517" s="379"/>
      <c r="HVC517" s="13"/>
      <c r="HVD517" s="13"/>
      <c r="HVE517" s="193"/>
      <c r="HVF517" s="379"/>
      <c r="HVG517" s="379"/>
      <c r="HVH517" s="379"/>
      <c r="HVI517" s="379"/>
      <c r="HVJ517" s="379"/>
      <c r="HVK517" s="13"/>
      <c r="HVL517" s="13"/>
      <c r="HVM517" s="193"/>
      <c r="HVN517" s="379"/>
      <c r="HVO517" s="379"/>
      <c r="HVP517" s="379"/>
      <c r="HVQ517" s="379"/>
      <c r="HVR517" s="379"/>
      <c r="HVS517" s="13"/>
      <c r="HVT517" s="13"/>
      <c r="HVU517" s="193"/>
      <c r="HVV517" s="379"/>
      <c r="HVW517" s="379"/>
      <c r="HVX517" s="379"/>
      <c r="HVY517" s="379"/>
      <c r="HVZ517" s="379"/>
      <c r="HWA517" s="13"/>
      <c r="HWB517" s="13"/>
      <c r="HWC517" s="193"/>
      <c r="HWD517" s="379"/>
      <c r="HWE517" s="379"/>
      <c r="HWF517" s="379"/>
      <c r="HWG517" s="379"/>
      <c r="HWH517" s="379"/>
      <c r="HWI517" s="13"/>
      <c r="HWJ517" s="13"/>
      <c r="HWK517" s="193"/>
      <c r="HWL517" s="379"/>
      <c r="HWM517" s="379"/>
      <c r="HWN517" s="379"/>
      <c r="HWO517" s="379"/>
      <c r="HWP517" s="379"/>
      <c r="HWQ517" s="13"/>
      <c r="HWR517" s="13"/>
      <c r="HWS517" s="193"/>
      <c r="HWT517" s="379"/>
      <c r="HWU517" s="379"/>
      <c r="HWV517" s="379"/>
      <c r="HWW517" s="379"/>
      <c r="HWX517" s="379"/>
      <c r="HWY517" s="13"/>
      <c r="HWZ517" s="13"/>
      <c r="HXA517" s="193"/>
      <c r="HXB517" s="379"/>
      <c r="HXC517" s="379"/>
      <c r="HXD517" s="379"/>
      <c r="HXE517" s="379"/>
      <c r="HXF517" s="379"/>
      <c r="HXG517" s="13"/>
      <c r="HXH517" s="13"/>
      <c r="HXI517" s="193"/>
      <c r="HXJ517" s="379"/>
      <c r="HXK517" s="379"/>
      <c r="HXL517" s="379"/>
      <c r="HXM517" s="379"/>
      <c r="HXN517" s="379"/>
      <c r="HXO517" s="13"/>
      <c r="HXP517" s="13"/>
      <c r="HXQ517" s="193"/>
      <c r="HXR517" s="379"/>
      <c r="HXS517" s="379"/>
      <c r="HXT517" s="379"/>
      <c r="HXU517" s="379"/>
      <c r="HXV517" s="379"/>
      <c r="HXW517" s="13"/>
      <c r="HXX517" s="13"/>
      <c r="HXY517" s="193"/>
      <c r="HXZ517" s="379"/>
      <c r="HYA517" s="379"/>
      <c r="HYB517" s="379"/>
      <c r="HYC517" s="379"/>
      <c r="HYD517" s="379"/>
      <c r="HYE517" s="13"/>
      <c r="HYF517" s="13"/>
      <c r="HYG517" s="193"/>
      <c r="HYH517" s="379"/>
      <c r="HYI517" s="379"/>
      <c r="HYJ517" s="379"/>
      <c r="HYK517" s="379"/>
      <c r="HYL517" s="379"/>
      <c r="HYM517" s="13"/>
      <c r="HYN517" s="13"/>
      <c r="HYO517" s="193"/>
      <c r="HYP517" s="379"/>
      <c r="HYQ517" s="379"/>
      <c r="HYR517" s="379"/>
      <c r="HYS517" s="379"/>
      <c r="HYT517" s="379"/>
      <c r="HYU517" s="13"/>
      <c r="HYV517" s="13"/>
      <c r="HYW517" s="193"/>
      <c r="HYX517" s="379"/>
      <c r="HYY517" s="379"/>
      <c r="HYZ517" s="379"/>
      <c r="HZA517" s="379"/>
      <c r="HZB517" s="379"/>
      <c r="HZC517" s="13"/>
      <c r="HZD517" s="13"/>
      <c r="HZE517" s="193"/>
      <c r="HZF517" s="379"/>
      <c r="HZG517" s="379"/>
      <c r="HZH517" s="379"/>
      <c r="HZI517" s="379"/>
      <c r="HZJ517" s="379"/>
      <c r="HZK517" s="13"/>
      <c r="HZL517" s="13"/>
      <c r="HZM517" s="193"/>
      <c r="HZN517" s="379"/>
      <c r="HZO517" s="379"/>
      <c r="HZP517" s="379"/>
      <c r="HZQ517" s="379"/>
      <c r="HZR517" s="379"/>
      <c r="HZS517" s="13"/>
      <c r="HZT517" s="13"/>
      <c r="HZU517" s="193"/>
      <c r="HZV517" s="379"/>
      <c r="HZW517" s="379"/>
      <c r="HZX517" s="379"/>
      <c r="HZY517" s="379"/>
      <c r="HZZ517" s="379"/>
      <c r="IAA517" s="13"/>
      <c r="IAB517" s="13"/>
      <c r="IAC517" s="193"/>
      <c r="IAD517" s="379"/>
      <c r="IAE517" s="379"/>
      <c r="IAF517" s="379"/>
      <c r="IAG517" s="379"/>
      <c r="IAH517" s="379"/>
      <c r="IAI517" s="13"/>
      <c r="IAJ517" s="13"/>
      <c r="IAK517" s="193"/>
      <c r="IAL517" s="379"/>
      <c r="IAM517" s="379"/>
      <c r="IAN517" s="379"/>
      <c r="IAO517" s="379"/>
      <c r="IAP517" s="379"/>
      <c r="IAQ517" s="13"/>
      <c r="IAR517" s="13"/>
      <c r="IAS517" s="193"/>
      <c r="IAT517" s="379"/>
      <c r="IAU517" s="379"/>
      <c r="IAV517" s="379"/>
      <c r="IAW517" s="379"/>
      <c r="IAX517" s="379"/>
      <c r="IAY517" s="13"/>
      <c r="IAZ517" s="13"/>
      <c r="IBA517" s="193"/>
      <c r="IBB517" s="379"/>
      <c r="IBC517" s="379"/>
      <c r="IBD517" s="379"/>
      <c r="IBE517" s="379"/>
      <c r="IBF517" s="379"/>
      <c r="IBG517" s="13"/>
      <c r="IBH517" s="13"/>
      <c r="IBI517" s="193"/>
      <c r="IBJ517" s="379"/>
      <c r="IBK517" s="379"/>
      <c r="IBL517" s="379"/>
      <c r="IBM517" s="379"/>
      <c r="IBN517" s="379"/>
      <c r="IBO517" s="13"/>
      <c r="IBP517" s="13"/>
      <c r="IBQ517" s="193"/>
      <c r="IBR517" s="379"/>
      <c r="IBS517" s="379"/>
      <c r="IBT517" s="379"/>
      <c r="IBU517" s="379"/>
      <c r="IBV517" s="379"/>
      <c r="IBW517" s="13"/>
      <c r="IBX517" s="13"/>
      <c r="IBY517" s="193"/>
      <c r="IBZ517" s="379"/>
      <c r="ICA517" s="379"/>
      <c r="ICB517" s="379"/>
      <c r="ICC517" s="379"/>
      <c r="ICD517" s="379"/>
      <c r="ICE517" s="13"/>
      <c r="ICF517" s="13"/>
      <c r="ICG517" s="193"/>
      <c r="ICH517" s="379"/>
      <c r="ICI517" s="379"/>
      <c r="ICJ517" s="379"/>
      <c r="ICK517" s="379"/>
      <c r="ICL517" s="379"/>
      <c r="ICM517" s="13"/>
      <c r="ICN517" s="13"/>
      <c r="ICO517" s="193"/>
      <c r="ICP517" s="379"/>
      <c r="ICQ517" s="379"/>
      <c r="ICR517" s="379"/>
      <c r="ICS517" s="379"/>
      <c r="ICT517" s="379"/>
      <c r="ICU517" s="13"/>
      <c r="ICV517" s="13"/>
      <c r="ICW517" s="193"/>
      <c r="ICX517" s="379"/>
      <c r="ICY517" s="379"/>
      <c r="ICZ517" s="379"/>
      <c r="IDA517" s="379"/>
      <c r="IDB517" s="379"/>
      <c r="IDC517" s="13"/>
      <c r="IDD517" s="13"/>
      <c r="IDE517" s="193"/>
      <c r="IDF517" s="379"/>
      <c r="IDG517" s="379"/>
      <c r="IDH517" s="379"/>
      <c r="IDI517" s="379"/>
      <c r="IDJ517" s="379"/>
      <c r="IDK517" s="13"/>
      <c r="IDL517" s="13"/>
      <c r="IDM517" s="193"/>
      <c r="IDN517" s="379"/>
      <c r="IDO517" s="379"/>
      <c r="IDP517" s="379"/>
      <c r="IDQ517" s="379"/>
      <c r="IDR517" s="379"/>
      <c r="IDS517" s="13"/>
      <c r="IDT517" s="13"/>
      <c r="IDU517" s="193"/>
      <c r="IDV517" s="379"/>
      <c r="IDW517" s="379"/>
      <c r="IDX517" s="379"/>
      <c r="IDY517" s="379"/>
      <c r="IDZ517" s="379"/>
      <c r="IEA517" s="13"/>
      <c r="IEB517" s="13"/>
      <c r="IEC517" s="193"/>
      <c r="IED517" s="379"/>
      <c r="IEE517" s="379"/>
      <c r="IEF517" s="379"/>
      <c r="IEG517" s="379"/>
      <c r="IEH517" s="379"/>
      <c r="IEI517" s="13"/>
      <c r="IEJ517" s="13"/>
      <c r="IEK517" s="193"/>
      <c r="IEL517" s="379"/>
      <c r="IEM517" s="379"/>
      <c r="IEN517" s="379"/>
      <c r="IEO517" s="379"/>
      <c r="IEP517" s="379"/>
      <c r="IEQ517" s="13"/>
      <c r="IER517" s="13"/>
      <c r="IES517" s="193"/>
      <c r="IET517" s="379"/>
      <c r="IEU517" s="379"/>
      <c r="IEV517" s="379"/>
      <c r="IEW517" s="379"/>
      <c r="IEX517" s="379"/>
      <c r="IEY517" s="13"/>
      <c r="IEZ517" s="13"/>
      <c r="IFA517" s="193"/>
      <c r="IFB517" s="379"/>
      <c r="IFC517" s="379"/>
      <c r="IFD517" s="379"/>
      <c r="IFE517" s="379"/>
      <c r="IFF517" s="379"/>
      <c r="IFG517" s="13"/>
      <c r="IFH517" s="13"/>
      <c r="IFI517" s="193"/>
      <c r="IFJ517" s="379"/>
      <c r="IFK517" s="379"/>
      <c r="IFL517" s="379"/>
      <c r="IFM517" s="379"/>
      <c r="IFN517" s="379"/>
      <c r="IFO517" s="13"/>
      <c r="IFP517" s="13"/>
      <c r="IFQ517" s="193"/>
      <c r="IFR517" s="379"/>
      <c r="IFS517" s="379"/>
      <c r="IFT517" s="379"/>
      <c r="IFU517" s="379"/>
      <c r="IFV517" s="379"/>
      <c r="IFW517" s="13"/>
      <c r="IFX517" s="13"/>
      <c r="IFY517" s="193"/>
      <c r="IFZ517" s="379"/>
      <c r="IGA517" s="379"/>
      <c r="IGB517" s="379"/>
      <c r="IGC517" s="379"/>
      <c r="IGD517" s="379"/>
      <c r="IGE517" s="13"/>
      <c r="IGF517" s="13"/>
      <c r="IGG517" s="193"/>
      <c r="IGH517" s="379"/>
      <c r="IGI517" s="379"/>
      <c r="IGJ517" s="379"/>
      <c r="IGK517" s="379"/>
      <c r="IGL517" s="379"/>
      <c r="IGM517" s="13"/>
      <c r="IGN517" s="13"/>
      <c r="IGO517" s="193"/>
      <c r="IGP517" s="379"/>
      <c r="IGQ517" s="379"/>
      <c r="IGR517" s="379"/>
      <c r="IGS517" s="379"/>
      <c r="IGT517" s="379"/>
      <c r="IGU517" s="13"/>
      <c r="IGV517" s="13"/>
      <c r="IGW517" s="193"/>
      <c r="IGX517" s="379"/>
      <c r="IGY517" s="379"/>
      <c r="IGZ517" s="379"/>
      <c r="IHA517" s="379"/>
      <c r="IHB517" s="379"/>
      <c r="IHC517" s="13"/>
      <c r="IHD517" s="13"/>
      <c r="IHE517" s="193"/>
      <c r="IHF517" s="379"/>
      <c r="IHG517" s="379"/>
      <c r="IHH517" s="379"/>
      <c r="IHI517" s="379"/>
      <c r="IHJ517" s="379"/>
      <c r="IHK517" s="13"/>
      <c r="IHL517" s="13"/>
      <c r="IHM517" s="193"/>
      <c r="IHN517" s="379"/>
      <c r="IHO517" s="379"/>
      <c r="IHP517" s="379"/>
      <c r="IHQ517" s="379"/>
      <c r="IHR517" s="379"/>
      <c r="IHS517" s="13"/>
      <c r="IHT517" s="13"/>
      <c r="IHU517" s="193"/>
      <c r="IHV517" s="379"/>
      <c r="IHW517" s="379"/>
      <c r="IHX517" s="379"/>
      <c r="IHY517" s="379"/>
      <c r="IHZ517" s="379"/>
      <c r="IIA517" s="13"/>
      <c r="IIB517" s="13"/>
      <c r="IIC517" s="193"/>
      <c r="IID517" s="379"/>
      <c r="IIE517" s="379"/>
      <c r="IIF517" s="379"/>
      <c r="IIG517" s="379"/>
      <c r="IIH517" s="379"/>
      <c r="III517" s="13"/>
      <c r="IIJ517" s="13"/>
      <c r="IIK517" s="193"/>
      <c r="IIL517" s="379"/>
      <c r="IIM517" s="379"/>
      <c r="IIN517" s="379"/>
      <c r="IIO517" s="379"/>
      <c r="IIP517" s="379"/>
      <c r="IIQ517" s="13"/>
      <c r="IIR517" s="13"/>
      <c r="IIS517" s="193"/>
      <c r="IIT517" s="379"/>
      <c r="IIU517" s="379"/>
      <c r="IIV517" s="379"/>
      <c r="IIW517" s="379"/>
      <c r="IIX517" s="379"/>
      <c r="IIY517" s="13"/>
      <c r="IIZ517" s="13"/>
      <c r="IJA517" s="193"/>
      <c r="IJB517" s="379"/>
      <c r="IJC517" s="379"/>
      <c r="IJD517" s="379"/>
      <c r="IJE517" s="379"/>
      <c r="IJF517" s="379"/>
      <c r="IJG517" s="13"/>
      <c r="IJH517" s="13"/>
      <c r="IJI517" s="193"/>
      <c r="IJJ517" s="379"/>
      <c r="IJK517" s="379"/>
      <c r="IJL517" s="379"/>
      <c r="IJM517" s="379"/>
      <c r="IJN517" s="379"/>
      <c r="IJO517" s="13"/>
      <c r="IJP517" s="13"/>
      <c r="IJQ517" s="193"/>
      <c r="IJR517" s="379"/>
      <c r="IJS517" s="379"/>
      <c r="IJT517" s="379"/>
      <c r="IJU517" s="379"/>
      <c r="IJV517" s="379"/>
      <c r="IJW517" s="13"/>
      <c r="IJX517" s="13"/>
      <c r="IJY517" s="193"/>
      <c r="IJZ517" s="379"/>
      <c r="IKA517" s="379"/>
      <c r="IKB517" s="379"/>
      <c r="IKC517" s="379"/>
      <c r="IKD517" s="379"/>
      <c r="IKE517" s="13"/>
      <c r="IKF517" s="13"/>
      <c r="IKG517" s="193"/>
      <c r="IKH517" s="379"/>
      <c r="IKI517" s="379"/>
      <c r="IKJ517" s="379"/>
      <c r="IKK517" s="379"/>
      <c r="IKL517" s="379"/>
      <c r="IKM517" s="13"/>
      <c r="IKN517" s="13"/>
      <c r="IKO517" s="193"/>
      <c r="IKP517" s="379"/>
      <c r="IKQ517" s="379"/>
      <c r="IKR517" s="379"/>
      <c r="IKS517" s="379"/>
      <c r="IKT517" s="379"/>
      <c r="IKU517" s="13"/>
      <c r="IKV517" s="13"/>
      <c r="IKW517" s="193"/>
      <c r="IKX517" s="379"/>
      <c r="IKY517" s="379"/>
      <c r="IKZ517" s="379"/>
      <c r="ILA517" s="379"/>
      <c r="ILB517" s="379"/>
      <c r="ILC517" s="13"/>
      <c r="ILD517" s="13"/>
      <c r="ILE517" s="193"/>
      <c r="ILF517" s="379"/>
      <c r="ILG517" s="379"/>
      <c r="ILH517" s="379"/>
      <c r="ILI517" s="379"/>
      <c r="ILJ517" s="379"/>
      <c r="ILK517" s="13"/>
      <c r="ILL517" s="13"/>
      <c r="ILM517" s="193"/>
      <c r="ILN517" s="379"/>
      <c r="ILO517" s="379"/>
      <c r="ILP517" s="379"/>
      <c r="ILQ517" s="379"/>
      <c r="ILR517" s="379"/>
      <c r="ILS517" s="13"/>
      <c r="ILT517" s="13"/>
      <c r="ILU517" s="193"/>
      <c r="ILV517" s="379"/>
      <c r="ILW517" s="379"/>
      <c r="ILX517" s="379"/>
      <c r="ILY517" s="379"/>
      <c r="ILZ517" s="379"/>
      <c r="IMA517" s="13"/>
      <c r="IMB517" s="13"/>
      <c r="IMC517" s="193"/>
      <c r="IMD517" s="379"/>
      <c r="IME517" s="379"/>
      <c r="IMF517" s="379"/>
      <c r="IMG517" s="379"/>
      <c r="IMH517" s="379"/>
      <c r="IMI517" s="13"/>
      <c r="IMJ517" s="13"/>
      <c r="IMK517" s="193"/>
      <c r="IML517" s="379"/>
      <c r="IMM517" s="379"/>
      <c r="IMN517" s="379"/>
      <c r="IMO517" s="379"/>
      <c r="IMP517" s="379"/>
      <c r="IMQ517" s="13"/>
      <c r="IMR517" s="13"/>
      <c r="IMS517" s="193"/>
      <c r="IMT517" s="379"/>
      <c r="IMU517" s="379"/>
      <c r="IMV517" s="379"/>
      <c r="IMW517" s="379"/>
      <c r="IMX517" s="379"/>
      <c r="IMY517" s="13"/>
      <c r="IMZ517" s="13"/>
      <c r="INA517" s="193"/>
      <c r="INB517" s="379"/>
      <c r="INC517" s="379"/>
      <c r="IND517" s="379"/>
      <c r="INE517" s="379"/>
      <c r="INF517" s="379"/>
      <c r="ING517" s="13"/>
      <c r="INH517" s="13"/>
      <c r="INI517" s="193"/>
      <c r="INJ517" s="379"/>
      <c r="INK517" s="379"/>
      <c r="INL517" s="379"/>
      <c r="INM517" s="379"/>
      <c r="INN517" s="379"/>
      <c r="INO517" s="13"/>
      <c r="INP517" s="13"/>
      <c r="INQ517" s="193"/>
      <c r="INR517" s="379"/>
      <c r="INS517" s="379"/>
      <c r="INT517" s="379"/>
      <c r="INU517" s="379"/>
      <c r="INV517" s="379"/>
      <c r="INW517" s="13"/>
      <c r="INX517" s="13"/>
      <c r="INY517" s="193"/>
      <c r="INZ517" s="379"/>
      <c r="IOA517" s="379"/>
      <c r="IOB517" s="379"/>
      <c r="IOC517" s="379"/>
      <c r="IOD517" s="379"/>
      <c r="IOE517" s="13"/>
      <c r="IOF517" s="13"/>
      <c r="IOG517" s="193"/>
      <c r="IOH517" s="379"/>
      <c r="IOI517" s="379"/>
      <c r="IOJ517" s="379"/>
      <c r="IOK517" s="379"/>
      <c r="IOL517" s="379"/>
      <c r="IOM517" s="13"/>
      <c r="ION517" s="13"/>
      <c r="IOO517" s="193"/>
      <c r="IOP517" s="379"/>
      <c r="IOQ517" s="379"/>
      <c r="IOR517" s="379"/>
      <c r="IOS517" s="379"/>
      <c r="IOT517" s="379"/>
      <c r="IOU517" s="13"/>
      <c r="IOV517" s="13"/>
      <c r="IOW517" s="193"/>
      <c r="IOX517" s="379"/>
      <c r="IOY517" s="379"/>
      <c r="IOZ517" s="379"/>
      <c r="IPA517" s="379"/>
      <c r="IPB517" s="379"/>
      <c r="IPC517" s="13"/>
      <c r="IPD517" s="13"/>
      <c r="IPE517" s="193"/>
      <c r="IPF517" s="379"/>
      <c r="IPG517" s="379"/>
      <c r="IPH517" s="379"/>
      <c r="IPI517" s="379"/>
      <c r="IPJ517" s="379"/>
      <c r="IPK517" s="13"/>
      <c r="IPL517" s="13"/>
      <c r="IPM517" s="193"/>
      <c r="IPN517" s="379"/>
      <c r="IPO517" s="379"/>
      <c r="IPP517" s="379"/>
      <c r="IPQ517" s="379"/>
      <c r="IPR517" s="379"/>
      <c r="IPS517" s="13"/>
      <c r="IPT517" s="13"/>
      <c r="IPU517" s="193"/>
      <c r="IPV517" s="379"/>
      <c r="IPW517" s="379"/>
      <c r="IPX517" s="379"/>
      <c r="IPY517" s="379"/>
      <c r="IPZ517" s="379"/>
      <c r="IQA517" s="13"/>
      <c r="IQB517" s="13"/>
      <c r="IQC517" s="193"/>
      <c r="IQD517" s="379"/>
      <c r="IQE517" s="379"/>
      <c r="IQF517" s="379"/>
      <c r="IQG517" s="379"/>
      <c r="IQH517" s="379"/>
      <c r="IQI517" s="13"/>
      <c r="IQJ517" s="13"/>
      <c r="IQK517" s="193"/>
      <c r="IQL517" s="379"/>
      <c r="IQM517" s="379"/>
      <c r="IQN517" s="379"/>
      <c r="IQO517" s="379"/>
      <c r="IQP517" s="379"/>
      <c r="IQQ517" s="13"/>
      <c r="IQR517" s="13"/>
      <c r="IQS517" s="193"/>
      <c r="IQT517" s="379"/>
      <c r="IQU517" s="379"/>
      <c r="IQV517" s="379"/>
      <c r="IQW517" s="379"/>
      <c r="IQX517" s="379"/>
      <c r="IQY517" s="13"/>
      <c r="IQZ517" s="13"/>
      <c r="IRA517" s="193"/>
      <c r="IRB517" s="379"/>
      <c r="IRC517" s="379"/>
      <c r="IRD517" s="379"/>
      <c r="IRE517" s="379"/>
      <c r="IRF517" s="379"/>
      <c r="IRG517" s="13"/>
      <c r="IRH517" s="13"/>
      <c r="IRI517" s="193"/>
      <c r="IRJ517" s="379"/>
      <c r="IRK517" s="379"/>
      <c r="IRL517" s="379"/>
      <c r="IRM517" s="379"/>
      <c r="IRN517" s="379"/>
      <c r="IRO517" s="13"/>
      <c r="IRP517" s="13"/>
      <c r="IRQ517" s="193"/>
      <c r="IRR517" s="379"/>
      <c r="IRS517" s="379"/>
      <c r="IRT517" s="379"/>
      <c r="IRU517" s="379"/>
      <c r="IRV517" s="379"/>
      <c r="IRW517" s="13"/>
      <c r="IRX517" s="13"/>
      <c r="IRY517" s="193"/>
      <c r="IRZ517" s="379"/>
      <c r="ISA517" s="379"/>
      <c r="ISB517" s="379"/>
      <c r="ISC517" s="379"/>
      <c r="ISD517" s="379"/>
      <c r="ISE517" s="13"/>
      <c r="ISF517" s="13"/>
      <c r="ISG517" s="193"/>
      <c r="ISH517" s="379"/>
      <c r="ISI517" s="379"/>
      <c r="ISJ517" s="379"/>
      <c r="ISK517" s="379"/>
      <c r="ISL517" s="379"/>
      <c r="ISM517" s="13"/>
      <c r="ISN517" s="13"/>
      <c r="ISO517" s="193"/>
      <c r="ISP517" s="379"/>
      <c r="ISQ517" s="379"/>
      <c r="ISR517" s="379"/>
      <c r="ISS517" s="379"/>
      <c r="IST517" s="379"/>
      <c r="ISU517" s="13"/>
      <c r="ISV517" s="13"/>
      <c r="ISW517" s="193"/>
      <c r="ISX517" s="379"/>
      <c r="ISY517" s="379"/>
      <c r="ISZ517" s="379"/>
      <c r="ITA517" s="379"/>
      <c r="ITB517" s="379"/>
      <c r="ITC517" s="13"/>
      <c r="ITD517" s="13"/>
      <c r="ITE517" s="193"/>
      <c r="ITF517" s="379"/>
      <c r="ITG517" s="379"/>
      <c r="ITH517" s="379"/>
      <c r="ITI517" s="379"/>
      <c r="ITJ517" s="379"/>
      <c r="ITK517" s="13"/>
      <c r="ITL517" s="13"/>
      <c r="ITM517" s="193"/>
      <c r="ITN517" s="379"/>
      <c r="ITO517" s="379"/>
      <c r="ITP517" s="379"/>
      <c r="ITQ517" s="379"/>
      <c r="ITR517" s="379"/>
      <c r="ITS517" s="13"/>
      <c r="ITT517" s="13"/>
      <c r="ITU517" s="193"/>
      <c r="ITV517" s="379"/>
      <c r="ITW517" s="379"/>
      <c r="ITX517" s="379"/>
      <c r="ITY517" s="379"/>
      <c r="ITZ517" s="379"/>
      <c r="IUA517" s="13"/>
      <c r="IUB517" s="13"/>
      <c r="IUC517" s="193"/>
      <c r="IUD517" s="379"/>
      <c r="IUE517" s="379"/>
      <c r="IUF517" s="379"/>
      <c r="IUG517" s="379"/>
      <c r="IUH517" s="379"/>
      <c r="IUI517" s="13"/>
      <c r="IUJ517" s="13"/>
      <c r="IUK517" s="193"/>
      <c r="IUL517" s="379"/>
      <c r="IUM517" s="379"/>
      <c r="IUN517" s="379"/>
      <c r="IUO517" s="379"/>
      <c r="IUP517" s="379"/>
      <c r="IUQ517" s="13"/>
      <c r="IUR517" s="13"/>
      <c r="IUS517" s="193"/>
      <c r="IUT517" s="379"/>
      <c r="IUU517" s="379"/>
      <c r="IUV517" s="379"/>
      <c r="IUW517" s="379"/>
      <c r="IUX517" s="379"/>
      <c r="IUY517" s="13"/>
      <c r="IUZ517" s="13"/>
      <c r="IVA517" s="193"/>
      <c r="IVB517" s="379"/>
      <c r="IVC517" s="379"/>
      <c r="IVD517" s="379"/>
      <c r="IVE517" s="379"/>
      <c r="IVF517" s="379"/>
      <c r="IVG517" s="13"/>
      <c r="IVH517" s="13"/>
      <c r="IVI517" s="193"/>
      <c r="IVJ517" s="379"/>
      <c r="IVK517" s="379"/>
      <c r="IVL517" s="379"/>
      <c r="IVM517" s="379"/>
      <c r="IVN517" s="379"/>
      <c r="IVO517" s="13"/>
      <c r="IVP517" s="13"/>
      <c r="IVQ517" s="193"/>
      <c r="IVR517" s="379"/>
      <c r="IVS517" s="379"/>
      <c r="IVT517" s="379"/>
      <c r="IVU517" s="379"/>
      <c r="IVV517" s="379"/>
      <c r="IVW517" s="13"/>
      <c r="IVX517" s="13"/>
      <c r="IVY517" s="193"/>
      <c r="IVZ517" s="379"/>
      <c r="IWA517" s="379"/>
      <c r="IWB517" s="379"/>
      <c r="IWC517" s="379"/>
      <c r="IWD517" s="379"/>
      <c r="IWE517" s="13"/>
      <c r="IWF517" s="13"/>
      <c r="IWG517" s="193"/>
      <c r="IWH517" s="379"/>
      <c r="IWI517" s="379"/>
      <c r="IWJ517" s="379"/>
      <c r="IWK517" s="379"/>
      <c r="IWL517" s="379"/>
      <c r="IWM517" s="13"/>
      <c r="IWN517" s="13"/>
      <c r="IWO517" s="193"/>
      <c r="IWP517" s="379"/>
      <c r="IWQ517" s="379"/>
      <c r="IWR517" s="379"/>
      <c r="IWS517" s="379"/>
      <c r="IWT517" s="379"/>
      <c r="IWU517" s="13"/>
      <c r="IWV517" s="13"/>
      <c r="IWW517" s="193"/>
      <c r="IWX517" s="379"/>
      <c r="IWY517" s="379"/>
      <c r="IWZ517" s="379"/>
      <c r="IXA517" s="379"/>
      <c r="IXB517" s="379"/>
      <c r="IXC517" s="13"/>
      <c r="IXD517" s="13"/>
      <c r="IXE517" s="193"/>
      <c r="IXF517" s="379"/>
      <c r="IXG517" s="379"/>
      <c r="IXH517" s="379"/>
      <c r="IXI517" s="379"/>
      <c r="IXJ517" s="379"/>
      <c r="IXK517" s="13"/>
      <c r="IXL517" s="13"/>
      <c r="IXM517" s="193"/>
      <c r="IXN517" s="379"/>
      <c r="IXO517" s="379"/>
      <c r="IXP517" s="379"/>
      <c r="IXQ517" s="379"/>
      <c r="IXR517" s="379"/>
      <c r="IXS517" s="13"/>
      <c r="IXT517" s="13"/>
      <c r="IXU517" s="193"/>
      <c r="IXV517" s="379"/>
      <c r="IXW517" s="379"/>
      <c r="IXX517" s="379"/>
      <c r="IXY517" s="379"/>
      <c r="IXZ517" s="379"/>
      <c r="IYA517" s="13"/>
      <c r="IYB517" s="13"/>
      <c r="IYC517" s="193"/>
      <c r="IYD517" s="379"/>
      <c r="IYE517" s="379"/>
      <c r="IYF517" s="379"/>
      <c r="IYG517" s="379"/>
      <c r="IYH517" s="379"/>
      <c r="IYI517" s="13"/>
      <c r="IYJ517" s="13"/>
      <c r="IYK517" s="193"/>
      <c r="IYL517" s="379"/>
      <c r="IYM517" s="379"/>
      <c r="IYN517" s="379"/>
      <c r="IYO517" s="379"/>
      <c r="IYP517" s="379"/>
      <c r="IYQ517" s="13"/>
      <c r="IYR517" s="13"/>
      <c r="IYS517" s="193"/>
      <c r="IYT517" s="379"/>
      <c r="IYU517" s="379"/>
      <c r="IYV517" s="379"/>
      <c r="IYW517" s="379"/>
      <c r="IYX517" s="379"/>
      <c r="IYY517" s="13"/>
      <c r="IYZ517" s="13"/>
      <c r="IZA517" s="193"/>
      <c r="IZB517" s="379"/>
      <c r="IZC517" s="379"/>
      <c r="IZD517" s="379"/>
      <c r="IZE517" s="379"/>
      <c r="IZF517" s="379"/>
      <c r="IZG517" s="13"/>
      <c r="IZH517" s="13"/>
      <c r="IZI517" s="193"/>
      <c r="IZJ517" s="379"/>
      <c r="IZK517" s="379"/>
      <c r="IZL517" s="379"/>
      <c r="IZM517" s="379"/>
      <c r="IZN517" s="379"/>
      <c r="IZO517" s="13"/>
      <c r="IZP517" s="13"/>
      <c r="IZQ517" s="193"/>
      <c r="IZR517" s="379"/>
      <c r="IZS517" s="379"/>
      <c r="IZT517" s="379"/>
      <c r="IZU517" s="379"/>
      <c r="IZV517" s="379"/>
      <c r="IZW517" s="13"/>
      <c r="IZX517" s="13"/>
      <c r="IZY517" s="193"/>
      <c r="IZZ517" s="379"/>
      <c r="JAA517" s="379"/>
      <c r="JAB517" s="379"/>
      <c r="JAC517" s="379"/>
      <c r="JAD517" s="379"/>
      <c r="JAE517" s="13"/>
      <c r="JAF517" s="13"/>
      <c r="JAG517" s="193"/>
      <c r="JAH517" s="379"/>
      <c r="JAI517" s="379"/>
      <c r="JAJ517" s="379"/>
      <c r="JAK517" s="379"/>
      <c r="JAL517" s="379"/>
      <c r="JAM517" s="13"/>
      <c r="JAN517" s="13"/>
      <c r="JAO517" s="193"/>
      <c r="JAP517" s="379"/>
      <c r="JAQ517" s="379"/>
      <c r="JAR517" s="379"/>
      <c r="JAS517" s="379"/>
      <c r="JAT517" s="379"/>
      <c r="JAU517" s="13"/>
      <c r="JAV517" s="13"/>
      <c r="JAW517" s="193"/>
      <c r="JAX517" s="379"/>
      <c r="JAY517" s="379"/>
      <c r="JAZ517" s="379"/>
      <c r="JBA517" s="379"/>
      <c r="JBB517" s="379"/>
      <c r="JBC517" s="13"/>
      <c r="JBD517" s="13"/>
      <c r="JBE517" s="193"/>
      <c r="JBF517" s="379"/>
      <c r="JBG517" s="379"/>
      <c r="JBH517" s="379"/>
      <c r="JBI517" s="379"/>
      <c r="JBJ517" s="379"/>
      <c r="JBK517" s="13"/>
      <c r="JBL517" s="13"/>
      <c r="JBM517" s="193"/>
      <c r="JBN517" s="379"/>
      <c r="JBO517" s="379"/>
      <c r="JBP517" s="379"/>
      <c r="JBQ517" s="379"/>
      <c r="JBR517" s="379"/>
      <c r="JBS517" s="13"/>
      <c r="JBT517" s="13"/>
      <c r="JBU517" s="193"/>
      <c r="JBV517" s="379"/>
      <c r="JBW517" s="379"/>
      <c r="JBX517" s="379"/>
      <c r="JBY517" s="379"/>
      <c r="JBZ517" s="379"/>
      <c r="JCA517" s="13"/>
      <c r="JCB517" s="13"/>
      <c r="JCC517" s="193"/>
      <c r="JCD517" s="379"/>
      <c r="JCE517" s="379"/>
      <c r="JCF517" s="379"/>
      <c r="JCG517" s="379"/>
      <c r="JCH517" s="379"/>
      <c r="JCI517" s="13"/>
      <c r="JCJ517" s="13"/>
      <c r="JCK517" s="193"/>
      <c r="JCL517" s="379"/>
      <c r="JCM517" s="379"/>
      <c r="JCN517" s="379"/>
      <c r="JCO517" s="379"/>
      <c r="JCP517" s="379"/>
      <c r="JCQ517" s="13"/>
      <c r="JCR517" s="13"/>
      <c r="JCS517" s="193"/>
      <c r="JCT517" s="379"/>
      <c r="JCU517" s="379"/>
      <c r="JCV517" s="379"/>
      <c r="JCW517" s="379"/>
      <c r="JCX517" s="379"/>
      <c r="JCY517" s="13"/>
      <c r="JCZ517" s="13"/>
      <c r="JDA517" s="193"/>
      <c r="JDB517" s="379"/>
      <c r="JDC517" s="379"/>
      <c r="JDD517" s="379"/>
      <c r="JDE517" s="379"/>
      <c r="JDF517" s="379"/>
      <c r="JDG517" s="13"/>
      <c r="JDH517" s="13"/>
      <c r="JDI517" s="193"/>
      <c r="JDJ517" s="379"/>
      <c r="JDK517" s="379"/>
      <c r="JDL517" s="379"/>
      <c r="JDM517" s="379"/>
      <c r="JDN517" s="379"/>
      <c r="JDO517" s="13"/>
      <c r="JDP517" s="13"/>
      <c r="JDQ517" s="193"/>
      <c r="JDR517" s="379"/>
      <c r="JDS517" s="379"/>
      <c r="JDT517" s="379"/>
      <c r="JDU517" s="379"/>
      <c r="JDV517" s="379"/>
      <c r="JDW517" s="13"/>
      <c r="JDX517" s="13"/>
      <c r="JDY517" s="193"/>
      <c r="JDZ517" s="379"/>
      <c r="JEA517" s="379"/>
      <c r="JEB517" s="379"/>
      <c r="JEC517" s="379"/>
      <c r="JED517" s="379"/>
      <c r="JEE517" s="13"/>
      <c r="JEF517" s="13"/>
      <c r="JEG517" s="193"/>
      <c r="JEH517" s="379"/>
      <c r="JEI517" s="379"/>
      <c r="JEJ517" s="379"/>
      <c r="JEK517" s="379"/>
      <c r="JEL517" s="379"/>
      <c r="JEM517" s="13"/>
      <c r="JEN517" s="13"/>
      <c r="JEO517" s="193"/>
      <c r="JEP517" s="379"/>
      <c r="JEQ517" s="379"/>
      <c r="JER517" s="379"/>
      <c r="JES517" s="379"/>
      <c r="JET517" s="379"/>
      <c r="JEU517" s="13"/>
      <c r="JEV517" s="13"/>
      <c r="JEW517" s="193"/>
      <c r="JEX517" s="379"/>
      <c r="JEY517" s="379"/>
      <c r="JEZ517" s="379"/>
      <c r="JFA517" s="379"/>
      <c r="JFB517" s="379"/>
      <c r="JFC517" s="13"/>
      <c r="JFD517" s="13"/>
      <c r="JFE517" s="193"/>
      <c r="JFF517" s="379"/>
      <c r="JFG517" s="379"/>
      <c r="JFH517" s="379"/>
      <c r="JFI517" s="379"/>
      <c r="JFJ517" s="379"/>
      <c r="JFK517" s="13"/>
      <c r="JFL517" s="13"/>
      <c r="JFM517" s="193"/>
      <c r="JFN517" s="379"/>
      <c r="JFO517" s="379"/>
      <c r="JFP517" s="379"/>
      <c r="JFQ517" s="379"/>
      <c r="JFR517" s="379"/>
      <c r="JFS517" s="13"/>
      <c r="JFT517" s="13"/>
      <c r="JFU517" s="193"/>
      <c r="JFV517" s="379"/>
      <c r="JFW517" s="379"/>
      <c r="JFX517" s="379"/>
      <c r="JFY517" s="379"/>
      <c r="JFZ517" s="379"/>
      <c r="JGA517" s="13"/>
      <c r="JGB517" s="13"/>
      <c r="JGC517" s="193"/>
      <c r="JGD517" s="379"/>
      <c r="JGE517" s="379"/>
      <c r="JGF517" s="379"/>
      <c r="JGG517" s="379"/>
      <c r="JGH517" s="379"/>
      <c r="JGI517" s="13"/>
      <c r="JGJ517" s="13"/>
      <c r="JGK517" s="193"/>
      <c r="JGL517" s="379"/>
      <c r="JGM517" s="379"/>
      <c r="JGN517" s="379"/>
      <c r="JGO517" s="379"/>
      <c r="JGP517" s="379"/>
      <c r="JGQ517" s="13"/>
      <c r="JGR517" s="13"/>
      <c r="JGS517" s="193"/>
      <c r="JGT517" s="379"/>
      <c r="JGU517" s="379"/>
      <c r="JGV517" s="379"/>
      <c r="JGW517" s="379"/>
      <c r="JGX517" s="379"/>
      <c r="JGY517" s="13"/>
      <c r="JGZ517" s="13"/>
      <c r="JHA517" s="193"/>
      <c r="JHB517" s="379"/>
      <c r="JHC517" s="379"/>
      <c r="JHD517" s="379"/>
      <c r="JHE517" s="379"/>
      <c r="JHF517" s="379"/>
      <c r="JHG517" s="13"/>
      <c r="JHH517" s="13"/>
      <c r="JHI517" s="193"/>
      <c r="JHJ517" s="379"/>
      <c r="JHK517" s="379"/>
      <c r="JHL517" s="379"/>
      <c r="JHM517" s="379"/>
      <c r="JHN517" s="379"/>
      <c r="JHO517" s="13"/>
      <c r="JHP517" s="13"/>
      <c r="JHQ517" s="193"/>
      <c r="JHR517" s="379"/>
      <c r="JHS517" s="379"/>
      <c r="JHT517" s="379"/>
      <c r="JHU517" s="379"/>
      <c r="JHV517" s="379"/>
      <c r="JHW517" s="13"/>
      <c r="JHX517" s="13"/>
      <c r="JHY517" s="193"/>
      <c r="JHZ517" s="379"/>
      <c r="JIA517" s="379"/>
      <c r="JIB517" s="379"/>
      <c r="JIC517" s="379"/>
      <c r="JID517" s="379"/>
      <c r="JIE517" s="13"/>
      <c r="JIF517" s="13"/>
      <c r="JIG517" s="193"/>
      <c r="JIH517" s="379"/>
      <c r="JII517" s="379"/>
      <c r="JIJ517" s="379"/>
      <c r="JIK517" s="379"/>
      <c r="JIL517" s="379"/>
      <c r="JIM517" s="13"/>
      <c r="JIN517" s="13"/>
      <c r="JIO517" s="193"/>
      <c r="JIP517" s="379"/>
      <c r="JIQ517" s="379"/>
      <c r="JIR517" s="379"/>
      <c r="JIS517" s="379"/>
      <c r="JIT517" s="379"/>
      <c r="JIU517" s="13"/>
      <c r="JIV517" s="13"/>
      <c r="JIW517" s="193"/>
      <c r="JIX517" s="379"/>
      <c r="JIY517" s="379"/>
      <c r="JIZ517" s="379"/>
      <c r="JJA517" s="379"/>
      <c r="JJB517" s="379"/>
      <c r="JJC517" s="13"/>
      <c r="JJD517" s="13"/>
      <c r="JJE517" s="193"/>
      <c r="JJF517" s="379"/>
      <c r="JJG517" s="379"/>
      <c r="JJH517" s="379"/>
      <c r="JJI517" s="379"/>
      <c r="JJJ517" s="379"/>
      <c r="JJK517" s="13"/>
      <c r="JJL517" s="13"/>
      <c r="JJM517" s="193"/>
      <c r="JJN517" s="379"/>
      <c r="JJO517" s="379"/>
      <c r="JJP517" s="379"/>
      <c r="JJQ517" s="379"/>
      <c r="JJR517" s="379"/>
      <c r="JJS517" s="13"/>
      <c r="JJT517" s="13"/>
      <c r="JJU517" s="193"/>
      <c r="JJV517" s="379"/>
      <c r="JJW517" s="379"/>
      <c r="JJX517" s="379"/>
      <c r="JJY517" s="379"/>
      <c r="JJZ517" s="379"/>
      <c r="JKA517" s="13"/>
      <c r="JKB517" s="13"/>
      <c r="JKC517" s="193"/>
      <c r="JKD517" s="379"/>
      <c r="JKE517" s="379"/>
      <c r="JKF517" s="379"/>
      <c r="JKG517" s="379"/>
      <c r="JKH517" s="379"/>
      <c r="JKI517" s="13"/>
      <c r="JKJ517" s="13"/>
      <c r="JKK517" s="193"/>
      <c r="JKL517" s="379"/>
      <c r="JKM517" s="379"/>
      <c r="JKN517" s="379"/>
      <c r="JKO517" s="379"/>
      <c r="JKP517" s="379"/>
      <c r="JKQ517" s="13"/>
      <c r="JKR517" s="13"/>
      <c r="JKS517" s="193"/>
      <c r="JKT517" s="379"/>
      <c r="JKU517" s="379"/>
      <c r="JKV517" s="379"/>
      <c r="JKW517" s="379"/>
      <c r="JKX517" s="379"/>
      <c r="JKY517" s="13"/>
      <c r="JKZ517" s="13"/>
      <c r="JLA517" s="193"/>
      <c r="JLB517" s="379"/>
      <c r="JLC517" s="379"/>
      <c r="JLD517" s="379"/>
      <c r="JLE517" s="379"/>
      <c r="JLF517" s="379"/>
      <c r="JLG517" s="13"/>
      <c r="JLH517" s="13"/>
      <c r="JLI517" s="193"/>
      <c r="JLJ517" s="379"/>
      <c r="JLK517" s="379"/>
      <c r="JLL517" s="379"/>
      <c r="JLM517" s="379"/>
      <c r="JLN517" s="379"/>
      <c r="JLO517" s="13"/>
      <c r="JLP517" s="13"/>
      <c r="JLQ517" s="193"/>
      <c r="JLR517" s="379"/>
      <c r="JLS517" s="379"/>
      <c r="JLT517" s="379"/>
      <c r="JLU517" s="379"/>
      <c r="JLV517" s="379"/>
      <c r="JLW517" s="13"/>
      <c r="JLX517" s="13"/>
      <c r="JLY517" s="193"/>
      <c r="JLZ517" s="379"/>
      <c r="JMA517" s="379"/>
      <c r="JMB517" s="379"/>
      <c r="JMC517" s="379"/>
      <c r="JMD517" s="379"/>
      <c r="JME517" s="13"/>
      <c r="JMF517" s="13"/>
      <c r="JMG517" s="193"/>
      <c r="JMH517" s="379"/>
      <c r="JMI517" s="379"/>
      <c r="JMJ517" s="379"/>
      <c r="JMK517" s="379"/>
      <c r="JML517" s="379"/>
      <c r="JMM517" s="13"/>
      <c r="JMN517" s="13"/>
      <c r="JMO517" s="193"/>
      <c r="JMP517" s="379"/>
      <c r="JMQ517" s="379"/>
      <c r="JMR517" s="379"/>
      <c r="JMS517" s="379"/>
      <c r="JMT517" s="379"/>
      <c r="JMU517" s="13"/>
      <c r="JMV517" s="13"/>
      <c r="JMW517" s="193"/>
      <c r="JMX517" s="379"/>
      <c r="JMY517" s="379"/>
      <c r="JMZ517" s="379"/>
      <c r="JNA517" s="379"/>
      <c r="JNB517" s="379"/>
      <c r="JNC517" s="13"/>
      <c r="JND517" s="13"/>
      <c r="JNE517" s="193"/>
      <c r="JNF517" s="379"/>
      <c r="JNG517" s="379"/>
      <c r="JNH517" s="379"/>
      <c r="JNI517" s="379"/>
      <c r="JNJ517" s="379"/>
      <c r="JNK517" s="13"/>
      <c r="JNL517" s="13"/>
      <c r="JNM517" s="193"/>
      <c r="JNN517" s="379"/>
      <c r="JNO517" s="379"/>
      <c r="JNP517" s="379"/>
      <c r="JNQ517" s="379"/>
      <c r="JNR517" s="379"/>
      <c r="JNS517" s="13"/>
      <c r="JNT517" s="13"/>
      <c r="JNU517" s="193"/>
      <c r="JNV517" s="379"/>
      <c r="JNW517" s="379"/>
      <c r="JNX517" s="379"/>
      <c r="JNY517" s="379"/>
      <c r="JNZ517" s="379"/>
      <c r="JOA517" s="13"/>
      <c r="JOB517" s="13"/>
      <c r="JOC517" s="193"/>
      <c r="JOD517" s="379"/>
      <c r="JOE517" s="379"/>
      <c r="JOF517" s="379"/>
      <c r="JOG517" s="379"/>
      <c r="JOH517" s="379"/>
      <c r="JOI517" s="13"/>
      <c r="JOJ517" s="13"/>
      <c r="JOK517" s="193"/>
      <c r="JOL517" s="379"/>
      <c r="JOM517" s="379"/>
      <c r="JON517" s="379"/>
      <c r="JOO517" s="379"/>
      <c r="JOP517" s="379"/>
      <c r="JOQ517" s="13"/>
      <c r="JOR517" s="13"/>
      <c r="JOS517" s="193"/>
      <c r="JOT517" s="379"/>
      <c r="JOU517" s="379"/>
      <c r="JOV517" s="379"/>
      <c r="JOW517" s="379"/>
      <c r="JOX517" s="379"/>
      <c r="JOY517" s="13"/>
      <c r="JOZ517" s="13"/>
      <c r="JPA517" s="193"/>
      <c r="JPB517" s="379"/>
      <c r="JPC517" s="379"/>
      <c r="JPD517" s="379"/>
      <c r="JPE517" s="379"/>
      <c r="JPF517" s="379"/>
      <c r="JPG517" s="13"/>
      <c r="JPH517" s="13"/>
      <c r="JPI517" s="193"/>
      <c r="JPJ517" s="379"/>
      <c r="JPK517" s="379"/>
      <c r="JPL517" s="379"/>
      <c r="JPM517" s="379"/>
      <c r="JPN517" s="379"/>
      <c r="JPO517" s="13"/>
      <c r="JPP517" s="13"/>
      <c r="JPQ517" s="193"/>
      <c r="JPR517" s="379"/>
      <c r="JPS517" s="379"/>
      <c r="JPT517" s="379"/>
      <c r="JPU517" s="379"/>
      <c r="JPV517" s="379"/>
      <c r="JPW517" s="13"/>
      <c r="JPX517" s="13"/>
      <c r="JPY517" s="193"/>
      <c r="JPZ517" s="379"/>
      <c r="JQA517" s="379"/>
      <c r="JQB517" s="379"/>
      <c r="JQC517" s="379"/>
      <c r="JQD517" s="379"/>
      <c r="JQE517" s="13"/>
      <c r="JQF517" s="13"/>
      <c r="JQG517" s="193"/>
      <c r="JQH517" s="379"/>
      <c r="JQI517" s="379"/>
      <c r="JQJ517" s="379"/>
      <c r="JQK517" s="379"/>
      <c r="JQL517" s="379"/>
      <c r="JQM517" s="13"/>
      <c r="JQN517" s="13"/>
      <c r="JQO517" s="193"/>
      <c r="JQP517" s="379"/>
      <c r="JQQ517" s="379"/>
      <c r="JQR517" s="379"/>
      <c r="JQS517" s="379"/>
      <c r="JQT517" s="379"/>
      <c r="JQU517" s="13"/>
      <c r="JQV517" s="13"/>
      <c r="JQW517" s="193"/>
      <c r="JQX517" s="379"/>
      <c r="JQY517" s="379"/>
      <c r="JQZ517" s="379"/>
      <c r="JRA517" s="379"/>
      <c r="JRB517" s="379"/>
      <c r="JRC517" s="13"/>
      <c r="JRD517" s="13"/>
      <c r="JRE517" s="193"/>
      <c r="JRF517" s="379"/>
      <c r="JRG517" s="379"/>
      <c r="JRH517" s="379"/>
      <c r="JRI517" s="379"/>
      <c r="JRJ517" s="379"/>
      <c r="JRK517" s="13"/>
      <c r="JRL517" s="13"/>
      <c r="JRM517" s="193"/>
      <c r="JRN517" s="379"/>
      <c r="JRO517" s="379"/>
      <c r="JRP517" s="379"/>
      <c r="JRQ517" s="379"/>
      <c r="JRR517" s="379"/>
      <c r="JRS517" s="13"/>
      <c r="JRT517" s="13"/>
      <c r="JRU517" s="193"/>
      <c r="JRV517" s="379"/>
      <c r="JRW517" s="379"/>
      <c r="JRX517" s="379"/>
      <c r="JRY517" s="379"/>
      <c r="JRZ517" s="379"/>
      <c r="JSA517" s="13"/>
      <c r="JSB517" s="13"/>
      <c r="JSC517" s="193"/>
      <c r="JSD517" s="379"/>
      <c r="JSE517" s="379"/>
      <c r="JSF517" s="379"/>
      <c r="JSG517" s="379"/>
      <c r="JSH517" s="379"/>
      <c r="JSI517" s="13"/>
      <c r="JSJ517" s="13"/>
      <c r="JSK517" s="193"/>
      <c r="JSL517" s="379"/>
      <c r="JSM517" s="379"/>
      <c r="JSN517" s="379"/>
      <c r="JSO517" s="379"/>
      <c r="JSP517" s="379"/>
      <c r="JSQ517" s="13"/>
      <c r="JSR517" s="13"/>
      <c r="JSS517" s="193"/>
      <c r="JST517" s="379"/>
      <c r="JSU517" s="379"/>
      <c r="JSV517" s="379"/>
      <c r="JSW517" s="379"/>
      <c r="JSX517" s="379"/>
      <c r="JSY517" s="13"/>
      <c r="JSZ517" s="13"/>
      <c r="JTA517" s="193"/>
      <c r="JTB517" s="379"/>
      <c r="JTC517" s="379"/>
      <c r="JTD517" s="379"/>
      <c r="JTE517" s="379"/>
      <c r="JTF517" s="379"/>
      <c r="JTG517" s="13"/>
      <c r="JTH517" s="13"/>
      <c r="JTI517" s="193"/>
      <c r="JTJ517" s="379"/>
      <c r="JTK517" s="379"/>
      <c r="JTL517" s="379"/>
      <c r="JTM517" s="379"/>
      <c r="JTN517" s="379"/>
      <c r="JTO517" s="13"/>
      <c r="JTP517" s="13"/>
      <c r="JTQ517" s="193"/>
      <c r="JTR517" s="379"/>
      <c r="JTS517" s="379"/>
      <c r="JTT517" s="379"/>
      <c r="JTU517" s="379"/>
      <c r="JTV517" s="379"/>
      <c r="JTW517" s="13"/>
      <c r="JTX517" s="13"/>
      <c r="JTY517" s="193"/>
      <c r="JTZ517" s="379"/>
      <c r="JUA517" s="379"/>
      <c r="JUB517" s="379"/>
      <c r="JUC517" s="379"/>
      <c r="JUD517" s="379"/>
      <c r="JUE517" s="13"/>
      <c r="JUF517" s="13"/>
      <c r="JUG517" s="193"/>
      <c r="JUH517" s="379"/>
      <c r="JUI517" s="379"/>
      <c r="JUJ517" s="379"/>
      <c r="JUK517" s="379"/>
      <c r="JUL517" s="379"/>
      <c r="JUM517" s="13"/>
      <c r="JUN517" s="13"/>
      <c r="JUO517" s="193"/>
      <c r="JUP517" s="379"/>
      <c r="JUQ517" s="379"/>
      <c r="JUR517" s="379"/>
      <c r="JUS517" s="379"/>
      <c r="JUT517" s="379"/>
      <c r="JUU517" s="13"/>
      <c r="JUV517" s="13"/>
      <c r="JUW517" s="193"/>
      <c r="JUX517" s="379"/>
      <c r="JUY517" s="379"/>
      <c r="JUZ517" s="379"/>
      <c r="JVA517" s="379"/>
      <c r="JVB517" s="379"/>
      <c r="JVC517" s="13"/>
      <c r="JVD517" s="13"/>
      <c r="JVE517" s="193"/>
      <c r="JVF517" s="379"/>
      <c r="JVG517" s="379"/>
      <c r="JVH517" s="379"/>
      <c r="JVI517" s="379"/>
      <c r="JVJ517" s="379"/>
      <c r="JVK517" s="13"/>
      <c r="JVL517" s="13"/>
      <c r="JVM517" s="193"/>
      <c r="JVN517" s="379"/>
      <c r="JVO517" s="379"/>
      <c r="JVP517" s="379"/>
      <c r="JVQ517" s="379"/>
      <c r="JVR517" s="379"/>
      <c r="JVS517" s="13"/>
      <c r="JVT517" s="13"/>
      <c r="JVU517" s="193"/>
      <c r="JVV517" s="379"/>
      <c r="JVW517" s="379"/>
      <c r="JVX517" s="379"/>
      <c r="JVY517" s="379"/>
      <c r="JVZ517" s="379"/>
      <c r="JWA517" s="13"/>
      <c r="JWB517" s="13"/>
      <c r="JWC517" s="193"/>
      <c r="JWD517" s="379"/>
      <c r="JWE517" s="379"/>
      <c r="JWF517" s="379"/>
      <c r="JWG517" s="379"/>
      <c r="JWH517" s="379"/>
      <c r="JWI517" s="13"/>
      <c r="JWJ517" s="13"/>
      <c r="JWK517" s="193"/>
      <c r="JWL517" s="379"/>
      <c r="JWM517" s="379"/>
      <c r="JWN517" s="379"/>
      <c r="JWO517" s="379"/>
      <c r="JWP517" s="379"/>
      <c r="JWQ517" s="13"/>
      <c r="JWR517" s="13"/>
      <c r="JWS517" s="193"/>
      <c r="JWT517" s="379"/>
      <c r="JWU517" s="379"/>
      <c r="JWV517" s="379"/>
      <c r="JWW517" s="379"/>
      <c r="JWX517" s="379"/>
      <c r="JWY517" s="13"/>
      <c r="JWZ517" s="13"/>
      <c r="JXA517" s="193"/>
      <c r="JXB517" s="379"/>
      <c r="JXC517" s="379"/>
      <c r="JXD517" s="379"/>
      <c r="JXE517" s="379"/>
      <c r="JXF517" s="379"/>
      <c r="JXG517" s="13"/>
      <c r="JXH517" s="13"/>
      <c r="JXI517" s="193"/>
      <c r="JXJ517" s="379"/>
      <c r="JXK517" s="379"/>
      <c r="JXL517" s="379"/>
      <c r="JXM517" s="379"/>
      <c r="JXN517" s="379"/>
      <c r="JXO517" s="13"/>
      <c r="JXP517" s="13"/>
      <c r="JXQ517" s="193"/>
      <c r="JXR517" s="379"/>
      <c r="JXS517" s="379"/>
      <c r="JXT517" s="379"/>
      <c r="JXU517" s="379"/>
      <c r="JXV517" s="379"/>
      <c r="JXW517" s="13"/>
      <c r="JXX517" s="13"/>
      <c r="JXY517" s="193"/>
      <c r="JXZ517" s="379"/>
      <c r="JYA517" s="379"/>
      <c r="JYB517" s="379"/>
      <c r="JYC517" s="379"/>
      <c r="JYD517" s="379"/>
      <c r="JYE517" s="13"/>
      <c r="JYF517" s="13"/>
      <c r="JYG517" s="193"/>
      <c r="JYH517" s="379"/>
      <c r="JYI517" s="379"/>
      <c r="JYJ517" s="379"/>
      <c r="JYK517" s="379"/>
      <c r="JYL517" s="379"/>
      <c r="JYM517" s="13"/>
      <c r="JYN517" s="13"/>
      <c r="JYO517" s="193"/>
      <c r="JYP517" s="379"/>
      <c r="JYQ517" s="379"/>
      <c r="JYR517" s="379"/>
      <c r="JYS517" s="379"/>
      <c r="JYT517" s="379"/>
      <c r="JYU517" s="13"/>
      <c r="JYV517" s="13"/>
      <c r="JYW517" s="193"/>
      <c r="JYX517" s="379"/>
      <c r="JYY517" s="379"/>
      <c r="JYZ517" s="379"/>
      <c r="JZA517" s="379"/>
      <c r="JZB517" s="379"/>
      <c r="JZC517" s="13"/>
      <c r="JZD517" s="13"/>
      <c r="JZE517" s="193"/>
      <c r="JZF517" s="379"/>
      <c r="JZG517" s="379"/>
      <c r="JZH517" s="379"/>
      <c r="JZI517" s="379"/>
      <c r="JZJ517" s="379"/>
      <c r="JZK517" s="13"/>
      <c r="JZL517" s="13"/>
      <c r="JZM517" s="193"/>
      <c r="JZN517" s="379"/>
      <c r="JZO517" s="379"/>
      <c r="JZP517" s="379"/>
      <c r="JZQ517" s="379"/>
      <c r="JZR517" s="379"/>
      <c r="JZS517" s="13"/>
      <c r="JZT517" s="13"/>
      <c r="JZU517" s="193"/>
      <c r="JZV517" s="379"/>
      <c r="JZW517" s="379"/>
      <c r="JZX517" s="379"/>
      <c r="JZY517" s="379"/>
      <c r="JZZ517" s="379"/>
      <c r="KAA517" s="13"/>
      <c r="KAB517" s="13"/>
      <c r="KAC517" s="193"/>
      <c r="KAD517" s="379"/>
      <c r="KAE517" s="379"/>
      <c r="KAF517" s="379"/>
      <c r="KAG517" s="379"/>
      <c r="KAH517" s="379"/>
      <c r="KAI517" s="13"/>
      <c r="KAJ517" s="13"/>
      <c r="KAK517" s="193"/>
      <c r="KAL517" s="379"/>
      <c r="KAM517" s="379"/>
      <c r="KAN517" s="379"/>
      <c r="KAO517" s="379"/>
      <c r="KAP517" s="379"/>
      <c r="KAQ517" s="13"/>
      <c r="KAR517" s="13"/>
      <c r="KAS517" s="193"/>
      <c r="KAT517" s="379"/>
      <c r="KAU517" s="379"/>
      <c r="KAV517" s="379"/>
      <c r="KAW517" s="379"/>
      <c r="KAX517" s="379"/>
      <c r="KAY517" s="13"/>
      <c r="KAZ517" s="13"/>
      <c r="KBA517" s="193"/>
      <c r="KBB517" s="379"/>
      <c r="KBC517" s="379"/>
      <c r="KBD517" s="379"/>
      <c r="KBE517" s="379"/>
      <c r="KBF517" s="379"/>
      <c r="KBG517" s="13"/>
      <c r="KBH517" s="13"/>
      <c r="KBI517" s="193"/>
      <c r="KBJ517" s="379"/>
      <c r="KBK517" s="379"/>
      <c r="KBL517" s="379"/>
      <c r="KBM517" s="379"/>
      <c r="KBN517" s="379"/>
      <c r="KBO517" s="13"/>
      <c r="KBP517" s="13"/>
      <c r="KBQ517" s="193"/>
      <c r="KBR517" s="379"/>
      <c r="KBS517" s="379"/>
      <c r="KBT517" s="379"/>
      <c r="KBU517" s="379"/>
      <c r="KBV517" s="379"/>
      <c r="KBW517" s="13"/>
      <c r="KBX517" s="13"/>
      <c r="KBY517" s="193"/>
      <c r="KBZ517" s="379"/>
      <c r="KCA517" s="379"/>
      <c r="KCB517" s="379"/>
      <c r="KCC517" s="379"/>
      <c r="KCD517" s="379"/>
      <c r="KCE517" s="13"/>
      <c r="KCF517" s="13"/>
      <c r="KCG517" s="193"/>
      <c r="KCH517" s="379"/>
      <c r="KCI517" s="379"/>
      <c r="KCJ517" s="379"/>
      <c r="KCK517" s="379"/>
      <c r="KCL517" s="379"/>
      <c r="KCM517" s="13"/>
      <c r="KCN517" s="13"/>
      <c r="KCO517" s="193"/>
      <c r="KCP517" s="379"/>
      <c r="KCQ517" s="379"/>
      <c r="KCR517" s="379"/>
      <c r="KCS517" s="379"/>
      <c r="KCT517" s="379"/>
      <c r="KCU517" s="13"/>
      <c r="KCV517" s="13"/>
      <c r="KCW517" s="193"/>
      <c r="KCX517" s="379"/>
      <c r="KCY517" s="379"/>
      <c r="KCZ517" s="379"/>
      <c r="KDA517" s="379"/>
      <c r="KDB517" s="379"/>
      <c r="KDC517" s="13"/>
      <c r="KDD517" s="13"/>
      <c r="KDE517" s="193"/>
      <c r="KDF517" s="379"/>
      <c r="KDG517" s="379"/>
      <c r="KDH517" s="379"/>
      <c r="KDI517" s="379"/>
      <c r="KDJ517" s="379"/>
      <c r="KDK517" s="13"/>
      <c r="KDL517" s="13"/>
      <c r="KDM517" s="193"/>
      <c r="KDN517" s="379"/>
      <c r="KDO517" s="379"/>
      <c r="KDP517" s="379"/>
      <c r="KDQ517" s="379"/>
      <c r="KDR517" s="379"/>
      <c r="KDS517" s="13"/>
      <c r="KDT517" s="13"/>
      <c r="KDU517" s="193"/>
      <c r="KDV517" s="379"/>
      <c r="KDW517" s="379"/>
      <c r="KDX517" s="379"/>
      <c r="KDY517" s="379"/>
      <c r="KDZ517" s="379"/>
      <c r="KEA517" s="13"/>
      <c r="KEB517" s="13"/>
      <c r="KEC517" s="193"/>
      <c r="KED517" s="379"/>
      <c r="KEE517" s="379"/>
      <c r="KEF517" s="379"/>
      <c r="KEG517" s="379"/>
      <c r="KEH517" s="379"/>
      <c r="KEI517" s="13"/>
      <c r="KEJ517" s="13"/>
      <c r="KEK517" s="193"/>
      <c r="KEL517" s="379"/>
      <c r="KEM517" s="379"/>
      <c r="KEN517" s="379"/>
      <c r="KEO517" s="379"/>
      <c r="KEP517" s="379"/>
      <c r="KEQ517" s="13"/>
      <c r="KER517" s="13"/>
      <c r="KES517" s="193"/>
      <c r="KET517" s="379"/>
      <c r="KEU517" s="379"/>
      <c r="KEV517" s="379"/>
      <c r="KEW517" s="379"/>
      <c r="KEX517" s="379"/>
      <c r="KEY517" s="13"/>
      <c r="KEZ517" s="13"/>
      <c r="KFA517" s="193"/>
      <c r="KFB517" s="379"/>
      <c r="KFC517" s="379"/>
      <c r="KFD517" s="379"/>
      <c r="KFE517" s="379"/>
      <c r="KFF517" s="379"/>
      <c r="KFG517" s="13"/>
      <c r="KFH517" s="13"/>
      <c r="KFI517" s="193"/>
      <c r="KFJ517" s="379"/>
      <c r="KFK517" s="379"/>
      <c r="KFL517" s="379"/>
      <c r="KFM517" s="379"/>
      <c r="KFN517" s="379"/>
      <c r="KFO517" s="13"/>
      <c r="KFP517" s="13"/>
      <c r="KFQ517" s="193"/>
      <c r="KFR517" s="379"/>
      <c r="KFS517" s="379"/>
      <c r="KFT517" s="379"/>
      <c r="KFU517" s="379"/>
      <c r="KFV517" s="379"/>
      <c r="KFW517" s="13"/>
      <c r="KFX517" s="13"/>
      <c r="KFY517" s="193"/>
      <c r="KFZ517" s="379"/>
      <c r="KGA517" s="379"/>
      <c r="KGB517" s="379"/>
      <c r="KGC517" s="379"/>
      <c r="KGD517" s="379"/>
      <c r="KGE517" s="13"/>
      <c r="KGF517" s="13"/>
      <c r="KGG517" s="193"/>
      <c r="KGH517" s="379"/>
      <c r="KGI517" s="379"/>
      <c r="KGJ517" s="379"/>
      <c r="KGK517" s="379"/>
      <c r="KGL517" s="379"/>
      <c r="KGM517" s="13"/>
      <c r="KGN517" s="13"/>
      <c r="KGO517" s="193"/>
      <c r="KGP517" s="379"/>
      <c r="KGQ517" s="379"/>
      <c r="KGR517" s="379"/>
      <c r="KGS517" s="379"/>
      <c r="KGT517" s="379"/>
      <c r="KGU517" s="13"/>
      <c r="KGV517" s="13"/>
      <c r="KGW517" s="193"/>
      <c r="KGX517" s="379"/>
      <c r="KGY517" s="379"/>
      <c r="KGZ517" s="379"/>
      <c r="KHA517" s="379"/>
      <c r="KHB517" s="379"/>
      <c r="KHC517" s="13"/>
      <c r="KHD517" s="13"/>
      <c r="KHE517" s="193"/>
      <c r="KHF517" s="379"/>
      <c r="KHG517" s="379"/>
      <c r="KHH517" s="379"/>
      <c r="KHI517" s="379"/>
      <c r="KHJ517" s="379"/>
      <c r="KHK517" s="13"/>
      <c r="KHL517" s="13"/>
      <c r="KHM517" s="193"/>
      <c r="KHN517" s="379"/>
      <c r="KHO517" s="379"/>
      <c r="KHP517" s="379"/>
      <c r="KHQ517" s="379"/>
      <c r="KHR517" s="379"/>
      <c r="KHS517" s="13"/>
      <c r="KHT517" s="13"/>
      <c r="KHU517" s="193"/>
      <c r="KHV517" s="379"/>
      <c r="KHW517" s="379"/>
      <c r="KHX517" s="379"/>
      <c r="KHY517" s="379"/>
      <c r="KHZ517" s="379"/>
      <c r="KIA517" s="13"/>
      <c r="KIB517" s="13"/>
      <c r="KIC517" s="193"/>
      <c r="KID517" s="379"/>
      <c r="KIE517" s="379"/>
      <c r="KIF517" s="379"/>
      <c r="KIG517" s="379"/>
      <c r="KIH517" s="379"/>
      <c r="KII517" s="13"/>
      <c r="KIJ517" s="13"/>
      <c r="KIK517" s="193"/>
      <c r="KIL517" s="379"/>
      <c r="KIM517" s="379"/>
      <c r="KIN517" s="379"/>
      <c r="KIO517" s="379"/>
      <c r="KIP517" s="379"/>
      <c r="KIQ517" s="13"/>
      <c r="KIR517" s="13"/>
      <c r="KIS517" s="193"/>
      <c r="KIT517" s="379"/>
      <c r="KIU517" s="379"/>
      <c r="KIV517" s="379"/>
      <c r="KIW517" s="379"/>
      <c r="KIX517" s="379"/>
      <c r="KIY517" s="13"/>
      <c r="KIZ517" s="13"/>
      <c r="KJA517" s="193"/>
      <c r="KJB517" s="379"/>
      <c r="KJC517" s="379"/>
      <c r="KJD517" s="379"/>
      <c r="KJE517" s="379"/>
      <c r="KJF517" s="379"/>
      <c r="KJG517" s="13"/>
      <c r="KJH517" s="13"/>
      <c r="KJI517" s="193"/>
      <c r="KJJ517" s="379"/>
      <c r="KJK517" s="379"/>
      <c r="KJL517" s="379"/>
      <c r="KJM517" s="379"/>
      <c r="KJN517" s="379"/>
      <c r="KJO517" s="13"/>
      <c r="KJP517" s="13"/>
      <c r="KJQ517" s="193"/>
      <c r="KJR517" s="379"/>
      <c r="KJS517" s="379"/>
      <c r="KJT517" s="379"/>
      <c r="KJU517" s="379"/>
      <c r="KJV517" s="379"/>
      <c r="KJW517" s="13"/>
      <c r="KJX517" s="13"/>
      <c r="KJY517" s="193"/>
      <c r="KJZ517" s="379"/>
      <c r="KKA517" s="379"/>
      <c r="KKB517" s="379"/>
      <c r="KKC517" s="379"/>
      <c r="KKD517" s="379"/>
      <c r="KKE517" s="13"/>
      <c r="KKF517" s="13"/>
      <c r="KKG517" s="193"/>
      <c r="KKH517" s="379"/>
      <c r="KKI517" s="379"/>
      <c r="KKJ517" s="379"/>
      <c r="KKK517" s="379"/>
      <c r="KKL517" s="379"/>
      <c r="KKM517" s="13"/>
      <c r="KKN517" s="13"/>
      <c r="KKO517" s="193"/>
      <c r="KKP517" s="379"/>
      <c r="KKQ517" s="379"/>
      <c r="KKR517" s="379"/>
      <c r="KKS517" s="379"/>
      <c r="KKT517" s="379"/>
      <c r="KKU517" s="13"/>
      <c r="KKV517" s="13"/>
      <c r="KKW517" s="193"/>
      <c r="KKX517" s="379"/>
      <c r="KKY517" s="379"/>
      <c r="KKZ517" s="379"/>
      <c r="KLA517" s="379"/>
      <c r="KLB517" s="379"/>
      <c r="KLC517" s="13"/>
      <c r="KLD517" s="13"/>
      <c r="KLE517" s="193"/>
      <c r="KLF517" s="379"/>
      <c r="KLG517" s="379"/>
      <c r="KLH517" s="379"/>
      <c r="KLI517" s="379"/>
      <c r="KLJ517" s="379"/>
      <c r="KLK517" s="13"/>
      <c r="KLL517" s="13"/>
      <c r="KLM517" s="193"/>
      <c r="KLN517" s="379"/>
      <c r="KLO517" s="379"/>
      <c r="KLP517" s="379"/>
      <c r="KLQ517" s="379"/>
      <c r="KLR517" s="379"/>
      <c r="KLS517" s="13"/>
      <c r="KLT517" s="13"/>
      <c r="KLU517" s="193"/>
      <c r="KLV517" s="379"/>
      <c r="KLW517" s="379"/>
      <c r="KLX517" s="379"/>
      <c r="KLY517" s="379"/>
      <c r="KLZ517" s="379"/>
      <c r="KMA517" s="13"/>
      <c r="KMB517" s="13"/>
      <c r="KMC517" s="193"/>
      <c r="KMD517" s="379"/>
      <c r="KME517" s="379"/>
      <c r="KMF517" s="379"/>
      <c r="KMG517" s="379"/>
      <c r="KMH517" s="379"/>
      <c r="KMI517" s="13"/>
      <c r="KMJ517" s="13"/>
      <c r="KMK517" s="193"/>
      <c r="KML517" s="379"/>
      <c r="KMM517" s="379"/>
      <c r="KMN517" s="379"/>
      <c r="KMO517" s="379"/>
      <c r="KMP517" s="379"/>
      <c r="KMQ517" s="13"/>
      <c r="KMR517" s="13"/>
      <c r="KMS517" s="193"/>
      <c r="KMT517" s="379"/>
      <c r="KMU517" s="379"/>
      <c r="KMV517" s="379"/>
      <c r="KMW517" s="379"/>
      <c r="KMX517" s="379"/>
      <c r="KMY517" s="13"/>
      <c r="KMZ517" s="13"/>
      <c r="KNA517" s="193"/>
      <c r="KNB517" s="379"/>
      <c r="KNC517" s="379"/>
      <c r="KND517" s="379"/>
      <c r="KNE517" s="379"/>
      <c r="KNF517" s="379"/>
      <c r="KNG517" s="13"/>
      <c r="KNH517" s="13"/>
      <c r="KNI517" s="193"/>
      <c r="KNJ517" s="379"/>
      <c r="KNK517" s="379"/>
      <c r="KNL517" s="379"/>
      <c r="KNM517" s="379"/>
      <c r="KNN517" s="379"/>
      <c r="KNO517" s="13"/>
      <c r="KNP517" s="13"/>
      <c r="KNQ517" s="193"/>
      <c r="KNR517" s="379"/>
      <c r="KNS517" s="379"/>
      <c r="KNT517" s="379"/>
      <c r="KNU517" s="379"/>
      <c r="KNV517" s="379"/>
      <c r="KNW517" s="13"/>
      <c r="KNX517" s="13"/>
      <c r="KNY517" s="193"/>
      <c r="KNZ517" s="379"/>
      <c r="KOA517" s="379"/>
      <c r="KOB517" s="379"/>
      <c r="KOC517" s="379"/>
      <c r="KOD517" s="379"/>
      <c r="KOE517" s="13"/>
      <c r="KOF517" s="13"/>
      <c r="KOG517" s="193"/>
      <c r="KOH517" s="379"/>
      <c r="KOI517" s="379"/>
      <c r="KOJ517" s="379"/>
      <c r="KOK517" s="379"/>
      <c r="KOL517" s="379"/>
      <c r="KOM517" s="13"/>
      <c r="KON517" s="13"/>
      <c r="KOO517" s="193"/>
      <c r="KOP517" s="379"/>
      <c r="KOQ517" s="379"/>
      <c r="KOR517" s="379"/>
      <c r="KOS517" s="379"/>
      <c r="KOT517" s="379"/>
      <c r="KOU517" s="13"/>
      <c r="KOV517" s="13"/>
      <c r="KOW517" s="193"/>
      <c r="KOX517" s="379"/>
      <c r="KOY517" s="379"/>
      <c r="KOZ517" s="379"/>
      <c r="KPA517" s="379"/>
      <c r="KPB517" s="379"/>
      <c r="KPC517" s="13"/>
      <c r="KPD517" s="13"/>
      <c r="KPE517" s="193"/>
      <c r="KPF517" s="379"/>
      <c r="KPG517" s="379"/>
      <c r="KPH517" s="379"/>
      <c r="KPI517" s="379"/>
      <c r="KPJ517" s="379"/>
      <c r="KPK517" s="13"/>
      <c r="KPL517" s="13"/>
      <c r="KPM517" s="193"/>
      <c r="KPN517" s="379"/>
      <c r="KPO517" s="379"/>
      <c r="KPP517" s="379"/>
      <c r="KPQ517" s="379"/>
      <c r="KPR517" s="379"/>
      <c r="KPS517" s="13"/>
      <c r="KPT517" s="13"/>
      <c r="KPU517" s="193"/>
      <c r="KPV517" s="379"/>
      <c r="KPW517" s="379"/>
      <c r="KPX517" s="379"/>
      <c r="KPY517" s="379"/>
      <c r="KPZ517" s="379"/>
      <c r="KQA517" s="13"/>
      <c r="KQB517" s="13"/>
      <c r="KQC517" s="193"/>
      <c r="KQD517" s="379"/>
      <c r="KQE517" s="379"/>
      <c r="KQF517" s="379"/>
      <c r="KQG517" s="379"/>
      <c r="KQH517" s="379"/>
      <c r="KQI517" s="13"/>
      <c r="KQJ517" s="13"/>
      <c r="KQK517" s="193"/>
      <c r="KQL517" s="379"/>
      <c r="KQM517" s="379"/>
      <c r="KQN517" s="379"/>
      <c r="KQO517" s="379"/>
      <c r="KQP517" s="379"/>
      <c r="KQQ517" s="13"/>
      <c r="KQR517" s="13"/>
      <c r="KQS517" s="193"/>
      <c r="KQT517" s="379"/>
      <c r="KQU517" s="379"/>
      <c r="KQV517" s="379"/>
      <c r="KQW517" s="379"/>
      <c r="KQX517" s="379"/>
      <c r="KQY517" s="13"/>
      <c r="KQZ517" s="13"/>
      <c r="KRA517" s="193"/>
      <c r="KRB517" s="379"/>
      <c r="KRC517" s="379"/>
      <c r="KRD517" s="379"/>
      <c r="KRE517" s="379"/>
      <c r="KRF517" s="379"/>
      <c r="KRG517" s="13"/>
      <c r="KRH517" s="13"/>
      <c r="KRI517" s="193"/>
      <c r="KRJ517" s="379"/>
      <c r="KRK517" s="379"/>
      <c r="KRL517" s="379"/>
      <c r="KRM517" s="379"/>
      <c r="KRN517" s="379"/>
      <c r="KRO517" s="13"/>
      <c r="KRP517" s="13"/>
      <c r="KRQ517" s="193"/>
      <c r="KRR517" s="379"/>
      <c r="KRS517" s="379"/>
      <c r="KRT517" s="379"/>
      <c r="KRU517" s="379"/>
      <c r="KRV517" s="379"/>
      <c r="KRW517" s="13"/>
      <c r="KRX517" s="13"/>
      <c r="KRY517" s="193"/>
      <c r="KRZ517" s="379"/>
      <c r="KSA517" s="379"/>
      <c r="KSB517" s="379"/>
      <c r="KSC517" s="379"/>
      <c r="KSD517" s="379"/>
      <c r="KSE517" s="13"/>
      <c r="KSF517" s="13"/>
      <c r="KSG517" s="193"/>
      <c r="KSH517" s="379"/>
      <c r="KSI517" s="379"/>
      <c r="KSJ517" s="379"/>
      <c r="KSK517" s="379"/>
      <c r="KSL517" s="379"/>
      <c r="KSM517" s="13"/>
      <c r="KSN517" s="13"/>
      <c r="KSO517" s="193"/>
      <c r="KSP517" s="379"/>
      <c r="KSQ517" s="379"/>
      <c r="KSR517" s="379"/>
      <c r="KSS517" s="379"/>
      <c r="KST517" s="379"/>
      <c r="KSU517" s="13"/>
      <c r="KSV517" s="13"/>
      <c r="KSW517" s="193"/>
      <c r="KSX517" s="379"/>
      <c r="KSY517" s="379"/>
      <c r="KSZ517" s="379"/>
      <c r="KTA517" s="379"/>
      <c r="KTB517" s="379"/>
      <c r="KTC517" s="13"/>
      <c r="KTD517" s="13"/>
      <c r="KTE517" s="193"/>
      <c r="KTF517" s="379"/>
      <c r="KTG517" s="379"/>
      <c r="KTH517" s="379"/>
      <c r="KTI517" s="379"/>
      <c r="KTJ517" s="379"/>
      <c r="KTK517" s="13"/>
      <c r="KTL517" s="13"/>
      <c r="KTM517" s="193"/>
      <c r="KTN517" s="379"/>
      <c r="KTO517" s="379"/>
      <c r="KTP517" s="379"/>
      <c r="KTQ517" s="379"/>
      <c r="KTR517" s="379"/>
      <c r="KTS517" s="13"/>
      <c r="KTT517" s="13"/>
      <c r="KTU517" s="193"/>
      <c r="KTV517" s="379"/>
      <c r="KTW517" s="379"/>
      <c r="KTX517" s="379"/>
      <c r="KTY517" s="379"/>
      <c r="KTZ517" s="379"/>
      <c r="KUA517" s="13"/>
      <c r="KUB517" s="13"/>
      <c r="KUC517" s="193"/>
      <c r="KUD517" s="379"/>
      <c r="KUE517" s="379"/>
      <c r="KUF517" s="379"/>
      <c r="KUG517" s="379"/>
      <c r="KUH517" s="379"/>
      <c r="KUI517" s="13"/>
      <c r="KUJ517" s="13"/>
      <c r="KUK517" s="193"/>
      <c r="KUL517" s="379"/>
      <c r="KUM517" s="379"/>
      <c r="KUN517" s="379"/>
      <c r="KUO517" s="379"/>
      <c r="KUP517" s="379"/>
      <c r="KUQ517" s="13"/>
      <c r="KUR517" s="13"/>
      <c r="KUS517" s="193"/>
      <c r="KUT517" s="379"/>
      <c r="KUU517" s="379"/>
      <c r="KUV517" s="379"/>
      <c r="KUW517" s="379"/>
      <c r="KUX517" s="379"/>
      <c r="KUY517" s="13"/>
      <c r="KUZ517" s="13"/>
      <c r="KVA517" s="193"/>
      <c r="KVB517" s="379"/>
      <c r="KVC517" s="379"/>
      <c r="KVD517" s="379"/>
      <c r="KVE517" s="379"/>
      <c r="KVF517" s="379"/>
      <c r="KVG517" s="13"/>
      <c r="KVH517" s="13"/>
      <c r="KVI517" s="193"/>
      <c r="KVJ517" s="379"/>
      <c r="KVK517" s="379"/>
      <c r="KVL517" s="379"/>
      <c r="KVM517" s="379"/>
      <c r="KVN517" s="379"/>
      <c r="KVO517" s="13"/>
      <c r="KVP517" s="13"/>
      <c r="KVQ517" s="193"/>
      <c r="KVR517" s="379"/>
      <c r="KVS517" s="379"/>
      <c r="KVT517" s="379"/>
      <c r="KVU517" s="379"/>
      <c r="KVV517" s="379"/>
      <c r="KVW517" s="13"/>
      <c r="KVX517" s="13"/>
      <c r="KVY517" s="193"/>
      <c r="KVZ517" s="379"/>
      <c r="KWA517" s="379"/>
      <c r="KWB517" s="379"/>
      <c r="KWC517" s="379"/>
      <c r="KWD517" s="379"/>
      <c r="KWE517" s="13"/>
      <c r="KWF517" s="13"/>
      <c r="KWG517" s="193"/>
      <c r="KWH517" s="379"/>
      <c r="KWI517" s="379"/>
      <c r="KWJ517" s="379"/>
      <c r="KWK517" s="379"/>
      <c r="KWL517" s="379"/>
      <c r="KWM517" s="13"/>
      <c r="KWN517" s="13"/>
      <c r="KWO517" s="193"/>
      <c r="KWP517" s="379"/>
      <c r="KWQ517" s="379"/>
      <c r="KWR517" s="379"/>
      <c r="KWS517" s="379"/>
      <c r="KWT517" s="379"/>
      <c r="KWU517" s="13"/>
      <c r="KWV517" s="13"/>
      <c r="KWW517" s="193"/>
      <c r="KWX517" s="379"/>
      <c r="KWY517" s="379"/>
      <c r="KWZ517" s="379"/>
      <c r="KXA517" s="379"/>
      <c r="KXB517" s="379"/>
      <c r="KXC517" s="13"/>
      <c r="KXD517" s="13"/>
      <c r="KXE517" s="193"/>
      <c r="KXF517" s="379"/>
      <c r="KXG517" s="379"/>
      <c r="KXH517" s="379"/>
      <c r="KXI517" s="379"/>
      <c r="KXJ517" s="379"/>
      <c r="KXK517" s="13"/>
      <c r="KXL517" s="13"/>
      <c r="KXM517" s="193"/>
      <c r="KXN517" s="379"/>
      <c r="KXO517" s="379"/>
      <c r="KXP517" s="379"/>
      <c r="KXQ517" s="379"/>
      <c r="KXR517" s="379"/>
      <c r="KXS517" s="13"/>
      <c r="KXT517" s="13"/>
      <c r="KXU517" s="193"/>
      <c r="KXV517" s="379"/>
      <c r="KXW517" s="379"/>
      <c r="KXX517" s="379"/>
      <c r="KXY517" s="379"/>
      <c r="KXZ517" s="379"/>
      <c r="KYA517" s="13"/>
      <c r="KYB517" s="13"/>
      <c r="KYC517" s="193"/>
      <c r="KYD517" s="379"/>
      <c r="KYE517" s="379"/>
      <c r="KYF517" s="379"/>
      <c r="KYG517" s="379"/>
      <c r="KYH517" s="379"/>
      <c r="KYI517" s="13"/>
      <c r="KYJ517" s="13"/>
      <c r="KYK517" s="193"/>
      <c r="KYL517" s="379"/>
      <c r="KYM517" s="379"/>
      <c r="KYN517" s="379"/>
      <c r="KYO517" s="379"/>
      <c r="KYP517" s="379"/>
      <c r="KYQ517" s="13"/>
      <c r="KYR517" s="13"/>
      <c r="KYS517" s="193"/>
      <c r="KYT517" s="379"/>
      <c r="KYU517" s="379"/>
      <c r="KYV517" s="379"/>
      <c r="KYW517" s="379"/>
      <c r="KYX517" s="379"/>
      <c r="KYY517" s="13"/>
      <c r="KYZ517" s="13"/>
      <c r="KZA517" s="193"/>
      <c r="KZB517" s="379"/>
      <c r="KZC517" s="379"/>
      <c r="KZD517" s="379"/>
      <c r="KZE517" s="379"/>
      <c r="KZF517" s="379"/>
      <c r="KZG517" s="13"/>
      <c r="KZH517" s="13"/>
      <c r="KZI517" s="193"/>
      <c r="KZJ517" s="379"/>
      <c r="KZK517" s="379"/>
      <c r="KZL517" s="379"/>
      <c r="KZM517" s="379"/>
      <c r="KZN517" s="379"/>
      <c r="KZO517" s="13"/>
      <c r="KZP517" s="13"/>
      <c r="KZQ517" s="193"/>
      <c r="KZR517" s="379"/>
      <c r="KZS517" s="379"/>
      <c r="KZT517" s="379"/>
      <c r="KZU517" s="379"/>
      <c r="KZV517" s="379"/>
      <c r="KZW517" s="13"/>
      <c r="KZX517" s="13"/>
      <c r="KZY517" s="193"/>
      <c r="KZZ517" s="379"/>
      <c r="LAA517" s="379"/>
      <c r="LAB517" s="379"/>
      <c r="LAC517" s="379"/>
      <c r="LAD517" s="379"/>
      <c r="LAE517" s="13"/>
      <c r="LAF517" s="13"/>
      <c r="LAG517" s="193"/>
      <c r="LAH517" s="379"/>
      <c r="LAI517" s="379"/>
      <c r="LAJ517" s="379"/>
      <c r="LAK517" s="379"/>
      <c r="LAL517" s="379"/>
      <c r="LAM517" s="13"/>
      <c r="LAN517" s="13"/>
      <c r="LAO517" s="193"/>
      <c r="LAP517" s="379"/>
      <c r="LAQ517" s="379"/>
      <c r="LAR517" s="379"/>
      <c r="LAS517" s="379"/>
      <c r="LAT517" s="379"/>
      <c r="LAU517" s="13"/>
      <c r="LAV517" s="13"/>
      <c r="LAW517" s="193"/>
      <c r="LAX517" s="379"/>
      <c r="LAY517" s="379"/>
      <c r="LAZ517" s="379"/>
      <c r="LBA517" s="379"/>
      <c r="LBB517" s="379"/>
      <c r="LBC517" s="13"/>
      <c r="LBD517" s="13"/>
      <c r="LBE517" s="193"/>
      <c r="LBF517" s="379"/>
      <c r="LBG517" s="379"/>
      <c r="LBH517" s="379"/>
      <c r="LBI517" s="379"/>
      <c r="LBJ517" s="379"/>
      <c r="LBK517" s="13"/>
      <c r="LBL517" s="13"/>
      <c r="LBM517" s="193"/>
      <c r="LBN517" s="379"/>
      <c r="LBO517" s="379"/>
      <c r="LBP517" s="379"/>
      <c r="LBQ517" s="379"/>
      <c r="LBR517" s="379"/>
      <c r="LBS517" s="13"/>
      <c r="LBT517" s="13"/>
      <c r="LBU517" s="193"/>
      <c r="LBV517" s="379"/>
      <c r="LBW517" s="379"/>
      <c r="LBX517" s="379"/>
      <c r="LBY517" s="379"/>
      <c r="LBZ517" s="379"/>
      <c r="LCA517" s="13"/>
      <c r="LCB517" s="13"/>
      <c r="LCC517" s="193"/>
      <c r="LCD517" s="379"/>
      <c r="LCE517" s="379"/>
      <c r="LCF517" s="379"/>
      <c r="LCG517" s="379"/>
      <c r="LCH517" s="379"/>
      <c r="LCI517" s="13"/>
      <c r="LCJ517" s="13"/>
      <c r="LCK517" s="193"/>
      <c r="LCL517" s="379"/>
      <c r="LCM517" s="379"/>
      <c r="LCN517" s="379"/>
      <c r="LCO517" s="379"/>
      <c r="LCP517" s="379"/>
      <c r="LCQ517" s="13"/>
      <c r="LCR517" s="13"/>
      <c r="LCS517" s="193"/>
      <c r="LCT517" s="379"/>
      <c r="LCU517" s="379"/>
      <c r="LCV517" s="379"/>
      <c r="LCW517" s="379"/>
      <c r="LCX517" s="379"/>
      <c r="LCY517" s="13"/>
      <c r="LCZ517" s="13"/>
      <c r="LDA517" s="193"/>
      <c r="LDB517" s="379"/>
      <c r="LDC517" s="379"/>
      <c r="LDD517" s="379"/>
      <c r="LDE517" s="379"/>
      <c r="LDF517" s="379"/>
      <c r="LDG517" s="13"/>
      <c r="LDH517" s="13"/>
      <c r="LDI517" s="193"/>
      <c r="LDJ517" s="379"/>
      <c r="LDK517" s="379"/>
      <c r="LDL517" s="379"/>
      <c r="LDM517" s="379"/>
      <c r="LDN517" s="379"/>
      <c r="LDO517" s="13"/>
      <c r="LDP517" s="13"/>
      <c r="LDQ517" s="193"/>
      <c r="LDR517" s="379"/>
      <c r="LDS517" s="379"/>
      <c r="LDT517" s="379"/>
      <c r="LDU517" s="379"/>
      <c r="LDV517" s="379"/>
      <c r="LDW517" s="13"/>
      <c r="LDX517" s="13"/>
      <c r="LDY517" s="193"/>
      <c r="LDZ517" s="379"/>
      <c r="LEA517" s="379"/>
      <c r="LEB517" s="379"/>
      <c r="LEC517" s="379"/>
      <c r="LED517" s="379"/>
      <c r="LEE517" s="13"/>
      <c r="LEF517" s="13"/>
      <c r="LEG517" s="193"/>
      <c r="LEH517" s="379"/>
      <c r="LEI517" s="379"/>
      <c r="LEJ517" s="379"/>
      <c r="LEK517" s="379"/>
      <c r="LEL517" s="379"/>
      <c r="LEM517" s="13"/>
      <c r="LEN517" s="13"/>
      <c r="LEO517" s="193"/>
      <c r="LEP517" s="379"/>
      <c r="LEQ517" s="379"/>
      <c r="LER517" s="379"/>
      <c r="LES517" s="379"/>
      <c r="LET517" s="379"/>
      <c r="LEU517" s="13"/>
      <c r="LEV517" s="13"/>
      <c r="LEW517" s="193"/>
      <c r="LEX517" s="379"/>
      <c r="LEY517" s="379"/>
      <c r="LEZ517" s="379"/>
      <c r="LFA517" s="379"/>
      <c r="LFB517" s="379"/>
      <c r="LFC517" s="13"/>
      <c r="LFD517" s="13"/>
      <c r="LFE517" s="193"/>
      <c r="LFF517" s="379"/>
      <c r="LFG517" s="379"/>
      <c r="LFH517" s="379"/>
      <c r="LFI517" s="379"/>
      <c r="LFJ517" s="379"/>
      <c r="LFK517" s="13"/>
      <c r="LFL517" s="13"/>
      <c r="LFM517" s="193"/>
      <c r="LFN517" s="379"/>
      <c r="LFO517" s="379"/>
      <c r="LFP517" s="379"/>
      <c r="LFQ517" s="379"/>
      <c r="LFR517" s="379"/>
      <c r="LFS517" s="13"/>
      <c r="LFT517" s="13"/>
      <c r="LFU517" s="193"/>
      <c r="LFV517" s="379"/>
      <c r="LFW517" s="379"/>
      <c r="LFX517" s="379"/>
      <c r="LFY517" s="379"/>
      <c r="LFZ517" s="379"/>
      <c r="LGA517" s="13"/>
      <c r="LGB517" s="13"/>
      <c r="LGC517" s="193"/>
      <c r="LGD517" s="379"/>
      <c r="LGE517" s="379"/>
      <c r="LGF517" s="379"/>
      <c r="LGG517" s="379"/>
      <c r="LGH517" s="379"/>
      <c r="LGI517" s="13"/>
      <c r="LGJ517" s="13"/>
      <c r="LGK517" s="193"/>
      <c r="LGL517" s="379"/>
      <c r="LGM517" s="379"/>
      <c r="LGN517" s="379"/>
      <c r="LGO517" s="379"/>
      <c r="LGP517" s="379"/>
      <c r="LGQ517" s="13"/>
      <c r="LGR517" s="13"/>
      <c r="LGS517" s="193"/>
      <c r="LGT517" s="379"/>
      <c r="LGU517" s="379"/>
      <c r="LGV517" s="379"/>
      <c r="LGW517" s="379"/>
      <c r="LGX517" s="379"/>
      <c r="LGY517" s="13"/>
      <c r="LGZ517" s="13"/>
      <c r="LHA517" s="193"/>
      <c r="LHB517" s="379"/>
      <c r="LHC517" s="379"/>
      <c r="LHD517" s="379"/>
      <c r="LHE517" s="379"/>
      <c r="LHF517" s="379"/>
      <c r="LHG517" s="13"/>
      <c r="LHH517" s="13"/>
      <c r="LHI517" s="193"/>
      <c r="LHJ517" s="379"/>
      <c r="LHK517" s="379"/>
      <c r="LHL517" s="379"/>
      <c r="LHM517" s="379"/>
      <c r="LHN517" s="379"/>
      <c r="LHO517" s="13"/>
      <c r="LHP517" s="13"/>
      <c r="LHQ517" s="193"/>
      <c r="LHR517" s="379"/>
      <c r="LHS517" s="379"/>
      <c r="LHT517" s="379"/>
      <c r="LHU517" s="379"/>
      <c r="LHV517" s="379"/>
      <c r="LHW517" s="13"/>
      <c r="LHX517" s="13"/>
      <c r="LHY517" s="193"/>
      <c r="LHZ517" s="379"/>
      <c r="LIA517" s="379"/>
      <c r="LIB517" s="379"/>
      <c r="LIC517" s="379"/>
      <c r="LID517" s="379"/>
      <c r="LIE517" s="13"/>
      <c r="LIF517" s="13"/>
      <c r="LIG517" s="193"/>
      <c r="LIH517" s="379"/>
      <c r="LII517" s="379"/>
      <c r="LIJ517" s="379"/>
      <c r="LIK517" s="379"/>
      <c r="LIL517" s="379"/>
      <c r="LIM517" s="13"/>
      <c r="LIN517" s="13"/>
      <c r="LIO517" s="193"/>
      <c r="LIP517" s="379"/>
      <c r="LIQ517" s="379"/>
      <c r="LIR517" s="379"/>
      <c r="LIS517" s="379"/>
      <c r="LIT517" s="379"/>
      <c r="LIU517" s="13"/>
      <c r="LIV517" s="13"/>
      <c r="LIW517" s="193"/>
      <c r="LIX517" s="379"/>
      <c r="LIY517" s="379"/>
      <c r="LIZ517" s="379"/>
      <c r="LJA517" s="379"/>
      <c r="LJB517" s="379"/>
      <c r="LJC517" s="13"/>
      <c r="LJD517" s="13"/>
      <c r="LJE517" s="193"/>
      <c r="LJF517" s="379"/>
      <c r="LJG517" s="379"/>
      <c r="LJH517" s="379"/>
      <c r="LJI517" s="379"/>
      <c r="LJJ517" s="379"/>
      <c r="LJK517" s="13"/>
      <c r="LJL517" s="13"/>
      <c r="LJM517" s="193"/>
      <c r="LJN517" s="379"/>
      <c r="LJO517" s="379"/>
      <c r="LJP517" s="379"/>
      <c r="LJQ517" s="379"/>
      <c r="LJR517" s="379"/>
      <c r="LJS517" s="13"/>
      <c r="LJT517" s="13"/>
      <c r="LJU517" s="193"/>
      <c r="LJV517" s="379"/>
      <c r="LJW517" s="379"/>
      <c r="LJX517" s="379"/>
      <c r="LJY517" s="379"/>
      <c r="LJZ517" s="379"/>
      <c r="LKA517" s="13"/>
      <c r="LKB517" s="13"/>
      <c r="LKC517" s="193"/>
      <c r="LKD517" s="379"/>
      <c r="LKE517" s="379"/>
      <c r="LKF517" s="379"/>
      <c r="LKG517" s="379"/>
      <c r="LKH517" s="379"/>
      <c r="LKI517" s="13"/>
      <c r="LKJ517" s="13"/>
      <c r="LKK517" s="193"/>
      <c r="LKL517" s="379"/>
      <c r="LKM517" s="379"/>
      <c r="LKN517" s="379"/>
      <c r="LKO517" s="379"/>
      <c r="LKP517" s="379"/>
      <c r="LKQ517" s="13"/>
      <c r="LKR517" s="13"/>
      <c r="LKS517" s="193"/>
      <c r="LKT517" s="379"/>
      <c r="LKU517" s="379"/>
      <c r="LKV517" s="379"/>
      <c r="LKW517" s="379"/>
      <c r="LKX517" s="379"/>
      <c r="LKY517" s="13"/>
      <c r="LKZ517" s="13"/>
      <c r="LLA517" s="193"/>
      <c r="LLB517" s="379"/>
      <c r="LLC517" s="379"/>
      <c r="LLD517" s="379"/>
      <c r="LLE517" s="379"/>
      <c r="LLF517" s="379"/>
      <c r="LLG517" s="13"/>
      <c r="LLH517" s="13"/>
      <c r="LLI517" s="193"/>
      <c r="LLJ517" s="379"/>
      <c r="LLK517" s="379"/>
      <c r="LLL517" s="379"/>
      <c r="LLM517" s="379"/>
      <c r="LLN517" s="379"/>
      <c r="LLO517" s="13"/>
      <c r="LLP517" s="13"/>
      <c r="LLQ517" s="193"/>
      <c r="LLR517" s="379"/>
      <c r="LLS517" s="379"/>
      <c r="LLT517" s="379"/>
      <c r="LLU517" s="379"/>
      <c r="LLV517" s="379"/>
      <c r="LLW517" s="13"/>
      <c r="LLX517" s="13"/>
      <c r="LLY517" s="193"/>
      <c r="LLZ517" s="379"/>
      <c r="LMA517" s="379"/>
      <c r="LMB517" s="379"/>
      <c r="LMC517" s="379"/>
      <c r="LMD517" s="379"/>
      <c r="LME517" s="13"/>
      <c r="LMF517" s="13"/>
      <c r="LMG517" s="193"/>
      <c r="LMH517" s="379"/>
      <c r="LMI517" s="379"/>
      <c r="LMJ517" s="379"/>
      <c r="LMK517" s="379"/>
      <c r="LML517" s="379"/>
      <c r="LMM517" s="13"/>
      <c r="LMN517" s="13"/>
      <c r="LMO517" s="193"/>
      <c r="LMP517" s="379"/>
      <c r="LMQ517" s="379"/>
      <c r="LMR517" s="379"/>
      <c r="LMS517" s="379"/>
      <c r="LMT517" s="379"/>
      <c r="LMU517" s="13"/>
      <c r="LMV517" s="13"/>
      <c r="LMW517" s="193"/>
      <c r="LMX517" s="379"/>
      <c r="LMY517" s="379"/>
      <c r="LMZ517" s="379"/>
      <c r="LNA517" s="379"/>
      <c r="LNB517" s="379"/>
      <c r="LNC517" s="13"/>
      <c r="LND517" s="13"/>
      <c r="LNE517" s="193"/>
      <c r="LNF517" s="379"/>
      <c r="LNG517" s="379"/>
      <c r="LNH517" s="379"/>
      <c r="LNI517" s="379"/>
      <c r="LNJ517" s="379"/>
      <c r="LNK517" s="13"/>
      <c r="LNL517" s="13"/>
      <c r="LNM517" s="193"/>
      <c r="LNN517" s="379"/>
      <c r="LNO517" s="379"/>
      <c r="LNP517" s="379"/>
      <c r="LNQ517" s="379"/>
      <c r="LNR517" s="379"/>
      <c r="LNS517" s="13"/>
      <c r="LNT517" s="13"/>
      <c r="LNU517" s="193"/>
      <c r="LNV517" s="379"/>
      <c r="LNW517" s="379"/>
      <c r="LNX517" s="379"/>
      <c r="LNY517" s="379"/>
      <c r="LNZ517" s="379"/>
      <c r="LOA517" s="13"/>
      <c r="LOB517" s="13"/>
      <c r="LOC517" s="193"/>
      <c r="LOD517" s="379"/>
      <c r="LOE517" s="379"/>
      <c r="LOF517" s="379"/>
      <c r="LOG517" s="379"/>
      <c r="LOH517" s="379"/>
      <c r="LOI517" s="13"/>
      <c r="LOJ517" s="13"/>
      <c r="LOK517" s="193"/>
      <c r="LOL517" s="379"/>
      <c r="LOM517" s="379"/>
      <c r="LON517" s="379"/>
      <c r="LOO517" s="379"/>
      <c r="LOP517" s="379"/>
      <c r="LOQ517" s="13"/>
      <c r="LOR517" s="13"/>
      <c r="LOS517" s="193"/>
      <c r="LOT517" s="379"/>
      <c r="LOU517" s="379"/>
      <c r="LOV517" s="379"/>
      <c r="LOW517" s="379"/>
      <c r="LOX517" s="379"/>
      <c r="LOY517" s="13"/>
      <c r="LOZ517" s="13"/>
      <c r="LPA517" s="193"/>
      <c r="LPB517" s="379"/>
      <c r="LPC517" s="379"/>
      <c r="LPD517" s="379"/>
      <c r="LPE517" s="379"/>
      <c r="LPF517" s="379"/>
      <c r="LPG517" s="13"/>
      <c r="LPH517" s="13"/>
      <c r="LPI517" s="193"/>
      <c r="LPJ517" s="379"/>
      <c r="LPK517" s="379"/>
      <c r="LPL517" s="379"/>
      <c r="LPM517" s="379"/>
      <c r="LPN517" s="379"/>
      <c r="LPO517" s="13"/>
      <c r="LPP517" s="13"/>
      <c r="LPQ517" s="193"/>
      <c r="LPR517" s="379"/>
      <c r="LPS517" s="379"/>
      <c r="LPT517" s="379"/>
      <c r="LPU517" s="379"/>
      <c r="LPV517" s="379"/>
      <c r="LPW517" s="13"/>
      <c r="LPX517" s="13"/>
      <c r="LPY517" s="193"/>
      <c r="LPZ517" s="379"/>
      <c r="LQA517" s="379"/>
      <c r="LQB517" s="379"/>
      <c r="LQC517" s="379"/>
      <c r="LQD517" s="379"/>
      <c r="LQE517" s="13"/>
      <c r="LQF517" s="13"/>
      <c r="LQG517" s="193"/>
      <c r="LQH517" s="379"/>
      <c r="LQI517" s="379"/>
      <c r="LQJ517" s="379"/>
      <c r="LQK517" s="379"/>
      <c r="LQL517" s="379"/>
      <c r="LQM517" s="13"/>
      <c r="LQN517" s="13"/>
      <c r="LQO517" s="193"/>
      <c r="LQP517" s="379"/>
      <c r="LQQ517" s="379"/>
      <c r="LQR517" s="379"/>
      <c r="LQS517" s="379"/>
      <c r="LQT517" s="379"/>
      <c r="LQU517" s="13"/>
      <c r="LQV517" s="13"/>
      <c r="LQW517" s="193"/>
      <c r="LQX517" s="379"/>
      <c r="LQY517" s="379"/>
      <c r="LQZ517" s="379"/>
      <c r="LRA517" s="379"/>
      <c r="LRB517" s="379"/>
      <c r="LRC517" s="13"/>
      <c r="LRD517" s="13"/>
      <c r="LRE517" s="193"/>
      <c r="LRF517" s="379"/>
      <c r="LRG517" s="379"/>
      <c r="LRH517" s="379"/>
      <c r="LRI517" s="379"/>
      <c r="LRJ517" s="379"/>
      <c r="LRK517" s="13"/>
      <c r="LRL517" s="13"/>
      <c r="LRM517" s="193"/>
      <c r="LRN517" s="379"/>
      <c r="LRO517" s="379"/>
      <c r="LRP517" s="379"/>
      <c r="LRQ517" s="379"/>
      <c r="LRR517" s="379"/>
      <c r="LRS517" s="13"/>
      <c r="LRT517" s="13"/>
      <c r="LRU517" s="193"/>
      <c r="LRV517" s="379"/>
      <c r="LRW517" s="379"/>
      <c r="LRX517" s="379"/>
      <c r="LRY517" s="379"/>
      <c r="LRZ517" s="379"/>
      <c r="LSA517" s="13"/>
      <c r="LSB517" s="13"/>
      <c r="LSC517" s="193"/>
      <c r="LSD517" s="379"/>
      <c r="LSE517" s="379"/>
      <c r="LSF517" s="379"/>
      <c r="LSG517" s="379"/>
      <c r="LSH517" s="379"/>
      <c r="LSI517" s="13"/>
      <c r="LSJ517" s="13"/>
      <c r="LSK517" s="193"/>
      <c r="LSL517" s="379"/>
      <c r="LSM517" s="379"/>
      <c r="LSN517" s="379"/>
      <c r="LSO517" s="379"/>
      <c r="LSP517" s="379"/>
      <c r="LSQ517" s="13"/>
      <c r="LSR517" s="13"/>
      <c r="LSS517" s="193"/>
      <c r="LST517" s="379"/>
      <c r="LSU517" s="379"/>
      <c r="LSV517" s="379"/>
      <c r="LSW517" s="379"/>
      <c r="LSX517" s="379"/>
      <c r="LSY517" s="13"/>
      <c r="LSZ517" s="13"/>
      <c r="LTA517" s="193"/>
      <c r="LTB517" s="379"/>
      <c r="LTC517" s="379"/>
      <c r="LTD517" s="379"/>
      <c r="LTE517" s="379"/>
      <c r="LTF517" s="379"/>
      <c r="LTG517" s="13"/>
      <c r="LTH517" s="13"/>
      <c r="LTI517" s="193"/>
      <c r="LTJ517" s="379"/>
      <c r="LTK517" s="379"/>
      <c r="LTL517" s="379"/>
      <c r="LTM517" s="379"/>
      <c r="LTN517" s="379"/>
      <c r="LTO517" s="13"/>
      <c r="LTP517" s="13"/>
      <c r="LTQ517" s="193"/>
      <c r="LTR517" s="379"/>
      <c r="LTS517" s="379"/>
      <c r="LTT517" s="379"/>
      <c r="LTU517" s="379"/>
      <c r="LTV517" s="379"/>
      <c r="LTW517" s="13"/>
      <c r="LTX517" s="13"/>
      <c r="LTY517" s="193"/>
      <c r="LTZ517" s="379"/>
      <c r="LUA517" s="379"/>
      <c r="LUB517" s="379"/>
      <c r="LUC517" s="379"/>
      <c r="LUD517" s="379"/>
      <c r="LUE517" s="13"/>
      <c r="LUF517" s="13"/>
      <c r="LUG517" s="193"/>
      <c r="LUH517" s="379"/>
      <c r="LUI517" s="379"/>
      <c r="LUJ517" s="379"/>
      <c r="LUK517" s="379"/>
      <c r="LUL517" s="379"/>
      <c r="LUM517" s="13"/>
      <c r="LUN517" s="13"/>
      <c r="LUO517" s="193"/>
      <c r="LUP517" s="379"/>
      <c r="LUQ517" s="379"/>
      <c r="LUR517" s="379"/>
      <c r="LUS517" s="379"/>
      <c r="LUT517" s="379"/>
      <c r="LUU517" s="13"/>
      <c r="LUV517" s="13"/>
      <c r="LUW517" s="193"/>
      <c r="LUX517" s="379"/>
      <c r="LUY517" s="379"/>
      <c r="LUZ517" s="379"/>
      <c r="LVA517" s="379"/>
      <c r="LVB517" s="379"/>
      <c r="LVC517" s="13"/>
      <c r="LVD517" s="13"/>
      <c r="LVE517" s="193"/>
      <c r="LVF517" s="379"/>
      <c r="LVG517" s="379"/>
      <c r="LVH517" s="379"/>
      <c r="LVI517" s="379"/>
      <c r="LVJ517" s="379"/>
      <c r="LVK517" s="13"/>
      <c r="LVL517" s="13"/>
      <c r="LVM517" s="193"/>
      <c r="LVN517" s="379"/>
      <c r="LVO517" s="379"/>
      <c r="LVP517" s="379"/>
      <c r="LVQ517" s="379"/>
      <c r="LVR517" s="379"/>
      <c r="LVS517" s="13"/>
      <c r="LVT517" s="13"/>
      <c r="LVU517" s="193"/>
      <c r="LVV517" s="379"/>
      <c r="LVW517" s="379"/>
      <c r="LVX517" s="379"/>
      <c r="LVY517" s="379"/>
      <c r="LVZ517" s="379"/>
      <c r="LWA517" s="13"/>
      <c r="LWB517" s="13"/>
      <c r="LWC517" s="193"/>
      <c r="LWD517" s="379"/>
      <c r="LWE517" s="379"/>
      <c r="LWF517" s="379"/>
      <c r="LWG517" s="379"/>
      <c r="LWH517" s="379"/>
      <c r="LWI517" s="13"/>
      <c r="LWJ517" s="13"/>
      <c r="LWK517" s="193"/>
      <c r="LWL517" s="379"/>
      <c r="LWM517" s="379"/>
      <c r="LWN517" s="379"/>
      <c r="LWO517" s="379"/>
      <c r="LWP517" s="379"/>
      <c r="LWQ517" s="13"/>
      <c r="LWR517" s="13"/>
      <c r="LWS517" s="193"/>
      <c r="LWT517" s="379"/>
      <c r="LWU517" s="379"/>
      <c r="LWV517" s="379"/>
      <c r="LWW517" s="379"/>
      <c r="LWX517" s="379"/>
      <c r="LWY517" s="13"/>
      <c r="LWZ517" s="13"/>
      <c r="LXA517" s="193"/>
      <c r="LXB517" s="379"/>
      <c r="LXC517" s="379"/>
      <c r="LXD517" s="379"/>
      <c r="LXE517" s="379"/>
      <c r="LXF517" s="379"/>
      <c r="LXG517" s="13"/>
      <c r="LXH517" s="13"/>
      <c r="LXI517" s="193"/>
      <c r="LXJ517" s="379"/>
      <c r="LXK517" s="379"/>
      <c r="LXL517" s="379"/>
      <c r="LXM517" s="379"/>
      <c r="LXN517" s="379"/>
      <c r="LXO517" s="13"/>
      <c r="LXP517" s="13"/>
      <c r="LXQ517" s="193"/>
      <c r="LXR517" s="379"/>
      <c r="LXS517" s="379"/>
      <c r="LXT517" s="379"/>
      <c r="LXU517" s="379"/>
      <c r="LXV517" s="379"/>
      <c r="LXW517" s="13"/>
      <c r="LXX517" s="13"/>
      <c r="LXY517" s="193"/>
      <c r="LXZ517" s="379"/>
      <c r="LYA517" s="379"/>
      <c r="LYB517" s="379"/>
      <c r="LYC517" s="379"/>
      <c r="LYD517" s="379"/>
      <c r="LYE517" s="13"/>
      <c r="LYF517" s="13"/>
      <c r="LYG517" s="193"/>
      <c r="LYH517" s="379"/>
      <c r="LYI517" s="379"/>
      <c r="LYJ517" s="379"/>
      <c r="LYK517" s="379"/>
      <c r="LYL517" s="379"/>
      <c r="LYM517" s="13"/>
      <c r="LYN517" s="13"/>
      <c r="LYO517" s="193"/>
      <c r="LYP517" s="379"/>
      <c r="LYQ517" s="379"/>
      <c r="LYR517" s="379"/>
      <c r="LYS517" s="379"/>
      <c r="LYT517" s="379"/>
      <c r="LYU517" s="13"/>
      <c r="LYV517" s="13"/>
      <c r="LYW517" s="193"/>
      <c r="LYX517" s="379"/>
      <c r="LYY517" s="379"/>
      <c r="LYZ517" s="379"/>
      <c r="LZA517" s="379"/>
      <c r="LZB517" s="379"/>
      <c r="LZC517" s="13"/>
      <c r="LZD517" s="13"/>
      <c r="LZE517" s="193"/>
      <c r="LZF517" s="379"/>
      <c r="LZG517" s="379"/>
      <c r="LZH517" s="379"/>
      <c r="LZI517" s="379"/>
      <c r="LZJ517" s="379"/>
      <c r="LZK517" s="13"/>
      <c r="LZL517" s="13"/>
      <c r="LZM517" s="193"/>
      <c r="LZN517" s="379"/>
      <c r="LZO517" s="379"/>
      <c r="LZP517" s="379"/>
      <c r="LZQ517" s="379"/>
      <c r="LZR517" s="379"/>
      <c r="LZS517" s="13"/>
      <c r="LZT517" s="13"/>
      <c r="LZU517" s="193"/>
      <c r="LZV517" s="379"/>
      <c r="LZW517" s="379"/>
      <c r="LZX517" s="379"/>
      <c r="LZY517" s="379"/>
      <c r="LZZ517" s="379"/>
      <c r="MAA517" s="13"/>
      <c r="MAB517" s="13"/>
      <c r="MAC517" s="193"/>
      <c r="MAD517" s="379"/>
      <c r="MAE517" s="379"/>
      <c r="MAF517" s="379"/>
      <c r="MAG517" s="379"/>
      <c r="MAH517" s="379"/>
      <c r="MAI517" s="13"/>
      <c r="MAJ517" s="13"/>
      <c r="MAK517" s="193"/>
      <c r="MAL517" s="379"/>
      <c r="MAM517" s="379"/>
      <c r="MAN517" s="379"/>
      <c r="MAO517" s="379"/>
      <c r="MAP517" s="379"/>
      <c r="MAQ517" s="13"/>
      <c r="MAR517" s="13"/>
      <c r="MAS517" s="193"/>
      <c r="MAT517" s="379"/>
      <c r="MAU517" s="379"/>
      <c r="MAV517" s="379"/>
      <c r="MAW517" s="379"/>
      <c r="MAX517" s="379"/>
      <c r="MAY517" s="13"/>
      <c r="MAZ517" s="13"/>
      <c r="MBA517" s="193"/>
      <c r="MBB517" s="379"/>
      <c r="MBC517" s="379"/>
      <c r="MBD517" s="379"/>
      <c r="MBE517" s="379"/>
      <c r="MBF517" s="379"/>
      <c r="MBG517" s="13"/>
      <c r="MBH517" s="13"/>
      <c r="MBI517" s="193"/>
      <c r="MBJ517" s="379"/>
      <c r="MBK517" s="379"/>
      <c r="MBL517" s="379"/>
      <c r="MBM517" s="379"/>
      <c r="MBN517" s="379"/>
      <c r="MBO517" s="13"/>
      <c r="MBP517" s="13"/>
      <c r="MBQ517" s="193"/>
      <c r="MBR517" s="379"/>
      <c r="MBS517" s="379"/>
      <c r="MBT517" s="379"/>
      <c r="MBU517" s="379"/>
      <c r="MBV517" s="379"/>
      <c r="MBW517" s="13"/>
      <c r="MBX517" s="13"/>
      <c r="MBY517" s="193"/>
      <c r="MBZ517" s="379"/>
      <c r="MCA517" s="379"/>
      <c r="MCB517" s="379"/>
      <c r="MCC517" s="379"/>
      <c r="MCD517" s="379"/>
      <c r="MCE517" s="13"/>
      <c r="MCF517" s="13"/>
      <c r="MCG517" s="193"/>
      <c r="MCH517" s="379"/>
      <c r="MCI517" s="379"/>
      <c r="MCJ517" s="379"/>
      <c r="MCK517" s="379"/>
      <c r="MCL517" s="379"/>
      <c r="MCM517" s="13"/>
      <c r="MCN517" s="13"/>
      <c r="MCO517" s="193"/>
      <c r="MCP517" s="379"/>
      <c r="MCQ517" s="379"/>
      <c r="MCR517" s="379"/>
      <c r="MCS517" s="379"/>
      <c r="MCT517" s="379"/>
      <c r="MCU517" s="13"/>
      <c r="MCV517" s="13"/>
      <c r="MCW517" s="193"/>
      <c r="MCX517" s="379"/>
      <c r="MCY517" s="379"/>
      <c r="MCZ517" s="379"/>
      <c r="MDA517" s="379"/>
      <c r="MDB517" s="379"/>
      <c r="MDC517" s="13"/>
      <c r="MDD517" s="13"/>
      <c r="MDE517" s="193"/>
      <c r="MDF517" s="379"/>
      <c r="MDG517" s="379"/>
      <c r="MDH517" s="379"/>
      <c r="MDI517" s="379"/>
      <c r="MDJ517" s="379"/>
      <c r="MDK517" s="13"/>
      <c r="MDL517" s="13"/>
      <c r="MDM517" s="193"/>
      <c r="MDN517" s="379"/>
      <c r="MDO517" s="379"/>
      <c r="MDP517" s="379"/>
      <c r="MDQ517" s="379"/>
      <c r="MDR517" s="379"/>
      <c r="MDS517" s="13"/>
      <c r="MDT517" s="13"/>
      <c r="MDU517" s="193"/>
      <c r="MDV517" s="379"/>
      <c r="MDW517" s="379"/>
      <c r="MDX517" s="379"/>
      <c r="MDY517" s="379"/>
      <c r="MDZ517" s="379"/>
      <c r="MEA517" s="13"/>
      <c r="MEB517" s="13"/>
      <c r="MEC517" s="193"/>
      <c r="MED517" s="379"/>
      <c r="MEE517" s="379"/>
      <c r="MEF517" s="379"/>
      <c r="MEG517" s="379"/>
      <c r="MEH517" s="379"/>
      <c r="MEI517" s="13"/>
      <c r="MEJ517" s="13"/>
      <c r="MEK517" s="193"/>
      <c r="MEL517" s="379"/>
      <c r="MEM517" s="379"/>
      <c r="MEN517" s="379"/>
      <c r="MEO517" s="379"/>
      <c r="MEP517" s="379"/>
      <c r="MEQ517" s="13"/>
      <c r="MER517" s="13"/>
      <c r="MES517" s="193"/>
      <c r="MET517" s="379"/>
      <c r="MEU517" s="379"/>
      <c r="MEV517" s="379"/>
      <c r="MEW517" s="379"/>
      <c r="MEX517" s="379"/>
      <c r="MEY517" s="13"/>
      <c r="MEZ517" s="13"/>
      <c r="MFA517" s="193"/>
      <c r="MFB517" s="379"/>
      <c r="MFC517" s="379"/>
      <c r="MFD517" s="379"/>
      <c r="MFE517" s="379"/>
      <c r="MFF517" s="379"/>
      <c r="MFG517" s="13"/>
      <c r="MFH517" s="13"/>
      <c r="MFI517" s="193"/>
      <c r="MFJ517" s="379"/>
      <c r="MFK517" s="379"/>
      <c r="MFL517" s="379"/>
      <c r="MFM517" s="379"/>
      <c r="MFN517" s="379"/>
      <c r="MFO517" s="13"/>
      <c r="MFP517" s="13"/>
      <c r="MFQ517" s="193"/>
      <c r="MFR517" s="379"/>
      <c r="MFS517" s="379"/>
      <c r="MFT517" s="379"/>
      <c r="MFU517" s="379"/>
      <c r="MFV517" s="379"/>
      <c r="MFW517" s="13"/>
      <c r="MFX517" s="13"/>
      <c r="MFY517" s="193"/>
      <c r="MFZ517" s="379"/>
      <c r="MGA517" s="379"/>
      <c r="MGB517" s="379"/>
      <c r="MGC517" s="379"/>
      <c r="MGD517" s="379"/>
      <c r="MGE517" s="13"/>
      <c r="MGF517" s="13"/>
      <c r="MGG517" s="193"/>
      <c r="MGH517" s="379"/>
      <c r="MGI517" s="379"/>
      <c r="MGJ517" s="379"/>
      <c r="MGK517" s="379"/>
      <c r="MGL517" s="379"/>
      <c r="MGM517" s="13"/>
      <c r="MGN517" s="13"/>
      <c r="MGO517" s="193"/>
      <c r="MGP517" s="379"/>
      <c r="MGQ517" s="379"/>
      <c r="MGR517" s="379"/>
      <c r="MGS517" s="379"/>
      <c r="MGT517" s="379"/>
      <c r="MGU517" s="13"/>
      <c r="MGV517" s="13"/>
      <c r="MGW517" s="193"/>
      <c r="MGX517" s="379"/>
      <c r="MGY517" s="379"/>
      <c r="MGZ517" s="379"/>
      <c r="MHA517" s="379"/>
      <c r="MHB517" s="379"/>
      <c r="MHC517" s="13"/>
      <c r="MHD517" s="13"/>
      <c r="MHE517" s="193"/>
      <c r="MHF517" s="379"/>
      <c r="MHG517" s="379"/>
      <c r="MHH517" s="379"/>
      <c r="MHI517" s="379"/>
      <c r="MHJ517" s="379"/>
      <c r="MHK517" s="13"/>
      <c r="MHL517" s="13"/>
      <c r="MHM517" s="193"/>
      <c r="MHN517" s="379"/>
      <c r="MHO517" s="379"/>
      <c r="MHP517" s="379"/>
      <c r="MHQ517" s="379"/>
      <c r="MHR517" s="379"/>
      <c r="MHS517" s="13"/>
      <c r="MHT517" s="13"/>
      <c r="MHU517" s="193"/>
      <c r="MHV517" s="379"/>
      <c r="MHW517" s="379"/>
      <c r="MHX517" s="379"/>
      <c r="MHY517" s="379"/>
      <c r="MHZ517" s="379"/>
      <c r="MIA517" s="13"/>
      <c r="MIB517" s="13"/>
      <c r="MIC517" s="193"/>
      <c r="MID517" s="379"/>
      <c r="MIE517" s="379"/>
      <c r="MIF517" s="379"/>
      <c r="MIG517" s="379"/>
      <c r="MIH517" s="379"/>
      <c r="MII517" s="13"/>
      <c r="MIJ517" s="13"/>
      <c r="MIK517" s="193"/>
      <c r="MIL517" s="379"/>
      <c r="MIM517" s="379"/>
      <c r="MIN517" s="379"/>
      <c r="MIO517" s="379"/>
      <c r="MIP517" s="379"/>
      <c r="MIQ517" s="13"/>
      <c r="MIR517" s="13"/>
      <c r="MIS517" s="193"/>
      <c r="MIT517" s="379"/>
      <c r="MIU517" s="379"/>
      <c r="MIV517" s="379"/>
      <c r="MIW517" s="379"/>
      <c r="MIX517" s="379"/>
      <c r="MIY517" s="13"/>
      <c r="MIZ517" s="13"/>
      <c r="MJA517" s="193"/>
      <c r="MJB517" s="379"/>
      <c r="MJC517" s="379"/>
      <c r="MJD517" s="379"/>
      <c r="MJE517" s="379"/>
      <c r="MJF517" s="379"/>
      <c r="MJG517" s="13"/>
      <c r="MJH517" s="13"/>
      <c r="MJI517" s="193"/>
      <c r="MJJ517" s="379"/>
      <c r="MJK517" s="379"/>
      <c r="MJL517" s="379"/>
      <c r="MJM517" s="379"/>
      <c r="MJN517" s="379"/>
      <c r="MJO517" s="13"/>
      <c r="MJP517" s="13"/>
      <c r="MJQ517" s="193"/>
      <c r="MJR517" s="379"/>
      <c r="MJS517" s="379"/>
      <c r="MJT517" s="379"/>
      <c r="MJU517" s="379"/>
      <c r="MJV517" s="379"/>
      <c r="MJW517" s="13"/>
      <c r="MJX517" s="13"/>
      <c r="MJY517" s="193"/>
      <c r="MJZ517" s="379"/>
      <c r="MKA517" s="379"/>
      <c r="MKB517" s="379"/>
      <c r="MKC517" s="379"/>
      <c r="MKD517" s="379"/>
      <c r="MKE517" s="13"/>
      <c r="MKF517" s="13"/>
      <c r="MKG517" s="193"/>
      <c r="MKH517" s="379"/>
      <c r="MKI517" s="379"/>
      <c r="MKJ517" s="379"/>
      <c r="MKK517" s="379"/>
      <c r="MKL517" s="379"/>
      <c r="MKM517" s="13"/>
      <c r="MKN517" s="13"/>
      <c r="MKO517" s="193"/>
      <c r="MKP517" s="379"/>
      <c r="MKQ517" s="379"/>
      <c r="MKR517" s="379"/>
      <c r="MKS517" s="379"/>
      <c r="MKT517" s="379"/>
      <c r="MKU517" s="13"/>
      <c r="MKV517" s="13"/>
      <c r="MKW517" s="193"/>
      <c r="MKX517" s="379"/>
      <c r="MKY517" s="379"/>
      <c r="MKZ517" s="379"/>
      <c r="MLA517" s="379"/>
      <c r="MLB517" s="379"/>
      <c r="MLC517" s="13"/>
      <c r="MLD517" s="13"/>
      <c r="MLE517" s="193"/>
      <c r="MLF517" s="379"/>
      <c r="MLG517" s="379"/>
      <c r="MLH517" s="379"/>
      <c r="MLI517" s="379"/>
      <c r="MLJ517" s="379"/>
      <c r="MLK517" s="13"/>
      <c r="MLL517" s="13"/>
      <c r="MLM517" s="193"/>
      <c r="MLN517" s="379"/>
      <c r="MLO517" s="379"/>
      <c r="MLP517" s="379"/>
      <c r="MLQ517" s="379"/>
      <c r="MLR517" s="379"/>
      <c r="MLS517" s="13"/>
      <c r="MLT517" s="13"/>
      <c r="MLU517" s="193"/>
      <c r="MLV517" s="379"/>
      <c r="MLW517" s="379"/>
      <c r="MLX517" s="379"/>
      <c r="MLY517" s="379"/>
      <c r="MLZ517" s="379"/>
      <c r="MMA517" s="13"/>
      <c r="MMB517" s="13"/>
      <c r="MMC517" s="193"/>
      <c r="MMD517" s="379"/>
      <c r="MME517" s="379"/>
      <c r="MMF517" s="379"/>
      <c r="MMG517" s="379"/>
      <c r="MMH517" s="379"/>
      <c r="MMI517" s="13"/>
      <c r="MMJ517" s="13"/>
      <c r="MMK517" s="193"/>
      <c r="MML517" s="379"/>
      <c r="MMM517" s="379"/>
      <c r="MMN517" s="379"/>
      <c r="MMO517" s="379"/>
      <c r="MMP517" s="379"/>
      <c r="MMQ517" s="13"/>
      <c r="MMR517" s="13"/>
      <c r="MMS517" s="193"/>
      <c r="MMT517" s="379"/>
      <c r="MMU517" s="379"/>
      <c r="MMV517" s="379"/>
      <c r="MMW517" s="379"/>
      <c r="MMX517" s="379"/>
      <c r="MMY517" s="13"/>
      <c r="MMZ517" s="13"/>
      <c r="MNA517" s="193"/>
      <c r="MNB517" s="379"/>
      <c r="MNC517" s="379"/>
      <c r="MND517" s="379"/>
      <c r="MNE517" s="379"/>
      <c r="MNF517" s="379"/>
      <c r="MNG517" s="13"/>
      <c r="MNH517" s="13"/>
      <c r="MNI517" s="193"/>
      <c r="MNJ517" s="379"/>
      <c r="MNK517" s="379"/>
      <c r="MNL517" s="379"/>
      <c r="MNM517" s="379"/>
      <c r="MNN517" s="379"/>
      <c r="MNO517" s="13"/>
      <c r="MNP517" s="13"/>
      <c r="MNQ517" s="193"/>
      <c r="MNR517" s="379"/>
      <c r="MNS517" s="379"/>
      <c r="MNT517" s="379"/>
      <c r="MNU517" s="379"/>
      <c r="MNV517" s="379"/>
      <c r="MNW517" s="13"/>
      <c r="MNX517" s="13"/>
      <c r="MNY517" s="193"/>
      <c r="MNZ517" s="379"/>
      <c r="MOA517" s="379"/>
      <c r="MOB517" s="379"/>
      <c r="MOC517" s="379"/>
      <c r="MOD517" s="379"/>
      <c r="MOE517" s="13"/>
      <c r="MOF517" s="13"/>
      <c r="MOG517" s="193"/>
      <c r="MOH517" s="379"/>
      <c r="MOI517" s="379"/>
      <c r="MOJ517" s="379"/>
      <c r="MOK517" s="379"/>
      <c r="MOL517" s="379"/>
      <c r="MOM517" s="13"/>
      <c r="MON517" s="13"/>
      <c r="MOO517" s="193"/>
      <c r="MOP517" s="379"/>
      <c r="MOQ517" s="379"/>
      <c r="MOR517" s="379"/>
      <c r="MOS517" s="379"/>
      <c r="MOT517" s="379"/>
      <c r="MOU517" s="13"/>
      <c r="MOV517" s="13"/>
      <c r="MOW517" s="193"/>
      <c r="MOX517" s="379"/>
      <c r="MOY517" s="379"/>
      <c r="MOZ517" s="379"/>
      <c r="MPA517" s="379"/>
      <c r="MPB517" s="379"/>
      <c r="MPC517" s="13"/>
      <c r="MPD517" s="13"/>
      <c r="MPE517" s="193"/>
      <c r="MPF517" s="379"/>
      <c r="MPG517" s="379"/>
      <c r="MPH517" s="379"/>
      <c r="MPI517" s="379"/>
      <c r="MPJ517" s="379"/>
      <c r="MPK517" s="13"/>
      <c r="MPL517" s="13"/>
      <c r="MPM517" s="193"/>
      <c r="MPN517" s="379"/>
      <c r="MPO517" s="379"/>
      <c r="MPP517" s="379"/>
      <c r="MPQ517" s="379"/>
      <c r="MPR517" s="379"/>
      <c r="MPS517" s="13"/>
      <c r="MPT517" s="13"/>
      <c r="MPU517" s="193"/>
      <c r="MPV517" s="379"/>
      <c r="MPW517" s="379"/>
      <c r="MPX517" s="379"/>
      <c r="MPY517" s="379"/>
      <c r="MPZ517" s="379"/>
      <c r="MQA517" s="13"/>
      <c r="MQB517" s="13"/>
      <c r="MQC517" s="193"/>
      <c r="MQD517" s="379"/>
      <c r="MQE517" s="379"/>
      <c r="MQF517" s="379"/>
      <c r="MQG517" s="379"/>
      <c r="MQH517" s="379"/>
      <c r="MQI517" s="13"/>
      <c r="MQJ517" s="13"/>
      <c r="MQK517" s="193"/>
      <c r="MQL517" s="379"/>
      <c r="MQM517" s="379"/>
      <c r="MQN517" s="379"/>
      <c r="MQO517" s="379"/>
      <c r="MQP517" s="379"/>
      <c r="MQQ517" s="13"/>
      <c r="MQR517" s="13"/>
      <c r="MQS517" s="193"/>
      <c r="MQT517" s="379"/>
      <c r="MQU517" s="379"/>
      <c r="MQV517" s="379"/>
      <c r="MQW517" s="379"/>
      <c r="MQX517" s="379"/>
      <c r="MQY517" s="13"/>
      <c r="MQZ517" s="13"/>
      <c r="MRA517" s="193"/>
      <c r="MRB517" s="379"/>
      <c r="MRC517" s="379"/>
      <c r="MRD517" s="379"/>
      <c r="MRE517" s="379"/>
      <c r="MRF517" s="379"/>
      <c r="MRG517" s="13"/>
      <c r="MRH517" s="13"/>
      <c r="MRI517" s="193"/>
      <c r="MRJ517" s="379"/>
      <c r="MRK517" s="379"/>
      <c r="MRL517" s="379"/>
      <c r="MRM517" s="379"/>
      <c r="MRN517" s="379"/>
      <c r="MRO517" s="13"/>
      <c r="MRP517" s="13"/>
      <c r="MRQ517" s="193"/>
      <c r="MRR517" s="379"/>
      <c r="MRS517" s="379"/>
      <c r="MRT517" s="379"/>
      <c r="MRU517" s="379"/>
      <c r="MRV517" s="379"/>
      <c r="MRW517" s="13"/>
      <c r="MRX517" s="13"/>
      <c r="MRY517" s="193"/>
      <c r="MRZ517" s="379"/>
      <c r="MSA517" s="379"/>
      <c r="MSB517" s="379"/>
      <c r="MSC517" s="379"/>
      <c r="MSD517" s="379"/>
      <c r="MSE517" s="13"/>
      <c r="MSF517" s="13"/>
      <c r="MSG517" s="193"/>
      <c r="MSH517" s="379"/>
      <c r="MSI517" s="379"/>
      <c r="MSJ517" s="379"/>
      <c r="MSK517" s="379"/>
      <c r="MSL517" s="379"/>
      <c r="MSM517" s="13"/>
      <c r="MSN517" s="13"/>
      <c r="MSO517" s="193"/>
      <c r="MSP517" s="379"/>
      <c r="MSQ517" s="379"/>
      <c r="MSR517" s="379"/>
      <c r="MSS517" s="379"/>
      <c r="MST517" s="379"/>
      <c r="MSU517" s="13"/>
      <c r="MSV517" s="13"/>
      <c r="MSW517" s="193"/>
      <c r="MSX517" s="379"/>
      <c r="MSY517" s="379"/>
      <c r="MSZ517" s="379"/>
      <c r="MTA517" s="379"/>
      <c r="MTB517" s="379"/>
      <c r="MTC517" s="13"/>
      <c r="MTD517" s="13"/>
      <c r="MTE517" s="193"/>
      <c r="MTF517" s="379"/>
      <c r="MTG517" s="379"/>
      <c r="MTH517" s="379"/>
      <c r="MTI517" s="379"/>
      <c r="MTJ517" s="379"/>
      <c r="MTK517" s="13"/>
      <c r="MTL517" s="13"/>
      <c r="MTM517" s="193"/>
      <c r="MTN517" s="379"/>
      <c r="MTO517" s="379"/>
      <c r="MTP517" s="379"/>
      <c r="MTQ517" s="379"/>
      <c r="MTR517" s="379"/>
      <c r="MTS517" s="13"/>
      <c r="MTT517" s="13"/>
      <c r="MTU517" s="193"/>
      <c r="MTV517" s="379"/>
      <c r="MTW517" s="379"/>
      <c r="MTX517" s="379"/>
      <c r="MTY517" s="379"/>
      <c r="MTZ517" s="379"/>
      <c r="MUA517" s="13"/>
      <c r="MUB517" s="13"/>
      <c r="MUC517" s="193"/>
      <c r="MUD517" s="379"/>
      <c r="MUE517" s="379"/>
      <c r="MUF517" s="379"/>
      <c r="MUG517" s="379"/>
      <c r="MUH517" s="379"/>
      <c r="MUI517" s="13"/>
      <c r="MUJ517" s="13"/>
      <c r="MUK517" s="193"/>
      <c r="MUL517" s="379"/>
      <c r="MUM517" s="379"/>
      <c r="MUN517" s="379"/>
      <c r="MUO517" s="379"/>
      <c r="MUP517" s="379"/>
      <c r="MUQ517" s="13"/>
      <c r="MUR517" s="13"/>
      <c r="MUS517" s="193"/>
      <c r="MUT517" s="379"/>
      <c r="MUU517" s="379"/>
      <c r="MUV517" s="379"/>
      <c r="MUW517" s="379"/>
      <c r="MUX517" s="379"/>
      <c r="MUY517" s="13"/>
      <c r="MUZ517" s="13"/>
      <c r="MVA517" s="193"/>
      <c r="MVB517" s="379"/>
      <c r="MVC517" s="379"/>
      <c r="MVD517" s="379"/>
      <c r="MVE517" s="379"/>
      <c r="MVF517" s="379"/>
      <c r="MVG517" s="13"/>
      <c r="MVH517" s="13"/>
      <c r="MVI517" s="193"/>
      <c r="MVJ517" s="379"/>
      <c r="MVK517" s="379"/>
      <c r="MVL517" s="379"/>
      <c r="MVM517" s="379"/>
      <c r="MVN517" s="379"/>
      <c r="MVO517" s="13"/>
      <c r="MVP517" s="13"/>
      <c r="MVQ517" s="193"/>
      <c r="MVR517" s="379"/>
      <c r="MVS517" s="379"/>
      <c r="MVT517" s="379"/>
      <c r="MVU517" s="379"/>
      <c r="MVV517" s="379"/>
      <c r="MVW517" s="13"/>
      <c r="MVX517" s="13"/>
      <c r="MVY517" s="193"/>
      <c r="MVZ517" s="379"/>
      <c r="MWA517" s="379"/>
      <c r="MWB517" s="379"/>
      <c r="MWC517" s="379"/>
      <c r="MWD517" s="379"/>
      <c r="MWE517" s="13"/>
      <c r="MWF517" s="13"/>
      <c r="MWG517" s="193"/>
      <c r="MWH517" s="379"/>
      <c r="MWI517" s="379"/>
      <c r="MWJ517" s="379"/>
      <c r="MWK517" s="379"/>
      <c r="MWL517" s="379"/>
      <c r="MWM517" s="13"/>
      <c r="MWN517" s="13"/>
      <c r="MWO517" s="193"/>
      <c r="MWP517" s="379"/>
      <c r="MWQ517" s="379"/>
      <c r="MWR517" s="379"/>
      <c r="MWS517" s="379"/>
      <c r="MWT517" s="379"/>
      <c r="MWU517" s="13"/>
      <c r="MWV517" s="13"/>
      <c r="MWW517" s="193"/>
      <c r="MWX517" s="379"/>
      <c r="MWY517" s="379"/>
      <c r="MWZ517" s="379"/>
      <c r="MXA517" s="379"/>
      <c r="MXB517" s="379"/>
      <c r="MXC517" s="13"/>
      <c r="MXD517" s="13"/>
      <c r="MXE517" s="193"/>
      <c r="MXF517" s="379"/>
      <c r="MXG517" s="379"/>
      <c r="MXH517" s="379"/>
      <c r="MXI517" s="379"/>
      <c r="MXJ517" s="379"/>
      <c r="MXK517" s="13"/>
      <c r="MXL517" s="13"/>
      <c r="MXM517" s="193"/>
      <c r="MXN517" s="379"/>
      <c r="MXO517" s="379"/>
      <c r="MXP517" s="379"/>
      <c r="MXQ517" s="379"/>
      <c r="MXR517" s="379"/>
      <c r="MXS517" s="13"/>
      <c r="MXT517" s="13"/>
      <c r="MXU517" s="193"/>
      <c r="MXV517" s="379"/>
      <c r="MXW517" s="379"/>
      <c r="MXX517" s="379"/>
      <c r="MXY517" s="379"/>
      <c r="MXZ517" s="379"/>
      <c r="MYA517" s="13"/>
      <c r="MYB517" s="13"/>
      <c r="MYC517" s="193"/>
      <c r="MYD517" s="379"/>
      <c r="MYE517" s="379"/>
      <c r="MYF517" s="379"/>
      <c r="MYG517" s="379"/>
      <c r="MYH517" s="379"/>
      <c r="MYI517" s="13"/>
      <c r="MYJ517" s="13"/>
      <c r="MYK517" s="193"/>
      <c r="MYL517" s="379"/>
      <c r="MYM517" s="379"/>
      <c r="MYN517" s="379"/>
      <c r="MYO517" s="379"/>
      <c r="MYP517" s="379"/>
      <c r="MYQ517" s="13"/>
      <c r="MYR517" s="13"/>
      <c r="MYS517" s="193"/>
      <c r="MYT517" s="379"/>
      <c r="MYU517" s="379"/>
      <c r="MYV517" s="379"/>
      <c r="MYW517" s="379"/>
      <c r="MYX517" s="379"/>
      <c r="MYY517" s="13"/>
      <c r="MYZ517" s="13"/>
      <c r="MZA517" s="193"/>
      <c r="MZB517" s="379"/>
      <c r="MZC517" s="379"/>
      <c r="MZD517" s="379"/>
      <c r="MZE517" s="379"/>
      <c r="MZF517" s="379"/>
      <c r="MZG517" s="13"/>
      <c r="MZH517" s="13"/>
      <c r="MZI517" s="193"/>
      <c r="MZJ517" s="379"/>
      <c r="MZK517" s="379"/>
      <c r="MZL517" s="379"/>
      <c r="MZM517" s="379"/>
      <c r="MZN517" s="379"/>
      <c r="MZO517" s="13"/>
      <c r="MZP517" s="13"/>
      <c r="MZQ517" s="193"/>
      <c r="MZR517" s="379"/>
      <c r="MZS517" s="379"/>
      <c r="MZT517" s="379"/>
      <c r="MZU517" s="379"/>
      <c r="MZV517" s="379"/>
      <c r="MZW517" s="13"/>
      <c r="MZX517" s="13"/>
      <c r="MZY517" s="193"/>
      <c r="MZZ517" s="379"/>
      <c r="NAA517" s="379"/>
      <c r="NAB517" s="379"/>
      <c r="NAC517" s="379"/>
      <c r="NAD517" s="379"/>
      <c r="NAE517" s="13"/>
      <c r="NAF517" s="13"/>
      <c r="NAG517" s="193"/>
      <c r="NAH517" s="379"/>
      <c r="NAI517" s="379"/>
      <c r="NAJ517" s="379"/>
      <c r="NAK517" s="379"/>
      <c r="NAL517" s="379"/>
      <c r="NAM517" s="13"/>
      <c r="NAN517" s="13"/>
      <c r="NAO517" s="193"/>
      <c r="NAP517" s="379"/>
      <c r="NAQ517" s="379"/>
      <c r="NAR517" s="379"/>
      <c r="NAS517" s="379"/>
      <c r="NAT517" s="379"/>
      <c r="NAU517" s="13"/>
      <c r="NAV517" s="13"/>
      <c r="NAW517" s="193"/>
      <c r="NAX517" s="379"/>
      <c r="NAY517" s="379"/>
      <c r="NAZ517" s="379"/>
      <c r="NBA517" s="379"/>
      <c r="NBB517" s="379"/>
      <c r="NBC517" s="13"/>
      <c r="NBD517" s="13"/>
      <c r="NBE517" s="193"/>
      <c r="NBF517" s="379"/>
      <c r="NBG517" s="379"/>
      <c r="NBH517" s="379"/>
      <c r="NBI517" s="379"/>
      <c r="NBJ517" s="379"/>
      <c r="NBK517" s="13"/>
      <c r="NBL517" s="13"/>
      <c r="NBM517" s="193"/>
      <c r="NBN517" s="379"/>
      <c r="NBO517" s="379"/>
      <c r="NBP517" s="379"/>
      <c r="NBQ517" s="379"/>
      <c r="NBR517" s="379"/>
      <c r="NBS517" s="13"/>
      <c r="NBT517" s="13"/>
      <c r="NBU517" s="193"/>
      <c r="NBV517" s="379"/>
      <c r="NBW517" s="379"/>
      <c r="NBX517" s="379"/>
      <c r="NBY517" s="379"/>
      <c r="NBZ517" s="379"/>
      <c r="NCA517" s="13"/>
      <c r="NCB517" s="13"/>
      <c r="NCC517" s="193"/>
      <c r="NCD517" s="379"/>
      <c r="NCE517" s="379"/>
      <c r="NCF517" s="379"/>
      <c r="NCG517" s="379"/>
      <c r="NCH517" s="379"/>
      <c r="NCI517" s="13"/>
      <c r="NCJ517" s="13"/>
      <c r="NCK517" s="193"/>
      <c r="NCL517" s="379"/>
      <c r="NCM517" s="379"/>
      <c r="NCN517" s="379"/>
      <c r="NCO517" s="379"/>
      <c r="NCP517" s="379"/>
      <c r="NCQ517" s="13"/>
      <c r="NCR517" s="13"/>
      <c r="NCS517" s="193"/>
      <c r="NCT517" s="379"/>
      <c r="NCU517" s="379"/>
      <c r="NCV517" s="379"/>
      <c r="NCW517" s="379"/>
      <c r="NCX517" s="379"/>
      <c r="NCY517" s="13"/>
      <c r="NCZ517" s="13"/>
      <c r="NDA517" s="193"/>
      <c r="NDB517" s="379"/>
      <c r="NDC517" s="379"/>
      <c r="NDD517" s="379"/>
      <c r="NDE517" s="379"/>
      <c r="NDF517" s="379"/>
      <c r="NDG517" s="13"/>
      <c r="NDH517" s="13"/>
      <c r="NDI517" s="193"/>
      <c r="NDJ517" s="379"/>
      <c r="NDK517" s="379"/>
      <c r="NDL517" s="379"/>
      <c r="NDM517" s="379"/>
      <c r="NDN517" s="379"/>
      <c r="NDO517" s="13"/>
      <c r="NDP517" s="13"/>
      <c r="NDQ517" s="193"/>
      <c r="NDR517" s="379"/>
      <c r="NDS517" s="379"/>
      <c r="NDT517" s="379"/>
      <c r="NDU517" s="379"/>
      <c r="NDV517" s="379"/>
      <c r="NDW517" s="13"/>
      <c r="NDX517" s="13"/>
      <c r="NDY517" s="193"/>
      <c r="NDZ517" s="379"/>
      <c r="NEA517" s="379"/>
      <c r="NEB517" s="379"/>
      <c r="NEC517" s="379"/>
      <c r="NED517" s="379"/>
      <c r="NEE517" s="13"/>
      <c r="NEF517" s="13"/>
      <c r="NEG517" s="193"/>
      <c r="NEH517" s="379"/>
      <c r="NEI517" s="379"/>
      <c r="NEJ517" s="379"/>
      <c r="NEK517" s="379"/>
      <c r="NEL517" s="379"/>
      <c r="NEM517" s="13"/>
      <c r="NEN517" s="13"/>
      <c r="NEO517" s="193"/>
      <c r="NEP517" s="379"/>
      <c r="NEQ517" s="379"/>
      <c r="NER517" s="379"/>
      <c r="NES517" s="379"/>
      <c r="NET517" s="379"/>
      <c r="NEU517" s="13"/>
      <c r="NEV517" s="13"/>
      <c r="NEW517" s="193"/>
      <c r="NEX517" s="379"/>
      <c r="NEY517" s="379"/>
      <c r="NEZ517" s="379"/>
      <c r="NFA517" s="379"/>
      <c r="NFB517" s="379"/>
      <c r="NFC517" s="13"/>
      <c r="NFD517" s="13"/>
      <c r="NFE517" s="193"/>
      <c r="NFF517" s="379"/>
      <c r="NFG517" s="379"/>
      <c r="NFH517" s="379"/>
      <c r="NFI517" s="379"/>
      <c r="NFJ517" s="379"/>
      <c r="NFK517" s="13"/>
      <c r="NFL517" s="13"/>
      <c r="NFM517" s="193"/>
      <c r="NFN517" s="379"/>
      <c r="NFO517" s="379"/>
      <c r="NFP517" s="379"/>
      <c r="NFQ517" s="379"/>
      <c r="NFR517" s="379"/>
      <c r="NFS517" s="13"/>
      <c r="NFT517" s="13"/>
      <c r="NFU517" s="193"/>
      <c r="NFV517" s="379"/>
      <c r="NFW517" s="379"/>
      <c r="NFX517" s="379"/>
      <c r="NFY517" s="379"/>
      <c r="NFZ517" s="379"/>
      <c r="NGA517" s="13"/>
      <c r="NGB517" s="13"/>
      <c r="NGC517" s="193"/>
      <c r="NGD517" s="379"/>
      <c r="NGE517" s="379"/>
      <c r="NGF517" s="379"/>
      <c r="NGG517" s="379"/>
      <c r="NGH517" s="379"/>
      <c r="NGI517" s="13"/>
      <c r="NGJ517" s="13"/>
      <c r="NGK517" s="193"/>
      <c r="NGL517" s="379"/>
      <c r="NGM517" s="379"/>
      <c r="NGN517" s="379"/>
      <c r="NGO517" s="379"/>
      <c r="NGP517" s="379"/>
      <c r="NGQ517" s="13"/>
      <c r="NGR517" s="13"/>
      <c r="NGS517" s="193"/>
      <c r="NGT517" s="379"/>
      <c r="NGU517" s="379"/>
      <c r="NGV517" s="379"/>
      <c r="NGW517" s="379"/>
      <c r="NGX517" s="379"/>
      <c r="NGY517" s="13"/>
      <c r="NGZ517" s="13"/>
      <c r="NHA517" s="193"/>
      <c r="NHB517" s="379"/>
      <c r="NHC517" s="379"/>
      <c r="NHD517" s="379"/>
      <c r="NHE517" s="379"/>
      <c r="NHF517" s="379"/>
      <c r="NHG517" s="13"/>
      <c r="NHH517" s="13"/>
      <c r="NHI517" s="193"/>
      <c r="NHJ517" s="379"/>
      <c r="NHK517" s="379"/>
      <c r="NHL517" s="379"/>
      <c r="NHM517" s="379"/>
      <c r="NHN517" s="379"/>
      <c r="NHO517" s="13"/>
      <c r="NHP517" s="13"/>
      <c r="NHQ517" s="193"/>
      <c r="NHR517" s="379"/>
      <c r="NHS517" s="379"/>
      <c r="NHT517" s="379"/>
      <c r="NHU517" s="379"/>
      <c r="NHV517" s="379"/>
      <c r="NHW517" s="13"/>
      <c r="NHX517" s="13"/>
      <c r="NHY517" s="193"/>
      <c r="NHZ517" s="379"/>
      <c r="NIA517" s="379"/>
      <c r="NIB517" s="379"/>
      <c r="NIC517" s="379"/>
      <c r="NID517" s="379"/>
      <c r="NIE517" s="13"/>
      <c r="NIF517" s="13"/>
      <c r="NIG517" s="193"/>
      <c r="NIH517" s="379"/>
      <c r="NII517" s="379"/>
      <c r="NIJ517" s="379"/>
      <c r="NIK517" s="379"/>
      <c r="NIL517" s="379"/>
      <c r="NIM517" s="13"/>
      <c r="NIN517" s="13"/>
      <c r="NIO517" s="193"/>
      <c r="NIP517" s="379"/>
      <c r="NIQ517" s="379"/>
      <c r="NIR517" s="379"/>
      <c r="NIS517" s="379"/>
      <c r="NIT517" s="379"/>
      <c r="NIU517" s="13"/>
      <c r="NIV517" s="13"/>
      <c r="NIW517" s="193"/>
      <c r="NIX517" s="379"/>
      <c r="NIY517" s="379"/>
      <c r="NIZ517" s="379"/>
      <c r="NJA517" s="379"/>
      <c r="NJB517" s="379"/>
      <c r="NJC517" s="13"/>
      <c r="NJD517" s="13"/>
      <c r="NJE517" s="193"/>
      <c r="NJF517" s="379"/>
      <c r="NJG517" s="379"/>
      <c r="NJH517" s="379"/>
      <c r="NJI517" s="379"/>
      <c r="NJJ517" s="379"/>
      <c r="NJK517" s="13"/>
      <c r="NJL517" s="13"/>
      <c r="NJM517" s="193"/>
      <c r="NJN517" s="379"/>
      <c r="NJO517" s="379"/>
      <c r="NJP517" s="379"/>
      <c r="NJQ517" s="379"/>
      <c r="NJR517" s="379"/>
      <c r="NJS517" s="13"/>
      <c r="NJT517" s="13"/>
      <c r="NJU517" s="193"/>
      <c r="NJV517" s="379"/>
      <c r="NJW517" s="379"/>
      <c r="NJX517" s="379"/>
      <c r="NJY517" s="379"/>
      <c r="NJZ517" s="379"/>
      <c r="NKA517" s="13"/>
      <c r="NKB517" s="13"/>
      <c r="NKC517" s="193"/>
      <c r="NKD517" s="379"/>
      <c r="NKE517" s="379"/>
      <c r="NKF517" s="379"/>
      <c r="NKG517" s="379"/>
      <c r="NKH517" s="379"/>
      <c r="NKI517" s="13"/>
      <c r="NKJ517" s="13"/>
      <c r="NKK517" s="193"/>
      <c r="NKL517" s="379"/>
      <c r="NKM517" s="379"/>
      <c r="NKN517" s="379"/>
      <c r="NKO517" s="379"/>
      <c r="NKP517" s="379"/>
      <c r="NKQ517" s="13"/>
      <c r="NKR517" s="13"/>
      <c r="NKS517" s="193"/>
      <c r="NKT517" s="379"/>
      <c r="NKU517" s="379"/>
      <c r="NKV517" s="379"/>
      <c r="NKW517" s="379"/>
      <c r="NKX517" s="379"/>
      <c r="NKY517" s="13"/>
      <c r="NKZ517" s="13"/>
      <c r="NLA517" s="193"/>
      <c r="NLB517" s="379"/>
      <c r="NLC517" s="379"/>
      <c r="NLD517" s="379"/>
      <c r="NLE517" s="379"/>
      <c r="NLF517" s="379"/>
      <c r="NLG517" s="13"/>
      <c r="NLH517" s="13"/>
      <c r="NLI517" s="193"/>
      <c r="NLJ517" s="379"/>
      <c r="NLK517" s="379"/>
      <c r="NLL517" s="379"/>
      <c r="NLM517" s="379"/>
      <c r="NLN517" s="379"/>
      <c r="NLO517" s="13"/>
      <c r="NLP517" s="13"/>
      <c r="NLQ517" s="193"/>
      <c r="NLR517" s="379"/>
      <c r="NLS517" s="379"/>
      <c r="NLT517" s="379"/>
      <c r="NLU517" s="379"/>
      <c r="NLV517" s="379"/>
      <c r="NLW517" s="13"/>
      <c r="NLX517" s="13"/>
      <c r="NLY517" s="193"/>
      <c r="NLZ517" s="379"/>
      <c r="NMA517" s="379"/>
      <c r="NMB517" s="379"/>
      <c r="NMC517" s="379"/>
      <c r="NMD517" s="379"/>
      <c r="NME517" s="13"/>
      <c r="NMF517" s="13"/>
      <c r="NMG517" s="193"/>
      <c r="NMH517" s="379"/>
      <c r="NMI517" s="379"/>
      <c r="NMJ517" s="379"/>
      <c r="NMK517" s="379"/>
      <c r="NML517" s="379"/>
      <c r="NMM517" s="13"/>
      <c r="NMN517" s="13"/>
      <c r="NMO517" s="193"/>
      <c r="NMP517" s="379"/>
      <c r="NMQ517" s="379"/>
      <c r="NMR517" s="379"/>
      <c r="NMS517" s="379"/>
      <c r="NMT517" s="379"/>
      <c r="NMU517" s="13"/>
      <c r="NMV517" s="13"/>
      <c r="NMW517" s="193"/>
      <c r="NMX517" s="379"/>
      <c r="NMY517" s="379"/>
      <c r="NMZ517" s="379"/>
      <c r="NNA517" s="379"/>
      <c r="NNB517" s="379"/>
      <c r="NNC517" s="13"/>
      <c r="NND517" s="13"/>
      <c r="NNE517" s="193"/>
      <c r="NNF517" s="379"/>
      <c r="NNG517" s="379"/>
      <c r="NNH517" s="379"/>
      <c r="NNI517" s="379"/>
      <c r="NNJ517" s="379"/>
      <c r="NNK517" s="13"/>
      <c r="NNL517" s="13"/>
      <c r="NNM517" s="193"/>
      <c r="NNN517" s="379"/>
      <c r="NNO517" s="379"/>
      <c r="NNP517" s="379"/>
      <c r="NNQ517" s="379"/>
      <c r="NNR517" s="379"/>
      <c r="NNS517" s="13"/>
      <c r="NNT517" s="13"/>
      <c r="NNU517" s="193"/>
      <c r="NNV517" s="379"/>
      <c r="NNW517" s="379"/>
      <c r="NNX517" s="379"/>
      <c r="NNY517" s="379"/>
      <c r="NNZ517" s="379"/>
      <c r="NOA517" s="13"/>
      <c r="NOB517" s="13"/>
      <c r="NOC517" s="193"/>
      <c r="NOD517" s="379"/>
      <c r="NOE517" s="379"/>
      <c r="NOF517" s="379"/>
      <c r="NOG517" s="379"/>
      <c r="NOH517" s="379"/>
      <c r="NOI517" s="13"/>
      <c r="NOJ517" s="13"/>
      <c r="NOK517" s="193"/>
      <c r="NOL517" s="379"/>
      <c r="NOM517" s="379"/>
      <c r="NON517" s="379"/>
      <c r="NOO517" s="379"/>
      <c r="NOP517" s="379"/>
      <c r="NOQ517" s="13"/>
      <c r="NOR517" s="13"/>
      <c r="NOS517" s="193"/>
      <c r="NOT517" s="379"/>
      <c r="NOU517" s="379"/>
      <c r="NOV517" s="379"/>
      <c r="NOW517" s="379"/>
      <c r="NOX517" s="379"/>
      <c r="NOY517" s="13"/>
      <c r="NOZ517" s="13"/>
      <c r="NPA517" s="193"/>
      <c r="NPB517" s="379"/>
      <c r="NPC517" s="379"/>
      <c r="NPD517" s="379"/>
      <c r="NPE517" s="379"/>
      <c r="NPF517" s="379"/>
      <c r="NPG517" s="13"/>
      <c r="NPH517" s="13"/>
      <c r="NPI517" s="193"/>
      <c r="NPJ517" s="379"/>
      <c r="NPK517" s="379"/>
      <c r="NPL517" s="379"/>
      <c r="NPM517" s="379"/>
      <c r="NPN517" s="379"/>
      <c r="NPO517" s="13"/>
      <c r="NPP517" s="13"/>
      <c r="NPQ517" s="193"/>
      <c r="NPR517" s="379"/>
      <c r="NPS517" s="379"/>
      <c r="NPT517" s="379"/>
      <c r="NPU517" s="379"/>
      <c r="NPV517" s="379"/>
      <c r="NPW517" s="13"/>
      <c r="NPX517" s="13"/>
      <c r="NPY517" s="193"/>
      <c r="NPZ517" s="379"/>
      <c r="NQA517" s="379"/>
      <c r="NQB517" s="379"/>
      <c r="NQC517" s="379"/>
      <c r="NQD517" s="379"/>
      <c r="NQE517" s="13"/>
      <c r="NQF517" s="13"/>
      <c r="NQG517" s="193"/>
      <c r="NQH517" s="379"/>
      <c r="NQI517" s="379"/>
      <c r="NQJ517" s="379"/>
      <c r="NQK517" s="379"/>
      <c r="NQL517" s="379"/>
      <c r="NQM517" s="13"/>
      <c r="NQN517" s="13"/>
      <c r="NQO517" s="193"/>
      <c r="NQP517" s="379"/>
      <c r="NQQ517" s="379"/>
      <c r="NQR517" s="379"/>
      <c r="NQS517" s="379"/>
      <c r="NQT517" s="379"/>
      <c r="NQU517" s="13"/>
      <c r="NQV517" s="13"/>
      <c r="NQW517" s="193"/>
      <c r="NQX517" s="379"/>
      <c r="NQY517" s="379"/>
      <c r="NQZ517" s="379"/>
      <c r="NRA517" s="379"/>
      <c r="NRB517" s="379"/>
      <c r="NRC517" s="13"/>
      <c r="NRD517" s="13"/>
      <c r="NRE517" s="193"/>
      <c r="NRF517" s="379"/>
      <c r="NRG517" s="379"/>
      <c r="NRH517" s="379"/>
      <c r="NRI517" s="379"/>
      <c r="NRJ517" s="379"/>
      <c r="NRK517" s="13"/>
      <c r="NRL517" s="13"/>
      <c r="NRM517" s="193"/>
      <c r="NRN517" s="379"/>
      <c r="NRO517" s="379"/>
      <c r="NRP517" s="379"/>
      <c r="NRQ517" s="379"/>
      <c r="NRR517" s="379"/>
      <c r="NRS517" s="13"/>
      <c r="NRT517" s="13"/>
      <c r="NRU517" s="193"/>
      <c r="NRV517" s="379"/>
      <c r="NRW517" s="379"/>
      <c r="NRX517" s="379"/>
      <c r="NRY517" s="379"/>
      <c r="NRZ517" s="379"/>
      <c r="NSA517" s="13"/>
      <c r="NSB517" s="13"/>
      <c r="NSC517" s="193"/>
      <c r="NSD517" s="379"/>
      <c r="NSE517" s="379"/>
      <c r="NSF517" s="379"/>
      <c r="NSG517" s="379"/>
      <c r="NSH517" s="379"/>
      <c r="NSI517" s="13"/>
      <c r="NSJ517" s="13"/>
      <c r="NSK517" s="193"/>
      <c r="NSL517" s="379"/>
      <c r="NSM517" s="379"/>
      <c r="NSN517" s="379"/>
      <c r="NSO517" s="379"/>
      <c r="NSP517" s="379"/>
      <c r="NSQ517" s="13"/>
      <c r="NSR517" s="13"/>
      <c r="NSS517" s="193"/>
      <c r="NST517" s="379"/>
      <c r="NSU517" s="379"/>
      <c r="NSV517" s="379"/>
      <c r="NSW517" s="379"/>
      <c r="NSX517" s="379"/>
      <c r="NSY517" s="13"/>
      <c r="NSZ517" s="13"/>
      <c r="NTA517" s="193"/>
      <c r="NTB517" s="379"/>
      <c r="NTC517" s="379"/>
      <c r="NTD517" s="379"/>
      <c r="NTE517" s="379"/>
      <c r="NTF517" s="379"/>
      <c r="NTG517" s="13"/>
      <c r="NTH517" s="13"/>
      <c r="NTI517" s="193"/>
      <c r="NTJ517" s="379"/>
      <c r="NTK517" s="379"/>
      <c r="NTL517" s="379"/>
      <c r="NTM517" s="379"/>
      <c r="NTN517" s="379"/>
      <c r="NTO517" s="13"/>
      <c r="NTP517" s="13"/>
      <c r="NTQ517" s="193"/>
      <c r="NTR517" s="379"/>
      <c r="NTS517" s="379"/>
      <c r="NTT517" s="379"/>
      <c r="NTU517" s="379"/>
      <c r="NTV517" s="379"/>
      <c r="NTW517" s="13"/>
      <c r="NTX517" s="13"/>
      <c r="NTY517" s="193"/>
      <c r="NTZ517" s="379"/>
      <c r="NUA517" s="379"/>
      <c r="NUB517" s="379"/>
      <c r="NUC517" s="379"/>
      <c r="NUD517" s="379"/>
      <c r="NUE517" s="13"/>
      <c r="NUF517" s="13"/>
      <c r="NUG517" s="193"/>
      <c r="NUH517" s="379"/>
      <c r="NUI517" s="379"/>
      <c r="NUJ517" s="379"/>
      <c r="NUK517" s="379"/>
      <c r="NUL517" s="379"/>
      <c r="NUM517" s="13"/>
      <c r="NUN517" s="13"/>
      <c r="NUO517" s="193"/>
      <c r="NUP517" s="379"/>
      <c r="NUQ517" s="379"/>
      <c r="NUR517" s="379"/>
      <c r="NUS517" s="379"/>
      <c r="NUT517" s="379"/>
      <c r="NUU517" s="13"/>
      <c r="NUV517" s="13"/>
      <c r="NUW517" s="193"/>
      <c r="NUX517" s="379"/>
      <c r="NUY517" s="379"/>
      <c r="NUZ517" s="379"/>
      <c r="NVA517" s="379"/>
      <c r="NVB517" s="379"/>
      <c r="NVC517" s="13"/>
      <c r="NVD517" s="13"/>
      <c r="NVE517" s="193"/>
      <c r="NVF517" s="379"/>
      <c r="NVG517" s="379"/>
      <c r="NVH517" s="379"/>
      <c r="NVI517" s="379"/>
      <c r="NVJ517" s="379"/>
      <c r="NVK517" s="13"/>
      <c r="NVL517" s="13"/>
      <c r="NVM517" s="193"/>
      <c r="NVN517" s="379"/>
      <c r="NVO517" s="379"/>
      <c r="NVP517" s="379"/>
      <c r="NVQ517" s="379"/>
      <c r="NVR517" s="379"/>
      <c r="NVS517" s="13"/>
      <c r="NVT517" s="13"/>
      <c r="NVU517" s="193"/>
      <c r="NVV517" s="379"/>
      <c r="NVW517" s="379"/>
      <c r="NVX517" s="379"/>
      <c r="NVY517" s="379"/>
      <c r="NVZ517" s="379"/>
      <c r="NWA517" s="13"/>
      <c r="NWB517" s="13"/>
      <c r="NWC517" s="193"/>
      <c r="NWD517" s="379"/>
      <c r="NWE517" s="379"/>
      <c r="NWF517" s="379"/>
      <c r="NWG517" s="379"/>
      <c r="NWH517" s="379"/>
      <c r="NWI517" s="13"/>
      <c r="NWJ517" s="13"/>
      <c r="NWK517" s="193"/>
      <c r="NWL517" s="379"/>
      <c r="NWM517" s="379"/>
      <c r="NWN517" s="379"/>
      <c r="NWO517" s="379"/>
      <c r="NWP517" s="379"/>
      <c r="NWQ517" s="13"/>
      <c r="NWR517" s="13"/>
      <c r="NWS517" s="193"/>
      <c r="NWT517" s="379"/>
      <c r="NWU517" s="379"/>
      <c r="NWV517" s="379"/>
      <c r="NWW517" s="379"/>
      <c r="NWX517" s="379"/>
      <c r="NWY517" s="13"/>
      <c r="NWZ517" s="13"/>
      <c r="NXA517" s="193"/>
      <c r="NXB517" s="379"/>
      <c r="NXC517" s="379"/>
      <c r="NXD517" s="379"/>
      <c r="NXE517" s="379"/>
      <c r="NXF517" s="379"/>
      <c r="NXG517" s="13"/>
      <c r="NXH517" s="13"/>
      <c r="NXI517" s="193"/>
      <c r="NXJ517" s="379"/>
      <c r="NXK517" s="379"/>
      <c r="NXL517" s="379"/>
      <c r="NXM517" s="379"/>
      <c r="NXN517" s="379"/>
      <c r="NXO517" s="13"/>
      <c r="NXP517" s="13"/>
      <c r="NXQ517" s="193"/>
      <c r="NXR517" s="379"/>
      <c r="NXS517" s="379"/>
      <c r="NXT517" s="379"/>
      <c r="NXU517" s="379"/>
      <c r="NXV517" s="379"/>
      <c r="NXW517" s="13"/>
      <c r="NXX517" s="13"/>
      <c r="NXY517" s="193"/>
      <c r="NXZ517" s="379"/>
      <c r="NYA517" s="379"/>
      <c r="NYB517" s="379"/>
      <c r="NYC517" s="379"/>
      <c r="NYD517" s="379"/>
      <c r="NYE517" s="13"/>
      <c r="NYF517" s="13"/>
      <c r="NYG517" s="193"/>
      <c r="NYH517" s="379"/>
      <c r="NYI517" s="379"/>
      <c r="NYJ517" s="379"/>
      <c r="NYK517" s="379"/>
      <c r="NYL517" s="379"/>
      <c r="NYM517" s="13"/>
      <c r="NYN517" s="13"/>
      <c r="NYO517" s="193"/>
      <c r="NYP517" s="379"/>
      <c r="NYQ517" s="379"/>
      <c r="NYR517" s="379"/>
      <c r="NYS517" s="379"/>
      <c r="NYT517" s="379"/>
      <c r="NYU517" s="13"/>
      <c r="NYV517" s="13"/>
      <c r="NYW517" s="193"/>
      <c r="NYX517" s="379"/>
      <c r="NYY517" s="379"/>
      <c r="NYZ517" s="379"/>
      <c r="NZA517" s="379"/>
      <c r="NZB517" s="379"/>
      <c r="NZC517" s="13"/>
      <c r="NZD517" s="13"/>
      <c r="NZE517" s="193"/>
      <c r="NZF517" s="379"/>
      <c r="NZG517" s="379"/>
      <c r="NZH517" s="379"/>
      <c r="NZI517" s="379"/>
      <c r="NZJ517" s="379"/>
      <c r="NZK517" s="13"/>
      <c r="NZL517" s="13"/>
      <c r="NZM517" s="193"/>
      <c r="NZN517" s="379"/>
      <c r="NZO517" s="379"/>
      <c r="NZP517" s="379"/>
      <c r="NZQ517" s="379"/>
      <c r="NZR517" s="379"/>
      <c r="NZS517" s="13"/>
      <c r="NZT517" s="13"/>
      <c r="NZU517" s="193"/>
      <c r="NZV517" s="379"/>
      <c r="NZW517" s="379"/>
      <c r="NZX517" s="379"/>
      <c r="NZY517" s="379"/>
      <c r="NZZ517" s="379"/>
      <c r="OAA517" s="13"/>
      <c r="OAB517" s="13"/>
      <c r="OAC517" s="193"/>
      <c r="OAD517" s="379"/>
      <c r="OAE517" s="379"/>
      <c r="OAF517" s="379"/>
      <c r="OAG517" s="379"/>
      <c r="OAH517" s="379"/>
      <c r="OAI517" s="13"/>
      <c r="OAJ517" s="13"/>
      <c r="OAK517" s="193"/>
      <c r="OAL517" s="379"/>
      <c r="OAM517" s="379"/>
      <c r="OAN517" s="379"/>
      <c r="OAO517" s="379"/>
      <c r="OAP517" s="379"/>
      <c r="OAQ517" s="13"/>
      <c r="OAR517" s="13"/>
      <c r="OAS517" s="193"/>
      <c r="OAT517" s="379"/>
      <c r="OAU517" s="379"/>
      <c r="OAV517" s="379"/>
      <c r="OAW517" s="379"/>
      <c r="OAX517" s="379"/>
      <c r="OAY517" s="13"/>
      <c r="OAZ517" s="13"/>
      <c r="OBA517" s="193"/>
      <c r="OBB517" s="379"/>
      <c r="OBC517" s="379"/>
      <c r="OBD517" s="379"/>
      <c r="OBE517" s="379"/>
      <c r="OBF517" s="379"/>
      <c r="OBG517" s="13"/>
      <c r="OBH517" s="13"/>
      <c r="OBI517" s="193"/>
      <c r="OBJ517" s="379"/>
      <c r="OBK517" s="379"/>
      <c r="OBL517" s="379"/>
      <c r="OBM517" s="379"/>
      <c r="OBN517" s="379"/>
      <c r="OBO517" s="13"/>
      <c r="OBP517" s="13"/>
      <c r="OBQ517" s="193"/>
      <c r="OBR517" s="379"/>
      <c r="OBS517" s="379"/>
      <c r="OBT517" s="379"/>
      <c r="OBU517" s="379"/>
      <c r="OBV517" s="379"/>
      <c r="OBW517" s="13"/>
      <c r="OBX517" s="13"/>
      <c r="OBY517" s="193"/>
      <c r="OBZ517" s="379"/>
      <c r="OCA517" s="379"/>
      <c r="OCB517" s="379"/>
      <c r="OCC517" s="379"/>
      <c r="OCD517" s="379"/>
      <c r="OCE517" s="13"/>
      <c r="OCF517" s="13"/>
      <c r="OCG517" s="193"/>
      <c r="OCH517" s="379"/>
      <c r="OCI517" s="379"/>
      <c r="OCJ517" s="379"/>
      <c r="OCK517" s="379"/>
      <c r="OCL517" s="379"/>
      <c r="OCM517" s="13"/>
      <c r="OCN517" s="13"/>
      <c r="OCO517" s="193"/>
      <c r="OCP517" s="379"/>
      <c r="OCQ517" s="379"/>
      <c r="OCR517" s="379"/>
      <c r="OCS517" s="379"/>
      <c r="OCT517" s="379"/>
      <c r="OCU517" s="13"/>
      <c r="OCV517" s="13"/>
      <c r="OCW517" s="193"/>
      <c r="OCX517" s="379"/>
      <c r="OCY517" s="379"/>
      <c r="OCZ517" s="379"/>
      <c r="ODA517" s="379"/>
      <c r="ODB517" s="379"/>
      <c r="ODC517" s="13"/>
      <c r="ODD517" s="13"/>
      <c r="ODE517" s="193"/>
      <c r="ODF517" s="379"/>
      <c r="ODG517" s="379"/>
      <c r="ODH517" s="379"/>
      <c r="ODI517" s="379"/>
      <c r="ODJ517" s="379"/>
      <c r="ODK517" s="13"/>
      <c r="ODL517" s="13"/>
      <c r="ODM517" s="193"/>
      <c r="ODN517" s="379"/>
      <c r="ODO517" s="379"/>
      <c r="ODP517" s="379"/>
      <c r="ODQ517" s="379"/>
      <c r="ODR517" s="379"/>
      <c r="ODS517" s="13"/>
      <c r="ODT517" s="13"/>
      <c r="ODU517" s="193"/>
      <c r="ODV517" s="379"/>
      <c r="ODW517" s="379"/>
      <c r="ODX517" s="379"/>
      <c r="ODY517" s="379"/>
      <c r="ODZ517" s="379"/>
      <c r="OEA517" s="13"/>
      <c r="OEB517" s="13"/>
      <c r="OEC517" s="193"/>
      <c r="OED517" s="379"/>
      <c r="OEE517" s="379"/>
      <c r="OEF517" s="379"/>
      <c r="OEG517" s="379"/>
      <c r="OEH517" s="379"/>
      <c r="OEI517" s="13"/>
      <c r="OEJ517" s="13"/>
      <c r="OEK517" s="193"/>
      <c r="OEL517" s="379"/>
      <c r="OEM517" s="379"/>
      <c r="OEN517" s="379"/>
      <c r="OEO517" s="379"/>
      <c r="OEP517" s="379"/>
      <c r="OEQ517" s="13"/>
      <c r="OER517" s="13"/>
      <c r="OES517" s="193"/>
      <c r="OET517" s="379"/>
      <c r="OEU517" s="379"/>
      <c r="OEV517" s="379"/>
      <c r="OEW517" s="379"/>
      <c r="OEX517" s="379"/>
      <c r="OEY517" s="13"/>
      <c r="OEZ517" s="13"/>
      <c r="OFA517" s="193"/>
      <c r="OFB517" s="379"/>
      <c r="OFC517" s="379"/>
      <c r="OFD517" s="379"/>
      <c r="OFE517" s="379"/>
      <c r="OFF517" s="379"/>
      <c r="OFG517" s="13"/>
      <c r="OFH517" s="13"/>
      <c r="OFI517" s="193"/>
      <c r="OFJ517" s="379"/>
      <c r="OFK517" s="379"/>
      <c r="OFL517" s="379"/>
      <c r="OFM517" s="379"/>
      <c r="OFN517" s="379"/>
      <c r="OFO517" s="13"/>
      <c r="OFP517" s="13"/>
      <c r="OFQ517" s="193"/>
      <c r="OFR517" s="379"/>
      <c r="OFS517" s="379"/>
      <c r="OFT517" s="379"/>
      <c r="OFU517" s="379"/>
      <c r="OFV517" s="379"/>
      <c r="OFW517" s="13"/>
      <c r="OFX517" s="13"/>
      <c r="OFY517" s="193"/>
      <c r="OFZ517" s="379"/>
      <c r="OGA517" s="379"/>
      <c r="OGB517" s="379"/>
      <c r="OGC517" s="379"/>
      <c r="OGD517" s="379"/>
      <c r="OGE517" s="13"/>
      <c r="OGF517" s="13"/>
      <c r="OGG517" s="193"/>
      <c r="OGH517" s="379"/>
      <c r="OGI517" s="379"/>
      <c r="OGJ517" s="379"/>
      <c r="OGK517" s="379"/>
      <c r="OGL517" s="379"/>
      <c r="OGM517" s="13"/>
      <c r="OGN517" s="13"/>
      <c r="OGO517" s="193"/>
      <c r="OGP517" s="379"/>
      <c r="OGQ517" s="379"/>
      <c r="OGR517" s="379"/>
      <c r="OGS517" s="379"/>
      <c r="OGT517" s="379"/>
      <c r="OGU517" s="13"/>
      <c r="OGV517" s="13"/>
      <c r="OGW517" s="193"/>
      <c r="OGX517" s="379"/>
      <c r="OGY517" s="379"/>
      <c r="OGZ517" s="379"/>
      <c r="OHA517" s="379"/>
      <c r="OHB517" s="379"/>
      <c r="OHC517" s="13"/>
      <c r="OHD517" s="13"/>
      <c r="OHE517" s="193"/>
      <c r="OHF517" s="379"/>
      <c r="OHG517" s="379"/>
      <c r="OHH517" s="379"/>
      <c r="OHI517" s="379"/>
      <c r="OHJ517" s="379"/>
      <c r="OHK517" s="13"/>
      <c r="OHL517" s="13"/>
      <c r="OHM517" s="193"/>
      <c r="OHN517" s="379"/>
      <c r="OHO517" s="379"/>
      <c r="OHP517" s="379"/>
      <c r="OHQ517" s="379"/>
      <c r="OHR517" s="379"/>
      <c r="OHS517" s="13"/>
      <c r="OHT517" s="13"/>
      <c r="OHU517" s="193"/>
      <c r="OHV517" s="379"/>
      <c r="OHW517" s="379"/>
      <c r="OHX517" s="379"/>
      <c r="OHY517" s="379"/>
      <c r="OHZ517" s="379"/>
      <c r="OIA517" s="13"/>
      <c r="OIB517" s="13"/>
      <c r="OIC517" s="193"/>
      <c r="OID517" s="379"/>
      <c r="OIE517" s="379"/>
      <c r="OIF517" s="379"/>
      <c r="OIG517" s="379"/>
      <c r="OIH517" s="379"/>
      <c r="OII517" s="13"/>
      <c r="OIJ517" s="13"/>
      <c r="OIK517" s="193"/>
      <c r="OIL517" s="379"/>
      <c r="OIM517" s="379"/>
      <c r="OIN517" s="379"/>
      <c r="OIO517" s="379"/>
      <c r="OIP517" s="379"/>
      <c r="OIQ517" s="13"/>
      <c r="OIR517" s="13"/>
      <c r="OIS517" s="193"/>
      <c r="OIT517" s="379"/>
      <c r="OIU517" s="379"/>
      <c r="OIV517" s="379"/>
      <c r="OIW517" s="379"/>
      <c r="OIX517" s="379"/>
      <c r="OIY517" s="13"/>
      <c r="OIZ517" s="13"/>
      <c r="OJA517" s="193"/>
      <c r="OJB517" s="379"/>
      <c r="OJC517" s="379"/>
      <c r="OJD517" s="379"/>
      <c r="OJE517" s="379"/>
      <c r="OJF517" s="379"/>
      <c r="OJG517" s="13"/>
      <c r="OJH517" s="13"/>
      <c r="OJI517" s="193"/>
      <c r="OJJ517" s="379"/>
      <c r="OJK517" s="379"/>
      <c r="OJL517" s="379"/>
      <c r="OJM517" s="379"/>
      <c r="OJN517" s="379"/>
      <c r="OJO517" s="13"/>
      <c r="OJP517" s="13"/>
      <c r="OJQ517" s="193"/>
      <c r="OJR517" s="379"/>
      <c r="OJS517" s="379"/>
      <c r="OJT517" s="379"/>
      <c r="OJU517" s="379"/>
      <c r="OJV517" s="379"/>
      <c r="OJW517" s="13"/>
      <c r="OJX517" s="13"/>
      <c r="OJY517" s="193"/>
      <c r="OJZ517" s="379"/>
      <c r="OKA517" s="379"/>
      <c r="OKB517" s="379"/>
      <c r="OKC517" s="379"/>
      <c r="OKD517" s="379"/>
      <c r="OKE517" s="13"/>
      <c r="OKF517" s="13"/>
      <c r="OKG517" s="193"/>
      <c r="OKH517" s="379"/>
      <c r="OKI517" s="379"/>
      <c r="OKJ517" s="379"/>
      <c r="OKK517" s="379"/>
      <c r="OKL517" s="379"/>
      <c r="OKM517" s="13"/>
      <c r="OKN517" s="13"/>
      <c r="OKO517" s="193"/>
      <c r="OKP517" s="379"/>
      <c r="OKQ517" s="379"/>
      <c r="OKR517" s="379"/>
      <c r="OKS517" s="379"/>
      <c r="OKT517" s="379"/>
      <c r="OKU517" s="13"/>
      <c r="OKV517" s="13"/>
      <c r="OKW517" s="193"/>
      <c r="OKX517" s="379"/>
      <c r="OKY517" s="379"/>
      <c r="OKZ517" s="379"/>
      <c r="OLA517" s="379"/>
      <c r="OLB517" s="379"/>
      <c r="OLC517" s="13"/>
      <c r="OLD517" s="13"/>
      <c r="OLE517" s="193"/>
      <c r="OLF517" s="379"/>
      <c r="OLG517" s="379"/>
      <c r="OLH517" s="379"/>
      <c r="OLI517" s="379"/>
      <c r="OLJ517" s="379"/>
      <c r="OLK517" s="13"/>
      <c r="OLL517" s="13"/>
      <c r="OLM517" s="193"/>
      <c r="OLN517" s="379"/>
      <c r="OLO517" s="379"/>
      <c r="OLP517" s="379"/>
      <c r="OLQ517" s="379"/>
      <c r="OLR517" s="379"/>
      <c r="OLS517" s="13"/>
      <c r="OLT517" s="13"/>
      <c r="OLU517" s="193"/>
      <c r="OLV517" s="379"/>
      <c r="OLW517" s="379"/>
      <c r="OLX517" s="379"/>
      <c r="OLY517" s="379"/>
      <c r="OLZ517" s="379"/>
      <c r="OMA517" s="13"/>
      <c r="OMB517" s="13"/>
      <c r="OMC517" s="193"/>
      <c r="OMD517" s="379"/>
      <c r="OME517" s="379"/>
      <c r="OMF517" s="379"/>
      <c r="OMG517" s="379"/>
      <c r="OMH517" s="379"/>
      <c r="OMI517" s="13"/>
      <c r="OMJ517" s="13"/>
      <c r="OMK517" s="193"/>
      <c r="OML517" s="379"/>
      <c r="OMM517" s="379"/>
      <c r="OMN517" s="379"/>
      <c r="OMO517" s="379"/>
      <c r="OMP517" s="379"/>
      <c r="OMQ517" s="13"/>
      <c r="OMR517" s="13"/>
      <c r="OMS517" s="193"/>
      <c r="OMT517" s="379"/>
      <c r="OMU517" s="379"/>
      <c r="OMV517" s="379"/>
      <c r="OMW517" s="379"/>
      <c r="OMX517" s="379"/>
      <c r="OMY517" s="13"/>
      <c r="OMZ517" s="13"/>
      <c r="ONA517" s="193"/>
      <c r="ONB517" s="379"/>
      <c r="ONC517" s="379"/>
      <c r="OND517" s="379"/>
      <c r="ONE517" s="379"/>
      <c r="ONF517" s="379"/>
      <c r="ONG517" s="13"/>
      <c r="ONH517" s="13"/>
      <c r="ONI517" s="193"/>
      <c r="ONJ517" s="379"/>
      <c r="ONK517" s="379"/>
      <c r="ONL517" s="379"/>
      <c r="ONM517" s="379"/>
      <c r="ONN517" s="379"/>
      <c r="ONO517" s="13"/>
      <c r="ONP517" s="13"/>
      <c r="ONQ517" s="193"/>
      <c r="ONR517" s="379"/>
      <c r="ONS517" s="379"/>
      <c r="ONT517" s="379"/>
      <c r="ONU517" s="379"/>
      <c r="ONV517" s="379"/>
      <c r="ONW517" s="13"/>
      <c r="ONX517" s="13"/>
      <c r="ONY517" s="193"/>
      <c r="ONZ517" s="379"/>
      <c r="OOA517" s="379"/>
      <c r="OOB517" s="379"/>
      <c r="OOC517" s="379"/>
      <c r="OOD517" s="379"/>
      <c r="OOE517" s="13"/>
      <c r="OOF517" s="13"/>
      <c r="OOG517" s="193"/>
      <c r="OOH517" s="379"/>
      <c r="OOI517" s="379"/>
      <c r="OOJ517" s="379"/>
      <c r="OOK517" s="379"/>
      <c r="OOL517" s="379"/>
      <c r="OOM517" s="13"/>
      <c r="OON517" s="13"/>
      <c r="OOO517" s="193"/>
      <c r="OOP517" s="379"/>
      <c r="OOQ517" s="379"/>
      <c r="OOR517" s="379"/>
      <c r="OOS517" s="379"/>
      <c r="OOT517" s="379"/>
      <c r="OOU517" s="13"/>
      <c r="OOV517" s="13"/>
      <c r="OOW517" s="193"/>
      <c r="OOX517" s="379"/>
      <c r="OOY517" s="379"/>
      <c r="OOZ517" s="379"/>
      <c r="OPA517" s="379"/>
      <c r="OPB517" s="379"/>
      <c r="OPC517" s="13"/>
      <c r="OPD517" s="13"/>
      <c r="OPE517" s="193"/>
      <c r="OPF517" s="379"/>
      <c r="OPG517" s="379"/>
      <c r="OPH517" s="379"/>
      <c r="OPI517" s="379"/>
      <c r="OPJ517" s="379"/>
      <c r="OPK517" s="13"/>
      <c r="OPL517" s="13"/>
      <c r="OPM517" s="193"/>
      <c r="OPN517" s="379"/>
      <c r="OPO517" s="379"/>
      <c r="OPP517" s="379"/>
      <c r="OPQ517" s="379"/>
      <c r="OPR517" s="379"/>
      <c r="OPS517" s="13"/>
      <c r="OPT517" s="13"/>
      <c r="OPU517" s="193"/>
      <c r="OPV517" s="379"/>
      <c r="OPW517" s="379"/>
      <c r="OPX517" s="379"/>
      <c r="OPY517" s="379"/>
      <c r="OPZ517" s="379"/>
      <c r="OQA517" s="13"/>
      <c r="OQB517" s="13"/>
      <c r="OQC517" s="193"/>
      <c r="OQD517" s="379"/>
      <c r="OQE517" s="379"/>
      <c r="OQF517" s="379"/>
      <c r="OQG517" s="379"/>
      <c r="OQH517" s="379"/>
      <c r="OQI517" s="13"/>
      <c r="OQJ517" s="13"/>
      <c r="OQK517" s="193"/>
      <c r="OQL517" s="379"/>
      <c r="OQM517" s="379"/>
      <c r="OQN517" s="379"/>
      <c r="OQO517" s="379"/>
      <c r="OQP517" s="379"/>
      <c r="OQQ517" s="13"/>
      <c r="OQR517" s="13"/>
      <c r="OQS517" s="193"/>
      <c r="OQT517" s="379"/>
      <c r="OQU517" s="379"/>
      <c r="OQV517" s="379"/>
      <c r="OQW517" s="379"/>
      <c r="OQX517" s="379"/>
      <c r="OQY517" s="13"/>
      <c r="OQZ517" s="13"/>
      <c r="ORA517" s="193"/>
      <c r="ORB517" s="379"/>
      <c r="ORC517" s="379"/>
      <c r="ORD517" s="379"/>
      <c r="ORE517" s="379"/>
      <c r="ORF517" s="379"/>
      <c r="ORG517" s="13"/>
      <c r="ORH517" s="13"/>
      <c r="ORI517" s="193"/>
      <c r="ORJ517" s="379"/>
      <c r="ORK517" s="379"/>
      <c r="ORL517" s="379"/>
      <c r="ORM517" s="379"/>
      <c r="ORN517" s="379"/>
      <c r="ORO517" s="13"/>
      <c r="ORP517" s="13"/>
      <c r="ORQ517" s="193"/>
      <c r="ORR517" s="379"/>
      <c r="ORS517" s="379"/>
      <c r="ORT517" s="379"/>
      <c r="ORU517" s="379"/>
      <c r="ORV517" s="379"/>
      <c r="ORW517" s="13"/>
      <c r="ORX517" s="13"/>
      <c r="ORY517" s="193"/>
      <c r="ORZ517" s="379"/>
      <c r="OSA517" s="379"/>
      <c r="OSB517" s="379"/>
      <c r="OSC517" s="379"/>
      <c r="OSD517" s="379"/>
      <c r="OSE517" s="13"/>
      <c r="OSF517" s="13"/>
      <c r="OSG517" s="193"/>
      <c r="OSH517" s="379"/>
      <c r="OSI517" s="379"/>
      <c r="OSJ517" s="379"/>
      <c r="OSK517" s="379"/>
      <c r="OSL517" s="379"/>
      <c r="OSM517" s="13"/>
      <c r="OSN517" s="13"/>
      <c r="OSO517" s="193"/>
      <c r="OSP517" s="379"/>
      <c r="OSQ517" s="379"/>
      <c r="OSR517" s="379"/>
      <c r="OSS517" s="379"/>
      <c r="OST517" s="379"/>
      <c r="OSU517" s="13"/>
      <c r="OSV517" s="13"/>
      <c r="OSW517" s="193"/>
      <c r="OSX517" s="379"/>
      <c r="OSY517" s="379"/>
      <c r="OSZ517" s="379"/>
      <c r="OTA517" s="379"/>
      <c r="OTB517" s="379"/>
      <c r="OTC517" s="13"/>
      <c r="OTD517" s="13"/>
      <c r="OTE517" s="193"/>
      <c r="OTF517" s="379"/>
      <c r="OTG517" s="379"/>
      <c r="OTH517" s="379"/>
      <c r="OTI517" s="379"/>
      <c r="OTJ517" s="379"/>
      <c r="OTK517" s="13"/>
      <c r="OTL517" s="13"/>
      <c r="OTM517" s="193"/>
      <c r="OTN517" s="379"/>
      <c r="OTO517" s="379"/>
      <c r="OTP517" s="379"/>
      <c r="OTQ517" s="379"/>
      <c r="OTR517" s="379"/>
      <c r="OTS517" s="13"/>
      <c r="OTT517" s="13"/>
      <c r="OTU517" s="193"/>
      <c r="OTV517" s="379"/>
      <c r="OTW517" s="379"/>
      <c r="OTX517" s="379"/>
      <c r="OTY517" s="379"/>
      <c r="OTZ517" s="379"/>
      <c r="OUA517" s="13"/>
      <c r="OUB517" s="13"/>
      <c r="OUC517" s="193"/>
      <c r="OUD517" s="379"/>
      <c r="OUE517" s="379"/>
      <c r="OUF517" s="379"/>
      <c r="OUG517" s="379"/>
      <c r="OUH517" s="379"/>
      <c r="OUI517" s="13"/>
      <c r="OUJ517" s="13"/>
      <c r="OUK517" s="193"/>
      <c r="OUL517" s="379"/>
      <c r="OUM517" s="379"/>
      <c r="OUN517" s="379"/>
      <c r="OUO517" s="379"/>
      <c r="OUP517" s="379"/>
      <c r="OUQ517" s="13"/>
      <c r="OUR517" s="13"/>
      <c r="OUS517" s="193"/>
      <c r="OUT517" s="379"/>
      <c r="OUU517" s="379"/>
      <c r="OUV517" s="379"/>
      <c r="OUW517" s="379"/>
      <c r="OUX517" s="379"/>
      <c r="OUY517" s="13"/>
      <c r="OUZ517" s="13"/>
      <c r="OVA517" s="193"/>
      <c r="OVB517" s="379"/>
      <c r="OVC517" s="379"/>
      <c r="OVD517" s="379"/>
      <c r="OVE517" s="379"/>
      <c r="OVF517" s="379"/>
      <c r="OVG517" s="13"/>
      <c r="OVH517" s="13"/>
      <c r="OVI517" s="193"/>
      <c r="OVJ517" s="379"/>
      <c r="OVK517" s="379"/>
      <c r="OVL517" s="379"/>
      <c r="OVM517" s="379"/>
      <c r="OVN517" s="379"/>
      <c r="OVO517" s="13"/>
      <c r="OVP517" s="13"/>
      <c r="OVQ517" s="193"/>
      <c r="OVR517" s="379"/>
      <c r="OVS517" s="379"/>
      <c r="OVT517" s="379"/>
      <c r="OVU517" s="379"/>
      <c r="OVV517" s="379"/>
      <c r="OVW517" s="13"/>
      <c r="OVX517" s="13"/>
      <c r="OVY517" s="193"/>
      <c r="OVZ517" s="379"/>
      <c r="OWA517" s="379"/>
      <c r="OWB517" s="379"/>
      <c r="OWC517" s="379"/>
      <c r="OWD517" s="379"/>
      <c r="OWE517" s="13"/>
      <c r="OWF517" s="13"/>
      <c r="OWG517" s="193"/>
      <c r="OWH517" s="379"/>
      <c r="OWI517" s="379"/>
      <c r="OWJ517" s="379"/>
      <c r="OWK517" s="379"/>
      <c r="OWL517" s="379"/>
      <c r="OWM517" s="13"/>
      <c r="OWN517" s="13"/>
      <c r="OWO517" s="193"/>
      <c r="OWP517" s="379"/>
      <c r="OWQ517" s="379"/>
      <c r="OWR517" s="379"/>
      <c r="OWS517" s="379"/>
      <c r="OWT517" s="379"/>
      <c r="OWU517" s="13"/>
      <c r="OWV517" s="13"/>
      <c r="OWW517" s="193"/>
      <c r="OWX517" s="379"/>
      <c r="OWY517" s="379"/>
      <c r="OWZ517" s="379"/>
      <c r="OXA517" s="379"/>
      <c r="OXB517" s="379"/>
      <c r="OXC517" s="13"/>
      <c r="OXD517" s="13"/>
      <c r="OXE517" s="193"/>
      <c r="OXF517" s="379"/>
      <c r="OXG517" s="379"/>
      <c r="OXH517" s="379"/>
      <c r="OXI517" s="379"/>
      <c r="OXJ517" s="379"/>
      <c r="OXK517" s="13"/>
      <c r="OXL517" s="13"/>
      <c r="OXM517" s="193"/>
      <c r="OXN517" s="379"/>
      <c r="OXO517" s="379"/>
      <c r="OXP517" s="379"/>
      <c r="OXQ517" s="379"/>
      <c r="OXR517" s="379"/>
      <c r="OXS517" s="13"/>
      <c r="OXT517" s="13"/>
      <c r="OXU517" s="193"/>
      <c r="OXV517" s="379"/>
      <c r="OXW517" s="379"/>
      <c r="OXX517" s="379"/>
      <c r="OXY517" s="379"/>
      <c r="OXZ517" s="379"/>
      <c r="OYA517" s="13"/>
      <c r="OYB517" s="13"/>
      <c r="OYC517" s="193"/>
      <c r="OYD517" s="379"/>
      <c r="OYE517" s="379"/>
      <c r="OYF517" s="379"/>
      <c r="OYG517" s="379"/>
      <c r="OYH517" s="379"/>
      <c r="OYI517" s="13"/>
      <c r="OYJ517" s="13"/>
      <c r="OYK517" s="193"/>
      <c r="OYL517" s="379"/>
      <c r="OYM517" s="379"/>
      <c r="OYN517" s="379"/>
      <c r="OYO517" s="379"/>
      <c r="OYP517" s="379"/>
      <c r="OYQ517" s="13"/>
      <c r="OYR517" s="13"/>
      <c r="OYS517" s="193"/>
      <c r="OYT517" s="379"/>
      <c r="OYU517" s="379"/>
      <c r="OYV517" s="379"/>
      <c r="OYW517" s="379"/>
      <c r="OYX517" s="379"/>
      <c r="OYY517" s="13"/>
      <c r="OYZ517" s="13"/>
      <c r="OZA517" s="193"/>
      <c r="OZB517" s="379"/>
      <c r="OZC517" s="379"/>
      <c r="OZD517" s="379"/>
      <c r="OZE517" s="379"/>
      <c r="OZF517" s="379"/>
      <c r="OZG517" s="13"/>
      <c r="OZH517" s="13"/>
      <c r="OZI517" s="193"/>
      <c r="OZJ517" s="379"/>
      <c r="OZK517" s="379"/>
      <c r="OZL517" s="379"/>
      <c r="OZM517" s="379"/>
      <c r="OZN517" s="379"/>
      <c r="OZO517" s="13"/>
      <c r="OZP517" s="13"/>
      <c r="OZQ517" s="193"/>
      <c r="OZR517" s="379"/>
      <c r="OZS517" s="379"/>
      <c r="OZT517" s="379"/>
      <c r="OZU517" s="379"/>
      <c r="OZV517" s="379"/>
      <c r="OZW517" s="13"/>
      <c r="OZX517" s="13"/>
      <c r="OZY517" s="193"/>
      <c r="OZZ517" s="379"/>
      <c r="PAA517" s="379"/>
      <c r="PAB517" s="379"/>
      <c r="PAC517" s="379"/>
      <c r="PAD517" s="379"/>
      <c r="PAE517" s="13"/>
      <c r="PAF517" s="13"/>
      <c r="PAG517" s="193"/>
      <c r="PAH517" s="379"/>
      <c r="PAI517" s="379"/>
      <c r="PAJ517" s="379"/>
      <c r="PAK517" s="379"/>
      <c r="PAL517" s="379"/>
      <c r="PAM517" s="13"/>
      <c r="PAN517" s="13"/>
      <c r="PAO517" s="193"/>
      <c r="PAP517" s="379"/>
      <c r="PAQ517" s="379"/>
      <c r="PAR517" s="379"/>
      <c r="PAS517" s="379"/>
      <c r="PAT517" s="379"/>
      <c r="PAU517" s="13"/>
      <c r="PAV517" s="13"/>
      <c r="PAW517" s="193"/>
      <c r="PAX517" s="379"/>
      <c r="PAY517" s="379"/>
      <c r="PAZ517" s="379"/>
      <c r="PBA517" s="379"/>
      <c r="PBB517" s="379"/>
      <c r="PBC517" s="13"/>
      <c r="PBD517" s="13"/>
      <c r="PBE517" s="193"/>
      <c r="PBF517" s="379"/>
      <c r="PBG517" s="379"/>
      <c r="PBH517" s="379"/>
      <c r="PBI517" s="379"/>
      <c r="PBJ517" s="379"/>
      <c r="PBK517" s="13"/>
      <c r="PBL517" s="13"/>
      <c r="PBM517" s="193"/>
      <c r="PBN517" s="379"/>
      <c r="PBO517" s="379"/>
      <c r="PBP517" s="379"/>
      <c r="PBQ517" s="379"/>
      <c r="PBR517" s="379"/>
      <c r="PBS517" s="13"/>
      <c r="PBT517" s="13"/>
      <c r="PBU517" s="193"/>
      <c r="PBV517" s="379"/>
      <c r="PBW517" s="379"/>
      <c r="PBX517" s="379"/>
      <c r="PBY517" s="379"/>
      <c r="PBZ517" s="379"/>
      <c r="PCA517" s="13"/>
      <c r="PCB517" s="13"/>
      <c r="PCC517" s="193"/>
      <c r="PCD517" s="379"/>
      <c r="PCE517" s="379"/>
      <c r="PCF517" s="379"/>
      <c r="PCG517" s="379"/>
      <c r="PCH517" s="379"/>
      <c r="PCI517" s="13"/>
      <c r="PCJ517" s="13"/>
      <c r="PCK517" s="193"/>
      <c r="PCL517" s="379"/>
      <c r="PCM517" s="379"/>
      <c r="PCN517" s="379"/>
      <c r="PCO517" s="379"/>
      <c r="PCP517" s="379"/>
      <c r="PCQ517" s="13"/>
      <c r="PCR517" s="13"/>
      <c r="PCS517" s="193"/>
      <c r="PCT517" s="379"/>
      <c r="PCU517" s="379"/>
      <c r="PCV517" s="379"/>
      <c r="PCW517" s="379"/>
      <c r="PCX517" s="379"/>
      <c r="PCY517" s="13"/>
      <c r="PCZ517" s="13"/>
      <c r="PDA517" s="193"/>
      <c r="PDB517" s="379"/>
      <c r="PDC517" s="379"/>
      <c r="PDD517" s="379"/>
      <c r="PDE517" s="379"/>
      <c r="PDF517" s="379"/>
      <c r="PDG517" s="13"/>
      <c r="PDH517" s="13"/>
      <c r="PDI517" s="193"/>
      <c r="PDJ517" s="379"/>
      <c r="PDK517" s="379"/>
      <c r="PDL517" s="379"/>
      <c r="PDM517" s="379"/>
      <c r="PDN517" s="379"/>
      <c r="PDO517" s="13"/>
      <c r="PDP517" s="13"/>
      <c r="PDQ517" s="193"/>
      <c r="PDR517" s="379"/>
      <c r="PDS517" s="379"/>
      <c r="PDT517" s="379"/>
      <c r="PDU517" s="379"/>
      <c r="PDV517" s="379"/>
      <c r="PDW517" s="13"/>
      <c r="PDX517" s="13"/>
      <c r="PDY517" s="193"/>
      <c r="PDZ517" s="379"/>
      <c r="PEA517" s="379"/>
      <c r="PEB517" s="379"/>
      <c r="PEC517" s="379"/>
      <c r="PED517" s="379"/>
      <c r="PEE517" s="13"/>
      <c r="PEF517" s="13"/>
      <c r="PEG517" s="193"/>
      <c r="PEH517" s="379"/>
      <c r="PEI517" s="379"/>
      <c r="PEJ517" s="379"/>
      <c r="PEK517" s="379"/>
      <c r="PEL517" s="379"/>
      <c r="PEM517" s="13"/>
      <c r="PEN517" s="13"/>
      <c r="PEO517" s="193"/>
      <c r="PEP517" s="379"/>
      <c r="PEQ517" s="379"/>
      <c r="PER517" s="379"/>
      <c r="PES517" s="379"/>
      <c r="PET517" s="379"/>
      <c r="PEU517" s="13"/>
      <c r="PEV517" s="13"/>
      <c r="PEW517" s="193"/>
      <c r="PEX517" s="379"/>
      <c r="PEY517" s="379"/>
      <c r="PEZ517" s="379"/>
      <c r="PFA517" s="379"/>
      <c r="PFB517" s="379"/>
      <c r="PFC517" s="13"/>
      <c r="PFD517" s="13"/>
      <c r="PFE517" s="193"/>
      <c r="PFF517" s="379"/>
      <c r="PFG517" s="379"/>
      <c r="PFH517" s="379"/>
      <c r="PFI517" s="379"/>
      <c r="PFJ517" s="379"/>
      <c r="PFK517" s="13"/>
      <c r="PFL517" s="13"/>
      <c r="PFM517" s="193"/>
      <c r="PFN517" s="379"/>
      <c r="PFO517" s="379"/>
      <c r="PFP517" s="379"/>
      <c r="PFQ517" s="379"/>
      <c r="PFR517" s="379"/>
      <c r="PFS517" s="13"/>
      <c r="PFT517" s="13"/>
      <c r="PFU517" s="193"/>
      <c r="PFV517" s="379"/>
      <c r="PFW517" s="379"/>
      <c r="PFX517" s="379"/>
      <c r="PFY517" s="379"/>
      <c r="PFZ517" s="379"/>
      <c r="PGA517" s="13"/>
      <c r="PGB517" s="13"/>
      <c r="PGC517" s="193"/>
      <c r="PGD517" s="379"/>
      <c r="PGE517" s="379"/>
      <c r="PGF517" s="379"/>
      <c r="PGG517" s="379"/>
      <c r="PGH517" s="379"/>
      <c r="PGI517" s="13"/>
      <c r="PGJ517" s="13"/>
      <c r="PGK517" s="193"/>
      <c r="PGL517" s="379"/>
      <c r="PGM517" s="379"/>
      <c r="PGN517" s="379"/>
      <c r="PGO517" s="379"/>
      <c r="PGP517" s="379"/>
      <c r="PGQ517" s="13"/>
      <c r="PGR517" s="13"/>
      <c r="PGS517" s="193"/>
      <c r="PGT517" s="379"/>
      <c r="PGU517" s="379"/>
      <c r="PGV517" s="379"/>
      <c r="PGW517" s="379"/>
      <c r="PGX517" s="379"/>
      <c r="PGY517" s="13"/>
      <c r="PGZ517" s="13"/>
      <c r="PHA517" s="193"/>
      <c r="PHB517" s="379"/>
      <c r="PHC517" s="379"/>
      <c r="PHD517" s="379"/>
      <c r="PHE517" s="379"/>
      <c r="PHF517" s="379"/>
      <c r="PHG517" s="13"/>
      <c r="PHH517" s="13"/>
      <c r="PHI517" s="193"/>
      <c r="PHJ517" s="379"/>
      <c r="PHK517" s="379"/>
      <c r="PHL517" s="379"/>
      <c r="PHM517" s="379"/>
      <c r="PHN517" s="379"/>
      <c r="PHO517" s="13"/>
      <c r="PHP517" s="13"/>
      <c r="PHQ517" s="193"/>
      <c r="PHR517" s="379"/>
      <c r="PHS517" s="379"/>
      <c r="PHT517" s="379"/>
      <c r="PHU517" s="379"/>
      <c r="PHV517" s="379"/>
      <c r="PHW517" s="13"/>
      <c r="PHX517" s="13"/>
      <c r="PHY517" s="193"/>
      <c r="PHZ517" s="379"/>
      <c r="PIA517" s="379"/>
      <c r="PIB517" s="379"/>
      <c r="PIC517" s="379"/>
      <c r="PID517" s="379"/>
      <c r="PIE517" s="13"/>
      <c r="PIF517" s="13"/>
      <c r="PIG517" s="193"/>
      <c r="PIH517" s="379"/>
      <c r="PII517" s="379"/>
      <c r="PIJ517" s="379"/>
      <c r="PIK517" s="379"/>
      <c r="PIL517" s="379"/>
      <c r="PIM517" s="13"/>
      <c r="PIN517" s="13"/>
      <c r="PIO517" s="193"/>
      <c r="PIP517" s="379"/>
      <c r="PIQ517" s="379"/>
      <c r="PIR517" s="379"/>
      <c r="PIS517" s="379"/>
      <c r="PIT517" s="379"/>
      <c r="PIU517" s="13"/>
      <c r="PIV517" s="13"/>
      <c r="PIW517" s="193"/>
      <c r="PIX517" s="379"/>
      <c r="PIY517" s="379"/>
      <c r="PIZ517" s="379"/>
      <c r="PJA517" s="379"/>
      <c r="PJB517" s="379"/>
      <c r="PJC517" s="13"/>
      <c r="PJD517" s="13"/>
      <c r="PJE517" s="193"/>
      <c r="PJF517" s="379"/>
      <c r="PJG517" s="379"/>
      <c r="PJH517" s="379"/>
      <c r="PJI517" s="379"/>
      <c r="PJJ517" s="379"/>
      <c r="PJK517" s="13"/>
      <c r="PJL517" s="13"/>
      <c r="PJM517" s="193"/>
      <c r="PJN517" s="379"/>
      <c r="PJO517" s="379"/>
      <c r="PJP517" s="379"/>
      <c r="PJQ517" s="379"/>
      <c r="PJR517" s="379"/>
      <c r="PJS517" s="13"/>
      <c r="PJT517" s="13"/>
      <c r="PJU517" s="193"/>
      <c r="PJV517" s="379"/>
      <c r="PJW517" s="379"/>
      <c r="PJX517" s="379"/>
      <c r="PJY517" s="379"/>
      <c r="PJZ517" s="379"/>
      <c r="PKA517" s="13"/>
      <c r="PKB517" s="13"/>
      <c r="PKC517" s="193"/>
      <c r="PKD517" s="379"/>
      <c r="PKE517" s="379"/>
      <c r="PKF517" s="379"/>
      <c r="PKG517" s="379"/>
      <c r="PKH517" s="379"/>
      <c r="PKI517" s="13"/>
      <c r="PKJ517" s="13"/>
      <c r="PKK517" s="193"/>
      <c r="PKL517" s="379"/>
      <c r="PKM517" s="379"/>
      <c r="PKN517" s="379"/>
      <c r="PKO517" s="379"/>
      <c r="PKP517" s="379"/>
      <c r="PKQ517" s="13"/>
      <c r="PKR517" s="13"/>
      <c r="PKS517" s="193"/>
      <c r="PKT517" s="379"/>
      <c r="PKU517" s="379"/>
      <c r="PKV517" s="379"/>
      <c r="PKW517" s="379"/>
      <c r="PKX517" s="379"/>
      <c r="PKY517" s="13"/>
      <c r="PKZ517" s="13"/>
      <c r="PLA517" s="193"/>
      <c r="PLB517" s="379"/>
      <c r="PLC517" s="379"/>
      <c r="PLD517" s="379"/>
      <c r="PLE517" s="379"/>
      <c r="PLF517" s="379"/>
      <c r="PLG517" s="13"/>
      <c r="PLH517" s="13"/>
      <c r="PLI517" s="193"/>
      <c r="PLJ517" s="379"/>
      <c r="PLK517" s="379"/>
      <c r="PLL517" s="379"/>
      <c r="PLM517" s="379"/>
      <c r="PLN517" s="379"/>
      <c r="PLO517" s="13"/>
      <c r="PLP517" s="13"/>
      <c r="PLQ517" s="193"/>
      <c r="PLR517" s="379"/>
      <c r="PLS517" s="379"/>
      <c r="PLT517" s="379"/>
      <c r="PLU517" s="379"/>
      <c r="PLV517" s="379"/>
      <c r="PLW517" s="13"/>
      <c r="PLX517" s="13"/>
      <c r="PLY517" s="193"/>
      <c r="PLZ517" s="379"/>
      <c r="PMA517" s="379"/>
      <c r="PMB517" s="379"/>
      <c r="PMC517" s="379"/>
      <c r="PMD517" s="379"/>
      <c r="PME517" s="13"/>
      <c r="PMF517" s="13"/>
      <c r="PMG517" s="193"/>
      <c r="PMH517" s="379"/>
      <c r="PMI517" s="379"/>
      <c r="PMJ517" s="379"/>
      <c r="PMK517" s="379"/>
      <c r="PML517" s="379"/>
      <c r="PMM517" s="13"/>
      <c r="PMN517" s="13"/>
      <c r="PMO517" s="193"/>
      <c r="PMP517" s="379"/>
      <c r="PMQ517" s="379"/>
      <c r="PMR517" s="379"/>
      <c r="PMS517" s="379"/>
      <c r="PMT517" s="379"/>
      <c r="PMU517" s="13"/>
      <c r="PMV517" s="13"/>
      <c r="PMW517" s="193"/>
      <c r="PMX517" s="379"/>
      <c r="PMY517" s="379"/>
      <c r="PMZ517" s="379"/>
      <c r="PNA517" s="379"/>
      <c r="PNB517" s="379"/>
      <c r="PNC517" s="13"/>
      <c r="PND517" s="13"/>
      <c r="PNE517" s="193"/>
      <c r="PNF517" s="379"/>
      <c r="PNG517" s="379"/>
      <c r="PNH517" s="379"/>
      <c r="PNI517" s="379"/>
      <c r="PNJ517" s="379"/>
      <c r="PNK517" s="13"/>
      <c r="PNL517" s="13"/>
      <c r="PNM517" s="193"/>
      <c r="PNN517" s="379"/>
      <c r="PNO517" s="379"/>
      <c r="PNP517" s="379"/>
      <c r="PNQ517" s="379"/>
      <c r="PNR517" s="379"/>
      <c r="PNS517" s="13"/>
      <c r="PNT517" s="13"/>
      <c r="PNU517" s="193"/>
      <c r="PNV517" s="379"/>
      <c r="PNW517" s="379"/>
      <c r="PNX517" s="379"/>
      <c r="PNY517" s="379"/>
      <c r="PNZ517" s="379"/>
      <c r="POA517" s="13"/>
      <c r="POB517" s="13"/>
      <c r="POC517" s="193"/>
      <c r="POD517" s="379"/>
      <c r="POE517" s="379"/>
      <c r="POF517" s="379"/>
      <c r="POG517" s="379"/>
      <c r="POH517" s="379"/>
      <c r="POI517" s="13"/>
      <c r="POJ517" s="13"/>
      <c r="POK517" s="193"/>
      <c r="POL517" s="379"/>
      <c r="POM517" s="379"/>
      <c r="PON517" s="379"/>
      <c r="POO517" s="379"/>
      <c r="POP517" s="379"/>
      <c r="POQ517" s="13"/>
      <c r="POR517" s="13"/>
      <c r="POS517" s="193"/>
      <c r="POT517" s="379"/>
      <c r="POU517" s="379"/>
      <c r="POV517" s="379"/>
      <c r="POW517" s="379"/>
      <c r="POX517" s="379"/>
      <c r="POY517" s="13"/>
      <c r="POZ517" s="13"/>
      <c r="PPA517" s="193"/>
      <c r="PPB517" s="379"/>
      <c r="PPC517" s="379"/>
      <c r="PPD517" s="379"/>
      <c r="PPE517" s="379"/>
      <c r="PPF517" s="379"/>
      <c r="PPG517" s="13"/>
      <c r="PPH517" s="13"/>
      <c r="PPI517" s="193"/>
      <c r="PPJ517" s="379"/>
      <c r="PPK517" s="379"/>
      <c r="PPL517" s="379"/>
      <c r="PPM517" s="379"/>
      <c r="PPN517" s="379"/>
      <c r="PPO517" s="13"/>
      <c r="PPP517" s="13"/>
      <c r="PPQ517" s="193"/>
      <c r="PPR517" s="379"/>
      <c r="PPS517" s="379"/>
      <c r="PPT517" s="379"/>
      <c r="PPU517" s="379"/>
      <c r="PPV517" s="379"/>
      <c r="PPW517" s="13"/>
      <c r="PPX517" s="13"/>
      <c r="PPY517" s="193"/>
      <c r="PPZ517" s="379"/>
      <c r="PQA517" s="379"/>
      <c r="PQB517" s="379"/>
      <c r="PQC517" s="379"/>
      <c r="PQD517" s="379"/>
      <c r="PQE517" s="13"/>
      <c r="PQF517" s="13"/>
      <c r="PQG517" s="193"/>
      <c r="PQH517" s="379"/>
      <c r="PQI517" s="379"/>
      <c r="PQJ517" s="379"/>
      <c r="PQK517" s="379"/>
      <c r="PQL517" s="379"/>
      <c r="PQM517" s="13"/>
      <c r="PQN517" s="13"/>
      <c r="PQO517" s="193"/>
      <c r="PQP517" s="379"/>
      <c r="PQQ517" s="379"/>
      <c r="PQR517" s="379"/>
      <c r="PQS517" s="379"/>
      <c r="PQT517" s="379"/>
      <c r="PQU517" s="13"/>
      <c r="PQV517" s="13"/>
      <c r="PQW517" s="193"/>
      <c r="PQX517" s="379"/>
      <c r="PQY517" s="379"/>
      <c r="PQZ517" s="379"/>
      <c r="PRA517" s="379"/>
      <c r="PRB517" s="379"/>
      <c r="PRC517" s="13"/>
      <c r="PRD517" s="13"/>
      <c r="PRE517" s="193"/>
      <c r="PRF517" s="379"/>
      <c r="PRG517" s="379"/>
      <c r="PRH517" s="379"/>
      <c r="PRI517" s="379"/>
      <c r="PRJ517" s="379"/>
      <c r="PRK517" s="13"/>
      <c r="PRL517" s="13"/>
      <c r="PRM517" s="193"/>
      <c r="PRN517" s="379"/>
      <c r="PRO517" s="379"/>
      <c r="PRP517" s="379"/>
      <c r="PRQ517" s="379"/>
      <c r="PRR517" s="379"/>
      <c r="PRS517" s="13"/>
      <c r="PRT517" s="13"/>
      <c r="PRU517" s="193"/>
      <c r="PRV517" s="379"/>
      <c r="PRW517" s="379"/>
      <c r="PRX517" s="379"/>
      <c r="PRY517" s="379"/>
      <c r="PRZ517" s="379"/>
      <c r="PSA517" s="13"/>
      <c r="PSB517" s="13"/>
      <c r="PSC517" s="193"/>
      <c r="PSD517" s="379"/>
      <c r="PSE517" s="379"/>
      <c r="PSF517" s="379"/>
      <c r="PSG517" s="379"/>
      <c r="PSH517" s="379"/>
      <c r="PSI517" s="13"/>
      <c r="PSJ517" s="13"/>
      <c r="PSK517" s="193"/>
      <c r="PSL517" s="379"/>
      <c r="PSM517" s="379"/>
      <c r="PSN517" s="379"/>
      <c r="PSO517" s="379"/>
      <c r="PSP517" s="379"/>
      <c r="PSQ517" s="13"/>
      <c r="PSR517" s="13"/>
      <c r="PSS517" s="193"/>
      <c r="PST517" s="379"/>
      <c r="PSU517" s="379"/>
      <c r="PSV517" s="379"/>
      <c r="PSW517" s="379"/>
      <c r="PSX517" s="379"/>
      <c r="PSY517" s="13"/>
      <c r="PSZ517" s="13"/>
      <c r="PTA517" s="193"/>
      <c r="PTB517" s="379"/>
      <c r="PTC517" s="379"/>
      <c r="PTD517" s="379"/>
      <c r="PTE517" s="379"/>
      <c r="PTF517" s="379"/>
      <c r="PTG517" s="13"/>
      <c r="PTH517" s="13"/>
      <c r="PTI517" s="193"/>
      <c r="PTJ517" s="379"/>
      <c r="PTK517" s="379"/>
      <c r="PTL517" s="379"/>
      <c r="PTM517" s="379"/>
      <c r="PTN517" s="379"/>
      <c r="PTO517" s="13"/>
      <c r="PTP517" s="13"/>
      <c r="PTQ517" s="193"/>
      <c r="PTR517" s="379"/>
      <c r="PTS517" s="379"/>
      <c r="PTT517" s="379"/>
      <c r="PTU517" s="379"/>
      <c r="PTV517" s="379"/>
      <c r="PTW517" s="13"/>
      <c r="PTX517" s="13"/>
      <c r="PTY517" s="193"/>
      <c r="PTZ517" s="379"/>
      <c r="PUA517" s="379"/>
      <c r="PUB517" s="379"/>
      <c r="PUC517" s="379"/>
      <c r="PUD517" s="379"/>
      <c r="PUE517" s="13"/>
      <c r="PUF517" s="13"/>
      <c r="PUG517" s="193"/>
      <c r="PUH517" s="379"/>
      <c r="PUI517" s="379"/>
      <c r="PUJ517" s="379"/>
      <c r="PUK517" s="379"/>
      <c r="PUL517" s="379"/>
      <c r="PUM517" s="13"/>
      <c r="PUN517" s="13"/>
      <c r="PUO517" s="193"/>
      <c r="PUP517" s="379"/>
      <c r="PUQ517" s="379"/>
      <c r="PUR517" s="379"/>
      <c r="PUS517" s="379"/>
      <c r="PUT517" s="379"/>
      <c r="PUU517" s="13"/>
      <c r="PUV517" s="13"/>
      <c r="PUW517" s="193"/>
      <c r="PUX517" s="379"/>
      <c r="PUY517" s="379"/>
      <c r="PUZ517" s="379"/>
      <c r="PVA517" s="379"/>
      <c r="PVB517" s="379"/>
      <c r="PVC517" s="13"/>
      <c r="PVD517" s="13"/>
      <c r="PVE517" s="193"/>
      <c r="PVF517" s="379"/>
      <c r="PVG517" s="379"/>
      <c r="PVH517" s="379"/>
      <c r="PVI517" s="379"/>
      <c r="PVJ517" s="379"/>
      <c r="PVK517" s="13"/>
      <c r="PVL517" s="13"/>
      <c r="PVM517" s="193"/>
      <c r="PVN517" s="379"/>
      <c r="PVO517" s="379"/>
      <c r="PVP517" s="379"/>
      <c r="PVQ517" s="379"/>
      <c r="PVR517" s="379"/>
      <c r="PVS517" s="13"/>
      <c r="PVT517" s="13"/>
      <c r="PVU517" s="193"/>
      <c r="PVV517" s="379"/>
      <c r="PVW517" s="379"/>
      <c r="PVX517" s="379"/>
      <c r="PVY517" s="379"/>
      <c r="PVZ517" s="379"/>
      <c r="PWA517" s="13"/>
      <c r="PWB517" s="13"/>
      <c r="PWC517" s="193"/>
      <c r="PWD517" s="379"/>
      <c r="PWE517" s="379"/>
      <c r="PWF517" s="379"/>
      <c r="PWG517" s="379"/>
      <c r="PWH517" s="379"/>
      <c r="PWI517" s="13"/>
      <c r="PWJ517" s="13"/>
      <c r="PWK517" s="193"/>
      <c r="PWL517" s="379"/>
      <c r="PWM517" s="379"/>
      <c r="PWN517" s="379"/>
      <c r="PWO517" s="379"/>
      <c r="PWP517" s="379"/>
      <c r="PWQ517" s="13"/>
      <c r="PWR517" s="13"/>
      <c r="PWS517" s="193"/>
      <c r="PWT517" s="379"/>
      <c r="PWU517" s="379"/>
      <c r="PWV517" s="379"/>
      <c r="PWW517" s="379"/>
      <c r="PWX517" s="379"/>
      <c r="PWY517" s="13"/>
      <c r="PWZ517" s="13"/>
      <c r="PXA517" s="193"/>
      <c r="PXB517" s="379"/>
      <c r="PXC517" s="379"/>
      <c r="PXD517" s="379"/>
      <c r="PXE517" s="379"/>
      <c r="PXF517" s="379"/>
      <c r="PXG517" s="13"/>
      <c r="PXH517" s="13"/>
      <c r="PXI517" s="193"/>
      <c r="PXJ517" s="379"/>
      <c r="PXK517" s="379"/>
      <c r="PXL517" s="379"/>
      <c r="PXM517" s="379"/>
      <c r="PXN517" s="379"/>
      <c r="PXO517" s="13"/>
      <c r="PXP517" s="13"/>
      <c r="PXQ517" s="193"/>
      <c r="PXR517" s="379"/>
      <c r="PXS517" s="379"/>
      <c r="PXT517" s="379"/>
      <c r="PXU517" s="379"/>
      <c r="PXV517" s="379"/>
      <c r="PXW517" s="13"/>
      <c r="PXX517" s="13"/>
      <c r="PXY517" s="193"/>
      <c r="PXZ517" s="379"/>
      <c r="PYA517" s="379"/>
      <c r="PYB517" s="379"/>
      <c r="PYC517" s="379"/>
      <c r="PYD517" s="379"/>
      <c r="PYE517" s="13"/>
      <c r="PYF517" s="13"/>
      <c r="PYG517" s="193"/>
      <c r="PYH517" s="379"/>
      <c r="PYI517" s="379"/>
      <c r="PYJ517" s="379"/>
      <c r="PYK517" s="379"/>
      <c r="PYL517" s="379"/>
      <c r="PYM517" s="13"/>
      <c r="PYN517" s="13"/>
      <c r="PYO517" s="193"/>
      <c r="PYP517" s="379"/>
      <c r="PYQ517" s="379"/>
      <c r="PYR517" s="379"/>
      <c r="PYS517" s="379"/>
      <c r="PYT517" s="379"/>
      <c r="PYU517" s="13"/>
      <c r="PYV517" s="13"/>
      <c r="PYW517" s="193"/>
      <c r="PYX517" s="379"/>
      <c r="PYY517" s="379"/>
      <c r="PYZ517" s="379"/>
      <c r="PZA517" s="379"/>
      <c r="PZB517" s="379"/>
      <c r="PZC517" s="13"/>
      <c r="PZD517" s="13"/>
      <c r="PZE517" s="193"/>
      <c r="PZF517" s="379"/>
      <c r="PZG517" s="379"/>
      <c r="PZH517" s="379"/>
      <c r="PZI517" s="379"/>
      <c r="PZJ517" s="379"/>
      <c r="PZK517" s="13"/>
      <c r="PZL517" s="13"/>
      <c r="PZM517" s="193"/>
      <c r="PZN517" s="379"/>
      <c r="PZO517" s="379"/>
      <c r="PZP517" s="379"/>
      <c r="PZQ517" s="379"/>
      <c r="PZR517" s="379"/>
      <c r="PZS517" s="13"/>
      <c r="PZT517" s="13"/>
      <c r="PZU517" s="193"/>
      <c r="PZV517" s="379"/>
      <c r="PZW517" s="379"/>
      <c r="PZX517" s="379"/>
      <c r="PZY517" s="379"/>
      <c r="PZZ517" s="379"/>
      <c r="QAA517" s="13"/>
      <c r="QAB517" s="13"/>
      <c r="QAC517" s="193"/>
      <c r="QAD517" s="379"/>
      <c r="QAE517" s="379"/>
      <c r="QAF517" s="379"/>
      <c r="QAG517" s="379"/>
      <c r="QAH517" s="379"/>
      <c r="QAI517" s="13"/>
      <c r="QAJ517" s="13"/>
      <c r="QAK517" s="193"/>
      <c r="QAL517" s="379"/>
      <c r="QAM517" s="379"/>
      <c r="QAN517" s="379"/>
      <c r="QAO517" s="379"/>
      <c r="QAP517" s="379"/>
      <c r="QAQ517" s="13"/>
      <c r="QAR517" s="13"/>
      <c r="QAS517" s="193"/>
      <c r="QAT517" s="379"/>
      <c r="QAU517" s="379"/>
      <c r="QAV517" s="379"/>
      <c r="QAW517" s="379"/>
      <c r="QAX517" s="379"/>
      <c r="QAY517" s="13"/>
      <c r="QAZ517" s="13"/>
      <c r="QBA517" s="193"/>
      <c r="QBB517" s="379"/>
      <c r="QBC517" s="379"/>
      <c r="QBD517" s="379"/>
      <c r="QBE517" s="379"/>
      <c r="QBF517" s="379"/>
      <c r="QBG517" s="13"/>
      <c r="QBH517" s="13"/>
      <c r="QBI517" s="193"/>
      <c r="QBJ517" s="379"/>
      <c r="QBK517" s="379"/>
      <c r="QBL517" s="379"/>
      <c r="QBM517" s="379"/>
      <c r="QBN517" s="379"/>
      <c r="QBO517" s="13"/>
      <c r="QBP517" s="13"/>
      <c r="QBQ517" s="193"/>
      <c r="QBR517" s="379"/>
      <c r="QBS517" s="379"/>
      <c r="QBT517" s="379"/>
      <c r="QBU517" s="379"/>
      <c r="QBV517" s="379"/>
      <c r="QBW517" s="13"/>
      <c r="QBX517" s="13"/>
      <c r="QBY517" s="193"/>
      <c r="QBZ517" s="379"/>
      <c r="QCA517" s="379"/>
      <c r="QCB517" s="379"/>
      <c r="QCC517" s="379"/>
      <c r="QCD517" s="379"/>
      <c r="QCE517" s="13"/>
      <c r="QCF517" s="13"/>
      <c r="QCG517" s="193"/>
      <c r="QCH517" s="379"/>
      <c r="QCI517" s="379"/>
      <c r="QCJ517" s="379"/>
      <c r="QCK517" s="379"/>
      <c r="QCL517" s="379"/>
      <c r="QCM517" s="13"/>
      <c r="QCN517" s="13"/>
      <c r="QCO517" s="193"/>
      <c r="QCP517" s="379"/>
      <c r="QCQ517" s="379"/>
      <c r="QCR517" s="379"/>
      <c r="QCS517" s="379"/>
      <c r="QCT517" s="379"/>
      <c r="QCU517" s="13"/>
      <c r="QCV517" s="13"/>
      <c r="QCW517" s="193"/>
      <c r="QCX517" s="379"/>
      <c r="QCY517" s="379"/>
      <c r="QCZ517" s="379"/>
      <c r="QDA517" s="379"/>
      <c r="QDB517" s="379"/>
      <c r="QDC517" s="13"/>
      <c r="QDD517" s="13"/>
      <c r="QDE517" s="193"/>
      <c r="QDF517" s="379"/>
      <c r="QDG517" s="379"/>
      <c r="QDH517" s="379"/>
      <c r="QDI517" s="379"/>
      <c r="QDJ517" s="379"/>
      <c r="QDK517" s="13"/>
      <c r="QDL517" s="13"/>
      <c r="QDM517" s="193"/>
      <c r="QDN517" s="379"/>
      <c r="QDO517" s="379"/>
      <c r="QDP517" s="379"/>
      <c r="QDQ517" s="379"/>
      <c r="QDR517" s="379"/>
      <c r="QDS517" s="13"/>
      <c r="QDT517" s="13"/>
      <c r="QDU517" s="193"/>
      <c r="QDV517" s="379"/>
      <c r="QDW517" s="379"/>
      <c r="QDX517" s="379"/>
      <c r="QDY517" s="379"/>
      <c r="QDZ517" s="379"/>
      <c r="QEA517" s="13"/>
      <c r="QEB517" s="13"/>
      <c r="QEC517" s="193"/>
      <c r="QED517" s="379"/>
      <c r="QEE517" s="379"/>
      <c r="QEF517" s="379"/>
      <c r="QEG517" s="379"/>
      <c r="QEH517" s="379"/>
      <c r="QEI517" s="13"/>
      <c r="QEJ517" s="13"/>
      <c r="QEK517" s="193"/>
      <c r="QEL517" s="379"/>
      <c r="QEM517" s="379"/>
      <c r="QEN517" s="379"/>
      <c r="QEO517" s="379"/>
      <c r="QEP517" s="379"/>
      <c r="QEQ517" s="13"/>
      <c r="QER517" s="13"/>
      <c r="QES517" s="193"/>
      <c r="QET517" s="379"/>
      <c r="QEU517" s="379"/>
      <c r="QEV517" s="379"/>
      <c r="QEW517" s="379"/>
      <c r="QEX517" s="379"/>
      <c r="QEY517" s="13"/>
      <c r="QEZ517" s="13"/>
      <c r="QFA517" s="193"/>
      <c r="QFB517" s="379"/>
      <c r="QFC517" s="379"/>
      <c r="QFD517" s="379"/>
      <c r="QFE517" s="379"/>
      <c r="QFF517" s="379"/>
      <c r="QFG517" s="13"/>
      <c r="QFH517" s="13"/>
      <c r="QFI517" s="193"/>
      <c r="QFJ517" s="379"/>
      <c r="QFK517" s="379"/>
      <c r="QFL517" s="379"/>
      <c r="QFM517" s="379"/>
      <c r="QFN517" s="379"/>
      <c r="QFO517" s="13"/>
      <c r="QFP517" s="13"/>
      <c r="QFQ517" s="193"/>
      <c r="QFR517" s="379"/>
      <c r="QFS517" s="379"/>
      <c r="QFT517" s="379"/>
      <c r="QFU517" s="379"/>
      <c r="QFV517" s="379"/>
      <c r="QFW517" s="13"/>
      <c r="QFX517" s="13"/>
      <c r="QFY517" s="193"/>
      <c r="QFZ517" s="379"/>
      <c r="QGA517" s="379"/>
      <c r="QGB517" s="379"/>
      <c r="QGC517" s="379"/>
      <c r="QGD517" s="379"/>
      <c r="QGE517" s="13"/>
      <c r="QGF517" s="13"/>
      <c r="QGG517" s="193"/>
      <c r="QGH517" s="379"/>
      <c r="QGI517" s="379"/>
      <c r="QGJ517" s="379"/>
      <c r="QGK517" s="379"/>
      <c r="QGL517" s="379"/>
      <c r="QGM517" s="13"/>
      <c r="QGN517" s="13"/>
      <c r="QGO517" s="193"/>
      <c r="QGP517" s="379"/>
      <c r="QGQ517" s="379"/>
      <c r="QGR517" s="379"/>
      <c r="QGS517" s="379"/>
      <c r="QGT517" s="379"/>
      <c r="QGU517" s="13"/>
      <c r="QGV517" s="13"/>
      <c r="QGW517" s="193"/>
      <c r="QGX517" s="379"/>
      <c r="QGY517" s="379"/>
      <c r="QGZ517" s="379"/>
      <c r="QHA517" s="379"/>
      <c r="QHB517" s="379"/>
      <c r="QHC517" s="13"/>
      <c r="QHD517" s="13"/>
      <c r="QHE517" s="193"/>
      <c r="QHF517" s="379"/>
      <c r="QHG517" s="379"/>
      <c r="QHH517" s="379"/>
      <c r="QHI517" s="379"/>
      <c r="QHJ517" s="379"/>
      <c r="QHK517" s="13"/>
      <c r="QHL517" s="13"/>
      <c r="QHM517" s="193"/>
      <c r="QHN517" s="379"/>
      <c r="QHO517" s="379"/>
      <c r="QHP517" s="379"/>
      <c r="QHQ517" s="379"/>
      <c r="QHR517" s="379"/>
      <c r="QHS517" s="13"/>
      <c r="QHT517" s="13"/>
      <c r="QHU517" s="193"/>
      <c r="QHV517" s="379"/>
      <c r="QHW517" s="379"/>
      <c r="QHX517" s="379"/>
      <c r="QHY517" s="379"/>
      <c r="QHZ517" s="379"/>
      <c r="QIA517" s="13"/>
      <c r="QIB517" s="13"/>
      <c r="QIC517" s="193"/>
      <c r="QID517" s="379"/>
      <c r="QIE517" s="379"/>
      <c r="QIF517" s="379"/>
      <c r="QIG517" s="379"/>
      <c r="QIH517" s="379"/>
      <c r="QII517" s="13"/>
      <c r="QIJ517" s="13"/>
      <c r="QIK517" s="193"/>
      <c r="QIL517" s="379"/>
      <c r="QIM517" s="379"/>
      <c r="QIN517" s="379"/>
      <c r="QIO517" s="379"/>
      <c r="QIP517" s="379"/>
      <c r="QIQ517" s="13"/>
      <c r="QIR517" s="13"/>
      <c r="QIS517" s="193"/>
      <c r="QIT517" s="379"/>
      <c r="QIU517" s="379"/>
      <c r="QIV517" s="379"/>
      <c r="QIW517" s="379"/>
      <c r="QIX517" s="379"/>
      <c r="QIY517" s="13"/>
      <c r="QIZ517" s="13"/>
      <c r="QJA517" s="193"/>
      <c r="QJB517" s="379"/>
      <c r="QJC517" s="379"/>
      <c r="QJD517" s="379"/>
      <c r="QJE517" s="379"/>
      <c r="QJF517" s="379"/>
      <c r="QJG517" s="13"/>
      <c r="QJH517" s="13"/>
      <c r="QJI517" s="193"/>
      <c r="QJJ517" s="379"/>
      <c r="QJK517" s="379"/>
      <c r="QJL517" s="379"/>
      <c r="QJM517" s="379"/>
      <c r="QJN517" s="379"/>
      <c r="QJO517" s="13"/>
      <c r="QJP517" s="13"/>
      <c r="QJQ517" s="193"/>
      <c r="QJR517" s="379"/>
      <c r="QJS517" s="379"/>
      <c r="QJT517" s="379"/>
      <c r="QJU517" s="379"/>
      <c r="QJV517" s="379"/>
      <c r="QJW517" s="13"/>
      <c r="QJX517" s="13"/>
      <c r="QJY517" s="193"/>
      <c r="QJZ517" s="379"/>
      <c r="QKA517" s="379"/>
      <c r="QKB517" s="379"/>
      <c r="QKC517" s="379"/>
      <c r="QKD517" s="379"/>
      <c r="QKE517" s="13"/>
      <c r="QKF517" s="13"/>
      <c r="QKG517" s="193"/>
      <c r="QKH517" s="379"/>
      <c r="QKI517" s="379"/>
      <c r="QKJ517" s="379"/>
      <c r="QKK517" s="379"/>
      <c r="QKL517" s="379"/>
      <c r="QKM517" s="13"/>
      <c r="QKN517" s="13"/>
      <c r="QKO517" s="193"/>
      <c r="QKP517" s="379"/>
      <c r="QKQ517" s="379"/>
      <c r="QKR517" s="379"/>
      <c r="QKS517" s="379"/>
      <c r="QKT517" s="379"/>
      <c r="QKU517" s="13"/>
      <c r="QKV517" s="13"/>
      <c r="QKW517" s="193"/>
      <c r="QKX517" s="379"/>
      <c r="QKY517" s="379"/>
      <c r="QKZ517" s="379"/>
      <c r="QLA517" s="379"/>
      <c r="QLB517" s="379"/>
      <c r="QLC517" s="13"/>
      <c r="QLD517" s="13"/>
      <c r="QLE517" s="193"/>
      <c r="QLF517" s="379"/>
      <c r="QLG517" s="379"/>
      <c r="QLH517" s="379"/>
      <c r="QLI517" s="379"/>
      <c r="QLJ517" s="379"/>
      <c r="QLK517" s="13"/>
      <c r="QLL517" s="13"/>
      <c r="QLM517" s="193"/>
      <c r="QLN517" s="379"/>
      <c r="QLO517" s="379"/>
      <c r="QLP517" s="379"/>
      <c r="QLQ517" s="379"/>
      <c r="QLR517" s="379"/>
      <c r="QLS517" s="13"/>
      <c r="QLT517" s="13"/>
      <c r="QLU517" s="193"/>
      <c r="QLV517" s="379"/>
      <c r="QLW517" s="379"/>
      <c r="QLX517" s="379"/>
      <c r="QLY517" s="379"/>
      <c r="QLZ517" s="379"/>
      <c r="QMA517" s="13"/>
      <c r="QMB517" s="13"/>
      <c r="QMC517" s="193"/>
      <c r="QMD517" s="379"/>
      <c r="QME517" s="379"/>
      <c r="QMF517" s="379"/>
      <c r="QMG517" s="379"/>
      <c r="QMH517" s="379"/>
      <c r="QMI517" s="13"/>
      <c r="QMJ517" s="13"/>
      <c r="QMK517" s="193"/>
      <c r="QML517" s="379"/>
      <c r="QMM517" s="379"/>
      <c r="QMN517" s="379"/>
      <c r="QMO517" s="379"/>
      <c r="QMP517" s="379"/>
      <c r="QMQ517" s="13"/>
      <c r="QMR517" s="13"/>
      <c r="QMS517" s="193"/>
      <c r="QMT517" s="379"/>
      <c r="QMU517" s="379"/>
      <c r="QMV517" s="379"/>
      <c r="QMW517" s="379"/>
      <c r="QMX517" s="379"/>
      <c r="QMY517" s="13"/>
      <c r="QMZ517" s="13"/>
      <c r="QNA517" s="193"/>
      <c r="QNB517" s="379"/>
      <c r="QNC517" s="379"/>
      <c r="QND517" s="379"/>
      <c r="QNE517" s="379"/>
      <c r="QNF517" s="379"/>
      <c r="QNG517" s="13"/>
      <c r="QNH517" s="13"/>
      <c r="QNI517" s="193"/>
      <c r="QNJ517" s="379"/>
      <c r="QNK517" s="379"/>
      <c r="QNL517" s="379"/>
      <c r="QNM517" s="379"/>
      <c r="QNN517" s="379"/>
      <c r="QNO517" s="13"/>
      <c r="QNP517" s="13"/>
      <c r="QNQ517" s="193"/>
      <c r="QNR517" s="379"/>
      <c r="QNS517" s="379"/>
      <c r="QNT517" s="379"/>
      <c r="QNU517" s="379"/>
      <c r="QNV517" s="379"/>
      <c r="QNW517" s="13"/>
      <c r="QNX517" s="13"/>
      <c r="QNY517" s="193"/>
      <c r="QNZ517" s="379"/>
      <c r="QOA517" s="379"/>
      <c r="QOB517" s="379"/>
      <c r="QOC517" s="379"/>
      <c r="QOD517" s="379"/>
      <c r="QOE517" s="13"/>
      <c r="QOF517" s="13"/>
      <c r="QOG517" s="193"/>
      <c r="QOH517" s="379"/>
      <c r="QOI517" s="379"/>
      <c r="QOJ517" s="379"/>
      <c r="QOK517" s="379"/>
      <c r="QOL517" s="379"/>
      <c r="QOM517" s="13"/>
      <c r="QON517" s="13"/>
      <c r="QOO517" s="193"/>
      <c r="QOP517" s="379"/>
      <c r="QOQ517" s="379"/>
      <c r="QOR517" s="379"/>
      <c r="QOS517" s="379"/>
      <c r="QOT517" s="379"/>
      <c r="QOU517" s="13"/>
      <c r="QOV517" s="13"/>
      <c r="QOW517" s="193"/>
      <c r="QOX517" s="379"/>
      <c r="QOY517" s="379"/>
      <c r="QOZ517" s="379"/>
      <c r="QPA517" s="379"/>
      <c r="QPB517" s="379"/>
      <c r="QPC517" s="13"/>
      <c r="QPD517" s="13"/>
      <c r="QPE517" s="193"/>
      <c r="QPF517" s="379"/>
      <c r="QPG517" s="379"/>
      <c r="QPH517" s="379"/>
      <c r="QPI517" s="379"/>
      <c r="QPJ517" s="379"/>
      <c r="QPK517" s="13"/>
      <c r="QPL517" s="13"/>
      <c r="QPM517" s="193"/>
      <c r="QPN517" s="379"/>
      <c r="QPO517" s="379"/>
      <c r="QPP517" s="379"/>
      <c r="QPQ517" s="379"/>
      <c r="QPR517" s="379"/>
      <c r="QPS517" s="13"/>
      <c r="QPT517" s="13"/>
      <c r="QPU517" s="193"/>
      <c r="QPV517" s="379"/>
      <c r="QPW517" s="379"/>
      <c r="QPX517" s="379"/>
      <c r="QPY517" s="379"/>
      <c r="QPZ517" s="379"/>
      <c r="QQA517" s="13"/>
      <c r="QQB517" s="13"/>
      <c r="QQC517" s="193"/>
      <c r="QQD517" s="379"/>
      <c r="QQE517" s="379"/>
      <c r="QQF517" s="379"/>
      <c r="QQG517" s="379"/>
      <c r="QQH517" s="379"/>
      <c r="QQI517" s="13"/>
      <c r="QQJ517" s="13"/>
      <c r="QQK517" s="193"/>
      <c r="QQL517" s="379"/>
      <c r="QQM517" s="379"/>
      <c r="QQN517" s="379"/>
      <c r="QQO517" s="379"/>
      <c r="QQP517" s="379"/>
      <c r="QQQ517" s="13"/>
      <c r="QQR517" s="13"/>
      <c r="QQS517" s="193"/>
      <c r="QQT517" s="379"/>
      <c r="QQU517" s="379"/>
      <c r="QQV517" s="379"/>
      <c r="QQW517" s="379"/>
      <c r="QQX517" s="379"/>
      <c r="QQY517" s="13"/>
      <c r="QQZ517" s="13"/>
      <c r="QRA517" s="193"/>
      <c r="QRB517" s="379"/>
      <c r="QRC517" s="379"/>
      <c r="QRD517" s="379"/>
      <c r="QRE517" s="379"/>
      <c r="QRF517" s="379"/>
      <c r="QRG517" s="13"/>
      <c r="QRH517" s="13"/>
      <c r="QRI517" s="193"/>
      <c r="QRJ517" s="379"/>
      <c r="QRK517" s="379"/>
      <c r="QRL517" s="379"/>
      <c r="QRM517" s="379"/>
      <c r="QRN517" s="379"/>
      <c r="QRO517" s="13"/>
      <c r="QRP517" s="13"/>
      <c r="QRQ517" s="193"/>
      <c r="QRR517" s="379"/>
      <c r="QRS517" s="379"/>
      <c r="QRT517" s="379"/>
      <c r="QRU517" s="379"/>
      <c r="QRV517" s="379"/>
      <c r="QRW517" s="13"/>
      <c r="QRX517" s="13"/>
      <c r="QRY517" s="193"/>
      <c r="QRZ517" s="379"/>
      <c r="QSA517" s="379"/>
      <c r="QSB517" s="379"/>
      <c r="QSC517" s="379"/>
      <c r="QSD517" s="379"/>
      <c r="QSE517" s="13"/>
      <c r="QSF517" s="13"/>
      <c r="QSG517" s="193"/>
      <c r="QSH517" s="379"/>
      <c r="QSI517" s="379"/>
      <c r="QSJ517" s="379"/>
      <c r="QSK517" s="379"/>
      <c r="QSL517" s="379"/>
      <c r="QSM517" s="13"/>
      <c r="QSN517" s="13"/>
      <c r="QSO517" s="193"/>
      <c r="QSP517" s="379"/>
      <c r="QSQ517" s="379"/>
      <c r="QSR517" s="379"/>
      <c r="QSS517" s="379"/>
      <c r="QST517" s="379"/>
      <c r="QSU517" s="13"/>
      <c r="QSV517" s="13"/>
      <c r="QSW517" s="193"/>
      <c r="QSX517" s="379"/>
      <c r="QSY517" s="379"/>
      <c r="QSZ517" s="379"/>
      <c r="QTA517" s="379"/>
      <c r="QTB517" s="379"/>
      <c r="QTC517" s="13"/>
      <c r="QTD517" s="13"/>
      <c r="QTE517" s="193"/>
      <c r="QTF517" s="379"/>
      <c r="QTG517" s="379"/>
      <c r="QTH517" s="379"/>
      <c r="QTI517" s="379"/>
      <c r="QTJ517" s="379"/>
      <c r="QTK517" s="13"/>
      <c r="QTL517" s="13"/>
      <c r="QTM517" s="193"/>
      <c r="QTN517" s="379"/>
      <c r="QTO517" s="379"/>
      <c r="QTP517" s="379"/>
      <c r="QTQ517" s="379"/>
      <c r="QTR517" s="379"/>
      <c r="QTS517" s="13"/>
      <c r="QTT517" s="13"/>
      <c r="QTU517" s="193"/>
      <c r="QTV517" s="379"/>
      <c r="QTW517" s="379"/>
      <c r="QTX517" s="379"/>
      <c r="QTY517" s="379"/>
      <c r="QTZ517" s="379"/>
      <c r="QUA517" s="13"/>
      <c r="QUB517" s="13"/>
      <c r="QUC517" s="193"/>
      <c r="QUD517" s="379"/>
      <c r="QUE517" s="379"/>
      <c r="QUF517" s="379"/>
      <c r="QUG517" s="379"/>
      <c r="QUH517" s="379"/>
      <c r="QUI517" s="13"/>
      <c r="QUJ517" s="13"/>
      <c r="QUK517" s="193"/>
      <c r="QUL517" s="379"/>
      <c r="QUM517" s="379"/>
      <c r="QUN517" s="379"/>
      <c r="QUO517" s="379"/>
      <c r="QUP517" s="379"/>
      <c r="QUQ517" s="13"/>
      <c r="QUR517" s="13"/>
      <c r="QUS517" s="193"/>
      <c r="QUT517" s="379"/>
      <c r="QUU517" s="379"/>
      <c r="QUV517" s="379"/>
      <c r="QUW517" s="379"/>
      <c r="QUX517" s="379"/>
      <c r="QUY517" s="13"/>
      <c r="QUZ517" s="13"/>
      <c r="QVA517" s="193"/>
      <c r="QVB517" s="379"/>
      <c r="QVC517" s="379"/>
      <c r="QVD517" s="379"/>
      <c r="QVE517" s="379"/>
      <c r="QVF517" s="379"/>
      <c r="QVG517" s="13"/>
      <c r="QVH517" s="13"/>
      <c r="QVI517" s="193"/>
      <c r="QVJ517" s="379"/>
      <c r="QVK517" s="379"/>
      <c r="QVL517" s="379"/>
      <c r="QVM517" s="379"/>
      <c r="QVN517" s="379"/>
      <c r="QVO517" s="13"/>
      <c r="QVP517" s="13"/>
      <c r="QVQ517" s="193"/>
      <c r="QVR517" s="379"/>
      <c r="QVS517" s="379"/>
      <c r="QVT517" s="379"/>
      <c r="QVU517" s="379"/>
      <c r="QVV517" s="379"/>
      <c r="QVW517" s="13"/>
      <c r="QVX517" s="13"/>
      <c r="QVY517" s="193"/>
      <c r="QVZ517" s="379"/>
      <c r="QWA517" s="379"/>
      <c r="QWB517" s="379"/>
      <c r="QWC517" s="379"/>
      <c r="QWD517" s="379"/>
      <c r="QWE517" s="13"/>
      <c r="QWF517" s="13"/>
      <c r="QWG517" s="193"/>
      <c r="QWH517" s="379"/>
      <c r="QWI517" s="379"/>
      <c r="QWJ517" s="379"/>
      <c r="QWK517" s="379"/>
      <c r="QWL517" s="379"/>
      <c r="QWM517" s="13"/>
      <c r="QWN517" s="13"/>
      <c r="QWO517" s="193"/>
      <c r="QWP517" s="379"/>
      <c r="QWQ517" s="379"/>
      <c r="QWR517" s="379"/>
      <c r="QWS517" s="379"/>
      <c r="QWT517" s="379"/>
      <c r="QWU517" s="13"/>
      <c r="QWV517" s="13"/>
      <c r="QWW517" s="193"/>
      <c r="QWX517" s="379"/>
      <c r="QWY517" s="379"/>
      <c r="QWZ517" s="379"/>
      <c r="QXA517" s="379"/>
      <c r="QXB517" s="379"/>
      <c r="QXC517" s="13"/>
      <c r="QXD517" s="13"/>
      <c r="QXE517" s="193"/>
      <c r="QXF517" s="379"/>
      <c r="QXG517" s="379"/>
      <c r="QXH517" s="379"/>
      <c r="QXI517" s="379"/>
      <c r="QXJ517" s="379"/>
      <c r="QXK517" s="13"/>
      <c r="QXL517" s="13"/>
      <c r="QXM517" s="193"/>
      <c r="QXN517" s="379"/>
      <c r="QXO517" s="379"/>
      <c r="QXP517" s="379"/>
      <c r="QXQ517" s="379"/>
      <c r="QXR517" s="379"/>
      <c r="QXS517" s="13"/>
      <c r="QXT517" s="13"/>
      <c r="QXU517" s="193"/>
      <c r="QXV517" s="379"/>
      <c r="QXW517" s="379"/>
      <c r="QXX517" s="379"/>
      <c r="QXY517" s="379"/>
      <c r="QXZ517" s="379"/>
      <c r="QYA517" s="13"/>
      <c r="QYB517" s="13"/>
      <c r="QYC517" s="193"/>
      <c r="QYD517" s="379"/>
      <c r="QYE517" s="379"/>
      <c r="QYF517" s="379"/>
      <c r="QYG517" s="379"/>
      <c r="QYH517" s="379"/>
      <c r="QYI517" s="13"/>
      <c r="QYJ517" s="13"/>
      <c r="QYK517" s="193"/>
      <c r="QYL517" s="379"/>
      <c r="QYM517" s="379"/>
      <c r="QYN517" s="379"/>
      <c r="QYO517" s="379"/>
      <c r="QYP517" s="379"/>
      <c r="QYQ517" s="13"/>
      <c r="QYR517" s="13"/>
      <c r="QYS517" s="193"/>
      <c r="QYT517" s="379"/>
      <c r="QYU517" s="379"/>
      <c r="QYV517" s="379"/>
      <c r="QYW517" s="379"/>
      <c r="QYX517" s="379"/>
      <c r="QYY517" s="13"/>
      <c r="QYZ517" s="13"/>
      <c r="QZA517" s="193"/>
      <c r="QZB517" s="379"/>
      <c r="QZC517" s="379"/>
      <c r="QZD517" s="379"/>
      <c r="QZE517" s="379"/>
      <c r="QZF517" s="379"/>
      <c r="QZG517" s="13"/>
      <c r="QZH517" s="13"/>
      <c r="QZI517" s="193"/>
      <c r="QZJ517" s="379"/>
      <c r="QZK517" s="379"/>
      <c r="QZL517" s="379"/>
      <c r="QZM517" s="379"/>
      <c r="QZN517" s="379"/>
      <c r="QZO517" s="13"/>
      <c r="QZP517" s="13"/>
      <c r="QZQ517" s="193"/>
      <c r="QZR517" s="379"/>
      <c r="QZS517" s="379"/>
      <c r="QZT517" s="379"/>
      <c r="QZU517" s="379"/>
      <c r="QZV517" s="379"/>
      <c r="QZW517" s="13"/>
      <c r="QZX517" s="13"/>
      <c r="QZY517" s="193"/>
      <c r="QZZ517" s="379"/>
      <c r="RAA517" s="379"/>
      <c r="RAB517" s="379"/>
      <c r="RAC517" s="379"/>
      <c r="RAD517" s="379"/>
      <c r="RAE517" s="13"/>
      <c r="RAF517" s="13"/>
      <c r="RAG517" s="193"/>
      <c r="RAH517" s="379"/>
      <c r="RAI517" s="379"/>
      <c r="RAJ517" s="379"/>
      <c r="RAK517" s="379"/>
      <c r="RAL517" s="379"/>
      <c r="RAM517" s="13"/>
      <c r="RAN517" s="13"/>
      <c r="RAO517" s="193"/>
      <c r="RAP517" s="379"/>
      <c r="RAQ517" s="379"/>
      <c r="RAR517" s="379"/>
      <c r="RAS517" s="379"/>
      <c r="RAT517" s="379"/>
      <c r="RAU517" s="13"/>
      <c r="RAV517" s="13"/>
      <c r="RAW517" s="193"/>
      <c r="RAX517" s="379"/>
      <c r="RAY517" s="379"/>
      <c r="RAZ517" s="379"/>
      <c r="RBA517" s="379"/>
      <c r="RBB517" s="379"/>
      <c r="RBC517" s="13"/>
      <c r="RBD517" s="13"/>
      <c r="RBE517" s="193"/>
      <c r="RBF517" s="379"/>
      <c r="RBG517" s="379"/>
      <c r="RBH517" s="379"/>
      <c r="RBI517" s="379"/>
      <c r="RBJ517" s="379"/>
      <c r="RBK517" s="13"/>
      <c r="RBL517" s="13"/>
      <c r="RBM517" s="193"/>
      <c r="RBN517" s="379"/>
      <c r="RBO517" s="379"/>
      <c r="RBP517" s="379"/>
      <c r="RBQ517" s="379"/>
      <c r="RBR517" s="379"/>
      <c r="RBS517" s="13"/>
      <c r="RBT517" s="13"/>
      <c r="RBU517" s="193"/>
      <c r="RBV517" s="379"/>
      <c r="RBW517" s="379"/>
      <c r="RBX517" s="379"/>
      <c r="RBY517" s="379"/>
      <c r="RBZ517" s="379"/>
      <c r="RCA517" s="13"/>
      <c r="RCB517" s="13"/>
      <c r="RCC517" s="193"/>
      <c r="RCD517" s="379"/>
      <c r="RCE517" s="379"/>
      <c r="RCF517" s="379"/>
      <c r="RCG517" s="379"/>
      <c r="RCH517" s="379"/>
      <c r="RCI517" s="13"/>
      <c r="RCJ517" s="13"/>
      <c r="RCK517" s="193"/>
      <c r="RCL517" s="379"/>
      <c r="RCM517" s="379"/>
      <c r="RCN517" s="379"/>
      <c r="RCO517" s="379"/>
      <c r="RCP517" s="379"/>
      <c r="RCQ517" s="13"/>
      <c r="RCR517" s="13"/>
      <c r="RCS517" s="193"/>
      <c r="RCT517" s="379"/>
      <c r="RCU517" s="379"/>
      <c r="RCV517" s="379"/>
      <c r="RCW517" s="379"/>
      <c r="RCX517" s="379"/>
      <c r="RCY517" s="13"/>
      <c r="RCZ517" s="13"/>
      <c r="RDA517" s="193"/>
      <c r="RDB517" s="379"/>
      <c r="RDC517" s="379"/>
      <c r="RDD517" s="379"/>
      <c r="RDE517" s="379"/>
      <c r="RDF517" s="379"/>
      <c r="RDG517" s="13"/>
      <c r="RDH517" s="13"/>
      <c r="RDI517" s="193"/>
      <c r="RDJ517" s="379"/>
      <c r="RDK517" s="379"/>
      <c r="RDL517" s="379"/>
      <c r="RDM517" s="379"/>
      <c r="RDN517" s="379"/>
      <c r="RDO517" s="13"/>
      <c r="RDP517" s="13"/>
      <c r="RDQ517" s="193"/>
      <c r="RDR517" s="379"/>
      <c r="RDS517" s="379"/>
      <c r="RDT517" s="379"/>
      <c r="RDU517" s="379"/>
      <c r="RDV517" s="379"/>
      <c r="RDW517" s="13"/>
      <c r="RDX517" s="13"/>
      <c r="RDY517" s="193"/>
      <c r="RDZ517" s="379"/>
      <c r="REA517" s="379"/>
      <c r="REB517" s="379"/>
      <c r="REC517" s="379"/>
      <c r="RED517" s="379"/>
      <c r="REE517" s="13"/>
      <c r="REF517" s="13"/>
      <c r="REG517" s="193"/>
      <c r="REH517" s="379"/>
      <c r="REI517" s="379"/>
      <c r="REJ517" s="379"/>
      <c r="REK517" s="379"/>
      <c r="REL517" s="379"/>
      <c r="REM517" s="13"/>
      <c r="REN517" s="13"/>
      <c r="REO517" s="193"/>
      <c r="REP517" s="379"/>
      <c r="REQ517" s="379"/>
      <c r="RER517" s="379"/>
      <c r="RES517" s="379"/>
      <c r="RET517" s="379"/>
      <c r="REU517" s="13"/>
      <c r="REV517" s="13"/>
      <c r="REW517" s="193"/>
      <c r="REX517" s="379"/>
      <c r="REY517" s="379"/>
      <c r="REZ517" s="379"/>
      <c r="RFA517" s="379"/>
      <c r="RFB517" s="379"/>
      <c r="RFC517" s="13"/>
      <c r="RFD517" s="13"/>
      <c r="RFE517" s="193"/>
      <c r="RFF517" s="379"/>
      <c r="RFG517" s="379"/>
      <c r="RFH517" s="379"/>
      <c r="RFI517" s="379"/>
      <c r="RFJ517" s="379"/>
      <c r="RFK517" s="13"/>
      <c r="RFL517" s="13"/>
      <c r="RFM517" s="193"/>
      <c r="RFN517" s="379"/>
      <c r="RFO517" s="379"/>
      <c r="RFP517" s="379"/>
      <c r="RFQ517" s="379"/>
      <c r="RFR517" s="379"/>
      <c r="RFS517" s="13"/>
      <c r="RFT517" s="13"/>
      <c r="RFU517" s="193"/>
      <c r="RFV517" s="379"/>
      <c r="RFW517" s="379"/>
      <c r="RFX517" s="379"/>
      <c r="RFY517" s="379"/>
      <c r="RFZ517" s="379"/>
      <c r="RGA517" s="13"/>
      <c r="RGB517" s="13"/>
      <c r="RGC517" s="193"/>
      <c r="RGD517" s="379"/>
      <c r="RGE517" s="379"/>
      <c r="RGF517" s="379"/>
      <c r="RGG517" s="379"/>
      <c r="RGH517" s="379"/>
      <c r="RGI517" s="13"/>
      <c r="RGJ517" s="13"/>
      <c r="RGK517" s="193"/>
      <c r="RGL517" s="379"/>
      <c r="RGM517" s="379"/>
      <c r="RGN517" s="379"/>
      <c r="RGO517" s="379"/>
      <c r="RGP517" s="379"/>
      <c r="RGQ517" s="13"/>
      <c r="RGR517" s="13"/>
      <c r="RGS517" s="193"/>
      <c r="RGT517" s="379"/>
      <c r="RGU517" s="379"/>
      <c r="RGV517" s="379"/>
      <c r="RGW517" s="379"/>
      <c r="RGX517" s="379"/>
      <c r="RGY517" s="13"/>
      <c r="RGZ517" s="13"/>
      <c r="RHA517" s="193"/>
      <c r="RHB517" s="379"/>
      <c r="RHC517" s="379"/>
      <c r="RHD517" s="379"/>
      <c r="RHE517" s="379"/>
      <c r="RHF517" s="379"/>
      <c r="RHG517" s="13"/>
      <c r="RHH517" s="13"/>
      <c r="RHI517" s="193"/>
      <c r="RHJ517" s="379"/>
      <c r="RHK517" s="379"/>
      <c r="RHL517" s="379"/>
      <c r="RHM517" s="379"/>
      <c r="RHN517" s="379"/>
      <c r="RHO517" s="13"/>
      <c r="RHP517" s="13"/>
      <c r="RHQ517" s="193"/>
      <c r="RHR517" s="379"/>
      <c r="RHS517" s="379"/>
      <c r="RHT517" s="379"/>
      <c r="RHU517" s="379"/>
      <c r="RHV517" s="379"/>
      <c r="RHW517" s="13"/>
      <c r="RHX517" s="13"/>
      <c r="RHY517" s="193"/>
      <c r="RHZ517" s="379"/>
      <c r="RIA517" s="379"/>
      <c r="RIB517" s="379"/>
      <c r="RIC517" s="379"/>
      <c r="RID517" s="379"/>
      <c r="RIE517" s="13"/>
      <c r="RIF517" s="13"/>
      <c r="RIG517" s="193"/>
      <c r="RIH517" s="379"/>
      <c r="RII517" s="379"/>
      <c r="RIJ517" s="379"/>
      <c r="RIK517" s="379"/>
      <c r="RIL517" s="379"/>
      <c r="RIM517" s="13"/>
      <c r="RIN517" s="13"/>
      <c r="RIO517" s="193"/>
      <c r="RIP517" s="379"/>
      <c r="RIQ517" s="379"/>
      <c r="RIR517" s="379"/>
      <c r="RIS517" s="379"/>
      <c r="RIT517" s="379"/>
      <c r="RIU517" s="13"/>
      <c r="RIV517" s="13"/>
      <c r="RIW517" s="193"/>
      <c r="RIX517" s="379"/>
      <c r="RIY517" s="379"/>
      <c r="RIZ517" s="379"/>
      <c r="RJA517" s="379"/>
      <c r="RJB517" s="379"/>
      <c r="RJC517" s="13"/>
      <c r="RJD517" s="13"/>
      <c r="RJE517" s="193"/>
      <c r="RJF517" s="379"/>
      <c r="RJG517" s="379"/>
      <c r="RJH517" s="379"/>
      <c r="RJI517" s="379"/>
      <c r="RJJ517" s="379"/>
      <c r="RJK517" s="13"/>
      <c r="RJL517" s="13"/>
      <c r="RJM517" s="193"/>
      <c r="RJN517" s="379"/>
      <c r="RJO517" s="379"/>
      <c r="RJP517" s="379"/>
      <c r="RJQ517" s="379"/>
      <c r="RJR517" s="379"/>
      <c r="RJS517" s="13"/>
      <c r="RJT517" s="13"/>
      <c r="RJU517" s="193"/>
      <c r="RJV517" s="379"/>
      <c r="RJW517" s="379"/>
      <c r="RJX517" s="379"/>
      <c r="RJY517" s="379"/>
      <c r="RJZ517" s="379"/>
      <c r="RKA517" s="13"/>
      <c r="RKB517" s="13"/>
      <c r="RKC517" s="193"/>
      <c r="RKD517" s="379"/>
      <c r="RKE517" s="379"/>
      <c r="RKF517" s="379"/>
      <c r="RKG517" s="379"/>
      <c r="RKH517" s="379"/>
      <c r="RKI517" s="13"/>
      <c r="RKJ517" s="13"/>
      <c r="RKK517" s="193"/>
      <c r="RKL517" s="379"/>
      <c r="RKM517" s="379"/>
      <c r="RKN517" s="379"/>
      <c r="RKO517" s="379"/>
      <c r="RKP517" s="379"/>
      <c r="RKQ517" s="13"/>
      <c r="RKR517" s="13"/>
      <c r="RKS517" s="193"/>
      <c r="RKT517" s="379"/>
      <c r="RKU517" s="379"/>
      <c r="RKV517" s="379"/>
      <c r="RKW517" s="379"/>
      <c r="RKX517" s="379"/>
      <c r="RKY517" s="13"/>
      <c r="RKZ517" s="13"/>
      <c r="RLA517" s="193"/>
      <c r="RLB517" s="379"/>
      <c r="RLC517" s="379"/>
      <c r="RLD517" s="379"/>
      <c r="RLE517" s="379"/>
      <c r="RLF517" s="379"/>
      <c r="RLG517" s="13"/>
      <c r="RLH517" s="13"/>
      <c r="RLI517" s="193"/>
      <c r="RLJ517" s="379"/>
      <c r="RLK517" s="379"/>
      <c r="RLL517" s="379"/>
      <c r="RLM517" s="379"/>
      <c r="RLN517" s="379"/>
      <c r="RLO517" s="13"/>
      <c r="RLP517" s="13"/>
      <c r="RLQ517" s="193"/>
      <c r="RLR517" s="379"/>
      <c r="RLS517" s="379"/>
      <c r="RLT517" s="379"/>
      <c r="RLU517" s="379"/>
      <c r="RLV517" s="379"/>
      <c r="RLW517" s="13"/>
      <c r="RLX517" s="13"/>
      <c r="RLY517" s="193"/>
      <c r="RLZ517" s="379"/>
      <c r="RMA517" s="379"/>
      <c r="RMB517" s="379"/>
      <c r="RMC517" s="379"/>
      <c r="RMD517" s="379"/>
      <c r="RME517" s="13"/>
      <c r="RMF517" s="13"/>
      <c r="RMG517" s="193"/>
      <c r="RMH517" s="379"/>
      <c r="RMI517" s="379"/>
      <c r="RMJ517" s="379"/>
      <c r="RMK517" s="379"/>
      <c r="RML517" s="379"/>
      <c r="RMM517" s="13"/>
      <c r="RMN517" s="13"/>
      <c r="RMO517" s="193"/>
      <c r="RMP517" s="379"/>
      <c r="RMQ517" s="379"/>
      <c r="RMR517" s="379"/>
      <c r="RMS517" s="379"/>
      <c r="RMT517" s="379"/>
      <c r="RMU517" s="13"/>
      <c r="RMV517" s="13"/>
      <c r="RMW517" s="193"/>
      <c r="RMX517" s="379"/>
      <c r="RMY517" s="379"/>
      <c r="RMZ517" s="379"/>
      <c r="RNA517" s="379"/>
      <c r="RNB517" s="379"/>
      <c r="RNC517" s="13"/>
      <c r="RND517" s="13"/>
      <c r="RNE517" s="193"/>
      <c r="RNF517" s="379"/>
      <c r="RNG517" s="379"/>
      <c r="RNH517" s="379"/>
      <c r="RNI517" s="379"/>
      <c r="RNJ517" s="379"/>
      <c r="RNK517" s="13"/>
      <c r="RNL517" s="13"/>
      <c r="RNM517" s="193"/>
      <c r="RNN517" s="379"/>
      <c r="RNO517" s="379"/>
      <c r="RNP517" s="379"/>
      <c r="RNQ517" s="379"/>
      <c r="RNR517" s="379"/>
      <c r="RNS517" s="13"/>
      <c r="RNT517" s="13"/>
      <c r="RNU517" s="193"/>
      <c r="RNV517" s="379"/>
      <c r="RNW517" s="379"/>
      <c r="RNX517" s="379"/>
      <c r="RNY517" s="379"/>
      <c r="RNZ517" s="379"/>
      <c r="ROA517" s="13"/>
      <c r="ROB517" s="13"/>
      <c r="ROC517" s="193"/>
      <c r="ROD517" s="379"/>
      <c r="ROE517" s="379"/>
      <c r="ROF517" s="379"/>
      <c r="ROG517" s="379"/>
      <c r="ROH517" s="379"/>
      <c r="ROI517" s="13"/>
      <c r="ROJ517" s="13"/>
      <c r="ROK517" s="193"/>
      <c r="ROL517" s="379"/>
      <c r="ROM517" s="379"/>
      <c r="RON517" s="379"/>
      <c r="ROO517" s="379"/>
      <c r="ROP517" s="379"/>
      <c r="ROQ517" s="13"/>
      <c r="ROR517" s="13"/>
      <c r="ROS517" s="193"/>
      <c r="ROT517" s="379"/>
      <c r="ROU517" s="379"/>
      <c r="ROV517" s="379"/>
      <c r="ROW517" s="379"/>
      <c r="ROX517" s="379"/>
      <c r="ROY517" s="13"/>
      <c r="ROZ517" s="13"/>
      <c r="RPA517" s="193"/>
      <c r="RPB517" s="379"/>
      <c r="RPC517" s="379"/>
      <c r="RPD517" s="379"/>
      <c r="RPE517" s="379"/>
      <c r="RPF517" s="379"/>
      <c r="RPG517" s="13"/>
      <c r="RPH517" s="13"/>
      <c r="RPI517" s="193"/>
      <c r="RPJ517" s="379"/>
      <c r="RPK517" s="379"/>
      <c r="RPL517" s="379"/>
      <c r="RPM517" s="379"/>
      <c r="RPN517" s="379"/>
      <c r="RPO517" s="13"/>
      <c r="RPP517" s="13"/>
      <c r="RPQ517" s="193"/>
      <c r="RPR517" s="379"/>
      <c r="RPS517" s="379"/>
      <c r="RPT517" s="379"/>
      <c r="RPU517" s="379"/>
      <c r="RPV517" s="379"/>
      <c r="RPW517" s="13"/>
      <c r="RPX517" s="13"/>
      <c r="RPY517" s="193"/>
      <c r="RPZ517" s="379"/>
      <c r="RQA517" s="379"/>
      <c r="RQB517" s="379"/>
      <c r="RQC517" s="379"/>
      <c r="RQD517" s="379"/>
      <c r="RQE517" s="13"/>
      <c r="RQF517" s="13"/>
      <c r="RQG517" s="193"/>
      <c r="RQH517" s="379"/>
      <c r="RQI517" s="379"/>
      <c r="RQJ517" s="379"/>
      <c r="RQK517" s="379"/>
      <c r="RQL517" s="379"/>
      <c r="RQM517" s="13"/>
      <c r="RQN517" s="13"/>
      <c r="RQO517" s="193"/>
      <c r="RQP517" s="379"/>
      <c r="RQQ517" s="379"/>
      <c r="RQR517" s="379"/>
      <c r="RQS517" s="379"/>
      <c r="RQT517" s="379"/>
      <c r="RQU517" s="13"/>
      <c r="RQV517" s="13"/>
      <c r="RQW517" s="193"/>
      <c r="RQX517" s="379"/>
      <c r="RQY517" s="379"/>
      <c r="RQZ517" s="379"/>
      <c r="RRA517" s="379"/>
      <c r="RRB517" s="379"/>
      <c r="RRC517" s="13"/>
      <c r="RRD517" s="13"/>
      <c r="RRE517" s="193"/>
      <c r="RRF517" s="379"/>
      <c r="RRG517" s="379"/>
      <c r="RRH517" s="379"/>
      <c r="RRI517" s="379"/>
      <c r="RRJ517" s="379"/>
      <c r="RRK517" s="13"/>
      <c r="RRL517" s="13"/>
      <c r="RRM517" s="193"/>
      <c r="RRN517" s="379"/>
      <c r="RRO517" s="379"/>
      <c r="RRP517" s="379"/>
      <c r="RRQ517" s="379"/>
      <c r="RRR517" s="379"/>
      <c r="RRS517" s="13"/>
      <c r="RRT517" s="13"/>
      <c r="RRU517" s="193"/>
      <c r="RRV517" s="379"/>
      <c r="RRW517" s="379"/>
      <c r="RRX517" s="379"/>
      <c r="RRY517" s="379"/>
      <c r="RRZ517" s="379"/>
      <c r="RSA517" s="13"/>
      <c r="RSB517" s="13"/>
      <c r="RSC517" s="193"/>
      <c r="RSD517" s="379"/>
      <c r="RSE517" s="379"/>
      <c r="RSF517" s="379"/>
      <c r="RSG517" s="379"/>
      <c r="RSH517" s="379"/>
      <c r="RSI517" s="13"/>
      <c r="RSJ517" s="13"/>
      <c r="RSK517" s="193"/>
      <c r="RSL517" s="379"/>
      <c r="RSM517" s="379"/>
      <c r="RSN517" s="379"/>
      <c r="RSO517" s="379"/>
      <c r="RSP517" s="379"/>
      <c r="RSQ517" s="13"/>
      <c r="RSR517" s="13"/>
      <c r="RSS517" s="193"/>
      <c r="RST517" s="379"/>
      <c r="RSU517" s="379"/>
      <c r="RSV517" s="379"/>
      <c r="RSW517" s="379"/>
      <c r="RSX517" s="379"/>
      <c r="RSY517" s="13"/>
      <c r="RSZ517" s="13"/>
      <c r="RTA517" s="193"/>
      <c r="RTB517" s="379"/>
      <c r="RTC517" s="379"/>
      <c r="RTD517" s="379"/>
      <c r="RTE517" s="379"/>
      <c r="RTF517" s="379"/>
      <c r="RTG517" s="13"/>
      <c r="RTH517" s="13"/>
      <c r="RTI517" s="193"/>
      <c r="RTJ517" s="379"/>
      <c r="RTK517" s="379"/>
      <c r="RTL517" s="379"/>
      <c r="RTM517" s="379"/>
      <c r="RTN517" s="379"/>
      <c r="RTO517" s="13"/>
      <c r="RTP517" s="13"/>
      <c r="RTQ517" s="193"/>
      <c r="RTR517" s="379"/>
      <c r="RTS517" s="379"/>
      <c r="RTT517" s="379"/>
      <c r="RTU517" s="379"/>
      <c r="RTV517" s="379"/>
      <c r="RTW517" s="13"/>
      <c r="RTX517" s="13"/>
      <c r="RTY517" s="193"/>
      <c r="RTZ517" s="379"/>
      <c r="RUA517" s="379"/>
      <c r="RUB517" s="379"/>
      <c r="RUC517" s="379"/>
      <c r="RUD517" s="379"/>
      <c r="RUE517" s="13"/>
      <c r="RUF517" s="13"/>
      <c r="RUG517" s="193"/>
      <c r="RUH517" s="379"/>
      <c r="RUI517" s="379"/>
      <c r="RUJ517" s="379"/>
      <c r="RUK517" s="379"/>
      <c r="RUL517" s="379"/>
      <c r="RUM517" s="13"/>
      <c r="RUN517" s="13"/>
      <c r="RUO517" s="193"/>
      <c r="RUP517" s="379"/>
      <c r="RUQ517" s="379"/>
      <c r="RUR517" s="379"/>
      <c r="RUS517" s="379"/>
      <c r="RUT517" s="379"/>
      <c r="RUU517" s="13"/>
      <c r="RUV517" s="13"/>
      <c r="RUW517" s="193"/>
      <c r="RUX517" s="379"/>
      <c r="RUY517" s="379"/>
      <c r="RUZ517" s="379"/>
      <c r="RVA517" s="379"/>
      <c r="RVB517" s="379"/>
      <c r="RVC517" s="13"/>
      <c r="RVD517" s="13"/>
      <c r="RVE517" s="193"/>
      <c r="RVF517" s="379"/>
      <c r="RVG517" s="379"/>
      <c r="RVH517" s="379"/>
      <c r="RVI517" s="379"/>
      <c r="RVJ517" s="379"/>
      <c r="RVK517" s="13"/>
      <c r="RVL517" s="13"/>
      <c r="RVM517" s="193"/>
      <c r="RVN517" s="379"/>
      <c r="RVO517" s="379"/>
      <c r="RVP517" s="379"/>
      <c r="RVQ517" s="379"/>
      <c r="RVR517" s="379"/>
      <c r="RVS517" s="13"/>
      <c r="RVT517" s="13"/>
      <c r="RVU517" s="193"/>
      <c r="RVV517" s="379"/>
      <c r="RVW517" s="379"/>
      <c r="RVX517" s="379"/>
      <c r="RVY517" s="379"/>
      <c r="RVZ517" s="379"/>
      <c r="RWA517" s="13"/>
      <c r="RWB517" s="13"/>
      <c r="RWC517" s="193"/>
      <c r="RWD517" s="379"/>
      <c r="RWE517" s="379"/>
      <c r="RWF517" s="379"/>
      <c r="RWG517" s="379"/>
      <c r="RWH517" s="379"/>
      <c r="RWI517" s="13"/>
      <c r="RWJ517" s="13"/>
      <c r="RWK517" s="193"/>
      <c r="RWL517" s="379"/>
      <c r="RWM517" s="379"/>
      <c r="RWN517" s="379"/>
      <c r="RWO517" s="379"/>
      <c r="RWP517" s="379"/>
      <c r="RWQ517" s="13"/>
      <c r="RWR517" s="13"/>
      <c r="RWS517" s="193"/>
      <c r="RWT517" s="379"/>
      <c r="RWU517" s="379"/>
      <c r="RWV517" s="379"/>
      <c r="RWW517" s="379"/>
      <c r="RWX517" s="379"/>
      <c r="RWY517" s="13"/>
      <c r="RWZ517" s="13"/>
      <c r="RXA517" s="193"/>
      <c r="RXB517" s="379"/>
      <c r="RXC517" s="379"/>
      <c r="RXD517" s="379"/>
      <c r="RXE517" s="379"/>
      <c r="RXF517" s="379"/>
      <c r="RXG517" s="13"/>
      <c r="RXH517" s="13"/>
      <c r="RXI517" s="193"/>
      <c r="RXJ517" s="379"/>
      <c r="RXK517" s="379"/>
      <c r="RXL517" s="379"/>
      <c r="RXM517" s="379"/>
      <c r="RXN517" s="379"/>
      <c r="RXO517" s="13"/>
      <c r="RXP517" s="13"/>
      <c r="RXQ517" s="193"/>
      <c r="RXR517" s="379"/>
      <c r="RXS517" s="379"/>
      <c r="RXT517" s="379"/>
      <c r="RXU517" s="379"/>
      <c r="RXV517" s="379"/>
      <c r="RXW517" s="13"/>
      <c r="RXX517" s="13"/>
      <c r="RXY517" s="193"/>
      <c r="RXZ517" s="379"/>
      <c r="RYA517" s="379"/>
      <c r="RYB517" s="379"/>
      <c r="RYC517" s="379"/>
      <c r="RYD517" s="379"/>
      <c r="RYE517" s="13"/>
      <c r="RYF517" s="13"/>
      <c r="RYG517" s="193"/>
      <c r="RYH517" s="379"/>
      <c r="RYI517" s="379"/>
      <c r="RYJ517" s="379"/>
      <c r="RYK517" s="379"/>
      <c r="RYL517" s="379"/>
      <c r="RYM517" s="13"/>
      <c r="RYN517" s="13"/>
      <c r="RYO517" s="193"/>
      <c r="RYP517" s="379"/>
      <c r="RYQ517" s="379"/>
      <c r="RYR517" s="379"/>
      <c r="RYS517" s="379"/>
      <c r="RYT517" s="379"/>
      <c r="RYU517" s="13"/>
      <c r="RYV517" s="13"/>
      <c r="RYW517" s="193"/>
      <c r="RYX517" s="379"/>
      <c r="RYY517" s="379"/>
      <c r="RYZ517" s="379"/>
      <c r="RZA517" s="379"/>
      <c r="RZB517" s="379"/>
      <c r="RZC517" s="13"/>
      <c r="RZD517" s="13"/>
      <c r="RZE517" s="193"/>
      <c r="RZF517" s="379"/>
      <c r="RZG517" s="379"/>
      <c r="RZH517" s="379"/>
      <c r="RZI517" s="379"/>
      <c r="RZJ517" s="379"/>
      <c r="RZK517" s="13"/>
      <c r="RZL517" s="13"/>
      <c r="RZM517" s="193"/>
      <c r="RZN517" s="379"/>
      <c r="RZO517" s="379"/>
      <c r="RZP517" s="379"/>
      <c r="RZQ517" s="379"/>
      <c r="RZR517" s="379"/>
      <c r="RZS517" s="13"/>
      <c r="RZT517" s="13"/>
      <c r="RZU517" s="193"/>
      <c r="RZV517" s="379"/>
      <c r="RZW517" s="379"/>
      <c r="RZX517" s="379"/>
      <c r="RZY517" s="379"/>
      <c r="RZZ517" s="379"/>
      <c r="SAA517" s="13"/>
      <c r="SAB517" s="13"/>
      <c r="SAC517" s="193"/>
      <c r="SAD517" s="379"/>
      <c r="SAE517" s="379"/>
      <c r="SAF517" s="379"/>
      <c r="SAG517" s="379"/>
      <c r="SAH517" s="379"/>
      <c r="SAI517" s="13"/>
      <c r="SAJ517" s="13"/>
      <c r="SAK517" s="193"/>
      <c r="SAL517" s="379"/>
      <c r="SAM517" s="379"/>
      <c r="SAN517" s="379"/>
      <c r="SAO517" s="379"/>
      <c r="SAP517" s="379"/>
      <c r="SAQ517" s="13"/>
      <c r="SAR517" s="13"/>
      <c r="SAS517" s="193"/>
      <c r="SAT517" s="379"/>
      <c r="SAU517" s="379"/>
      <c r="SAV517" s="379"/>
      <c r="SAW517" s="379"/>
      <c r="SAX517" s="379"/>
      <c r="SAY517" s="13"/>
      <c r="SAZ517" s="13"/>
      <c r="SBA517" s="193"/>
      <c r="SBB517" s="379"/>
      <c r="SBC517" s="379"/>
      <c r="SBD517" s="379"/>
      <c r="SBE517" s="379"/>
      <c r="SBF517" s="379"/>
      <c r="SBG517" s="13"/>
      <c r="SBH517" s="13"/>
      <c r="SBI517" s="193"/>
      <c r="SBJ517" s="379"/>
      <c r="SBK517" s="379"/>
      <c r="SBL517" s="379"/>
      <c r="SBM517" s="379"/>
      <c r="SBN517" s="379"/>
      <c r="SBO517" s="13"/>
      <c r="SBP517" s="13"/>
      <c r="SBQ517" s="193"/>
      <c r="SBR517" s="379"/>
      <c r="SBS517" s="379"/>
      <c r="SBT517" s="379"/>
      <c r="SBU517" s="379"/>
      <c r="SBV517" s="379"/>
      <c r="SBW517" s="13"/>
      <c r="SBX517" s="13"/>
      <c r="SBY517" s="193"/>
      <c r="SBZ517" s="379"/>
      <c r="SCA517" s="379"/>
      <c r="SCB517" s="379"/>
      <c r="SCC517" s="379"/>
      <c r="SCD517" s="379"/>
      <c r="SCE517" s="13"/>
      <c r="SCF517" s="13"/>
      <c r="SCG517" s="193"/>
      <c r="SCH517" s="379"/>
      <c r="SCI517" s="379"/>
      <c r="SCJ517" s="379"/>
      <c r="SCK517" s="379"/>
      <c r="SCL517" s="379"/>
      <c r="SCM517" s="13"/>
      <c r="SCN517" s="13"/>
      <c r="SCO517" s="193"/>
      <c r="SCP517" s="379"/>
      <c r="SCQ517" s="379"/>
      <c r="SCR517" s="379"/>
      <c r="SCS517" s="379"/>
      <c r="SCT517" s="379"/>
      <c r="SCU517" s="13"/>
      <c r="SCV517" s="13"/>
      <c r="SCW517" s="193"/>
      <c r="SCX517" s="379"/>
      <c r="SCY517" s="379"/>
      <c r="SCZ517" s="379"/>
      <c r="SDA517" s="379"/>
      <c r="SDB517" s="379"/>
      <c r="SDC517" s="13"/>
      <c r="SDD517" s="13"/>
      <c r="SDE517" s="193"/>
      <c r="SDF517" s="379"/>
      <c r="SDG517" s="379"/>
      <c r="SDH517" s="379"/>
      <c r="SDI517" s="379"/>
      <c r="SDJ517" s="379"/>
      <c r="SDK517" s="13"/>
      <c r="SDL517" s="13"/>
      <c r="SDM517" s="193"/>
      <c r="SDN517" s="379"/>
      <c r="SDO517" s="379"/>
      <c r="SDP517" s="379"/>
      <c r="SDQ517" s="379"/>
      <c r="SDR517" s="379"/>
      <c r="SDS517" s="13"/>
      <c r="SDT517" s="13"/>
      <c r="SDU517" s="193"/>
      <c r="SDV517" s="379"/>
      <c r="SDW517" s="379"/>
      <c r="SDX517" s="379"/>
      <c r="SDY517" s="379"/>
      <c r="SDZ517" s="379"/>
      <c r="SEA517" s="13"/>
      <c r="SEB517" s="13"/>
      <c r="SEC517" s="193"/>
      <c r="SED517" s="379"/>
      <c r="SEE517" s="379"/>
      <c r="SEF517" s="379"/>
      <c r="SEG517" s="379"/>
      <c r="SEH517" s="379"/>
      <c r="SEI517" s="13"/>
      <c r="SEJ517" s="13"/>
      <c r="SEK517" s="193"/>
      <c r="SEL517" s="379"/>
      <c r="SEM517" s="379"/>
      <c r="SEN517" s="379"/>
      <c r="SEO517" s="379"/>
      <c r="SEP517" s="379"/>
      <c r="SEQ517" s="13"/>
      <c r="SER517" s="13"/>
      <c r="SES517" s="193"/>
      <c r="SET517" s="379"/>
      <c r="SEU517" s="379"/>
      <c r="SEV517" s="379"/>
      <c r="SEW517" s="379"/>
      <c r="SEX517" s="379"/>
      <c r="SEY517" s="13"/>
      <c r="SEZ517" s="13"/>
      <c r="SFA517" s="193"/>
      <c r="SFB517" s="379"/>
      <c r="SFC517" s="379"/>
      <c r="SFD517" s="379"/>
      <c r="SFE517" s="379"/>
      <c r="SFF517" s="379"/>
      <c r="SFG517" s="13"/>
      <c r="SFH517" s="13"/>
      <c r="SFI517" s="193"/>
      <c r="SFJ517" s="379"/>
      <c r="SFK517" s="379"/>
      <c r="SFL517" s="379"/>
      <c r="SFM517" s="379"/>
      <c r="SFN517" s="379"/>
      <c r="SFO517" s="13"/>
      <c r="SFP517" s="13"/>
      <c r="SFQ517" s="193"/>
      <c r="SFR517" s="379"/>
      <c r="SFS517" s="379"/>
      <c r="SFT517" s="379"/>
      <c r="SFU517" s="379"/>
      <c r="SFV517" s="379"/>
      <c r="SFW517" s="13"/>
      <c r="SFX517" s="13"/>
      <c r="SFY517" s="193"/>
      <c r="SFZ517" s="379"/>
      <c r="SGA517" s="379"/>
      <c r="SGB517" s="379"/>
      <c r="SGC517" s="379"/>
      <c r="SGD517" s="379"/>
      <c r="SGE517" s="13"/>
      <c r="SGF517" s="13"/>
      <c r="SGG517" s="193"/>
      <c r="SGH517" s="379"/>
      <c r="SGI517" s="379"/>
      <c r="SGJ517" s="379"/>
      <c r="SGK517" s="379"/>
      <c r="SGL517" s="379"/>
      <c r="SGM517" s="13"/>
      <c r="SGN517" s="13"/>
      <c r="SGO517" s="193"/>
      <c r="SGP517" s="379"/>
      <c r="SGQ517" s="379"/>
      <c r="SGR517" s="379"/>
      <c r="SGS517" s="379"/>
      <c r="SGT517" s="379"/>
      <c r="SGU517" s="13"/>
      <c r="SGV517" s="13"/>
      <c r="SGW517" s="193"/>
      <c r="SGX517" s="379"/>
      <c r="SGY517" s="379"/>
      <c r="SGZ517" s="379"/>
      <c r="SHA517" s="379"/>
      <c r="SHB517" s="379"/>
      <c r="SHC517" s="13"/>
      <c r="SHD517" s="13"/>
      <c r="SHE517" s="193"/>
      <c r="SHF517" s="379"/>
      <c r="SHG517" s="379"/>
      <c r="SHH517" s="379"/>
      <c r="SHI517" s="379"/>
      <c r="SHJ517" s="379"/>
      <c r="SHK517" s="13"/>
      <c r="SHL517" s="13"/>
      <c r="SHM517" s="193"/>
      <c r="SHN517" s="379"/>
      <c r="SHO517" s="379"/>
      <c r="SHP517" s="379"/>
      <c r="SHQ517" s="379"/>
      <c r="SHR517" s="379"/>
      <c r="SHS517" s="13"/>
      <c r="SHT517" s="13"/>
      <c r="SHU517" s="193"/>
      <c r="SHV517" s="379"/>
      <c r="SHW517" s="379"/>
      <c r="SHX517" s="379"/>
      <c r="SHY517" s="379"/>
      <c r="SHZ517" s="379"/>
      <c r="SIA517" s="13"/>
      <c r="SIB517" s="13"/>
      <c r="SIC517" s="193"/>
      <c r="SID517" s="379"/>
      <c r="SIE517" s="379"/>
      <c r="SIF517" s="379"/>
      <c r="SIG517" s="379"/>
      <c r="SIH517" s="379"/>
      <c r="SII517" s="13"/>
      <c r="SIJ517" s="13"/>
      <c r="SIK517" s="193"/>
      <c r="SIL517" s="379"/>
      <c r="SIM517" s="379"/>
      <c r="SIN517" s="379"/>
      <c r="SIO517" s="379"/>
      <c r="SIP517" s="379"/>
      <c r="SIQ517" s="13"/>
      <c r="SIR517" s="13"/>
      <c r="SIS517" s="193"/>
      <c r="SIT517" s="379"/>
      <c r="SIU517" s="379"/>
      <c r="SIV517" s="379"/>
      <c r="SIW517" s="379"/>
      <c r="SIX517" s="379"/>
      <c r="SIY517" s="13"/>
      <c r="SIZ517" s="13"/>
      <c r="SJA517" s="193"/>
      <c r="SJB517" s="379"/>
      <c r="SJC517" s="379"/>
      <c r="SJD517" s="379"/>
      <c r="SJE517" s="379"/>
      <c r="SJF517" s="379"/>
      <c r="SJG517" s="13"/>
      <c r="SJH517" s="13"/>
      <c r="SJI517" s="193"/>
      <c r="SJJ517" s="379"/>
      <c r="SJK517" s="379"/>
      <c r="SJL517" s="379"/>
      <c r="SJM517" s="379"/>
      <c r="SJN517" s="379"/>
      <c r="SJO517" s="13"/>
      <c r="SJP517" s="13"/>
      <c r="SJQ517" s="193"/>
      <c r="SJR517" s="379"/>
      <c r="SJS517" s="379"/>
      <c r="SJT517" s="379"/>
      <c r="SJU517" s="379"/>
      <c r="SJV517" s="379"/>
      <c r="SJW517" s="13"/>
      <c r="SJX517" s="13"/>
      <c r="SJY517" s="193"/>
      <c r="SJZ517" s="379"/>
      <c r="SKA517" s="379"/>
      <c r="SKB517" s="379"/>
      <c r="SKC517" s="379"/>
      <c r="SKD517" s="379"/>
      <c r="SKE517" s="13"/>
      <c r="SKF517" s="13"/>
      <c r="SKG517" s="193"/>
      <c r="SKH517" s="379"/>
      <c r="SKI517" s="379"/>
      <c r="SKJ517" s="379"/>
      <c r="SKK517" s="379"/>
      <c r="SKL517" s="379"/>
      <c r="SKM517" s="13"/>
      <c r="SKN517" s="13"/>
      <c r="SKO517" s="193"/>
      <c r="SKP517" s="379"/>
      <c r="SKQ517" s="379"/>
      <c r="SKR517" s="379"/>
      <c r="SKS517" s="379"/>
      <c r="SKT517" s="379"/>
      <c r="SKU517" s="13"/>
      <c r="SKV517" s="13"/>
      <c r="SKW517" s="193"/>
      <c r="SKX517" s="379"/>
      <c r="SKY517" s="379"/>
      <c r="SKZ517" s="379"/>
      <c r="SLA517" s="379"/>
      <c r="SLB517" s="379"/>
      <c r="SLC517" s="13"/>
      <c r="SLD517" s="13"/>
      <c r="SLE517" s="193"/>
      <c r="SLF517" s="379"/>
      <c r="SLG517" s="379"/>
      <c r="SLH517" s="379"/>
      <c r="SLI517" s="379"/>
      <c r="SLJ517" s="379"/>
      <c r="SLK517" s="13"/>
      <c r="SLL517" s="13"/>
      <c r="SLM517" s="193"/>
      <c r="SLN517" s="379"/>
      <c r="SLO517" s="379"/>
      <c r="SLP517" s="379"/>
      <c r="SLQ517" s="379"/>
      <c r="SLR517" s="379"/>
      <c r="SLS517" s="13"/>
      <c r="SLT517" s="13"/>
      <c r="SLU517" s="193"/>
      <c r="SLV517" s="379"/>
      <c r="SLW517" s="379"/>
      <c r="SLX517" s="379"/>
      <c r="SLY517" s="379"/>
      <c r="SLZ517" s="379"/>
      <c r="SMA517" s="13"/>
      <c r="SMB517" s="13"/>
      <c r="SMC517" s="193"/>
      <c r="SMD517" s="379"/>
      <c r="SME517" s="379"/>
      <c r="SMF517" s="379"/>
      <c r="SMG517" s="379"/>
      <c r="SMH517" s="379"/>
      <c r="SMI517" s="13"/>
      <c r="SMJ517" s="13"/>
      <c r="SMK517" s="193"/>
      <c r="SML517" s="379"/>
      <c r="SMM517" s="379"/>
      <c r="SMN517" s="379"/>
      <c r="SMO517" s="379"/>
      <c r="SMP517" s="379"/>
      <c r="SMQ517" s="13"/>
      <c r="SMR517" s="13"/>
      <c r="SMS517" s="193"/>
      <c r="SMT517" s="379"/>
      <c r="SMU517" s="379"/>
      <c r="SMV517" s="379"/>
      <c r="SMW517" s="379"/>
      <c r="SMX517" s="379"/>
      <c r="SMY517" s="13"/>
      <c r="SMZ517" s="13"/>
      <c r="SNA517" s="193"/>
      <c r="SNB517" s="379"/>
      <c r="SNC517" s="379"/>
      <c r="SND517" s="379"/>
      <c r="SNE517" s="379"/>
      <c r="SNF517" s="379"/>
      <c r="SNG517" s="13"/>
      <c r="SNH517" s="13"/>
      <c r="SNI517" s="193"/>
      <c r="SNJ517" s="379"/>
      <c r="SNK517" s="379"/>
      <c r="SNL517" s="379"/>
      <c r="SNM517" s="379"/>
      <c r="SNN517" s="379"/>
      <c r="SNO517" s="13"/>
      <c r="SNP517" s="13"/>
      <c r="SNQ517" s="193"/>
      <c r="SNR517" s="379"/>
      <c r="SNS517" s="379"/>
      <c r="SNT517" s="379"/>
      <c r="SNU517" s="379"/>
      <c r="SNV517" s="379"/>
      <c r="SNW517" s="13"/>
      <c r="SNX517" s="13"/>
      <c r="SNY517" s="193"/>
      <c r="SNZ517" s="379"/>
      <c r="SOA517" s="379"/>
      <c r="SOB517" s="379"/>
      <c r="SOC517" s="379"/>
      <c r="SOD517" s="379"/>
      <c r="SOE517" s="13"/>
      <c r="SOF517" s="13"/>
      <c r="SOG517" s="193"/>
      <c r="SOH517" s="379"/>
      <c r="SOI517" s="379"/>
      <c r="SOJ517" s="379"/>
      <c r="SOK517" s="379"/>
      <c r="SOL517" s="379"/>
      <c r="SOM517" s="13"/>
      <c r="SON517" s="13"/>
      <c r="SOO517" s="193"/>
      <c r="SOP517" s="379"/>
      <c r="SOQ517" s="379"/>
      <c r="SOR517" s="379"/>
      <c r="SOS517" s="379"/>
      <c r="SOT517" s="379"/>
      <c r="SOU517" s="13"/>
      <c r="SOV517" s="13"/>
      <c r="SOW517" s="193"/>
      <c r="SOX517" s="379"/>
      <c r="SOY517" s="379"/>
      <c r="SOZ517" s="379"/>
      <c r="SPA517" s="379"/>
      <c r="SPB517" s="379"/>
      <c r="SPC517" s="13"/>
      <c r="SPD517" s="13"/>
      <c r="SPE517" s="193"/>
      <c r="SPF517" s="379"/>
      <c r="SPG517" s="379"/>
      <c r="SPH517" s="379"/>
      <c r="SPI517" s="379"/>
      <c r="SPJ517" s="379"/>
      <c r="SPK517" s="13"/>
      <c r="SPL517" s="13"/>
      <c r="SPM517" s="193"/>
      <c r="SPN517" s="379"/>
      <c r="SPO517" s="379"/>
      <c r="SPP517" s="379"/>
      <c r="SPQ517" s="379"/>
      <c r="SPR517" s="379"/>
      <c r="SPS517" s="13"/>
      <c r="SPT517" s="13"/>
      <c r="SPU517" s="193"/>
      <c r="SPV517" s="379"/>
      <c r="SPW517" s="379"/>
      <c r="SPX517" s="379"/>
      <c r="SPY517" s="379"/>
      <c r="SPZ517" s="379"/>
      <c r="SQA517" s="13"/>
      <c r="SQB517" s="13"/>
      <c r="SQC517" s="193"/>
      <c r="SQD517" s="379"/>
      <c r="SQE517" s="379"/>
      <c r="SQF517" s="379"/>
      <c r="SQG517" s="379"/>
      <c r="SQH517" s="379"/>
      <c r="SQI517" s="13"/>
      <c r="SQJ517" s="13"/>
      <c r="SQK517" s="193"/>
      <c r="SQL517" s="379"/>
      <c r="SQM517" s="379"/>
      <c r="SQN517" s="379"/>
      <c r="SQO517" s="379"/>
      <c r="SQP517" s="379"/>
      <c r="SQQ517" s="13"/>
      <c r="SQR517" s="13"/>
      <c r="SQS517" s="193"/>
      <c r="SQT517" s="379"/>
      <c r="SQU517" s="379"/>
      <c r="SQV517" s="379"/>
      <c r="SQW517" s="379"/>
      <c r="SQX517" s="379"/>
      <c r="SQY517" s="13"/>
      <c r="SQZ517" s="13"/>
      <c r="SRA517" s="193"/>
      <c r="SRB517" s="379"/>
      <c r="SRC517" s="379"/>
      <c r="SRD517" s="379"/>
      <c r="SRE517" s="379"/>
      <c r="SRF517" s="379"/>
      <c r="SRG517" s="13"/>
      <c r="SRH517" s="13"/>
      <c r="SRI517" s="193"/>
      <c r="SRJ517" s="379"/>
      <c r="SRK517" s="379"/>
      <c r="SRL517" s="379"/>
      <c r="SRM517" s="379"/>
      <c r="SRN517" s="379"/>
      <c r="SRO517" s="13"/>
      <c r="SRP517" s="13"/>
      <c r="SRQ517" s="193"/>
      <c r="SRR517" s="379"/>
      <c r="SRS517" s="379"/>
      <c r="SRT517" s="379"/>
      <c r="SRU517" s="379"/>
      <c r="SRV517" s="379"/>
      <c r="SRW517" s="13"/>
      <c r="SRX517" s="13"/>
      <c r="SRY517" s="193"/>
      <c r="SRZ517" s="379"/>
      <c r="SSA517" s="379"/>
      <c r="SSB517" s="379"/>
      <c r="SSC517" s="379"/>
      <c r="SSD517" s="379"/>
      <c r="SSE517" s="13"/>
      <c r="SSF517" s="13"/>
      <c r="SSG517" s="193"/>
      <c r="SSH517" s="379"/>
      <c r="SSI517" s="379"/>
      <c r="SSJ517" s="379"/>
      <c r="SSK517" s="379"/>
      <c r="SSL517" s="379"/>
      <c r="SSM517" s="13"/>
      <c r="SSN517" s="13"/>
      <c r="SSO517" s="193"/>
      <c r="SSP517" s="379"/>
      <c r="SSQ517" s="379"/>
      <c r="SSR517" s="379"/>
      <c r="SSS517" s="379"/>
      <c r="SST517" s="379"/>
      <c r="SSU517" s="13"/>
      <c r="SSV517" s="13"/>
      <c r="SSW517" s="193"/>
      <c r="SSX517" s="379"/>
      <c r="SSY517" s="379"/>
      <c r="SSZ517" s="379"/>
      <c r="STA517" s="379"/>
      <c r="STB517" s="379"/>
      <c r="STC517" s="13"/>
      <c r="STD517" s="13"/>
      <c r="STE517" s="193"/>
      <c r="STF517" s="379"/>
      <c r="STG517" s="379"/>
      <c r="STH517" s="379"/>
      <c r="STI517" s="379"/>
      <c r="STJ517" s="379"/>
      <c r="STK517" s="13"/>
      <c r="STL517" s="13"/>
      <c r="STM517" s="193"/>
      <c r="STN517" s="379"/>
      <c r="STO517" s="379"/>
      <c r="STP517" s="379"/>
      <c r="STQ517" s="379"/>
      <c r="STR517" s="379"/>
      <c r="STS517" s="13"/>
      <c r="STT517" s="13"/>
      <c r="STU517" s="193"/>
      <c r="STV517" s="379"/>
      <c r="STW517" s="379"/>
      <c r="STX517" s="379"/>
      <c r="STY517" s="379"/>
      <c r="STZ517" s="379"/>
      <c r="SUA517" s="13"/>
      <c r="SUB517" s="13"/>
      <c r="SUC517" s="193"/>
      <c r="SUD517" s="379"/>
      <c r="SUE517" s="379"/>
      <c r="SUF517" s="379"/>
      <c r="SUG517" s="379"/>
      <c r="SUH517" s="379"/>
      <c r="SUI517" s="13"/>
      <c r="SUJ517" s="13"/>
      <c r="SUK517" s="193"/>
      <c r="SUL517" s="379"/>
      <c r="SUM517" s="379"/>
      <c r="SUN517" s="379"/>
      <c r="SUO517" s="379"/>
      <c r="SUP517" s="379"/>
      <c r="SUQ517" s="13"/>
      <c r="SUR517" s="13"/>
      <c r="SUS517" s="193"/>
      <c r="SUT517" s="379"/>
      <c r="SUU517" s="379"/>
      <c r="SUV517" s="379"/>
      <c r="SUW517" s="379"/>
      <c r="SUX517" s="379"/>
      <c r="SUY517" s="13"/>
      <c r="SUZ517" s="13"/>
      <c r="SVA517" s="193"/>
      <c r="SVB517" s="379"/>
      <c r="SVC517" s="379"/>
      <c r="SVD517" s="379"/>
      <c r="SVE517" s="379"/>
      <c r="SVF517" s="379"/>
      <c r="SVG517" s="13"/>
      <c r="SVH517" s="13"/>
      <c r="SVI517" s="193"/>
      <c r="SVJ517" s="379"/>
      <c r="SVK517" s="379"/>
      <c r="SVL517" s="379"/>
      <c r="SVM517" s="379"/>
      <c r="SVN517" s="379"/>
      <c r="SVO517" s="13"/>
      <c r="SVP517" s="13"/>
      <c r="SVQ517" s="193"/>
      <c r="SVR517" s="379"/>
      <c r="SVS517" s="379"/>
      <c r="SVT517" s="379"/>
      <c r="SVU517" s="379"/>
      <c r="SVV517" s="379"/>
      <c r="SVW517" s="13"/>
      <c r="SVX517" s="13"/>
      <c r="SVY517" s="193"/>
      <c r="SVZ517" s="379"/>
      <c r="SWA517" s="379"/>
      <c r="SWB517" s="379"/>
      <c r="SWC517" s="379"/>
      <c r="SWD517" s="379"/>
      <c r="SWE517" s="13"/>
      <c r="SWF517" s="13"/>
      <c r="SWG517" s="193"/>
      <c r="SWH517" s="379"/>
      <c r="SWI517" s="379"/>
      <c r="SWJ517" s="379"/>
      <c r="SWK517" s="379"/>
      <c r="SWL517" s="379"/>
      <c r="SWM517" s="13"/>
      <c r="SWN517" s="13"/>
      <c r="SWO517" s="193"/>
      <c r="SWP517" s="379"/>
      <c r="SWQ517" s="379"/>
      <c r="SWR517" s="379"/>
      <c r="SWS517" s="379"/>
      <c r="SWT517" s="379"/>
      <c r="SWU517" s="13"/>
      <c r="SWV517" s="13"/>
      <c r="SWW517" s="193"/>
      <c r="SWX517" s="379"/>
      <c r="SWY517" s="379"/>
      <c r="SWZ517" s="379"/>
      <c r="SXA517" s="379"/>
      <c r="SXB517" s="379"/>
      <c r="SXC517" s="13"/>
      <c r="SXD517" s="13"/>
      <c r="SXE517" s="193"/>
      <c r="SXF517" s="379"/>
      <c r="SXG517" s="379"/>
      <c r="SXH517" s="379"/>
      <c r="SXI517" s="379"/>
      <c r="SXJ517" s="379"/>
      <c r="SXK517" s="13"/>
      <c r="SXL517" s="13"/>
      <c r="SXM517" s="193"/>
      <c r="SXN517" s="379"/>
      <c r="SXO517" s="379"/>
      <c r="SXP517" s="379"/>
      <c r="SXQ517" s="379"/>
      <c r="SXR517" s="379"/>
      <c r="SXS517" s="13"/>
      <c r="SXT517" s="13"/>
      <c r="SXU517" s="193"/>
      <c r="SXV517" s="379"/>
      <c r="SXW517" s="379"/>
      <c r="SXX517" s="379"/>
      <c r="SXY517" s="379"/>
      <c r="SXZ517" s="379"/>
      <c r="SYA517" s="13"/>
      <c r="SYB517" s="13"/>
      <c r="SYC517" s="193"/>
      <c r="SYD517" s="379"/>
      <c r="SYE517" s="379"/>
      <c r="SYF517" s="379"/>
      <c r="SYG517" s="379"/>
      <c r="SYH517" s="379"/>
      <c r="SYI517" s="13"/>
      <c r="SYJ517" s="13"/>
      <c r="SYK517" s="193"/>
      <c r="SYL517" s="379"/>
      <c r="SYM517" s="379"/>
      <c r="SYN517" s="379"/>
      <c r="SYO517" s="379"/>
      <c r="SYP517" s="379"/>
      <c r="SYQ517" s="13"/>
      <c r="SYR517" s="13"/>
      <c r="SYS517" s="193"/>
      <c r="SYT517" s="379"/>
      <c r="SYU517" s="379"/>
      <c r="SYV517" s="379"/>
      <c r="SYW517" s="379"/>
      <c r="SYX517" s="379"/>
      <c r="SYY517" s="13"/>
      <c r="SYZ517" s="13"/>
      <c r="SZA517" s="193"/>
      <c r="SZB517" s="379"/>
      <c r="SZC517" s="379"/>
      <c r="SZD517" s="379"/>
      <c r="SZE517" s="379"/>
      <c r="SZF517" s="379"/>
      <c r="SZG517" s="13"/>
      <c r="SZH517" s="13"/>
      <c r="SZI517" s="193"/>
      <c r="SZJ517" s="379"/>
      <c r="SZK517" s="379"/>
      <c r="SZL517" s="379"/>
      <c r="SZM517" s="379"/>
      <c r="SZN517" s="379"/>
      <c r="SZO517" s="13"/>
      <c r="SZP517" s="13"/>
      <c r="SZQ517" s="193"/>
      <c r="SZR517" s="379"/>
      <c r="SZS517" s="379"/>
      <c r="SZT517" s="379"/>
      <c r="SZU517" s="379"/>
      <c r="SZV517" s="379"/>
      <c r="SZW517" s="13"/>
      <c r="SZX517" s="13"/>
      <c r="SZY517" s="193"/>
      <c r="SZZ517" s="379"/>
      <c r="TAA517" s="379"/>
      <c r="TAB517" s="379"/>
      <c r="TAC517" s="379"/>
      <c r="TAD517" s="379"/>
      <c r="TAE517" s="13"/>
      <c r="TAF517" s="13"/>
      <c r="TAG517" s="193"/>
      <c r="TAH517" s="379"/>
      <c r="TAI517" s="379"/>
      <c r="TAJ517" s="379"/>
      <c r="TAK517" s="379"/>
      <c r="TAL517" s="379"/>
      <c r="TAM517" s="13"/>
      <c r="TAN517" s="13"/>
      <c r="TAO517" s="193"/>
      <c r="TAP517" s="379"/>
      <c r="TAQ517" s="379"/>
      <c r="TAR517" s="379"/>
      <c r="TAS517" s="379"/>
      <c r="TAT517" s="379"/>
      <c r="TAU517" s="13"/>
      <c r="TAV517" s="13"/>
      <c r="TAW517" s="193"/>
      <c r="TAX517" s="379"/>
      <c r="TAY517" s="379"/>
      <c r="TAZ517" s="379"/>
      <c r="TBA517" s="379"/>
      <c r="TBB517" s="379"/>
      <c r="TBC517" s="13"/>
      <c r="TBD517" s="13"/>
      <c r="TBE517" s="193"/>
      <c r="TBF517" s="379"/>
      <c r="TBG517" s="379"/>
      <c r="TBH517" s="379"/>
      <c r="TBI517" s="379"/>
      <c r="TBJ517" s="379"/>
      <c r="TBK517" s="13"/>
      <c r="TBL517" s="13"/>
      <c r="TBM517" s="193"/>
      <c r="TBN517" s="379"/>
      <c r="TBO517" s="379"/>
      <c r="TBP517" s="379"/>
      <c r="TBQ517" s="379"/>
      <c r="TBR517" s="379"/>
      <c r="TBS517" s="13"/>
      <c r="TBT517" s="13"/>
      <c r="TBU517" s="193"/>
      <c r="TBV517" s="379"/>
      <c r="TBW517" s="379"/>
      <c r="TBX517" s="379"/>
      <c r="TBY517" s="379"/>
      <c r="TBZ517" s="379"/>
      <c r="TCA517" s="13"/>
      <c r="TCB517" s="13"/>
      <c r="TCC517" s="193"/>
      <c r="TCD517" s="379"/>
      <c r="TCE517" s="379"/>
      <c r="TCF517" s="379"/>
      <c r="TCG517" s="379"/>
      <c r="TCH517" s="379"/>
      <c r="TCI517" s="13"/>
      <c r="TCJ517" s="13"/>
      <c r="TCK517" s="193"/>
      <c r="TCL517" s="379"/>
      <c r="TCM517" s="379"/>
      <c r="TCN517" s="379"/>
      <c r="TCO517" s="379"/>
      <c r="TCP517" s="379"/>
      <c r="TCQ517" s="13"/>
      <c r="TCR517" s="13"/>
      <c r="TCS517" s="193"/>
      <c r="TCT517" s="379"/>
      <c r="TCU517" s="379"/>
      <c r="TCV517" s="379"/>
      <c r="TCW517" s="379"/>
      <c r="TCX517" s="379"/>
      <c r="TCY517" s="13"/>
      <c r="TCZ517" s="13"/>
      <c r="TDA517" s="193"/>
      <c r="TDB517" s="379"/>
      <c r="TDC517" s="379"/>
      <c r="TDD517" s="379"/>
      <c r="TDE517" s="379"/>
      <c r="TDF517" s="379"/>
      <c r="TDG517" s="13"/>
      <c r="TDH517" s="13"/>
      <c r="TDI517" s="193"/>
      <c r="TDJ517" s="379"/>
      <c r="TDK517" s="379"/>
      <c r="TDL517" s="379"/>
      <c r="TDM517" s="379"/>
      <c r="TDN517" s="379"/>
      <c r="TDO517" s="13"/>
      <c r="TDP517" s="13"/>
      <c r="TDQ517" s="193"/>
      <c r="TDR517" s="379"/>
      <c r="TDS517" s="379"/>
      <c r="TDT517" s="379"/>
      <c r="TDU517" s="379"/>
      <c r="TDV517" s="379"/>
      <c r="TDW517" s="13"/>
      <c r="TDX517" s="13"/>
      <c r="TDY517" s="193"/>
      <c r="TDZ517" s="379"/>
      <c r="TEA517" s="379"/>
      <c r="TEB517" s="379"/>
      <c r="TEC517" s="379"/>
      <c r="TED517" s="379"/>
      <c r="TEE517" s="13"/>
      <c r="TEF517" s="13"/>
      <c r="TEG517" s="193"/>
      <c r="TEH517" s="379"/>
      <c r="TEI517" s="379"/>
      <c r="TEJ517" s="379"/>
      <c r="TEK517" s="379"/>
      <c r="TEL517" s="379"/>
      <c r="TEM517" s="13"/>
      <c r="TEN517" s="13"/>
      <c r="TEO517" s="193"/>
      <c r="TEP517" s="379"/>
      <c r="TEQ517" s="379"/>
      <c r="TER517" s="379"/>
      <c r="TES517" s="379"/>
      <c r="TET517" s="379"/>
      <c r="TEU517" s="13"/>
      <c r="TEV517" s="13"/>
      <c r="TEW517" s="193"/>
      <c r="TEX517" s="379"/>
      <c r="TEY517" s="379"/>
      <c r="TEZ517" s="379"/>
      <c r="TFA517" s="379"/>
      <c r="TFB517" s="379"/>
      <c r="TFC517" s="13"/>
      <c r="TFD517" s="13"/>
      <c r="TFE517" s="193"/>
      <c r="TFF517" s="379"/>
      <c r="TFG517" s="379"/>
      <c r="TFH517" s="379"/>
      <c r="TFI517" s="379"/>
      <c r="TFJ517" s="379"/>
      <c r="TFK517" s="13"/>
      <c r="TFL517" s="13"/>
      <c r="TFM517" s="193"/>
      <c r="TFN517" s="379"/>
      <c r="TFO517" s="379"/>
      <c r="TFP517" s="379"/>
      <c r="TFQ517" s="379"/>
      <c r="TFR517" s="379"/>
      <c r="TFS517" s="13"/>
      <c r="TFT517" s="13"/>
      <c r="TFU517" s="193"/>
      <c r="TFV517" s="379"/>
      <c r="TFW517" s="379"/>
      <c r="TFX517" s="379"/>
      <c r="TFY517" s="379"/>
      <c r="TFZ517" s="379"/>
      <c r="TGA517" s="13"/>
      <c r="TGB517" s="13"/>
      <c r="TGC517" s="193"/>
      <c r="TGD517" s="379"/>
      <c r="TGE517" s="379"/>
      <c r="TGF517" s="379"/>
      <c r="TGG517" s="379"/>
      <c r="TGH517" s="379"/>
      <c r="TGI517" s="13"/>
      <c r="TGJ517" s="13"/>
      <c r="TGK517" s="193"/>
      <c r="TGL517" s="379"/>
      <c r="TGM517" s="379"/>
      <c r="TGN517" s="379"/>
      <c r="TGO517" s="379"/>
      <c r="TGP517" s="379"/>
      <c r="TGQ517" s="13"/>
      <c r="TGR517" s="13"/>
      <c r="TGS517" s="193"/>
      <c r="TGT517" s="379"/>
      <c r="TGU517" s="379"/>
      <c r="TGV517" s="379"/>
      <c r="TGW517" s="379"/>
      <c r="TGX517" s="379"/>
      <c r="TGY517" s="13"/>
      <c r="TGZ517" s="13"/>
      <c r="THA517" s="193"/>
      <c r="THB517" s="379"/>
      <c r="THC517" s="379"/>
      <c r="THD517" s="379"/>
      <c r="THE517" s="379"/>
      <c r="THF517" s="379"/>
      <c r="THG517" s="13"/>
      <c r="THH517" s="13"/>
      <c r="THI517" s="193"/>
      <c r="THJ517" s="379"/>
      <c r="THK517" s="379"/>
      <c r="THL517" s="379"/>
      <c r="THM517" s="379"/>
      <c r="THN517" s="379"/>
      <c r="THO517" s="13"/>
      <c r="THP517" s="13"/>
      <c r="THQ517" s="193"/>
      <c r="THR517" s="379"/>
      <c r="THS517" s="379"/>
      <c r="THT517" s="379"/>
      <c r="THU517" s="379"/>
      <c r="THV517" s="379"/>
      <c r="THW517" s="13"/>
      <c r="THX517" s="13"/>
      <c r="THY517" s="193"/>
      <c r="THZ517" s="379"/>
      <c r="TIA517" s="379"/>
      <c r="TIB517" s="379"/>
      <c r="TIC517" s="379"/>
      <c r="TID517" s="379"/>
      <c r="TIE517" s="13"/>
      <c r="TIF517" s="13"/>
      <c r="TIG517" s="193"/>
      <c r="TIH517" s="379"/>
      <c r="TII517" s="379"/>
      <c r="TIJ517" s="379"/>
      <c r="TIK517" s="379"/>
      <c r="TIL517" s="379"/>
      <c r="TIM517" s="13"/>
      <c r="TIN517" s="13"/>
      <c r="TIO517" s="193"/>
      <c r="TIP517" s="379"/>
      <c r="TIQ517" s="379"/>
      <c r="TIR517" s="379"/>
      <c r="TIS517" s="379"/>
      <c r="TIT517" s="379"/>
      <c r="TIU517" s="13"/>
      <c r="TIV517" s="13"/>
      <c r="TIW517" s="193"/>
      <c r="TIX517" s="379"/>
      <c r="TIY517" s="379"/>
      <c r="TIZ517" s="379"/>
      <c r="TJA517" s="379"/>
      <c r="TJB517" s="379"/>
      <c r="TJC517" s="13"/>
      <c r="TJD517" s="13"/>
      <c r="TJE517" s="193"/>
      <c r="TJF517" s="379"/>
      <c r="TJG517" s="379"/>
      <c r="TJH517" s="379"/>
      <c r="TJI517" s="379"/>
      <c r="TJJ517" s="379"/>
      <c r="TJK517" s="13"/>
      <c r="TJL517" s="13"/>
      <c r="TJM517" s="193"/>
      <c r="TJN517" s="379"/>
      <c r="TJO517" s="379"/>
      <c r="TJP517" s="379"/>
      <c r="TJQ517" s="379"/>
      <c r="TJR517" s="379"/>
      <c r="TJS517" s="13"/>
      <c r="TJT517" s="13"/>
      <c r="TJU517" s="193"/>
      <c r="TJV517" s="379"/>
      <c r="TJW517" s="379"/>
      <c r="TJX517" s="379"/>
      <c r="TJY517" s="379"/>
      <c r="TJZ517" s="379"/>
      <c r="TKA517" s="13"/>
      <c r="TKB517" s="13"/>
      <c r="TKC517" s="193"/>
      <c r="TKD517" s="379"/>
      <c r="TKE517" s="379"/>
      <c r="TKF517" s="379"/>
      <c r="TKG517" s="379"/>
      <c r="TKH517" s="379"/>
      <c r="TKI517" s="13"/>
      <c r="TKJ517" s="13"/>
      <c r="TKK517" s="193"/>
      <c r="TKL517" s="379"/>
      <c r="TKM517" s="379"/>
      <c r="TKN517" s="379"/>
      <c r="TKO517" s="379"/>
      <c r="TKP517" s="379"/>
      <c r="TKQ517" s="13"/>
      <c r="TKR517" s="13"/>
      <c r="TKS517" s="193"/>
      <c r="TKT517" s="379"/>
      <c r="TKU517" s="379"/>
      <c r="TKV517" s="379"/>
      <c r="TKW517" s="379"/>
      <c r="TKX517" s="379"/>
      <c r="TKY517" s="13"/>
      <c r="TKZ517" s="13"/>
      <c r="TLA517" s="193"/>
      <c r="TLB517" s="379"/>
      <c r="TLC517" s="379"/>
      <c r="TLD517" s="379"/>
      <c r="TLE517" s="379"/>
      <c r="TLF517" s="379"/>
      <c r="TLG517" s="13"/>
      <c r="TLH517" s="13"/>
      <c r="TLI517" s="193"/>
      <c r="TLJ517" s="379"/>
      <c r="TLK517" s="379"/>
      <c r="TLL517" s="379"/>
      <c r="TLM517" s="379"/>
      <c r="TLN517" s="379"/>
      <c r="TLO517" s="13"/>
      <c r="TLP517" s="13"/>
      <c r="TLQ517" s="193"/>
      <c r="TLR517" s="379"/>
      <c r="TLS517" s="379"/>
      <c r="TLT517" s="379"/>
      <c r="TLU517" s="379"/>
      <c r="TLV517" s="379"/>
      <c r="TLW517" s="13"/>
      <c r="TLX517" s="13"/>
      <c r="TLY517" s="193"/>
      <c r="TLZ517" s="379"/>
      <c r="TMA517" s="379"/>
      <c r="TMB517" s="379"/>
      <c r="TMC517" s="379"/>
      <c r="TMD517" s="379"/>
      <c r="TME517" s="13"/>
      <c r="TMF517" s="13"/>
      <c r="TMG517" s="193"/>
      <c r="TMH517" s="379"/>
      <c r="TMI517" s="379"/>
      <c r="TMJ517" s="379"/>
      <c r="TMK517" s="379"/>
      <c r="TML517" s="379"/>
      <c r="TMM517" s="13"/>
      <c r="TMN517" s="13"/>
      <c r="TMO517" s="193"/>
      <c r="TMP517" s="379"/>
      <c r="TMQ517" s="379"/>
      <c r="TMR517" s="379"/>
      <c r="TMS517" s="379"/>
      <c r="TMT517" s="379"/>
      <c r="TMU517" s="13"/>
      <c r="TMV517" s="13"/>
      <c r="TMW517" s="193"/>
      <c r="TMX517" s="379"/>
      <c r="TMY517" s="379"/>
      <c r="TMZ517" s="379"/>
      <c r="TNA517" s="379"/>
      <c r="TNB517" s="379"/>
      <c r="TNC517" s="13"/>
      <c r="TND517" s="13"/>
      <c r="TNE517" s="193"/>
      <c r="TNF517" s="379"/>
      <c r="TNG517" s="379"/>
      <c r="TNH517" s="379"/>
      <c r="TNI517" s="379"/>
      <c r="TNJ517" s="379"/>
      <c r="TNK517" s="13"/>
      <c r="TNL517" s="13"/>
      <c r="TNM517" s="193"/>
      <c r="TNN517" s="379"/>
      <c r="TNO517" s="379"/>
      <c r="TNP517" s="379"/>
      <c r="TNQ517" s="379"/>
      <c r="TNR517" s="379"/>
      <c r="TNS517" s="13"/>
      <c r="TNT517" s="13"/>
      <c r="TNU517" s="193"/>
      <c r="TNV517" s="379"/>
      <c r="TNW517" s="379"/>
      <c r="TNX517" s="379"/>
      <c r="TNY517" s="379"/>
      <c r="TNZ517" s="379"/>
      <c r="TOA517" s="13"/>
      <c r="TOB517" s="13"/>
      <c r="TOC517" s="193"/>
      <c r="TOD517" s="379"/>
      <c r="TOE517" s="379"/>
      <c r="TOF517" s="379"/>
      <c r="TOG517" s="379"/>
      <c r="TOH517" s="379"/>
      <c r="TOI517" s="13"/>
      <c r="TOJ517" s="13"/>
      <c r="TOK517" s="193"/>
      <c r="TOL517" s="379"/>
      <c r="TOM517" s="379"/>
      <c r="TON517" s="379"/>
      <c r="TOO517" s="379"/>
      <c r="TOP517" s="379"/>
      <c r="TOQ517" s="13"/>
      <c r="TOR517" s="13"/>
      <c r="TOS517" s="193"/>
      <c r="TOT517" s="379"/>
      <c r="TOU517" s="379"/>
      <c r="TOV517" s="379"/>
      <c r="TOW517" s="379"/>
      <c r="TOX517" s="379"/>
      <c r="TOY517" s="13"/>
      <c r="TOZ517" s="13"/>
      <c r="TPA517" s="193"/>
      <c r="TPB517" s="379"/>
      <c r="TPC517" s="379"/>
      <c r="TPD517" s="379"/>
      <c r="TPE517" s="379"/>
      <c r="TPF517" s="379"/>
      <c r="TPG517" s="13"/>
      <c r="TPH517" s="13"/>
      <c r="TPI517" s="193"/>
      <c r="TPJ517" s="379"/>
      <c r="TPK517" s="379"/>
      <c r="TPL517" s="379"/>
      <c r="TPM517" s="379"/>
      <c r="TPN517" s="379"/>
      <c r="TPO517" s="13"/>
      <c r="TPP517" s="13"/>
      <c r="TPQ517" s="193"/>
      <c r="TPR517" s="379"/>
      <c r="TPS517" s="379"/>
      <c r="TPT517" s="379"/>
      <c r="TPU517" s="379"/>
      <c r="TPV517" s="379"/>
      <c r="TPW517" s="13"/>
      <c r="TPX517" s="13"/>
      <c r="TPY517" s="193"/>
      <c r="TPZ517" s="379"/>
      <c r="TQA517" s="379"/>
      <c r="TQB517" s="379"/>
      <c r="TQC517" s="379"/>
      <c r="TQD517" s="379"/>
      <c r="TQE517" s="13"/>
      <c r="TQF517" s="13"/>
      <c r="TQG517" s="193"/>
      <c r="TQH517" s="379"/>
      <c r="TQI517" s="379"/>
      <c r="TQJ517" s="379"/>
      <c r="TQK517" s="379"/>
      <c r="TQL517" s="379"/>
      <c r="TQM517" s="13"/>
      <c r="TQN517" s="13"/>
      <c r="TQO517" s="193"/>
      <c r="TQP517" s="379"/>
      <c r="TQQ517" s="379"/>
      <c r="TQR517" s="379"/>
      <c r="TQS517" s="379"/>
      <c r="TQT517" s="379"/>
      <c r="TQU517" s="13"/>
      <c r="TQV517" s="13"/>
      <c r="TQW517" s="193"/>
      <c r="TQX517" s="379"/>
      <c r="TQY517" s="379"/>
      <c r="TQZ517" s="379"/>
      <c r="TRA517" s="379"/>
      <c r="TRB517" s="379"/>
      <c r="TRC517" s="13"/>
      <c r="TRD517" s="13"/>
      <c r="TRE517" s="193"/>
      <c r="TRF517" s="379"/>
      <c r="TRG517" s="379"/>
      <c r="TRH517" s="379"/>
      <c r="TRI517" s="379"/>
      <c r="TRJ517" s="379"/>
      <c r="TRK517" s="13"/>
      <c r="TRL517" s="13"/>
      <c r="TRM517" s="193"/>
      <c r="TRN517" s="379"/>
      <c r="TRO517" s="379"/>
      <c r="TRP517" s="379"/>
      <c r="TRQ517" s="379"/>
      <c r="TRR517" s="379"/>
      <c r="TRS517" s="13"/>
      <c r="TRT517" s="13"/>
      <c r="TRU517" s="193"/>
      <c r="TRV517" s="379"/>
      <c r="TRW517" s="379"/>
      <c r="TRX517" s="379"/>
      <c r="TRY517" s="379"/>
      <c r="TRZ517" s="379"/>
      <c r="TSA517" s="13"/>
      <c r="TSB517" s="13"/>
      <c r="TSC517" s="193"/>
      <c r="TSD517" s="379"/>
      <c r="TSE517" s="379"/>
      <c r="TSF517" s="379"/>
      <c r="TSG517" s="379"/>
      <c r="TSH517" s="379"/>
      <c r="TSI517" s="13"/>
      <c r="TSJ517" s="13"/>
      <c r="TSK517" s="193"/>
      <c r="TSL517" s="379"/>
      <c r="TSM517" s="379"/>
      <c r="TSN517" s="379"/>
      <c r="TSO517" s="379"/>
      <c r="TSP517" s="379"/>
      <c r="TSQ517" s="13"/>
      <c r="TSR517" s="13"/>
      <c r="TSS517" s="193"/>
      <c r="TST517" s="379"/>
      <c r="TSU517" s="379"/>
      <c r="TSV517" s="379"/>
      <c r="TSW517" s="379"/>
      <c r="TSX517" s="379"/>
      <c r="TSY517" s="13"/>
      <c r="TSZ517" s="13"/>
      <c r="TTA517" s="193"/>
      <c r="TTB517" s="379"/>
      <c r="TTC517" s="379"/>
      <c r="TTD517" s="379"/>
      <c r="TTE517" s="379"/>
      <c r="TTF517" s="379"/>
      <c r="TTG517" s="13"/>
      <c r="TTH517" s="13"/>
      <c r="TTI517" s="193"/>
      <c r="TTJ517" s="379"/>
      <c r="TTK517" s="379"/>
      <c r="TTL517" s="379"/>
      <c r="TTM517" s="379"/>
      <c r="TTN517" s="379"/>
      <c r="TTO517" s="13"/>
      <c r="TTP517" s="13"/>
      <c r="TTQ517" s="193"/>
      <c r="TTR517" s="379"/>
      <c r="TTS517" s="379"/>
      <c r="TTT517" s="379"/>
      <c r="TTU517" s="379"/>
      <c r="TTV517" s="379"/>
      <c r="TTW517" s="13"/>
      <c r="TTX517" s="13"/>
      <c r="TTY517" s="193"/>
      <c r="TTZ517" s="379"/>
      <c r="TUA517" s="379"/>
      <c r="TUB517" s="379"/>
      <c r="TUC517" s="379"/>
      <c r="TUD517" s="379"/>
      <c r="TUE517" s="13"/>
      <c r="TUF517" s="13"/>
      <c r="TUG517" s="193"/>
      <c r="TUH517" s="379"/>
      <c r="TUI517" s="379"/>
      <c r="TUJ517" s="379"/>
      <c r="TUK517" s="379"/>
      <c r="TUL517" s="379"/>
      <c r="TUM517" s="13"/>
      <c r="TUN517" s="13"/>
      <c r="TUO517" s="193"/>
      <c r="TUP517" s="379"/>
      <c r="TUQ517" s="379"/>
      <c r="TUR517" s="379"/>
      <c r="TUS517" s="379"/>
      <c r="TUT517" s="379"/>
      <c r="TUU517" s="13"/>
      <c r="TUV517" s="13"/>
      <c r="TUW517" s="193"/>
      <c r="TUX517" s="379"/>
      <c r="TUY517" s="379"/>
      <c r="TUZ517" s="379"/>
      <c r="TVA517" s="379"/>
      <c r="TVB517" s="379"/>
      <c r="TVC517" s="13"/>
      <c r="TVD517" s="13"/>
      <c r="TVE517" s="193"/>
      <c r="TVF517" s="379"/>
      <c r="TVG517" s="379"/>
      <c r="TVH517" s="379"/>
      <c r="TVI517" s="379"/>
      <c r="TVJ517" s="379"/>
      <c r="TVK517" s="13"/>
      <c r="TVL517" s="13"/>
      <c r="TVM517" s="193"/>
      <c r="TVN517" s="379"/>
      <c r="TVO517" s="379"/>
      <c r="TVP517" s="379"/>
      <c r="TVQ517" s="379"/>
      <c r="TVR517" s="379"/>
      <c r="TVS517" s="13"/>
      <c r="TVT517" s="13"/>
      <c r="TVU517" s="193"/>
      <c r="TVV517" s="379"/>
      <c r="TVW517" s="379"/>
      <c r="TVX517" s="379"/>
      <c r="TVY517" s="379"/>
      <c r="TVZ517" s="379"/>
      <c r="TWA517" s="13"/>
      <c r="TWB517" s="13"/>
      <c r="TWC517" s="193"/>
      <c r="TWD517" s="379"/>
      <c r="TWE517" s="379"/>
      <c r="TWF517" s="379"/>
      <c r="TWG517" s="379"/>
      <c r="TWH517" s="379"/>
      <c r="TWI517" s="13"/>
      <c r="TWJ517" s="13"/>
      <c r="TWK517" s="193"/>
      <c r="TWL517" s="379"/>
      <c r="TWM517" s="379"/>
      <c r="TWN517" s="379"/>
      <c r="TWO517" s="379"/>
      <c r="TWP517" s="379"/>
      <c r="TWQ517" s="13"/>
      <c r="TWR517" s="13"/>
      <c r="TWS517" s="193"/>
      <c r="TWT517" s="379"/>
      <c r="TWU517" s="379"/>
      <c r="TWV517" s="379"/>
      <c r="TWW517" s="379"/>
      <c r="TWX517" s="379"/>
      <c r="TWY517" s="13"/>
      <c r="TWZ517" s="13"/>
      <c r="TXA517" s="193"/>
      <c r="TXB517" s="379"/>
      <c r="TXC517" s="379"/>
      <c r="TXD517" s="379"/>
      <c r="TXE517" s="379"/>
      <c r="TXF517" s="379"/>
      <c r="TXG517" s="13"/>
      <c r="TXH517" s="13"/>
      <c r="TXI517" s="193"/>
      <c r="TXJ517" s="379"/>
      <c r="TXK517" s="379"/>
      <c r="TXL517" s="379"/>
      <c r="TXM517" s="379"/>
      <c r="TXN517" s="379"/>
      <c r="TXO517" s="13"/>
      <c r="TXP517" s="13"/>
      <c r="TXQ517" s="193"/>
      <c r="TXR517" s="379"/>
      <c r="TXS517" s="379"/>
      <c r="TXT517" s="379"/>
      <c r="TXU517" s="379"/>
      <c r="TXV517" s="379"/>
      <c r="TXW517" s="13"/>
      <c r="TXX517" s="13"/>
      <c r="TXY517" s="193"/>
      <c r="TXZ517" s="379"/>
      <c r="TYA517" s="379"/>
      <c r="TYB517" s="379"/>
      <c r="TYC517" s="379"/>
      <c r="TYD517" s="379"/>
      <c r="TYE517" s="13"/>
      <c r="TYF517" s="13"/>
      <c r="TYG517" s="193"/>
      <c r="TYH517" s="379"/>
      <c r="TYI517" s="379"/>
      <c r="TYJ517" s="379"/>
      <c r="TYK517" s="379"/>
      <c r="TYL517" s="379"/>
      <c r="TYM517" s="13"/>
      <c r="TYN517" s="13"/>
      <c r="TYO517" s="193"/>
      <c r="TYP517" s="379"/>
      <c r="TYQ517" s="379"/>
      <c r="TYR517" s="379"/>
      <c r="TYS517" s="379"/>
      <c r="TYT517" s="379"/>
      <c r="TYU517" s="13"/>
      <c r="TYV517" s="13"/>
      <c r="TYW517" s="193"/>
      <c r="TYX517" s="379"/>
      <c r="TYY517" s="379"/>
      <c r="TYZ517" s="379"/>
      <c r="TZA517" s="379"/>
      <c r="TZB517" s="379"/>
      <c r="TZC517" s="13"/>
      <c r="TZD517" s="13"/>
      <c r="TZE517" s="193"/>
      <c r="TZF517" s="379"/>
      <c r="TZG517" s="379"/>
      <c r="TZH517" s="379"/>
      <c r="TZI517" s="379"/>
      <c r="TZJ517" s="379"/>
      <c r="TZK517" s="13"/>
      <c r="TZL517" s="13"/>
      <c r="TZM517" s="193"/>
      <c r="TZN517" s="379"/>
      <c r="TZO517" s="379"/>
      <c r="TZP517" s="379"/>
      <c r="TZQ517" s="379"/>
      <c r="TZR517" s="379"/>
      <c r="TZS517" s="13"/>
      <c r="TZT517" s="13"/>
      <c r="TZU517" s="193"/>
      <c r="TZV517" s="379"/>
      <c r="TZW517" s="379"/>
      <c r="TZX517" s="379"/>
      <c r="TZY517" s="379"/>
      <c r="TZZ517" s="379"/>
      <c r="UAA517" s="13"/>
      <c r="UAB517" s="13"/>
      <c r="UAC517" s="193"/>
      <c r="UAD517" s="379"/>
      <c r="UAE517" s="379"/>
      <c r="UAF517" s="379"/>
      <c r="UAG517" s="379"/>
      <c r="UAH517" s="379"/>
      <c r="UAI517" s="13"/>
      <c r="UAJ517" s="13"/>
      <c r="UAK517" s="193"/>
      <c r="UAL517" s="379"/>
      <c r="UAM517" s="379"/>
      <c r="UAN517" s="379"/>
      <c r="UAO517" s="379"/>
      <c r="UAP517" s="379"/>
      <c r="UAQ517" s="13"/>
      <c r="UAR517" s="13"/>
      <c r="UAS517" s="193"/>
      <c r="UAT517" s="379"/>
      <c r="UAU517" s="379"/>
      <c r="UAV517" s="379"/>
      <c r="UAW517" s="379"/>
      <c r="UAX517" s="379"/>
      <c r="UAY517" s="13"/>
      <c r="UAZ517" s="13"/>
      <c r="UBA517" s="193"/>
      <c r="UBB517" s="379"/>
      <c r="UBC517" s="379"/>
      <c r="UBD517" s="379"/>
      <c r="UBE517" s="379"/>
      <c r="UBF517" s="379"/>
      <c r="UBG517" s="13"/>
      <c r="UBH517" s="13"/>
      <c r="UBI517" s="193"/>
      <c r="UBJ517" s="379"/>
      <c r="UBK517" s="379"/>
      <c r="UBL517" s="379"/>
      <c r="UBM517" s="379"/>
      <c r="UBN517" s="379"/>
      <c r="UBO517" s="13"/>
      <c r="UBP517" s="13"/>
      <c r="UBQ517" s="193"/>
      <c r="UBR517" s="379"/>
      <c r="UBS517" s="379"/>
      <c r="UBT517" s="379"/>
      <c r="UBU517" s="379"/>
      <c r="UBV517" s="379"/>
      <c r="UBW517" s="13"/>
      <c r="UBX517" s="13"/>
      <c r="UBY517" s="193"/>
      <c r="UBZ517" s="379"/>
      <c r="UCA517" s="379"/>
      <c r="UCB517" s="379"/>
      <c r="UCC517" s="379"/>
      <c r="UCD517" s="379"/>
      <c r="UCE517" s="13"/>
      <c r="UCF517" s="13"/>
      <c r="UCG517" s="193"/>
      <c r="UCH517" s="379"/>
      <c r="UCI517" s="379"/>
      <c r="UCJ517" s="379"/>
      <c r="UCK517" s="379"/>
      <c r="UCL517" s="379"/>
      <c r="UCM517" s="13"/>
      <c r="UCN517" s="13"/>
      <c r="UCO517" s="193"/>
      <c r="UCP517" s="379"/>
      <c r="UCQ517" s="379"/>
      <c r="UCR517" s="379"/>
      <c r="UCS517" s="379"/>
      <c r="UCT517" s="379"/>
      <c r="UCU517" s="13"/>
      <c r="UCV517" s="13"/>
      <c r="UCW517" s="193"/>
      <c r="UCX517" s="379"/>
      <c r="UCY517" s="379"/>
      <c r="UCZ517" s="379"/>
      <c r="UDA517" s="379"/>
      <c r="UDB517" s="379"/>
      <c r="UDC517" s="13"/>
      <c r="UDD517" s="13"/>
      <c r="UDE517" s="193"/>
      <c r="UDF517" s="379"/>
      <c r="UDG517" s="379"/>
      <c r="UDH517" s="379"/>
      <c r="UDI517" s="379"/>
      <c r="UDJ517" s="379"/>
      <c r="UDK517" s="13"/>
      <c r="UDL517" s="13"/>
      <c r="UDM517" s="193"/>
      <c r="UDN517" s="379"/>
      <c r="UDO517" s="379"/>
      <c r="UDP517" s="379"/>
      <c r="UDQ517" s="379"/>
      <c r="UDR517" s="379"/>
      <c r="UDS517" s="13"/>
      <c r="UDT517" s="13"/>
      <c r="UDU517" s="193"/>
      <c r="UDV517" s="379"/>
      <c r="UDW517" s="379"/>
      <c r="UDX517" s="379"/>
      <c r="UDY517" s="379"/>
      <c r="UDZ517" s="379"/>
      <c r="UEA517" s="13"/>
      <c r="UEB517" s="13"/>
      <c r="UEC517" s="193"/>
      <c r="UED517" s="379"/>
      <c r="UEE517" s="379"/>
      <c r="UEF517" s="379"/>
      <c r="UEG517" s="379"/>
      <c r="UEH517" s="379"/>
      <c r="UEI517" s="13"/>
      <c r="UEJ517" s="13"/>
      <c r="UEK517" s="193"/>
      <c r="UEL517" s="379"/>
      <c r="UEM517" s="379"/>
      <c r="UEN517" s="379"/>
      <c r="UEO517" s="379"/>
      <c r="UEP517" s="379"/>
      <c r="UEQ517" s="13"/>
      <c r="UER517" s="13"/>
      <c r="UES517" s="193"/>
      <c r="UET517" s="379"/>
      <c r="UEU517" s="379"/>
      <c r="UEV517" s="379"/>
      <c r="UEW517" s="379"/>
      <c r="UEX517" s="379"/>
      <c r="UEY517" s="13"/>
      <c r="UEZ517" s="13"/>
      <c r="UFA517" s="193"/>
      <c r="UFB517" s="379"/>
      <c r="UFC517" s="379"/>
      <c r="UFD517" s="379"/>
      <c r="UFE517" s="379"/>
      <c r="UFF517" s="379"/>
      <c r="UFG517" s="13"/>
      <c r="UFH517" s="13"/>
      <c r="UFI517" s="193"/>
      <c r="UFJ517" s="379"/>
      <c r="UFK517" s="379"/>
      <c r="UFL517" s="379"/>
      <c r="UFM517" s="379"/>
      <c r="UFN517" s="379"/>
      <c r="UFO517" s="13"/>
      <c r="UFP517" s="13"/>
      <c r="UFQ517" s="193"/>
      <c r="UFR517" s="379"/>
      <c r="UFS517" s="379"/>
      <c r="UFT517" s="379"/>
      <c r="UFU517" s="379"/>
      <c r="UFV517" s="379"/>
      <c r="UFW517" s="13"/>
      <c r="UFX517" s="13"/>
      <c r="UFY517" s="193"/>
      <c r="UFZ517" s="379"/>
      <c r="UGA517" s="379"/>
      <c r="UGB517" s="379"/>
      <c r="UGC517" s="379"/>
      <c r="UGD517" s="379"/>
      <c r="UGE517" s="13"/>
      <c r="UGF517" s="13"/>
      <c r="UGG517" s="193"/>
      <c r="UGH517" s="379"/>
      <c r="UGI517" s="379"/>
      <c r="UGJ517" s="379"/>
      <c r="UGK517" s="379"/>
      <c r="UGL517" s="379"/>
      <c r="UGM517" s="13"/>
      <c r="UGN517" s="13"/>
      <c r="UGO517" s="193"/>
      <c r="UGP517" s="379"/>
      <c r="UGQ517" s="379"/>
      <c r="UGR517" s="379"/>
      <c r="UGS517" s="379"/>
      <c r="UGT517" s="379"/>
      <c r="UGU517" s="13"/>
      <c r="UGV517" s="13"/>
      <c r="UGW517" s="193"/>
      <c r="UGX517" s="379"/>
      <c r="UGY517" s="379"/>
      <c r="UGZ517" s="379"/>
      <c r="UHA517" s="379"/>
      <c r="UHB517" s="379"/>
      <c r="UHC517" s="13"/>
      <c r="UHD517" s="13"/>
      <c r="UHE517" s="193"/>
      <c r="UHF517" s="379"/>
      <c r="UHG517" s="379"/>
      <c r="UHH517" s="379"/>
      <c r="UHI517" s="379"/>
      <c r="UHJ517" s="379"/>
      <c r="UHK517" s="13"/>
      <c r="UHL517" s="13"/>
      <c r="UHM517" s="193"/>
      <c r="UHN517" s="379"/>
      <c r="UHO517" s="379"/>
      <c r="UHP517" s="379"/>
      <c r="UHQ517" s="379"/>
      <c r="UHR517" s="379"/>
      <c r="UHS517" s="13"/>
      <c r="UHT517" s="13"/>
      <c r="UHU517" s="193"/>
      <c r="UHV517" s="379"/>
      <c r="UHW517" s="379"/>
      <c r="UHX517" s="379"/>
      <c r="UHY517" s="379"/>
      <c r="UHZ517" s="379"/>
      <c r="UIA517" s="13"/>
      <c r="UIB517" s="13"/>
      <c r="UIC517" s="193"/>
      <c r="UID517" s="379"/>
      <c r="UIE517" s="379"/>
      <c r="UIF517" s="379"/>
      <c r="UIG517" s="379"/>
      <c r="UIH517" s="379"/>
      <c r="UII517" s="13"/>
      <c r="UIJ517" s="13"/>
      <c r="UIK517" s="193"/>
      <c r="UIL517" s="379"/>
      <c r="UIM517" s="379"/>
      <c r="UIN517" s="379"/>
      <c r="UIO517" s="379"/>
      <c r="UIP517" s="379"/>
      <c r="UIQ517" s="13"/>
      <c r="UIR517" s="13"/>
      <c r="UIS517" s="193"/>
      <c r="UIT517" s="379"/>
      <c r="UIU517" s="379"/>
      <c r="UIV517" s="379"/>
      <c r="UIW517" s="379"/>
      <c r="UIX517" s="379"/>
      <c r="UIY517" s="13"/>
      <c r="UIZ517" s="13"/>
      <c r="UJA517" s="193"/>
      <c r="UJB517" s="379"/>
      <c r="UJC517" s="379"/>
      <c r="UJD517" s="379"/>
      <c r="UJE517" s="379"/>
      <c r="UJF517" s="379"/>
      <c r="UJG517" s="13"/>
      <c r="UJH517" s="13"/>
      <c r="UJI517" s="193"/>
      <c r="UJJ517" s="379"/>
      <c r="UJK517" s="379"/>
      <c r="UJL517" s="379"/>
      <c r="UJM517" s="379"/>
      <c r="UJN517" s="379"/>
      <c r="UJO517" s="13"/>
      <c r="UJP517" s="13"/>
      <c r="UJQ517" s="193"/>
      <c r="UJR517" s="379"/>
      <c r="UJS517" s="379"/>
      <c r="UJT517" s="379"/>
      <c r="UJU517" s="379"/>
      <c r="UJV517" s="379"/>
      <c r="UJW517" s="13"/>
      <c r="UJX517" s="13"/>
      <c r="UJY517" s="193"/>
      <c r="UJZ517" s="379"/>
      <c r="UKA517" s="379"/>
      <c r="UKB517" s="379"/>
      <c r="UKC517" s="379"/>
      <c r="UKD517" s="379"/>
      <c r="UKE517" s="13"/>
      <c r="UKF517" s="13"/>
      <c r="UKG517" s="193"/>
      <c r="UKH517" s="379"/>
      <c r="UKI517" s="379"/>
      <c r="UKJ517" s="379"/>
      <c r="UKK517" s="379"/>
      <c r="UKL517" s="379"/>
      <c r="UKM517" s="13"/>
      <c r="UKN517" s="13"/>
      <c r="UKO517" s="193"/>
      <c r="UKP517" s="379"/>
      <c r="UKQ517" s="379"/>
      <c r="UKR517" s="379"/>
      <c r="UKS517" s="379"/>
      <c r="UKT517" s="379"/>
      <c r="UKU517" s="13"/>
      <c r="UKV517" s="13"/>
      <c r="UKW517" s="193"/>
      <c r="UKX517" s="379"/>
      <c r="UKY517" s="379"/>
      <c r="UKZ517" s="379"/>
      <c r="ULA517" s="379"/>
      <c r="ULB517" s="379"/>
      <c r="ULC517" s="13"/>
      <c r="ULD517" s="13"/>
      <c r="ULE517" s="193"/>
      <c r="ULF517" s="379"/>
      <c r="ULG517" s="379"/>
      <c r="ULH517" s="379"/>
      <c r="ULI517" s="379"/>
      <c r="ULJ517" s="379"/>
      <c r="ULK517" s="13"/>
      <c r="ULL517" s="13"/>
      <c r="ULM517" s="193"/>
      <c r="ULN517" s="379"/>
      <c r="ULO517" s="379"/>
      <c r="ULP517" s="379"/>
      <c r="ULQ517" s="379"/>
      <c r="ULR517" s="379"/>
      <c r="ULS517" s="13"/>
      <c r="ULT517" s="13"/>
      <c r="ULU517" s="193"/>
      <c r="ULV517" s="379"/>
      <c r="ULW517" s="379"/>
      <c r="ULX517" s="379"/>
      <c r="ULY517" s="379"/>
      <c r="ULZ517" s="379"/>
      <c r="UMA517" s="13"/>
      <c r="UMB517" s="13"/>
      <c r="UMC517" s="193"/>
      <c r="UMD517" s="379"/>
      <c r="UME517" s="379"/>
      <c r="UMF517" s="379"/>
      <c r="UMG517" s="379"/>
      <c r="UMH517" s="379"/>
      <c r="UMI517" s="13"/>
      <c r="UMJ517" s="13"/>
      <c r="UMK517" s="193"/>
      <c r="UML517" s="379"/>
      <c r="UMM517" s="379"/>
      <c r="UMN517" s="379"/>
      <c r="UMO517" s="379"/>
      <c r="UMP517" s="379"/>
      <c r="UMQ517" s="13"/>
      <c r="UMR517" s="13"/>
      <c r="UMS517" s="193"/>
      <c r="UMT517" s="379"/>
      <c r="UMU517" s="379"/>
      <c r="UMV517" s="379"/>
      <c r="UMW517" s="379"/>
      <c r="UMX517" s="379"/>
      <c r="UMY517" s="13"/>
      <c r="UMZ517" s="13"/>
      <c r="UNA517" s="193"/>
      <c r="UNB517" s="379"/>
      <c r="UNC517" s="379"/>
      <c r="UND517" s="379"/>
      <c r="UNE517" s="379"/>
      <c r="UNF517" s="379"/>
      <c r="UNG517" s="13"/>
      <c r="UNH517" s="13"/>
      <c r="UNI517" s="193"/>
      <c r="UNJ517" s="379"/>
      <c r="UNK517" s="379"/>
      <c r="UNL517" s="379"/>
      <c r="UNM517" s="379"/>
      <c r="UNN517" s="379"/>
      <c r="UNO517" s="13"/>
      <c r="UNP517" s="13"/>
      <c r="UNQ517" s="193"/>
      <c r="UNR517" s="379"/>
      <c r="UNS517" s="379"/>
      <c r="UNT517" s="379"/>
      <c r="UNU517" s="379"/>
      <c r="UNV517" s="379"/>
      <c r="UNW517" s="13"/>
      <c r="UNX517" s="13"/>
      <c r="UNY517" s="193"/>
      <c r="UNZ517" s="379"/>
      <c r="UOA517" s="379"/>
      <c r="UOB517" s="379"/>
      <c r="UOC517" s="379"/>
      <c r="UOD517" s="379"/>
      <c r="UOE517" s="13"/>
      <c r="UOF517" s="13"/>
      <c r="UOG517" s="193"/>
      <c r="UOH517" s="379"/>
      <c r="UOI517" s="379"/>
      <c r="UOJ517" s="379"/>
      <c r="UOK517" s="379"/>
      <c r="UOL517" s="379"/>
      <c r="UOM517" s="13"/>
      <c r="UON517" s="13"/>
      <c r="UOO517" s="193"/>
      <c r="UOP517" s="379"/>
      <c r="UOQ517" s="379"/>
      <c r="UOR517" s="379"/>
      <c r="UOS517" s="379"/>
      <c r="UOT517" s="379"/>
      <c r="UOU517" s="13"/>
      <c r="UOV517" s="13"/>
      <c r="UOW517" s="193"/>
      <c r="UOX517" s="379"/>
      <c r="UOY517" s="379"/>
      <c r="UOZ517" s="379"/>
      <c r="UPA517" s="379"/>
      <c r="UPB517" s="379"/>
      <c r="UPC517" s="13"/>
      <c r="UPD517" s="13"/>
      <c r="UPE517" s="193"/>
      <c r="UPF517" s="379"/>
      <c r="UPG517" s="379"/>
      <c r="UPH517" s="379"/>
      <c r="UPI517" s="379"/>
      <c r="UPJ517" s="379"/>
      <c r="UPK517" s="13"/>
      <c r="UPL517" s="13"/>
      <c r="UPM517" s="193"/>
      <c r="UPN517" s="379"/>
      <c r="UPO517" s="379"/>
      <c r="UPP517" s="379"/>
      <c r="UPQ517" s="379"/>
      <c r="UPR517" s="379"/>
      <c r="UPS517" s="13"/>
      <c r="UPT517" s="13"/>
      <c r="UPU517" s="193"/>
      <c r="UPV517" s="379"/>
      <c r="UPW517" s="379"/>
      <c r="UPX517" s="379"/>
      <c r="UPY517" s="379"/>
      <c r="UPZ517" s="379"/>
      <c r="UQA517" s="13"/>
      <c r="UQB517" s="13"/>
      <c r="UQC517" s="193"/>
      <c r="UQD517" s="379"/>
      <c r="UQE517" s="379"/>
      <c r="UQF517" s="379"/>
      <c r="UQG517" s="379"/>
      <c r="UQH517" s="379"/>
      <c r="UQI517" s="13"/>
      <c r="UQJ517" s="13"/>
      <c r="UQK517" s="193"/>
      <c r="UQL517" s="379"/>
      <c r="UQM517" s="379"/>
      <c r="UQN517" s="379"/>
      <c r="UQO517" s="379"/>
      <c r="UQP517" s="379"/>
      <c r="UQQ517" s="13"/>
      <c r="UQR517" s="13"/>
      <c r="UQS517" s="193"/>
      <c r="UQT517" s="379"/>
      <c r="UQU517" s="379"/>
      <c r="UQV517" s="379"/>
      <c r="UQW517" s="379"/>
      <c r="UQX517" s="379"/>
      <c r="UQY517" s="13"/>
      <c r="UQZ517" s="13"/>
      <c r="URA517" s="193"/>
      <c r="URB517" s="379"/>
      <c r="URC517" s="379"/>
      <c r="URD517" s="379"/>
      <c r="URE517" s="379"/>
      <c r="URF517" s="379"/>
      <c r="URG517" s="13"/>
      <c r="URH517" s="13"/>
      <c r="URI517" s="193"/>
      <c r="URJ517" s="379"/>
      <c r="URK517" s="379"/>
      <c r="URL517" s="379"/>
      <c r="URM517" s="379"/>
      <c r="URN517" s="379"/>
      <c r="URO517" s="13"/>
      <c r="URP517" s="13"/>
      <c r="URQ517" s="193"/>
      <c r="URR517" s="379"/>
      <c r="URS517" s="379"/>
      <c r="URT517" s="379"/>
      <c r="URU517" s="379"/>
      <c r="URV517" s="379"/>
      <c r="URW517" s="13"/>
      <c r="URX517" s="13"/>
      <c r="URY517" s="193"/>
      <c r="URZ517" s="379"/>
      <c r="USA517" s="379"/>
      <c r="USB517" s="379"/>
      <c r="USC517" s="379"/>
      <c r="USD517" s="379"/>
      <c r="USE517" s="13"/>
      <c r="USF517" s="13"/>
      <c r="USG517" s="193"/>
      <c r="USH517" s="379"/>
      <c r="USI517" s="379"/>
      <c r="USJ517" s="379"/>
      <c r="USK517" s="379"/>
      <c r="USL517" s="379"/>
      <c r="USM517" s="13"/>
      <c r="USN517" s="13"/>
      <c r="USO517" s="193"/>
      <c r="USP517" s="379"/>
      <c r="USQ517" s="379"/>
      <c r="USR517" s="379"/>
      <c r="USS517" s="379"/>
      <c r="UST517" s="379"/>
      <c r="USU517" s="13"/>
      <c r="USV517" s="13"/>
      <c r="USW517" s="193"/>
      <c r="USX517" s="379"/>
      <c r="USY517" s="379"/>
      <c r="USZ517" s="379"/>
      <c r="UTA517" s="379"/>
      <c r="UTB517" s="379"/>
      <c r="UTC517" s="13"/>
      <c r="UTD517" s="13"/>
      <c r="UTE517" s="193"/>
      <c r="UTF517" s="379"/>
      <c r="UTG517" s="379"/>
      <c r="UTH517" s="379"/>
      <c r="UTI517" s="379"/>
      <c r="UTJ517" s="379"/>
      <c r="UTK517" s="13"/>
      <c r="UTL517" s="13"/>
      <c r="UTM517" s="193"/>
      <c r="UTN517" s="379"/>
      <c r="UTO517" s="379"/>
      <c r="UTP517" s="379"/>
      <c r="UTQ517" s="379"/>
      <c r="UTR517" s="379"/>
      <c r="UTS517" s="13"/>
      <c r="UTT517" s="13"/>
      <c r="UTU517" s="193"/>
      <c r="UTV517" s="379"/>
      <c r="UTW517" s="379"/>
      <c r="UTX517" s="379"/>
      <c r="UTY517" s="379"/>
      <c r="UTZ517" s="379"/>
      <c r="UUA517" s="13"/>
      <c r="UUB517" s="13"/>
      <c r="UUC517" s="193"/>
      <c r="UUD517" s="379"/>
      <c r="UUE517" s="379"/>
      <c r="UUF517" s="379"/>
      <c r="UUG517" s="379"/>
      <c r="UUH517" s="379"/>
      <c r="UUI517" s="13"/>
      <c r="UUJ517" s="13"/>
      <c r="UUK517" s="193"/>
      <c r="UUL517" s="379"/>
      <c r="UUM517" s="379"/>
      <c r="UUN517" s="379"/>
      <c r="UUO517" s="379"/>
      <c r="UUP517" s="379"/>
      <c r="UUQ517" s="13"/>
      <c r="UUR517" s="13"/>
      <c r="UUS517" s="193"/>
      <c r="UUT517" s="379"/>
      <c r="UUU517" s="379"/>
      <c r="UUV517" s="379"/>
      <c r="UUW517" s="379"/>
      <c r="UUX517" s="379"/>
      <c r="UUY517" s="13"/>
      <c r="UUZ517" s="13"/>
      <c r="UVA517" s="193"/>
      <c r="UVB517" s="379"/>
      <c r="UVC517" s="379"/>
      <c r="UVD517" s="379"/>
      <c r="UVE517" s="379"/>
      <c r="UVF517" s="379"/>
      <c r="UVG517" s="13"/>
      <c r="UVH517" s="13"/>
      <c r="UVI517" s="193"/>
      <c r="UVJ517" s="379"/>
      <c r="UVK517" s="379"/>
      <c r="UVL517" s="379"/>
      <c r="UVM517" s="379"/>
      <c r="UVN517" s="379"/>
      <c r="UVO517" s="13"/>
      <c r="UVP517" s="13"/>
      <c r="UVQ517" s="193"/>
      <c r="UVR517" s="379"/>
      <c r="UVS517" s="379"/>
      <c r="UVT517" s="379"/>
      <c r="UVU517" s="379"/>
      <c r="UVV517" s="379"/>
      <c r="UVW517" s="13"/>
      <c r="UVX517" s="13"/>
      <c r="UVY517" s="193"/>
      <c r="UVZ517" s="379"/>
      <c r="UWA517" s="379"/>
      <c r="UWB517" s="379"/>
      <c r="UWC517" s="379"/>
      <c r="UWD517" s="379"/>
      <c r="UWE517" s="13"/>
      <c r="UWF517" s="13"/>
      <c r="UWG517" s="193"/>
      <c r="UWH517" s="379"/>
      <c r="UWI517" s="379"/>
      <c r="UWJ517" s="379"/>
      <c r="UWK517" s="379"/>
      <c r="UWL517" s="379"/>
      <c r="UWM517" s="13"/>
      <c r="UWN517" s="13"/>
      <c r="UWO517" s="193"/>
      <c r="UWP517" s="379"/>
      <c r="UWQ517" s="379"/>
      <c r="UWR517" s="379"/>
      <c r="UWS517" s="379"/>
      <c r="UWT517" s="379"/>
      <c r="UWU517" s="13"/>
      <c r="UWV517" s="13"/>
      <c r="UWW517" s="193"/>
      <c r="UWX517" s="379"/>
      <c r="UWY517" s="379"/>
      <c r="UWZ517" s="379"/>
      <c r="UXA517" s="379"/>
      <c r="UXB517" s="379"/>
      <c r="UXC517" s="13"/>
      <c r="UXD517" s="13"/>
      <c r="UXE517" s="193"/>
      <c r="UXF517" s="379"/>
      <c r="UXG517" s="379"/>
      <c r="UXH517" s="379"/>
      <c r="UXI517" s="379"/>
      <c r="UXJ517" s="379"/>
      <c r="UXK517" s="13"/>
      <c r="UXL517" s="13"/>
      <c r="UXM517" s="193"/>
      <c r="UXN517" s="379"/>
      <c r="UXO517" s="379"/>
      <c r="UXP517" s="379"/>
      <c r="UXQ517" s="379"/>
      <c r="UXR517" s="379"/>
      <c r="UXS517" s="13"/>
      <c r="UXT517" s="13"/>
      <c r="UXU517" s="193"/>
      <c r="UXV517" s="379"/>
      <c r="UXW517" s="379"/>
      <c r="UXX517" s="379"/>
      <c r="UXY517" s="379"/>
      <c r="UXZ517" s="379"/>
      <c r="UYA517" s="13"/>
      <c r="UYB517" s="13"/>
      <c r="UYC517" s="193"/>
      <c r="UYD517" s="379"/>
      <c r="UYE517" s="379"/>
      <c r="UYF517" s="379"/>
      <c r="UYG517" s="379"/>
      <c r="UYH517" s="379"/>
      <c r="UYI517" s="13"/>
      <c r="UYJ517" s="13"/>
      <c r="UYK517" s="193"/>
      <c r="UYL517" s="379"/>
      <c r="UYM517" s="379"/>
      <c r="UYN517" s="379"/>
      <c r="UYO517" s="379"/>
      <c r="UYP517" s="379"/>
      <c r="UYQ517" s="13"/>
      <c r="UYR517" s="13"/>
      <c r="UYS517" s="193"/>
      <c r="UYT517" s="379"/>
      <c r="UYU517" s="379"/>
      <c r="UYV517" s="379"/>
      <c r="UYW517" s="379"/>
      <c r="UYX517" s="379"/>
      <c r="UYY517" s="13"/>
      <c r="UYZ517" s="13"/>
      <c r="UZA517" s="193"/>
      <c r="UZB517" s="379"/>
      <c r="UZC517" s="379"/>
      <c r="UZD517" s="379"/>
      <c r="UZE517" s="379"/>
      <c r="UZF517" s="379"/>
      <c r="UZG517" s="13"/>
      <c r="UZH517" s="13"/>
      <c r="UZI517" s="193"/>
      <c r="UZJ517" s="379"/>
      <c r="UZK517" s="379"/>
      <c r="UZL517" s="379"/>
      <c r="UZM517" s="379"/>
      <c r="UZN517" s="379"/>
      <c r="UZO517" s="13"/>
      <c r="UZP517" s="13"/>
      <c r="UZQ517" s="193"/>
      <c r="UZR517" s="379"/>
      <c r="UZS517" s="379"/>
      <c r="UZT517" s="379"/>
      <c r="UZU517" s="379"/>
      <c r="UZV517" s="379"/>
      <c r="UZW517" s="13"/>
      <c r="UZX517" s="13"/>
      <c r="UZY517" s="193"/>
      <c r="UZZ517" s="379"/>
      <c r="VAA517" s="379"/>
      <c r="VAB517" s="379"/>
      <c r="VAC517" s="379"/>
      <c r="VAD517" s="379"/>
      <c r="VAE517" s="13"/>
      <c r="VAF517" s="13"/>
      <c r="VAG517" s="193"/>
      <c r="VAH517" s="379"/>
      <c r="VAI517" s="379"/>
      <c r="VAJ517" s="379"/>
      <c r="VAK517" s="379"/>
      <c r="VAL517" s="379"/>
      <c r="VAM517" s="13"/>
      <c r="VAN517" s="13"/>
      <c r="VAO517" s="193"/>
      <c r="VAP517" s="379"/>
      <c r="VAQ517" s="379"/>
      <c r="VAR517" s="379"/>
      <c r="VAS517" s="379"/>
      <c r="VAT517" s="379"/>
      <c r="VAU517" s="13"/>
      <c r="VAV517" s="13"/>
      <c r="VAW517" s="193"/>
      <c r="VAX517" s="379"/>
      <c r="VAY517" s="379"/>
      <c r="VAZ517" s="379"/>
      <c r="VBA517" s="379"/>
      <c r="VBB517" s="379"/>
      <c r="VBC517" s="13"/>
      <c r="VBD517" s="13"/>
      <c r="VBE517" s="193"/>
      <c r="VBF517" s="379"/>
      <c r="VBG517" s="379"/>
      <c r="VBH517" s="379"/>
      <c r="VBI517" s="379"/>
      <c r="VBJ517" s="379"/>
      <c r="VBK517" s="13"/>
      <c r="VBL517" s="13"/>
      <c r="VBM517" s="193"/>
      <c r="VBN517" s="379"/>
      <c r="VBO517" s="379"/>
      <c r="VBP517" s="379"/>
      <c r="VBQ517" s="379"/>
      <c r="VBR517" s="379"/>
      <c r="VBS517" s="13"/>
      <c r="VBT517" s="13"/>
      <c r="VBU517" s="193"/>
      <c r="VBV517" s="379"/>
      <c r="VBW517" s="379"/>
      <c r="VBX517" s="379"/>
      <c r="VBY517" s="379"/>
      <c r="VBZ517" s="379"/>
      <c r="VCA517" s="13"/>
      <c r="VCB517" s="13"/>
      <c r="VCC517" s="193"/>
      <c r="VCD517" s="379"/>
      <c r="VCE517" s="379"/>
      <c r="VCF517" s="379"/>
      <c r="VCG517" s="379"/>
      <c r="VCH517" s="379"/>
      <c r="VCI517" s="13"/>
      <c r="VCJ517" s="13"/>
      <c r="VCK517" s="193"/>
      <c r="VCL517" s="379"/>
      <c r="VCM517" s="379"/>
      <c r="VCN517" s="379"/>
      <c r="VCO517" s="379"/>
      <c r="VCP517" s="379"/>
      <c r="VCQ517" s="13"/>
      <c r="VCR517" s="13"/>
      <c r="VCS517" s="193"/>
      <c r="VCT517" s="379"/>
      <c r="VCU517" s="379"/>
      <c r="VCV517" s="379"/>
      <c r="VCW517" s="379"/>
      <c r="VCX517" s="379"/>
      <c r="VCY517" s="13"/>
      <c r="VCZ517" s="13"/>
      <c r="VDA517" s="193"/>
      <c r="VDB517" s="379"/>
      <c r="VDC517" s="379"/>
      <c r="VDD517" s="379"/>
      <c r="VDE517" s="379"/>
      <c r="VDF517" s="379"/>
      <c r="VDG517" s="13"/>
      <c r="VDH517" s="13"/>
      <c r="VDI517" s="193"/>
      <c r="VDJ517" s="379"/>
      <c r="VDK517" s="379"/>
      <c r="VDL517" s="379"/>
      <c r="VDM517" s="379"/>
      <c r="VDN517" s="379"/>
      <c r="VDO517" s="13"/>
      <c r="VDP517" s="13"/>
      <c r="VDQ517" s="193"/>
      <c r="VDR517" s="379"/>
      <c r="VDS517" s="379"/>
      <c r="VDT517" s="379"/>
      <c r="VDU517" s="379"/>
      <c r="VDV517" s="379"/>
      <c r="VDW517" s="13"/>
      <c r="VDX517" s="13"/>
      <c r="VDY517" s="193"/>
      <c r="VDZ517" s="379"/>
      <c r="VEA517" s="379"/>
      <c r="VEB517" s="379"/>
      <c r="VEC517" s="379"/>
      <c r="VED517" s="379"/>
      <c r="VEE517" s="13"/>
      <c r="VEF517" s="13"/>
      <c r="VEG517" s="193"/>
      <c r="VEH517" s="379"/>
      <c r="VEI517" s="379"/>
      <c r="VEJ517" s="379"/>
      <c r="VEK517" s="379"/>
      <c r="VEL517" s="379"/>
      <c r="VEM517" s="13"/>
      <c r="VEN517" s="13"/>
      <c r="VEO517" s="193"/>
      <c r="VEP517" s="379"/>
      <c r="VEQ517" s="379"/>
      <c r="VER517" s="379"/>
      <c r="VES517" s="379"/>
      <c r="VET517" s="379"/>
      <c r="VEU517" s="13"/>
      <c r="VEV517" s="13"/>
      <c r="VEW517" s="193"/>
      <c r="VEX517" s="379"/>
      <c r="VEY517" s="379"/>
      <c r="VEZ517" s="379"/>
      <c r="VFA517" s="379"/>
      <c r="VFB517" s="379"/>
      <c r="VFC517" s="13"/>
      <c r="VFD517" s="13"/>
      <c r="VFE517" s="193"/>
      <c r="VFF517" s="379"/>
      <c r="VFG517" s="379"/>
      <c r="VFH517" s="379"/>
      <c r="VFI517" s="379"/>
      <c r="VFJ517" s="379"/>
      <c r="VFK517" s="13"/>
      <c r="VFL517" s="13"/>
      <c r="VFM517" s="193"/>
      <c r="VFN517" s="379"/>
      <c r="VFO517" s="379"/>
      <c r="VFP517" s="379"/>
      <c r="VFQ517" s="379"/>
      <c r="VFR517" s="379"/>
      <c r="VFS517" s="13"/>
      <c r="VFT517" s="13"/>
      <c r="VFU517" s="193"/>
      <c r="VFV517" s="379"/>
      <c r="VFW517" s="379"/>
      <c r="VFX517" s="379"/>
      <c r="VFY517" s="379"/>
      <c r="VFZ517" s="379"/>
      <c r="VGA517" s="13"/>
      <c r="VGB517" s="13"/>
      <c r="VGC517" s="193"/>
      <c r="VGD517" s="379"/>
      <c r="VGE517" s="379"/>
      <c r="VGF517" s="379"/>
      <c r="VGG517" s="379"/>
      <c r="VGH517" s="379"/>
      <c r="VGI517" s="13"/>
      <c r="VGJ517" s="13"/>
      <c r="VGK517" s="193"/>
      <c r="VGL517" s="379"/>
      <c r="VGM517" s="379"/>
      <c r="VGN517" s="379"/>
      <c r="VGO517" s="379"/>
      <c r="VGP517" s="379"/>
      <c r="VGQ517" s="13"/>
      <c r="VGR517" s="13"/>
      <c r="VGS517" s="193"/>
      <c r="VGT517" s="379"/>
      <c r="VGU517" s="379"/>
      <c r="VGV517" s="379"/>
      <c r="VGW517" s="379"/>
      <c r="VGX517" s="379"/>
      <c r="VGY517" s="13"/>
      <c r="VGZ517" s="13"/>
      <c r="VHA517" s="193"/>
      <c r="VHB517" s="379"/>
      <c r="VHC517" s="379"/>
      <c r="VHD517" s="379"/>
      <c r="VHE517" s="379"/>
      <c r="VHF517" s="379"/>
      <c r="VHG517" s="13"/>
      <c r="VHH517" s="13"/>
      <c r="VHI517" s="193"/>
      <c r="VHJ517" s="379"/>
      <c r="VHK517" s="379"/>
      <c r="VHL517" s="379"/>
      <c r="VHM517" s="379"/>
      <c r="VHN517" s="379"/>
      <c r="VHO517" s="13"/>
      <c r="VHP517" s="13"/>
      <c r="VHQ517" s="193"/>
      <c r="VHR517" s="379"/>
      <c r="VHS517" s="379"/>
      <c r="VHT517" s="379"/>
      <c r="VHU517" s="379"/>
      <c r="VHV517" s="379"/>
      <c r="VHW517" s="13"/>
      <c r="VHX517" s="13"/>
      <c r="VHY517" s="193"/>
      <c r="VHZ517" s="379"/>
      <c r="VIA517" s="379"/>
      <c r="VIB517" s="379"/>
      <c r="VIC517" s="379"/>
      <c r="VID517" s="379"/>
      <c r="VIE517" s="13"/>
      <c r="VIF517" s="13"/>
      <c r="VIG517" s="193"/>
      <c r="VIH517" s="379"/>
      <c r="VII517" s="379"/>
      <c r="VIJ517" s="379"/>
      <c r="VIK517" s="379"/>
      <c r="VIL517" s="379"/>
      <c r="VIM517" s="13"/>
      <c r="VIN517" s="13"/>
      <c r="VIO517" s="193"/>
      <c r="VIP517" s="379"/>
      <c r="VIQ517" s="379"/>
      <c r="VIR517" s="379"/>
      <c r="VIS517" s="379"/>
      <c r="VIT517" s="379"/>
      <c r="VIU517" s="13"/>
      <c r="VIV517" s="13"/>
      <c r="VIW517" s="193"/>
      <c r="VIX517" s="379"/>
      <c r="VIY517" s="379"/>
      <c r="VIZ517" s="379"/>
      <c r="VJA517" s="379"/>
      <c r="VJB517" s="379"/>
      <c r="VJC517" s="13"/>
      <c r="VJD517" s="13"/>
      <c r="VJE517" s="193"/>
      <c r="VJF517" s="379"/>
      <c r="VJG517" s="379"/>
      <c r="VJH517" s="379"/>
      <c r="VJI517" s="379"/>
      <c r="VJJ517" s="379"/>
      <c r="VJK517" s="13"/>
      <c r="VJL517" s="13"/>
      <c r="VJM517" s="193"/>
      <c r="VJN517" s="379"/>
      <c r="VJO517" s="379"/>
      <c r="VJP517" s="379"/>
      <c r="VJQ517" s="379"/>
      <c r="VJR517" s="379"/>
      <c r="VJS517" s="13"/>
      <c r="VJT517" s="13"/>
      <c r="VJU517" s="193"/>
      <c r="VJV517" s="379"/>
      <c r="VJW517" s="379"/>
      <c r="VJX517" s="379"/>
      <c r="VJY517" s="379"/>
      <c r="VJZ517" s="379"/>
      <c r="VKA517" s="13"/>
      <c r="VKB517" s="13"/>
      <c r="VKC517" s="193"/>
      <c r="VKD517" s="379"/>
      <c r="VKE517" s="379"/>
      <c r="VKF517" s="379"/>
      <c r="VKG517" s="379"/>
      <c r="VKH517" s="379"/>
      <c r="VKI517" s="13"/>
      <c r="VKJ517" s="13"/>
      <c r="VKK517" s="193"/>
      <c r="VKL517" s="379"/>
      <c r="VKM517" s="379"/>
      <c r="VKN517" s="379"/>
      <c r="VKO517" s="379"/>
      <c r="VKP517" s="379"/>
      <c r="VKQ517" s="13"/>
      <c r="VKR517" s="13"/>
      <c r="VKS517" s="193"/>
      <c r="VKT517" s="379"/>
      <c r="VKU517" s="379"/>
      <c r="VKV517" s="379"/>
      <c r="VKW517" s="379"/>
      <c r="VKX517" s="379"/>
      <c r="VKY517" s="13"/>
      <c r="VKZ517" s="13"/>
      <c r="VLA517" s="193"/>
      <c r="VLB517" s="379"/>
      <c r="VLC517" s="379"/>
      <c r="VLD517" s="379"/>
      <c r="VLE517" s="379"/>
      <c r="VLF517" s="379"/>
      <c r="VLG517" s="13"/>
      <c r="VLH517" s="13"/>
      <c r="VLI517" s="193"/>
      <c r="VLJ517" s="379"/>
      <c r="VLK517" s="379"/>
      <c r="VLL517" s="379"/>
      <c r="VLM517" s="379"/>
      <c r="VLN517" s="379"/>
      <c r="VLO517" s="13"/>
      <c r="VLP517" s="13"/>
      <c r="VLQ517" s="193"/>
      <c r="VLR517" s="379"/>
      <c r="VLS517" s="379"/>
      <c r="VLT517" s="379"/>
      <c r="VLU517" s="379"/>
      <c r="VLV517" s="379"/>
      <c r="VLW517" s="13"/>
      <c r="VLX517" s="13"/>
      <c r="VLY517" s="193"/>
      <c r="VLZ517" s="379"/>
      <c r="VMA517" s="379"/>
      <c r="VMB517" s="379"/>
      <c r="VMC517" s="379"/>
      <c r="VMD517" s="379"/>
      <c r="VME517" s="13"/>
      <c r="VMF517" s="13"/>
      <c r="VMG517" s="193"/>
      <c r="VMH517" s="379"/>
      <c r="VMI517" s="379"/>
      <c r="VMJ517" s="379"/>
      <c r="VMK517" s="379"/>
      <c r="VML517" s="379"/>
      <c r="VMM517" s="13"/>
      <c r="VMN517" s="13"/>
      <c r="VMO517" s="193"/>
      <c r="VMP517" s="379"/>
      <c r="VMQ517" s="379"/>
      <c r="VMR517" s="379"/>
      <c r="VMS517" s="379"/>
      <c r="VMT517" s="379"/>
      <c r="VMU517" s="13"/>
      <c r="VMV517" s="13"/>
      <c r="VMW517" s="193"/>
      <c r="VMX517" s="379"/>
      <c r="VMY517" s="379"/>
      <c r="VMZ517" s="379"/>
      <c r="VNA517" s="379"/>
      <c r="VNB517" s="379"/>
      <c r="VNC517" s="13"/>
      <c r="VND517" s="13"/>
      <c r="VNE517" s="193"/>
      <c r="VNF517" s="379"/>
      <c r="VNG517" s="379"/>
      <c r="VNH517" s="379"/>
      <c r="VNI517" s="379"/>
      <c r="VNJ517" s="379"/>
      <c r="VNK517" s="13"/>
      <c r="VNL517" s="13"/>
      <c r="VNM517" s="193"/>
      <c r="VNN517" s="379"/>
      <c r="VNO517" s="379"/>
      <c r="VNP517" s="379"/>
      <c r="VNQ517" s="379"/>
      <c r="VNR517" s="379"/>
      <c r="VNS517" s="13"/>
      <c r="VNT517" s="13"/>
      <c r="VNU517" s="193"/>
      <c r="VNV517" s="379"/>
      <c r="VNW517" s="379"/>
      <c r="VNX517" s="379"/>
      <c r="VNY517" s="379"/>
      <c r="VNZ517" s="379"/>
      <c r="VOA517" s="13"/>
      <c r="VOB517" s="13"/>
      <c r="VOC517" s="193"/>
      <c r="VOD517" s="379"/>
      <c r="VOE517" s="379"/>
      <c r="VOF517" s="379"/>
      <c r="VOG517" s="379"/>
      <c r="VOH517" s="379"/>
      <c r="VOI517" s="13"/>
      <c r="VOJ517" s="13"/>
      <c r="VOK517" s="193"/>
      <c r="VOL517" s="379"/>
      <c r="VOM517" s="379"/>
      <c r="VON517" s="379"/>
      <c r="VOO517" s="379"/>
      <c r="VOP517" s="379"/>
      <c r="VOQ517" s="13"/>
      <c r="VOR517" s="13"/>
      <c r="VOS517" s="193"/>
      <c r="VOT517" s="379"/>
      <c r="VOU517" s="379"/>
      <c r="VOV517" s="379"/>
      <c r="VOW517" s="379"/>
      <c r="VOX517" s="379"/>
      <c r="VOY517" s="13"/>
      <c r="VOZ517" s="13"/>
      <c r="VPA517" s="193"/>
      <c r="VPB517" s="379"/>
      <c r="VPC517" s="379"/>
      <c r="VPD517" s="379"/>
      <c r="VPE517" s="379"/>
      <c r="VPF517" s="379"/>
      <c r="VPG517" s="13"/>
      <c r="VPH517" s="13"/>
      <c r="VPI517" s="193"/>
      <c r="VPJ517" s="379"/>
      <c r="VPK517" s="379"/>
      <c r="VPL517" s="379"/>
      <c r="VPM517" s="379"/>
      <c r="VPN517" s="379"/>
      <c r="VPO517" s="13"/>
      <c r="VPP517" s="13"/>
      <c r="VPQ517" s="193"/>
      <c r="VPR517" s="379"/>
      <c r="VPS517" s="379"/>
      <c r="VPT517" s="379"/>
      <c r="VPU517" s="379"/>
      <c r="VPV517" s="379"/>
      <c r="VPW517" s="13"/>
      <c r="VPX517" s="13"/>
      <c r="VPY517" s="193"/>
      <c r="VPZ517" s="379"/>
      <c r="VQA517" s="379"/>
      <c r="VQB517" s="379"/>
      <c r="VQC517" s="379"/>
      <c r="VQD517" s="379"/>
      <c r="VQE517" s="13"/>
      <c r="VQF517" s="13"/>
      <c r="VQG517" s="193"/>
      <c r="VQH517" s="379"/>
      <c r="VQI517" s="379"/>
      <c r="VQJ517" s="379"/>
      <c r="VQK517" s="379"/>
      <c r="VQL517" s="379"/>
      <c r="VQM517" s="13"/>
      <c r="VQN517" s="13"/>
      <c r="VQO517" s="193"/>
      <c r="VQP517" s="379"/>
      <c r="VQQ517" s="379"/>
      <c r="VQR517" s="379"/>
      <c r="VQS517" s="379"/>
      <c r="VQT517" s="379"/>
      <c r="VQU517" s="13"/>
      <c r="VQV517" s="13"/>
      <c r="VQW517" s="193"/>
      <c r="VQX517" s="379"/>
      <c r="VQY517" s="379"/>
      <c r="VQZ517" s="379"/>
      <c r="VRA517" s="379"/>
      <c r="VRB517" s="379"/>
      <c r="VRC517" s="13"/>
      <c r="VRD517" s="13"/>
      <c r="VRE517" s="193"/>
      <c r="VRF517" s="379"/>
      <c r="VRG517" s="379"/>
      <c r="VRH517" s="379"/>
      <c r="VRI517" s="379"/>
      <c r="VRJ517" s="379"/>
      <c r="VRK517" s="13"/>
      <c r="VRL517" s="13"/>
      <c r="VRM517" s="193"/>
      <c r="VRN517" s="379"/>
      <c r="VRO517" s="379"/>
      <c r="VRP517" s="379"/>
      <c r="VRQ517" s="379"/>
      <c r="VRR517" s="379"/>
      <c r="VRS517" s="13"/>
      <c r="VRT517" s="13"/>
      <c r="VRU517" s="193"/>
      <c r="VRV517" s="379"/>
      <c r="VRW517" s="379"/>
      <c r="VRX517" s="379"/>
      <c r="VRY517" s="379"/>
      <c r="VRZ517" s="379"/>
      <c r="VSA517" s="13"/>
      <c r="VSB517" s="13"/>
      <c r="VSC517" s="193"/>
      <c r="VSD517" s="379"/>
      <c r="VSE517" s="379"/>
      <c r="VSF517" s="379"/>
      <c r="VSG517" s="379"/>
      <c r="VSH517" s="379"/>
      <c r="VSI517" s="13"/>
      <c r="VSJ517" s="13"/>
      <c r="VSK517" s="193"/>
      <c r="VSL517" s="379"/>
      <c r="VSM517" s="379"/>
      <c r="VSN517" s="379"/>
      <c r="VSO517" s="379"/>
      <c r="VSP517" s="379"/>
      <c r="VSQ517" s="13"/>
      <c r="VSR517" s="13"/>
      <c r="VSS517" s="193"/>
      <c r="VST517" s="379"/>
      <c r="VSU517" s="379"/>
      <c r="VSV517" s="379"/>
      <c r="VSW517" s="379"/>
      <c r="VSX517" s="379"/>
      <c r="VSY517" s="13"/>
      <c r="VSZ517" s="13"/>
      <c r="VTA517" s="193"/>
      <c r="VTB517" s="379"/>
      <c r="VTC517" s="379"/>
      <c r="VTD517" s="379"/>
      <c r="VTE517" s="379"/>
      <c r="VTF517" s="379"/>
      <c r="VTG517" s="13"/>
      <c r="VTH517" s="13"/>
      <c r="VTI517" s="193"/>
      <c r="VTJ517" s="379"/>
      <c r="VTK517" s="379"/>
      <c r="VTL517" s="379"/>
      <c r="VTM517" s="379"/>
      <c r="VTN517" s="379"/>
      <c r="VTO517" s="13"/>
      <c r="VTP517" s="13"/>
      <c r="VTQ517" s="193"/>
      <c r="VTR517" s="379"/>
      <c r="VTS517" s="379"/>
      <c r="VTT517" s="379"/>
      <c r="VTU517" s="379"/>
      <c r="VTV517" s="379"/>
      <c r="VTW517" s="13"/>
      <c r="VTX517" s="13"/>
      <c r="VTY517" s="193"/>
      <c r="VTZ517" s="379"/>
      <c r="VUA517" s="379"/>
      <c r="VUB517" s="379"/>
      <c r="VUC517" s="379"/>
      <c r="VUD517" s="379"/>
      <c r="VUE517" s="13"/>
      <c r="VUF517" s="13"/>
      <c r="VUG517" s="193"/>
      <c r="VUH517" s="379"/>
      <c r="VUI517" s="379"/>
      <c r="VUJ517" s="379"/>
      <c r="VUK517" s="379"/>
      <c r="VUL517" s="379"/>
      <c r="VUM517" s="13"/>
      <c r="VUN517" s="13"/>
      <c r="VUO517" s="193"/>
      <c r="VUP517" s="379"/>
      <c r="VUQ517" s="379"/>
      <c r="VUR517" s="379"/>
      <c r="VUS517" s="379"/>
      <c r="VUT517" s="379"/>
      <c r="VUU517" s="13"/>
      <c r="VUV517" s="13"/>
      <c r="VUW517" s="193"/>
      <c r="VUX517" s="379"/>
      <c r="VUY517" s="379"/>
      <c r="VUZ517" s="379"/>
      <c r="VVA517" s="379"/>
      <c r="VVB517" s="379"/>
      <c r="VVC517" s="13"/>
      <c r="VVD517" s="13"/>
      <c r="VVE517" s="193"/>
      <c r="VVF517" s="379"/>
      <c r="VVG517" s="379"/>
      <c r="VVH517" s="379"/>
      <c r="VVI517" s="379"/>
      <c r="VVJ517" s="379"/>
      <c r="VVK517" s="13"/>
      <c r="VVL517" s="13"/>
      <c r="VVM517" s="193"/>
      <c r="VVN517" s="379"/>
      <c r="VVO517" s="379"/>
      <c r="VVP517" s="379"/>
      <c r="VVQ517" s="379"/>
      <c r="VVR517" s="379"/>
      <c r="VVS517" s="13"/>
      <c r="VVT517" s="13"/>
      <c r="VVU517" s="193"/>
      <c r="VVV517" s="379"/>
      <c r="VVW517" s="379"/>
      <c r="VVX517" s="379"/>
      <c r="VVY517" s="379"/>
      <c r="VVZ517" s="379"/>
      <c r="VWA517" s="13"/>
      <c r="VWB517" s="13"/>
      <c r="VWC517" s="193"/>
      <c r="VWD517" s="379"/>
      <c r="VWE517" s="379"/>
      <c r="VWF517" s="379"/>
      <c r="VWG517" s="379"/>
      <c r="VWH517" s="379"/>
      <c r="VWI517" s="13"/>
      <c r="VWJ517" s="13"/>
      <c r="VWK517" s="193"/>
      <c r="VWL517" s="379"/>
      <c r="VWM517" s="379"/>
      <c r="VWN517" s="379"/>
      <c r="VWO517" s="379"/>
      <c r="VWP517" s="379"/>
      <c r="VWQ517" s="13"/>
      <c r="VWR517" s="13"/>
      <c r="VWS517" s="193"/>
      <c r="VWT517" s="379"/>
      <c r="VWU517" s="379"/>
      <c r="VWV517" s="379"/>
      <c r="VWW517" s="379"/>
      <c r="VWX517" s="379"/>
      <c r="VWY517" s="13"/>
      <c r="VWZ517" s="13"/>
      <c r="VXA517" s="193"/>
      <c r="VXB517" s="379"/>
      <c r="VXC517" s="379"/>
      <c r="VXD517" s="379"/>
      <c r="VXE517" s="379"/>
      <c r="VXF517" s="379"/>
      <c r="VXG517" s="13"/>
      <c r="VXH517" s="13"/>
      <c r="VXI517" s="193"/>
      <c r="VXJ517" s="379"/>
      <c r="VXK517" s="379"/>
      <c r="VXL517" s="379"/>
      <c r="VXM517" s="379"/>
      <c r="VXN517" s="379"/>
      <c r="VXO517" s="13"/>
      <c r="VXP517" s="13"/>
      <c r="VXQ517" s="193"/>
      <c r="VXR517" s="379"/>
      <c r="VXS517" s="379"/>
      <c r="VXT517" s="379"/>
      <c r="VXU517" s="379"/>
      <c r="VXV517" s="379"/>
      <c r="VXW517" s="13"/>
      <c r="VXX517" s="13"/>
      <c r="VXY517" s="193"/>
      <c r="VXZ517" s="379"/>
      <c r="VYA517" s="379"/>
      <c r="VYB517" s="379"/>
      <c r="VYC517" s="379"/>
      <c r="VYD517" s="379"/>
      <c r="VYE517" s="13"/>
      <c r="VYF517" s="13"/>
      <c r="VYG517" s="193"/>
      <c r="VYH517" s="379"/>
      <c r="VYI517" s="379"/>
      <c r="VYJ517" s="379"/>
      <c r="VYK517" s="379"/>
      <c r="VYL517" s="379"/>
      <c r="VYM517" s="13"/>
      <c r="VYN517" s="13"/>
      <c r="VYO517" s="193"/>
      <c r="VYP517" s="379"/>
      <c r="VYQ517" s="379"/>
      <c r="VYR517" s="379"/>
      <c r="VYS517" s="379"/>
      <c r="VYT517" s="379"/>
      <c r="VYU517" s="13"/>
      <c r="VYV517" s="13"/>
      <c r="VYW517" s="193"/>
      <c r="VYX517" s="379"/>
      <c r="VYY517" s="379"/>
      <c r="VYZ517" s="379"/>
      <c r="VZA517" s="379"/>
      <c r="VZB517" s="379"/>
      <c r="VZC517" s="13"/>
      <c r="VZD517" s="13"/>
      <c r="VZE517" s="193"/>
      <c r="VZF517" s="379"/>
      <c r="VZG517" s="379"/>
      <c r="VZH517" s="379"/>
      <c r="VZI517" s="379"/>
      <c r="VZJ517" s="379"/>
      <c r="VZK517" s="13"/>
      <c r="VZL517" s="13"/>
      <c r="VZM517" s="193"/>
      <c r="VZN517" s="379"/>
      <c r="VZO517" s="379"/>
      <c r="VZP517" s="379"/>
      <c r="VZQ517" s="379"/>
      <c r="VZR517" s="379"/>
      <c r="VZS517" s="13"/>
      <c r="VZT517" s="13"/>
      <c r="VZU517" s="193"/>
      <c r="VZV517" s="379"/>
      <c r="VZW517" s="379"/>
      <c r="VZX517" s="379"/>
      <c r="VZY517" s="379"/>
      <c r="VZZ517" s="379"/>
      <c r="WAA517" s="13"/>
      <c r="WAB517" s="13"/>
      <c r="WAC517" s="193"/>
      <c r="WAD517" s="379"/>
      <c r="WAE517" s="379"/>
      <c r="WAF517" s="379"/>
      <c r="WAG517" s="379"/>
      <c r="WAH517" s="379"/>
      <c r="WAI517" s="13"/>
      <c r="WAJ517" s="13"/>
      <c r="WAK517" s="193"/>
      <c r="WAL517" s="379"/>
      <c r="WAM517" s="379"/>
      <c r="WAN517" s="379"/>
      <c r="WAO517" s="379"/>
      <c r="WAP517" s="379"/>
      <c r="WAQ517" s="13"/>
      <c r="WAR517" s="13"/>
      <c r="WAS517" s="193"/>
      <c r="WAT517" s="379"/>
      <c r="WAU517" s="379"/>
      <c r="WAV517" s="379"/>
      <c r="WAW517" s="379"/>
      <c r="WAX517" s="379"/>
      <c r="WAY517" s="13"/>
      <c r="WAZ517" s="13"/>
      <c r="WBA517" s="193"/>
      <c r="WBB517" s="379"/>
      <c r="WBC517" s="379"/>
      <c r="WBD517" s="379"/>
      <c r="WBE517" s="379"/>
      <c r="WBF517" s="379"/>
      <c r="WBG517" s="13"/>
      <c r="WBH517" s="13"/>
      <c r="WBI517" s="193"/>
      <c r="WBJ517" s="379"/>
      <c r="WBK517" s="379"/>
      <c r="WBL517" s="379"/>
      <c r="WBM517" s="379"/>
      <c r="WBN517" s="379"/>
      <c r="WBO517" s="13"/>
      <c r="WBP517" s="13"/>
      <c r="WBQ517" s="193"/>
      <c r="WBR517" s="379"/>
      <c r="WBS517" s="379"/>
      <c r="WBT517" s="379"/>
      <c r="WBU517" s="379"/>
      <c r="WBV517" s="379"/>
      <c r="WBW517" s="13"/>
      <c r="WBX517" s="13"/>
      <c r="WBY517" s="193"/>
      <c r="WBZ517" s="379"/>
      <c r="WCA517" s="379"/>
      <c r="WCB517" s="379"/>
      <c r="WCC517" s="379"/>
      <c r="WCD517" s="379"/>
      <c r="WCE517" s="13"/>
      <c r="WCF517" s="13"/>
      <c r="WCG517" s="193"/>
      <c r="WCH517" s="379"/>
      <c r="WCI517" s="379"/>
      <c r="WCJ517" s="379"/>
      <c r="WCK517" s="379"/>
      <c r="WCL517" s="379"/>
      <c r="WCM517" s="13"/>
      <c r="WCN517" s="13"/>
      <c r="WCO517" s="193"/>
      <c r="WCP517" s="379"/>
      <c r="WCQ517" s="379"/>
      <c r="WCR517" s="379"/>
      <c r="WCS517" s="379"/>
      <c r="WCT517" s="379"/>
      <c r="WCU517" s="13"/>
      <c r="WCV517" s="13"/>
      <c r="WCW517" s="193"/>
      <c r="WCX517" s="379"/>
      <c r="WCY517" s="379"/>
      <c r="WCZ517" s="379"/>
      <c r="WDA517" s="379"/>
      <c r="WDB517" s="379"/>
      <c r="WDC517" s="13"/>
      <c r="WDD517" s="13"/>
      <c r="WDE517" s="193"/>
      <c r="WDF517" s="379"/>
      <c r="WDG517" s="379"/>
      <c r="WDH517" s="379"/>
      <c r="WDI517" s="379"/>
      <c r="WDJ517" s="379"/>
      <c r="WDK517" s="13"/>
      <c r="WDL517" s="13"/>
      <c r="WDM517" s="193"/>
      <c r="WDN517" s="379"/>
      <c r="WDO517" s="379"/>
      <c r="WDP517" s="379"/>
      <c r="WDQ517" s="379"/>
      <c r="WDR517" s="379"/>
      <c r="WDS517" s="13"/>
      <c r="WDT517" s="13"/>
      <c r="WDU517" s="193"/>
      <c r="WDV517" s="379"/>
      <c r="WDW517" s="379"/>
      <c r="WDX517" s="379"/>
      <c r="WDY517" s="379"/>
      <c r="WDZ517" s="379"/>
      <c r="WEA517" s="13"/>
      <c r="WEB517" s="13"/>
      <c r="WEC517" s="193"/>
      <c r="WED517" s="379"/>
      <c r="WEE517" s="379"/>
      <c r="WEF517" s="379"/>
      <c r="WEG517" s="379"/>
      <c r="WEH517" s="379"/>
      <c r="WEI517" s="13"/>
      <c r="WEJ517" s="13"/>
      <c r="WEK517" s="193"/>
      <c r="WEL517" s="379"/>
      <c r="WEM517" s="379"/>
      <c r="WEN517" s="379"/>
      <c r="WEO517" s="379"/>
      <c r="WEP517" s="379"/>
      <c r="WEQ517" s="13"/>
      <c r="WER517" s="13"/>
      <c r="WES517" s="193"/>
      <c r="WET517" s="379"/>
      <c r="WEU517" s="379"/>
      <c r="WEV517" s="379"/>
      <c r="WEW517" s="379"/>
      <c r="WEX517" s="379"/>
      <c r="WEY517" s="13"/>
      <c r="WEZ517" s="13"/>
      <c r="WFA517" s="193"/>
      <c r="WFB517" s="379"/>
      <c r="WFC517" s="379"/>
      <c r="WFD517" s="379"/>
      <c r="WFE517" s="379"/>
      <c r="WFF517" s="379"/>
      <c r="WFG517" s="13"/>
      <c r="WFH517" s="13"/>
      <c r="WFI517" s="193"/>
      <c r="WFJ517" s="379"/>
      <c r="WFK517" s="379"/>
      <c r="WFL517" s="379"/>
      <c r="WFM517" s="379"/>
      <c r="WFN517" s="379"/>
      <c r="WFO517" s="13"/>
      <c r="WFP517" s="13"/>
      <c r="WFQ517" s="193"/>
      <c r="WFR517" s="379"/>
      <c r="WFS517" s="379"/>
      <c r="WFT517" s="379"/>
      <c r="WFU517" s="379"/>
      <c r="WFV517" s="379"/>
      <c r="WFW517" s="13"/>
      <c r="WFX517" s="13"/>
      <c r="WFY517" s="193"/>
      <c r="WFZ517" s="379"/>
      <c r="WGA517" s="379"/>
      <c r="WGB517" s="379"/>
      <c r="WGC517" s="379"/>
      <c r="WGD517" s="379"/>
      <c r="WGE517" s="13"/>
      <c r="WGF517" s="13"/>
      <c r="WGG517" s="193"/>
      <c r="WGH517" s="379"/>
      <c r="WGI517" s="379"/>
      <c r="WGJ517" s="379"/>
      <c r="WGK517" s="379"/>
      <c r="WGL517" s="379"/>
      <c r="WGM517" s="13"/>
      <c r="WGN517" s="13"/>
      <c r="WGO517" s="193"/>
      <c r="WGP517" s="379"/>
      <c r="WGQ517" s="379"/>
      <c r="WGR517" s="379"/>
      <c r="WGS517" s="379"/>
      <c r="WGT517" s="379"/>
      <c r="WGU517" s="13"/>
      <c r="WGV517" s="13"/>
      <c r="WGW517" s="193"/>
      <c r="WGX517" s="379"/>
      <c r="WGY517" s="379"/>
      <c r="WGZ517" s="379"/>
      <c r="WHA517" s="379"/>
      <c r="WHB517" s="379"/>
      <c r="WHC517" s="13"/>
      <c r="WHD517" s="13"/>
      <c r="WHE517" s="193"/>
      <c r="WHF517" s="379"/>
      <c r="WHG517" s="379"/>
      <c r="WHH517" s="379"/>
      <c r="WHI517" s="379"/>
      <c r="WHJ517" s="379"/>
      <c r="WHK517" s="13"/>
      <c r="WHL517" s="13"/>
      <c r="WHM517" s="193"/>
      <c r="WHN517" s="379"/>
      <c r="WHO517" s="379"/>
      <c r="WHP517" s="379"/>
      <c r="WHQ517" s="379"/>
      <c r="WHR517" s="379"/>
      <c r="WHS517" s="13"/>
      <c r="WHT517" s="13"/>
      <c r="WHU517" s="193"/>
      <c r="WHV517" s="379"/>
      <c r="WHW517" s="379"/>
      <c r="WHX517" s="379"/>
      <c r="WHY517" s="379"/>
      <c r="WHZ517" s="379"/>
      <c r="WIA517" s="13"/>
      <c r="WIB517" s="13"/>
      <c r="WIC517" s="193"/>
      <c r="WID517" s="379"/>
      <c r="WIE517" s="379"/>
      <c r="WIF517" s="379"/>
      <c r="WIG517" s="379"/>
      <c r="WIH517" s="379"/>
      <c r="WII517" s="13"/>
      <c r="WIJ517" s="13"/>
      <c r="WIK517" s="193"/>
      <c r="WIL517" s="379"/>
      <c r="WIM517" s="379"/>
      <c r="WIN517" s="379"/>
      <c r="WIO517" s="379"/>
      <c r="WIP517" s="379"/>
      <c r="WIQ517" s="13"/>
      <c r="WIR517" s="13"/>
      <c r="WIS517" s="193"/>
      <c r="WIT517" s="379"/>
      <c r="WIU517" s="379"/>
      <c r="WIV517" s="379"/>
      <c r="WIW517" s="379"/>
      <c r="WIX517" s="379"/>
      <c r="WIY517" s="13"/>
      <c r="WIZ517" s="13"/>
      <c r="WJA517" s="193"/>
      <c r="WJB517" s="379"/>
      <c r="WJC517" s="379"/>
      <c r="WJD517" s="379"/>
      <c r="WJE517" s="379"/>
      <c r="WJF517" s="379"/>
      <c r="WJG517" s="13"/>
      <c r="WJH517" s="13"/>
      <c r="WJI517" s="193"/>
      <c r="WJJ517" s="379"/>
      <c r="WJK517" s="379"/>
      <c r="WJL517" s="379"/>
      <c r="WJM517" s="379"/>
      <c r="WJN517" s="379"/>
      <c r="WJO517" s="13"/>
      <c r="WJP517" s="13"/>
      <c r="WJQ517" s="193"/>
      <c r="WJR517" s="379"/>
      <c r="WJS517" s="379"/>
      <c r="WJT517" s="379"/>
      <c r="WJU517" s="379"/>
      <c r="WJV517" s="379"/>
      <c r="WJW517" s="13"/>
      <c r="WJX517" s="13"/>
      <c r="WJY517" s="193"/>
      <c r="WJZ517" s="379"/>
      <c r="WKA517" s="379"/>
      <c r="WKB517" s="379"/>
      <c r="WKC517" s="379"/>
      <c r="WKD517" s="379"/>
      <c r="WKE517" s="13"/>
      <c r="WKF517" s="13"/>
      <c r="WKG517" s="193"/>
      <c r="WKH517" s="379"/>
      <c r="WKI517" s="379"/>
      <c r="WKJ517" s="379"/>
      <c r="WKK517" s="379"/>
      <c r="WKL517" s="379"/>
      <c r="WKM517" s="13"/>
      <c r="WKN517" s="13"/>
      <c r="WKO517" s="193"/>
      <c r="WKP517" s="379"/>
      <c r="WKQ517" s="379"/>
      <c r="WKR517" s="379"/>
      <c r="WKS517" s="379"/>
      <c r="WKT517" s="379"/>
      <c r="WKU517" s="13"/>
      <c r="WKV517" s="13"/>
      <c r="WKW517" s="193"/>
      <c r="WKX517" s="379"/>
      <c r="WKY517" s="379"/>
      <c r="WKZ517" s="379"/>
      <c r="WLA517" s="379"/>
      <c r="WLB517" s="379"/>
      <c r="WLC517" s="13"/>
      <c r="WLD517" s="13"/>
      <c r="WLE517" s="193"/>
      <c r="WLF517" s="379"/>
      <c r="WLG517" s="379"/>
      <c r="WLH517" s="379"/>
      <c r="WLI517" s="379"/>
      <c r="WLJ517" s="379"/>
      <c r="WLK517" s="13"/>
      <c r="WLL517" s="13"/>
      <c r="WLM517" s="193"/>
      <c r="WLN517" s="379"/>
      <c r="WLO517" s="379"/>
      <c r="WLP517" s="379"/>
      <c r="WLQ517" s="379"/>
      <c r="WLR517" s="379"/>
      <c r="WLS517" s="13"/>
      <c r="WLT517" s="13"/>
      <c r="WLU517" s="193"/>
      <c r="WLV517" s="379"/>
      <c r="WLW517" s="379"/>
      <c r="WLX517" s="379"/>
      <c r="WLY517" s="379"/>
      <c r="WLZ517" s="379"/>
      <c r="WMA517" s="13"/>
      <c r="WMB517" s="13"/>
      <c r="WMC517" s="193"/>
      <c r="WMD517" s="379"/>
      <c r="WME517" s="379"/>
      <c r="WMF517" s="379"/>
      <c r="WMG517" s="379"/>
      <c r="WMH517" s="379"/>
      <c r="WMI517" s="13"/>
      <c r="WMJ517" s="13"/>
      <c r="WMK517" s="193"/>
      <c r="WML517" s="379"/>
      <c r="WMM517" s="379"/>
      <c r="WMN517" s="379"/>
      <c r="WMO517" s="379"/>
      <c r="WMP517" s="379"/>
      <c r="WMQ517" s="13"/>
      <c r="WMR517" s="13"/>
      <c r="WMS517" s="193"/>
      <c r="WMT517" s="379"/>
      <c r="WMU517" s="379"/>
      <c r="WMV517" s="379"/>
      <c r="WMW517" s="379"/>
      <c r="WMX517" s="379"/>
      <c r="WMY517" s="13"/>
      <c r="WMZ517" s="13"/>
      <c r="WNA517" s="193"/>
      <c r="WNB517" s="379"/>
      <c r="WNC517" s="379"/>
      <c r="WND517" s="379"/>
      <c r="WNE517" s="379"/>
      <c r="WNF517" s="379"/>
      <c r="WNG517" s="13"/>
      <c r="WNH517" s="13"/>
      <c r="WNI517" s="193"/>
      <c r="WNJ517" s="379"/>
      <c r="WNK517" s="379"/>
      <c r="WNL517" s="379"/>
      <c r="WNM517" s="379"/>
      <c r="WNN517" s="379"/>
      <c r="WNO517" s="13"/>
      <c r="WNP517" s="13"/>
      <c r="WNQ517" s="193"/>
      <c r="WNR517" s="379"/>
      <c r="WNS517" s="379"/>
      <c r="WNT517" s="379"/>
      <c r="WNU517" s="379"/>
      <c r="WNV517" s="379"/>
      <c r="WNW517" s="13"/>
      <c r="WNX517" s="13"/>
      <c r="WNY517" s="193"/>
      <c r="WNZ517" s="379"/>
      <c r="WOA517" s="379"/>
      <c r="WOB517" s="379"/>
      <c r="WOC517" s="379"/>
      <c r="WOD517" s="379"/>
      <c r="WOE517" s="13"/>
      <c r="WOF517" s="13"/>
      <c r="WOG517" s="193"/>
      <c r="WOH517" s="379"/>
      <c r="WOI517" s="379"/>
      <c r="WOJ517" s="379"/>
      <c r="WOK517" s="379"/>
      <c r="WOL517" s="379"/>
      <c r="WOM517" s="13"/>
      <c r="WON517" s="13"/>
      <c r="WOO517" s="193"/>
      <c r="WOP517" s="379"/>
      <c r="WOQ517" s="379"/>
      <c r="WOR517" s="379"/>
      <c r="WOS517" s="379"/>
      <c r="WOT517" s="379"/>
      <c r="WOU517" s="13"/>
      <c r="WOV517" s="13"/>
      <c r="WOW517" s="193"/>
      <c r="WOX517" s="379"/>
      <c r="WOY517" s="379"/>
      <c r="WOZ517" s="379"/>
      <c r="WPA517" s="379"/>
      <c r="WPB517" s="379"/>
      <c r="WPC517" s="13"/>
      <c r="WPD517" s="13"/>
      <c r="WPE517" s="193"/>
      <c r="WPF517" s="379"/>
      <c r="WPG517" s="379"/>
      <c r="WPH517" s="379"/>
      <c r="WPI517" s="379"/>
      <c r="WPJ517" s="379"/>
      <c r="WPK517" s="13"/>
      <c r="WPL517" s="13"/>
      <c r="WPM517" s="193"/>
      <c r="WPN517" s="379"/>
      <c r="WPO517" s="379"/>
      <c r="WPP517" s="379"/>
      <c r="WPQ517" s="379"/>
      <c r="WPR517" s="379"/>
      <c r="WPS517" s="13"/>
      <c r="WPT517" s="13"/>
      <c r="WPU517" s="193"/>
      <c r="WPV517" s="379"/>
      <c r="WPW517" s="379"/>
      <c r="WPX517" s="379"/>
      <c r="WPY517" s="379"/>
      <c r="WPZ517" s="379"/>
      <c r="WQA517" s="13"/>
      <c r="WQB517" s="13"/>
      <c r="WQC517" s="193"/>
      <c r="WQD517" s="379"/>
      <c r="WQE517" s="379"/>
      <c r="WQF517" s="379"/>
      <c r="WQG517" s="379"/>
      <c r="WQH517" s="379"/>
      <c r="WQI517" s="13"/>
      <c r="WQJ517" s="13"/>
      <c r="WQK517" s="193"/>
      <c r="WQL517" s="379"/>
      <c r="WQM517" s="379"/>
      <c r="WQN517" s="379"/>
      <c r="WQO517" s="379"/>
      <c r="WQP517" s="379"/>
      <c r="WQQ517" s="13"/>
      <c r="WQR517" s="13"/>
      <c r="WQS517" s="193"/>
      <c r="WQT517" s="379"/>
      <c r="WQU517" s="379"/>
      <c r="WQV517" s="379"/>
      <c r="WQW517" s="379"/>
      <c r="WQX517" s="379"/>
      <c r="WQY517" s="13"/>
      <c r="WQZ517" s="13"/>
      <c r="WRA517" s="193"/>
      <c r="WRB517" s="379"/>
      <c r="WRC517" s="379"/>
      <c r="WRD517" s="379"/>
      <c r="WRE517" s="379"/>
      <c r="WRF517" s="379"/>
      <c r="WRG517" s="13"/>
      <c r="WRH517" s="13"/>
      <c r="WRI517" s="193"/>
      <c r="WRJ517" s="379"/>
      <c r="WRK517" s="379"/>
      <c r="WRL517" s="379"/>
      <c r="WRM517" s="379"/>
      <c r="WRN517" s="379"/>
      <c r="WRO517" s="13"/>
      <c r="WRP517" s="13"/>
      <c r="WRQ517" s="193"/>
      <c r="WRR517" s="379"/>
      <c r="WRS517" s="379"/>
      <c r="WRT517" s="379"/>
      <c r="WRU517" s="379"/>
      <c r="WRV517" s="379"/>
      <c r="WRW517" s="13"/>
      <c r="WRX517" s="13"/>
      <c r="WRY517" s="193"/>
      <c r="WRZ517" s="379"/>
      <c r="WSA517" s="379"/>
      <c r="WSB517" s="379"/>
      <c r="WSC517" s="379"/>
      <c r="WSD517" s="379"/>
      <c r="WSE517" s="13"/>
      <c r="WSF517" s="13"/>
      <c r="WSG517" s="193"/>
      <c r="WSH517" s="379"/>
      <c r="WSI517" s="379"/>
      <c r="WSJ517" s="379"/>
      <c r="WSK517" s="379"/>
      <c r="WSL517" s="379"/>
      <c r="WSM517" s="13"/>
      <c r="WSN517" s="13"/>
      <c r="WSO517" s="193"/>
      <c r="WSP517" s="379"/>
      <c r="WSQ517" s="379"/>
      <c r="WSR517" s="379"/>
      <c r="WSS517" s="379"/>
      <c r="WST517" s="379"/>
      <c r="WSU517" s="13"/>
      <c r="WSV517" s="13"/>
      <c r="WSW517" s="193"/>
      <c r="WSX517" s="379"/>
      <c r="WSY517" s="379"/>
      <c r="WSZ517" s="379"/>
      <c r="WTA517" s="379"/>
      <c r="WTB517" s="379"/>
      <c r="WTC517" s="13"/>
      <c r="WTD517" s="13"/>
      <c r="WTE517" s="193"/>
      <c r="WTF517" s="379"/>
      <c r="WTG517" s="379"/>
      <c r="WTH517" s="379"/>
      <c r="WTI517" s="379"/>
      <c r="WTJ517" s="379"/>
      <c r="WTK517" s="13"/>
      <c r="WTL517" s="13"/>
      <c r="WTM517" s="193"/>
      <c r="WTN517" s="379"/>
      <c r="WTO517" s="379"/>
      <c r="WTP517" s="379"/>
      <c r="WTQ517" s="379"/>
      <c r="WTR517" s="379"/>
      <c r="WTS517" s="13"/>
      <c r="WTT517" s="13"/>
      <c r="WTU517" s="193"/>
      <c r="WTV517" s="379"/>
      <c r="WTW517" s="379"/>
      <c r="WTX517" s="379"/>
      <c r="WTY517" s="379"/>
      <c r="WTZ517" s="379"/>
      <c r="WUA517" s="13"/>
      <c r="WUB517" s="13"/>
      <c r="WUC517" s="193"/>
      <c r="WUD517" s="379"/>
      <c r="WUE517" s="379"/>
      <c r="WUF517" s="379"/>
      <c r="WUG517" s="379"/>
      <c r="WUH517" s="379"/>
      <c r="WUI517" s="13"/>
      <c r="WUJ517" s="13"/>
      <c r="WUK517" s="193"/>
      <c r="WUL517" s="379"/>
      <c r="WUM517" s="379"/>
      <c r="WUN517" s="379"/>
      <c r="WUO517" s="379"/>
      <c r="WUP517" s="379"/>
      <c r="WUQ517" s="13"/>
      <c r="WUR517" s="13"/>
      <c r="WUS517" s="193"/>
      <c r="WUT517" s="379"/>
      <c r="WUU517" s="379"/>
      <c r="WUV517" s="379"/>
      <c r="WUW517" s="379"/>
      <c r="WUX517" s="379"/>
      <c r="WUY517" s="13"/>
      <c r="WUZ517" s="13"/>
      <c r="WVA517" s="193"/>
      <c r="WVB517" s="379"/>
      <c r="WVC517" s="379"/>
      <c r="WVD517" s="379"/>
      <c r="WVE517" s="379"/>
      <c r="WVF517" s="379"/>
      <c r="WVG517" s="13"/>
      <c r="WVH517" s="13"/>
      <c r="WVI517" s="193"/>
      <c r="WVJ517" s="379"/>
      <c r="WVK517" s="379"/>
      <c r="WVL517" s="379"/>
      <c r="WVM517" s="379"/>
      <c r="WVN517" s="379"/>
      <c r="WVO517" s="13"/>
      <c r="WVP517" s="13"/>
      <c r="WVQ517" s="193"/>
      <c r="WVR517" s="379"/>
      <c r="WVS517" s="379"/>
      <c r="WVT517" s="379"/>
      <c r="WVU517" s="379"/>
      <c r="WVV517" s="379"/>
      <c r="WVW517" s="13"/>
      <c r="WVX517" s="13"/>
      <c r="WVY517" s="193"/>
      <c r="WVZ517" s="379"/>
      <c r="WWA517" s="379"/>
      <c r="WWB517" s="379"/>
      <c r="WWC517" s="379"/>
      <c r="WWD517" s="379"/>
      <c r="WWE517" s="13"/>
      <c r="WWF517" s="13"/>
      <c r="WWG517" s="193"/>
      <c r="WWH517" s="379"/>
      <c r="WWI517" s="379"/>
      <c r="WWJ517" s="379"/>
      <c r="WWK517" s="379"/>
      <c r="WWL517" s="379"/>
      <c r="WWM517" s="13"/>
      <c r="WWN517" s="13"/>
      <c r="WWO517" s="193"/>
      <c r="WWP517" s="379"/>
      <c r="WWQ517" s="379"/>
      <c r="WWR517" s="379"/>
      <c r="WWS517" s="379"/>
      <c r="WWT517" s="379"/>
      <c r="WWU517" s="13"/>
      <c r="WWV517" s="13"/>
      <c r="WWW517" s="193"/>
      <c r="WWX517" s="379"/>
      <c r="WWY517" s="379"/>
      <c r="WWZ517" s="379"/>
      <c r="WXA517" s="379"/>
      <c r="WXB517" s="379"/>
      <c r="WXC517" s="13"/>
      <c r="WXD517" s="13"/>
      <c r="WXE517" s="193"/>
      <c r="WXF517" s="379"/>
      <c r="WXG517" s="379"/>
      <c r="WXH517" s="379"/>
      <c r="WXI517" s="379"/>
      <c r="WXJ517" s="379"/>
      <c r="WXK517" s="13"/>
      <c r="WXL517" s="13"/>
      <c r="WXM517" s="193"/>
      <c r="WXN517" s="379"/>
      <c r="WXO517" s="379"/>
      <c r="WXP517" s="379"/>
      <c r="WXQ517" s="379"/>
      <c r="WXR517" s="379"/>
      <c r="WXS517" s="13"/>
      <c r="WXT517" s="13"/>
      <c r="WXU517" s="193"/>
      <c r="WXV517" s="379"/>
      <c r="WXW517" s="379"/>
      <c r="WXX517" s="379"/>
      <c r="WXY517" s="379"/>
      <c r="WXZ517" s="379"/>
      <c r="WYA517" s="13"/>
      <c r="WYB517" s="13"/>
      <c r="WYC517" s="193"/>
      <c r="WYD517" s="379"/>
      <c r="WYE517" s="379"/>
      <c r="WYF517" s="379"/>
      <c r="WYG517" s="379"/>
      <c r="WYH517" s="379"/>
      <c r="WYI517" s="13"/>
      <c r="WYJ517" s="13"/>
      <c r="WYK517" s="193"/>
      <c r="WYL517" s="379"/>
      <c r="WYM517" s="379"/>
      <c r="WYN517" s="379"/>
      <c r="WYO517" s="379"/>
      <c r="WYP517" s="379"/>
      <c r="WYQ517" s="13"/>
      <c r="WYR517" s="13"/>
      <c r="WYS517" s="193"/>
      <c r="WYT517" s="379"/>
      <c r="WYU517" s="379"/>
      <c r="WYV517" s="379"/>
      <c r="WYW517" s="379"/>
      <c r="WYX517" s="379"/>
      <c r="WYY517" s="13"/>
      <c r="WYZ517" s="13"/>
      <c r="WZA517" s="193"/>
      <c r="WZB517" s="379"/>
      <c r="WZC517" s="379"/>
      <c r="WZD517" s="379"/>
      <c r="WZE517" s="379"/>
      <c r="WZF517" s="379"/>
      <c r="WZG517" s="13"/>
      <c r="WZH517" s="13"/>
      <c r="WZI517" s="193"/>
      <c r="WZJ517" s="379"/>
      <c r="WZK517" s="379"/>
      <c r="WZL517" s="379"/>
      <c r="WZM517" s="379"/>
      <c r="WZN517" s="379"/>
      <c r="WZO517" s="13"/>
      <c r="WZP517" s="13"/>
      <c r="WZQ517" s="193"/>
      <c r="WZR517" s="379"/>
      <c r="WZS517" s="379"/>
      <c r="WZT517" s="379"/>
      <c r="WZU517" s="379"/>
      <c r="WZV517" s="379"/>
      <c r="WZW517" s="13"/>
      <c r="WZX517" s="13"/>
      <c r="WZY517" s="193"/>
      <c r="WZZ517" s="379"/>
      <c r="XAA517" s="379"/>
      <c r="XAB517" s="379"/>
      <c r="XAC517" s="379"/>
      <c r="XAD517" s="379"/>
      <c r="XAE517" s="13"/>
      <c r="XAF517" s="13"/>
      <c r="XAG517" s="193"/>
      <c r="XAH517" s="379"/>
      <c r="XAI517" s="379"/>
      <c r="XAJ517" s="379"/>
      <c r="XAK517" s="379"/>
      <c r="XAL517" s="379"/>
      <c r="XAM517" s="13"/>
      <c r="XAN517" s="13"/>
      <c r="XAO517" s="193"/>
      <c r="XAP517" s="379"/>
      <c r="XAQ517" s="379"/>
      <c r="XAR517" s="379"/>
      <c r="XAS517" s="379"/>
      <c r="XAT517" s="379"/>
      <c r="XAU517" s="13"/>
      <c r="XAV517" s="13"/>
      <c r="XAW517" s="193"/>
      <c r="XAX517" s="379"/>
      <c r="XAY517" s="379"/>
      <c r="XAZ517" s="379"/>
      <c r="XBA517" s="379"/>
      <c r="XBB517" s="379"/>
      <c r="XBC517" s="13"/>
      <c r="XBD517" s="13"/>
      <c r="XBE517" s="193"/>
      <c r="XBF517" s="379"/>
      <c r="XBG517" s="379"/>
      <c r="XBH517" s="379"/>
      <c r="XBI517" s="379"/>
      <c r="XBJ517" s="379"/>
      <c r="XBK517" s="13"/>
      <c r="XBL517" s="13"/>
      <c r="XBM517" s="193"/>
      <c r="XBN517" s="379"/>
      <c r="XBO517" s="379"/>
      <c r="XBP517" s="379"/>
      <c r="XBQ517" s="379"/>
      <c r="XBR517" s="379"/>
      <c r="XBS517" s="13"/>
      <c r="XBT517" s="13"/>
      <c r="XBU517" s="193"/>
      <c r="XBV517" s="379"/>
      <c r="XBW517" s="379"/>
      <c r="XBX517" s="379"/>
      <c r="XBY517" s="379"/>
      <c r="XBZ517" s="379"/>
      <c r="XCA517" s="13"/>
      <c r="XCB517" s="13"/>
      <c r="XCC517" s="193"/>
      <c r="XCD517" s="379"/>
      <c r="XCE517" s="379"/>
      <c r="XCF517" s="379"/>
      <c r="XCG517" s="379"/>
      <c r="XCH517" s="379"/>
      <c r="XCI517" s="13"/>
      <c r="XCJ517" s="13"/>
      <c r="XCK517" s="193"/>
      <c r="XCL517" s="379"/>
      <c r="XCM517" s="379"/>
      <c r="XCN517" s="379"/>
      <c r="XCO517" s="379"/>
      <c r="XCP517" s="379"/>
      <c r="XCQ517" s="13"/>
      <c r="XCR517" s="13"/>
      <c r="XCS517" s="193"/>
      <c r="XCT517" s="379"/>
      <c r="XCU517" s="379"/>
      <c r="XCV517" s="379"/>
      <c r="XCW517" s="379"/>
      <c r="XCX517" s="379"/>
      <c r="XCY517" s="13"/>
      <c r="XCZ517" s="13"/>
      <c r="XDA517" s="193"/>
      <c r="XDB517" s="379"/>
      <c r="XDC517" s="379"/>
      <c r="XDD517" s="379"/>
      <c r="XDE517" s="379"/>
      <c r="XDF517" s="379"/>
      <c r="XDG517" s="13"/>
      <c r="XDH517" s="13"/>
      <c r="XDI517" s="193"/>
      <c r="XDJ517" s="379"/>
      <c r="XDK517" s="379"/>
      <c r="XDL517" s="379"/>
      <c r="XDM517" s="379"/>
      <c r="XDN517" s="379"/>
      <c r="XDO517" s="13"/>
      <c r="XDP517" s="13"/>
      <c r="XDQ517" s="193"/>
      <c r="XDR517" s="379"/>
      <c r="XDS517" s="379"/>
      <c r="XDT517" s="379"/>
      <c r="XDU517" s="379"/>
      <c r="XDV517" s="379"/>
      <c r="XDW517" s="13"/>
      <c r="XDX517" s="13"/>
      <c r="XDY517" s="193"/>
      <c r="XDZ517" s="379"/>
      <c r="XEA517" s="379"/>
      <c r="XEB517" s="379"/>
      <c r="XEC517" s="379"/>
      <c r="XED517" s="379"/>
      <c r="XEE517" s="13"/>
      <c r="XEF517" s="13"/>
      <c r="XEG517" s="193"/>
      <c r="XEH517" s="379"/>
      <c r="XEI517" s="379"/>
      <c r="XEJ517" s="379"/>
      <c r="XEK517" s="379"/>
      <c r="XEL517" s="379"/>
      <c r="XEM517" s="13"/>
      <c r="XEN517" s="13"/>
      <c r="XEO517" s="193"/>
      <c r="XEP517" s="379"/>
      <c r="XEQ517" s="379"/>
      <c r="XER517" s="379"/>
      <c r="XES517" s="379"/>
      <c r="XET517" s="379"/>
      <c r="XEU517" s="13"/>
      <c r="XEV517" s="13"/>
      <c r="XEW517" s="193"/>
      <c r="XEX517" s="379"/>
      <c r="XEY517" s="379"/>
      <c r="XEZ517" s="379"/>
      <c r="XFA517" s="379"/>
      <c r="XFB517" s="379"/>
      <c r="XFC517" s="13"/>
      <c r="XFD517" s="13"/>
    </row>
    <row r="518" spans="1:16384" s="640" customFormat="1" ht="18" customHeight="1" x14ac:dyDescent="0.3">
      <c r="A518" s="2314"/>
      <c r="B518" s="1718" t="s">
        <v>1417</v>
      </c>
      <c r="C518" s="1718"/>
      <c r="D518" s="1718"/>
      <c r="E518" s="1718"/>
      <c r="F518" s="385" t="s">
        <v>12</v>
      </c>
      <c r="G518" s="69">
        <f>G519+G520</f>
        <v>16974</v>
      </c>
      <c r="H518" s="69">
        <f>H519+H520</f>
        <v>16974</v>
      </c>
      <c r="I518" s="69"/>
      <c r="J518" s="69"/>
      <c r="K518" s="69"/>
      <c r="L518" s="69"/>
      <c r="M518" s="677"/>
      <c r="N518" s="609"/>
      <c r="O518" s="69"/>
      <c r="P518" s="1117"/>
      <c r="Q518" s="193"/>
      <c r="R518" s="379"/>
      <c r="S518" s="379"/>
      <c r="T518" s="379"/>
      <c r="U518" s="379"/>
      <c r="V518" s="379"/>
      <c r="W518" s="1172"/>
      <c r="X518" s="13"/>
      <c r="Y518" s="193"/>
      <c r="Z518" s="379"/>
      <c r="AA518" s="379"/>
      <c r="AB518" s="379"/>
      <c r="AC518" s="379"/>
      <c r="AD518" s="379"/>
      <c r="AE518" s="13"/>
      <c r="AF518" s="13"/>
      <c r="AG518" s="193"/>
      <c r="AH518" s="379"/>
      <c r="AI518" s="379"/>
      <c r="AJ518" s="379"/>
      <c r="AK518" s="379"/>
      <c r="AL518" s="379"/>
      <c r="AM518" s="13"/>
      <c r="AN518" s="13"/>
      <c r="AO518" s="193"/>
      <c r="AP518" s="379"/>
      <c r="AQ518" s="379"/>
      <c r="AR518" s="379"/>
      <c r="AS518" s="379"/>
      <c r="AT518" s="379"/>
      <c r="AU518" s="13"/>
      <c r="AV518" s="13"/>
      <c r="AW518" s="193"/>
      <c r="AX518" s="379"/>
      <c r="AY518" s="379"/>
      <c r="AZ518" s="379"/>
      <c r="BA518" s="379"/>
      <c r="BB518" s="379"/>
      <c r="BC518" s="13"/>
      <c r="BD518" s="13"/>
      <c r="BE518" s="193"/>
      <c r="BF518" s="379"/>
      <c r="BG518" s="379"/>
      <c r="BH518" s="379"/>
      <c r="BI518" s="379"/>
      <c r="BJ518" s="379"/>
      <c r="BK518" s="13"/>
      <c r="BL518" s="13"/>
      <c r="BM518" s="193"/>
      <c r="BN518" s="379"/>
      <c r="BO518" s="379"/>
      <c r="BP518" s="379"/>
      <c r="BQ518" s="379"/>
      <c r="BR518" s="379"/>
      <c r="BS518" s="13"/>
      <c r="BT518" s="13"/>
      <c r="BU518" s="193"/>
      <c r="BV518" s="379"/>
      <c r="BW518" s="379"/>
      <c r="BX518" s="379"/>
      <c r="BY518" s="379"/>
      <c r="BZ518" s="379"/>
      <c r="CA518" s="13"/>
      <c r="CB518" s="13"/>
      <c r="CC518" s="193"/>
      <c r="CD518" s="379"/>
      <c r="CE518" s="379"/>
      <c r="CF518" s="379"/>
      <c r="CG518" s="379"/>
      <c r="CH518" s="379"/>
      <c r="CI518" s="13"/>
      <c r="CJ518" s="13"/>
      <c r="CK518" s="193"/>
      <c r="CL518" s="379"/>
      <c r="CM518" s="379"/>
      <c r="CN518" s="379"/>
      <c r="CO518" s="379"/>
      <c r="CP518" s="379"/>
      <c r="CQ518" s="13"/>
      <c r="CR518" s="13"/>
      <c r="CS518" s="193"/>
      <c r="CT518" s="379"/>
      <c r="CU518" s="379"/>
      <c r="CV518" s="379"/>
      <c r="CW518" s="379"/>
      <c r="CX518" s="379"/>
      <c r="CY518" s="13"/>
      <c r="CZ518" s="13"/>
      <c r="DA518" s="193"/>
      <c r="DB518" s="379"/>
      <c r="DC518" s="379"/>
      <c r="DD518" s="379"/>
      <c r="DE518" s="379"/>
      <c r="DF518" s="379"/>
      <c r="DG518" s="13"/>
      <c r="DH518" s="13"/>
      <c r="DI518" s="193"/>
      <c r="DJ518" s="379"/>
      <c r="DK518" s="379"/>
      <c r="DL518" s="379"/>
      <c r="DM518" s="379"/>
      <c r="DN518" s="379"/>
      <c r="DO518" s="13"/>
      <c r="DP518" s="13"/>
      <c r="DQ518" s="193"/>
      <c r="DR518" s="379"/>
      <c r="DS518" s="379"/>
      <c r="DT518" s="379"/>
      <c r="DU518" s="379"/>
      <c r="DV518" s="379"/>
      <c r="DW518" s="13"/>
      <c r="DX518" s="13"/>
      <c r="DY518" s="193"/>
      <c r="DZ518" s="379"/>
      <c r="EA518" s="379"/>
      <c r="EB518" s="379"/>
      <c r="EC518" s="379"/>
      <c r="ED518" s="379"/>
      <c r="EE518" s="13"/>
      <c r="EF518" s="13"/>
      <c r="EG518" s="193"/>
      <c r="EH518" s="379"/>
      <c r="EI518" s="379"/>
      <c r="EJ518" s="379"/>
      <c r="EK518" s="379"/>
      <c r="EL518" s="379"/>
      <c r="EM518" s="13"/>
      <c r="EN518" s="13"/>
      <c r="EO518" s="193"/>
      <c r="EP518" s="379"/>
      <c r="EQ518" s="379"/>
      <c r="ER518" s="379"/>
      <c r="ES518" s="379"/>
      <c r="ET518" s="379"/>
      <c r="EU518" s="13"/>
      <c r="EV518" s="13"/>
      <c r="EW518" s="193"/>
      <c r="EX518" s="379"/>
      <c r="EY518" s="379"/>
      <c r="EZ518" s="379"/>
      <c r="FA518" s="379"/>
      <c r="FB518" s="379"/>
      <c r="FC518" s="13"/>
      <c r="FD518" s="13"/>
      <c r="FE518" s="193"/>
      <c r="FF518" s="379"/>
      <c r="FG518" s="379"/>
      <c r="FH518" s="379"/>
      <c r="FI518" s="379"/>
      <c r="FJ518" s="379"/>
      <c r="FK518" s="13"/>
      <c r="FL518" s="13"/>
      <c r="FM518" s="193"/>
      <c r="FN518" s="379"/>
      <c r="FO518" s="379"/>
      <c r="FP518" s="379"/>
      <c r="FQ518" s="379"/>
      <c r="FR518" s="379"/>
      <c r="FS518" s="13"/>
      <c r="FT518" s="13"/>
      <c r="FU518" s="193"/>
      <c r="FV518" s="379"/>
      <c r="FW518" s="379"/>
      <c r="FX518" s="379"/>
      <c r="FY518" s="379"/>
      <c r="FZ518" s="379"/>
      <c r="GA518" s="13"/>
      <c r="GB518" s="13"/>
      <c r="GC518" s="193"/>
      <c r="GD518" s="379"/>
      <c r="GE518" s="379"/>
      <c r="GF518" s="379"/>
      <c r="GG518" s="379"/>
      <c r="GH518" s="379"/>
      <c r="GI518" s="13"/>
      <c r="GJ518" s="13"/>
      <c r="GK518" s="193"/>
      <c r="GL518" s="379"/>
      <c r="GM518" s="379"/>
      <c r="GN518" s="379"/>
      <c r="GO518" s="379"/>
      <c r="GP518" s="379"/>
      <c r="GQ518" s="13"/>
      <c r="GR518" s="13"/>
      <c r="GS518" s="193"/>
      <c r="GT518" s="379"/>
      <c r="GU518" s="379"/>
      <c r="GV518" s="379"/>
      <c r="GW518" s="379"/>
      <c r="GX518" s="379"/>
      <c r="GY518" s="13"/>
      <c r="GZ518" s="13"/>
      <c r="HA518" s="193"/>
      <c r="HB518" s="379"/>
      <c r="HC518" s="379"/>
      <c r="HD518" s="379"/>
      <c r="HE518" s="379"/>
      <c r="HF518" s="379"/>
      <c r="HG518" s="13"/>
      <c r="HH518" s="13"/>
      <c r="HI518" s="193"/>
      <c r="HJ518" s="379"/>
      <c r="HK518" s="379"/>
      <c r="HL518" s="379"/>
      <c r="HM518" s="379"/>
      <c r="HN518" s="379"/>
      <c r="HO518" s="13"/>
      <c r="HP518" s="13"/>
      <c r="HQ518" s="193"/>
      <c r="HR518" s="379"/>
      <c r="HS518" s="379"/>
      <c r="HT518" s="379"/>
      <c r="HU518" s="379"/>
      <c r="HV518" s="379"/>
      <c r="HW518" s="13"/>
      <c r="HX518" s="13"/>
      <c r="HY518" s="193"/>
      <c r="HZ518" s="379"/>
      <c r="IA518" s="379"/>
      <c r="IB518" s="379"/>
      <c r="IC518" s="379"/>
      <c r="ID518" s="379"/>
      <c r="IE518" s="13"/>
      <c r="IF518" s="13"/>
      <c r="IG518" s="193"/>
      <c r="IH518" s="379"/>
      <c r="II518" s="379"/>
      <c r="IJ518" s="379"/>
      <c r="IK518" s="379"/>
      <c r="IL518" s="379"/>
      <c r="IM518" s="13"/>
      <c r="IN518" s="13"/>
      <c r="IO518" s="193"/>
      <c r="IP518" s="379"/>
      <c r="IQ518" s="379"/>
      <c r="IR518" s="379"/>
      <c r="IS518" s="379"/>
      <c r="IT518" s="379"/>
      <c r="IU518" s="13"/>
      <c r="IV518" s="13"/>
      <c r="IW518" s="193"/>
      <c r="IX518" s="379"/>
      <c r="IY518" s="379"/>
      <c r="IZ518" s="379"/>
      <c r="JA518" s="379"/>
      <c r="JB518" s="379"/>
      <c r="JC518" s="13"/>
      <c r="JD518" s="13"/>
      <c r="JE518" s="193"/>
      <c r="JF518" s="379"/>
      <c r="JG518" s="379"/>
      <c r="JH518" s="379"/>
      <c r="JI518" s="379"/>
      <c r="JJ518" s="379"/>
      <c r="JK518" s="13"/>
      <c r="JL518" s="13"/>
      <c r="JM518" s="193"/>
      <c r="JN518" s="379"/>
      <c r="JO518" s="379"/>
      <c r="JP518" s="379"/>
      <c r="JQ518" s="379"/>
      <c r="JR518" s="379"/>
      <c r="JS518" s="13"/>
      <c r="JT518" s="13"/>
      <c r="JU518" s="193"/>
      <c r="JV518" s="379"/>
      <c r="JW518" s="379"/>
      <c r="JX518" s="379"/>
      <c r="JY518" s="379"/>
      <c r="JZ518" s="379"/>
      <c r="KA518" s="13"/>
      <c r="KB518" s="13"/>
      <c r="KC518" s="193"/>
      <c r="KD518" s="379"/>
      <c r="KE518" s="379"/>
      <c r="KF518" s="379"/>
      <c r="KG518" s="379"/>
      <c r="KH518" s="379"/>
      <c r="KI518" s="13"/>
      <c r="KJ518" s="13"/>
      <c r="KK518" s="193"/>
      <c r="KL518" s="379"/>
      <c r="KM518" s="379"/>
      <c r="KN518" s="379"/>
      <c r="KO518" s="379"/>
      <c r="KP518" s="379"/>
      <c r="KQ518" s="13"/>
      <c r="KR518" s="13"/>
      <c r="KS518" s="193"/>
      <c r="KT518" s="379"/>
      <c r="KU518" s="379"/>
      <c r="KV518" s="379"/>
      <c r="KW518" s="379"/>
      <c r="KX518" s="379"/>
      <c r="KY518" s="13"/>
      <c r="KZ518" s="13"/>
      <c r="LA518" s="193"/>
      <c r="LB518" s="379"/>
      <c r="LC518" s="379"/>
      <c r="LD518" s="379"/>
      <c r="LE518" s="379"/>
      <c r="LF518" s="379"/>
      <c r="LG518" s="13"/>
      <c r="LH518" s="13"/>
      <c r="LI518" s="193"/>
      <c r="LJ518" s="379"/>
      <c r="LK518" s="379"/>
      <c r="LL518" s="379"/>
      <c r="LM518" s="379"/>
      <c r="LN518" s="379"/>
      <c r="LO518" s="13"/>
      <c r="LP518" s="13"/>
      <c r="LQ518" s="193"/>
      <c r="LR518" s="379"/>
      <c r="LS518" s="379"/>
      <c r="LT518" s="379"/>
      <c r="LU518" s="379"/>
      <c r="LV518" s="379"/>
      <c r="LW518" s="13"/>
      <c r="LX518" s="13"/>
      <c r="LY518" s="193"/>
      <c r="LZ518" s="379"/>
      <c r="MA518" s="379"/>
      <c r="MB518" s="379"/>
      <c r="MC518" s="379"/>
      <c r="MD518" s="379"/>
      <c r="ME518" s="13"/>
      <c r="MF518" s="13"/>
      <c r="MG518" s="193"/>
      <c r="MH518" s="379"/>
      <c r="MI518" s="379"/>
      <c r="MJ518" s="379"/>
      <c r="MK518" s="379"/>
      <c r="ML518" s="379"/>
      <c r="MM518" s="13"/>
      <c r="MN518" s="13"/>
      <c r="MO518" s="193"/>
      <c r="MP518" s="379"/>
      <c r="MQ518" s="379"/>
      <c r="MR518" s="379"/>
      <c r="MS518" s="379"/>
      <c r="MT518" s="379"/>
      <c r="MU518" s="13"/>
      <c r="MV518" s="13"/>
      <c r="MW518" s="193"/>
      <c r="MX518" s="379"/>
      <c r="MY518" s="379"/>
      <c r="MZ518" s="379"/>
      <c r="NA518" s="379"/>
      <c r="NB518" s="379"/>
      <c r="NC518" s="13"/>
      <c r="ND518" s="13"/>
      <c r="NE518" s="193"/>
      <c r="NF518" s="379"/>
      <c r="NG518" s="379"/>
      <c r="NH518" s="379"/>
      <c r="NI518" s="379"/>
      <c r="NJ518" s="379"/>
      <c r="NK518" s="13"/>
      <c r="NL518" s="13"/>
      <c r="NM518" s="193"/>
      <c r="NN518" s="379"/>
      <c r="NO518" s="379"/>
      <c r="NP518" s="379"/>
      <c r="NQ518" s="379"/>
      <c r="NR518" s="379"/>
      <c r="NS518" s="13"/>
      <c r="NT518" s="13"/>
      <c r="NU518" s="193"/>
      <c r="NV518" s="379"/>
      <c r="NW518" s="379"/>
      <c r="NX518" s="379"/>
      <c r="NY518" s="379"/>
      <c r="NZ518" s="379"/>
      <c r="OA518" s="13"/>
      <c r="OB518" s="13"/>
      <c r="OC518" s="193"/>
      <c r="OD518" s="379"/>
      <c r="OE518" s="379"/>
      <c r="OF518" s="379"/>
      <c r="OG518" s="379"/>
      <c r="OH518" s="379"/>
      <c r="OI518" s="13"/>
      <c r="OJ518" s="13"/>
      <c r="OK518" s="193"/>
      <c r="OL518" s="379"/>
      <c r="OM518" s="379"/>
      <c r="ON518" s="379"/>
      <c r="OO518" s="379"/>
      <c r="OP518" s="379"/>
      <c r="OQ518" s="13"/>
      <c r="OR518" s="13"/>
      <c r="OS518" s="193"/>
      <c r="OT518" s="379"/>
      <c r="OU518" s="379"/>
      <c r="OV518" s="379"/>
      <c r="OW518" s="379"/>
      <c r="OX518" s="379"/>
      <c r="OY518" s="13"/>
      <c r="OZ518" s="13"/>
      <c r="PA518" s="193"/>
      <c r="PB518" s="379"/>
      <c r="PC518" s="379"/>
      <c r="PD518" s="379"/>
      <c r="PE518" s="379"/>
      <c r="PF518" s="379"/>
      <c r="PG518" s="13"/>
      <c r="PH518" s="13"/>
      <c r="PI518" s="193"/>
      <c r="PJ518" s="379"/>
      <c r="PK518" s="379"/>
      <c r="PL518" s="379"/>
      <c r="PM518" s="379"/>
      <c r="PN518" s="379"/>
      <c r="PO518" s="13"/>
      <c r="PP518" s="13"/>
      <c r="PQ518" s="193"/>
      <c r="PR518" s="379"/>
      <c r="PS518" s="379"/>
      <c r="PT518" s="379"/>
      <c r="PU518" s="379"/>
      <c r="PV518" s="379"/>
      <c r="PW518" s="13"/>
      <c r="PX518" s="13"/>
      <c r="PY518" s="193"/>
      <c r="PZ518" s="379"/>
      <c r="QA518" s="379"/>
      <c r="QB518" s="379"/>
      <c r="QC518" s="379"/>
      <c r="QD518" s="379"/>
      <c r="QE518" s="13"/>
      <c r="QF518" s="13"/>
      <c r="QG518" s="193"/>
      <c r="QH518" s="379"/>
      <c r="QI518" s="379"/>
      <c r="QJ518" s="379"/>
      <c r="QK518" s="379"/>
      <c r="QL518" s="379"/>
      <c r="QM518" s="13"/>
      <c r="QN518" s="13"/>
      <c r="QO518" s="193"/>
      <c r="QP518" s="379"/>
      <c r="QQ518" s="379"/>
      <c r="QR518" s="379"/>
      <c r="QS518" s="379"/>
      <c r="QT518" s="379"/>
      <c r="QU518" s="13"/>
      <c r="QV518" s="13"/>
      <c r="QW518" s="193"/>
      <c r="QX518" s="379"/>
      <c r="QY518" s="379"/>
      <c r="QZ518" s="379"/>
      <c r="RA518" s="379"/>
      <c r="RB518" s="379"/>
      <c r="RC518" s="13"/>
      <c r="RD518" s="13"/>
      <c r="RE518" s="193"/>
      <c r="RF518" s="379"/>
      <c r="RG518" s="379"/>
      <c r="RH518" s="379"/>
      <c r="RI518" s="379"/>
      <c r="RJ518" s="379"/>
      <c r="RK518" s="13"/>
      <c r="RL518" s="13"/>
      <c r="RM518" s="193"/>
      <c r="RN518" s="379"/>
      <c r="RO518" s="379"/>
      <c r="RP518" s="379"/>
      <c r="RQ518" s="379"/>
      <c r="RR518" s="379"/>
      <c r="RS518" s="13"/>
      <c r="RT518" s="13"/>
      <c r="RU518" s="193"/>
      <c r="RV518" s="379"/>
      <c r="RW518" s="379"/>
      <c r="RX518" s="379"/>
      <c r="RY518" s="379"/>
      <c r="RZ518" s="379"/>
      <c r="SA518" s="13"/>
      <c r="SB518" s="13"/>
      <c r="SC518" s="193"/>
      <c r="SD518" s="379"/>
      <c r="SE518" s="379"/>
      <c r="SF518" s="379"/>
      <c r="SG518" s="379"/>
      <c r="SH518" s="379"/>
      <c r="SI518" s="13"/>
      <c r="SJ518" s="13"/>
      <c r="SK518" s="193"/>
      <c r="SL518" s="379"/>
      <c r="SM518" s="379"/>
      <c r="SN518" s="379"/>
      <c r="SO518" s="379"/>
      <c r="SP518" s="379"/>
      <c r="SQ518" s="13"/>
      <c r="SR518" s="13"/>
      <c r="SS518" s="193"/>
      <c r="ST518" s="379"/>
      <c r="SU518" s="379"/>
      <c r="SV518" s="379"/>
      <c r="SW518" s="379"/>
      <c r="SX518" s="379"/>
      <c r="SY518" s="13"/>
      <c r="SZ518" s="13"/>
      <c r="TA518" s="193"/>
      <c r="TB518" s="379"/>
      <c r="TC518" s="379"/>
      <c r="TD518" s="379"/>
      <c r="TE518" s="379"/>
      <c r="TF518" s="379"/>
      <c r="TG518" s="13"/>
      <c r="TH518" s="13"/>
      <c r="TI518" s="193"/>
      <c r="TJ518" s="379"/>
      <c r="TK518" s="379"/>
      <c r="TL518" s="379"/>
      <c r="TM518" s="379"/>
      <c r="TN518" s="379"/>
      <c r="TO518" s="13"/>
      <c r="TP518" s="13"/>
      <c r="TQ518" s="193"/>
      <c r="TR518" s="379"/>
      <c r="TS518" s="379"/>
      <c r="TT518" s="379"/>
      <c r="TU518" s="379"/>
      <c r="TV518" s="379"/>
      <c r="TW518" s="13"/>
      <c r="TX518" s="13"/>
      <c r="TY518" s="193"/>
      <c r="TZ518" s="379"/>
      <c r="UA518" s="379"/>
      <c r="UB518" s="379"/>
      <c r="UC518" s="379"/>
      <c r="UD518" s="379"/>
      <c r="UE518" s="13"/>
      <c r="UF518" s="13"/>
      <c r="UG518" s="193"/>
      <c r="UH518" s="379"/>
      <c r="UI518" s="379"/>
      <c r="UJ518" s="379"/>
      <c r="UK518" s="379"/>
      <c r="UL518" s="379"/>
      <c r="UM518" s="13"/>
      <c r="UN518" s="13"/>
      <c r="UO518" s="193"/>
      <c r="UP518" s="379"/>
      <c r="UQ518" s="379"/>
      <c r="UR518" s="379"/>
      <c r="US518" s="379"/>
      <c r="UT518" s="379"/>
      <c r="UU518" s="13"/>
      <c r="UV518" s="13"/>
      <c r="UW518" s="193"/>
      <c r="UX518" s="379"/>
      <c r="UY518" s="379"/>
      <c r="UZ518" s="379"/>
      <c r="VA518" s="379"/>
      <c r="VB518" s="379"/>
      <c r="VC518" s="13"/>
      <c r="VD518" s="13"/>
      <c r="VE518" s="193"/>
      <c r="VF518" s="379"/>
      <c r="VG518" s="379"/>
      <c r="VH518" s="379"/>
      <c r="VI518" s="379"/>
      <c r="VJ518" s="379"/>
      <c r="VK518" s="13"/>
      <c r="VL518" s="13"/>
      <c r="VM518" s="193"/>
      <c r="VN518" s="379"/>
      <c r="VO518" s="379"/>
      <c r="VP518" s="379"/>
      <c r="VQ518" s="379"/>
      <c r="VR518" s="379"/>
      <c r="VS518" s="13"/>
      <c r="VT518" s="13"/>
      <c r="VU518" s="193"/>
      <c r="VV518" s="379"/>
      <c r="VW518" s="379"/>
      <c r="VX518" s="379"/>
      <c r="VY518" s="379"/>
      <c r="VZ518" s="379"/>
      <c r="WA518" s="13"/>
      <c r="WB518" s="13"/>
      <c r="WC518" s="193"/>
      <c r="WD518" s="379"/>
      <c r="WE518" s="379"/>
      <c r="WF518" s="379"/>
      <c r="WG518" s="379"/>
      <c r="WH518" s="379"/>
      <c r="WI518" s="13"/>
      <c r="WJ518" s="13"/>
      <c r="WK518" s="193"/>
      <c r="WL518" s="379"/>
      <c r="WM518" s="379"/>
      <c r="WN518" s="379"/>
      <c r="WO518" s="379"/>
      <c r="WP518" s="379"/>
      <c r="WQ518" s="13"/>
      <c r="WR518" s="13"/>
      <c r="WS518" s="193"/>
      <c r="WT518" s="379"/>
      <c r="WU518" s="379"/>
      <c r="WV518" s="379"/>
      <c r="WW518" s="379"/>
      <c r="WX518" s="379"/>
      <c r="WY518" s="13"/>
      <c r="WZ518" s="13"/>
      <c r="XA518" s="193"/>
      <c r="XB518" s="379"/>
      <c r="XC518" s="379"/>
      <c r="XD518" s="379"/>
      <c r="XE518" s="379"/>
      <c r="XF518" s="379"/>
      <c r="XG518" s="13"/>
      <c r="XH518" s="13"/>
      <c r="XI518" s="193"/>
      <c r="XJ518" s="379"/>
      <c r="XK518" s="379"/>
      <c r="XL518" s="379"/>
      <c r="XM518" s="379"/>
      <c r="XN518" s="379"/>
      <c r="XO518" s="13"/>
      <c r="XP518" s="13"/>
      <c r="XQ518" s="193"/>
      <c r="XR518" s="379"/>
      <c r="XS518" s="379"/>
      <c r="XT518" s="379"/>
      <c r="XU518" s="379"/>
      <c r="XV518" s="379"/>
      <c r="XW518" s="13"/>
      <c r="XX518" s="13"/>
      <c r="XY518" s="193"/>
      <c r="XZ518" s="379"/>
      <c r="YA518" s="379"/>
      <c r="YB518" s="379"/>
      <c r="YC518" s="379"/>
      <c r="YD518" s="379"/>
      <c r="YE518" s="13"/>
      <c r="YF518" s="13"/>
      <c r="YG518" s="193"/>
      <c r="YH518" s="379"/>
      <c r="YI518" s="379"/>
      <c r="YJ518" s="379"/>
      <c r="YK518" s="379"/>
      <c r="YL518" s="379"/>
      <c r="YM518" s="13"/>
      <c r="YN518" s="13"/>
      <c r="YO518" s="193"/>
      <c r="YP518" s="379"/>
      <c r="YQ518" s="379"/>
      <c r="YR518" s="379"/>
      <c r="YS518" s="379"/>
      <c r="YT518" s="379"/>
      <c r="YU518" s="13"/>
      <c r="YV518" s="13"/>
      <c r="YW518" s="193"/>
      <c r="YX518" s="379"/>
      <c r="YY518" s="379"/>
      <c r="YZ518" s="379"/>
      <c r="ZA518" s="379"/>
      <c r="ZB518" s="379"/>
      <c r="ZC518" s="13"/>
      <c r="ZD518" s="13"/>
      <c r="ZE518" s="193"/>
      <c r="ZF518" s="379"/>
      <c r="ZG518" s="379"/>
      <c r="ZH518" s="379"/>
      <c r="ZI518" s="379"/>
      <c r="ZJ518" s="379"/>
      <c r="ZK518" s="13"/>
      <c r="ZL518" s="13"/>
      <c r="ZM518" s="193"/>
      <c r="ZN518" s="379"/>
      <c r="ZO518" s="379"/>
      <c r="ZP518" s="379"/>
      <c r="ZQ518" s="379"/>
      <c r="ZR518" s="379"/>
      <c r="ZS518" s="13"/>
      <c r="ZT518" s="13"/>
      <c r="ZU518" s="193"/>
      <c r="ZV518" s="379"/>
      <c r="ZW518" s="379"/>
      <c r="ZX518" s="379"/>
      <c r="ZY518" s="379"/>
      <c r="ZZ518" s="379"/>
      <c r="AAA518" s="13"/>
      <c r="AAB518" s="13"/>
      <c r="AAC518" s="193"/>
      <c r="AAD518" s="379"/>
      <c r="AAE518" s="379"/>
      <c r="AAF518" s="379"/>
      <c r="AAG518" s="379"/>
      <c r="AAH518" s="379"/>
      <c r="AAI518" s="13"/>
      <c r="AAJ518" s="13"/>
      <c r="AAK518" s="193"/>
      <c r="AAL518" s="379"/>
      <c r="AAM518" s="379"/>
      <c r="AAN518" s="379"/>
      <c r="AAO518" s="379"/>
      <c r="AAP518" s="379"/>
      <c r="AAQ518" s="13"/>
      <c r="AAR518" s="13"/>
      <c r="AAS518" s="193"/>
      <c r="AAT518" s="379"/>
      <c r="AAU518" s="379"/>
      <c r="AAV518" s="379"/>
      <c r="AAW518" s="379"/>
      <c r="AAX518" s="379"/>
      <c r="AAY518" s="13"/>
      <c r="AAZ518" s="13"/>
      <c r="ABA518" s="193"/>
      <c r="ABB518" s="379"/>
      <c r="ABC518" s="379"/>
      <c r="ABD518" s="379"/>
      <c r="ABE518" s="379"/>
      <c r="ABF518" s="379"/>
      <c r="ABG518" s="13"/>
      <c r="ABH518" s="13"/>
      <c r="ABI518" s="193"/>
      <c r="ABJ518" s="379"/>
      <c r="ABK518" s="379"/>
      <c r="ABL518" s="379"/>
      <c r="ABM518" s="379"/>
      <c r="ABN518" s="379"/>
      <c r="ABO518" s="13"/>
      <c r="ABP518" s="13"/>
      <c r="ABQ518" s="193"/>
      <c r="ABR518" s="379"/>
      <c r="ABS518" s="379"/>
      <c r="ABT518" s="379"/>
      <c r="ABU518" s="379"/>
      <c r="ABV518" s="379"/>
      <c r="ABW518" s="13"/>
      <c r="ABX518" s="13"/>
      <c r="ABY518" s="193"/>
      <c r="ABZ518" s="379"/>
      <c r="ACA518" s="379"/>
      <c r="ACB518" s="379"/>
      <c r="ACC518" s="379"/>
      <c r="ACD518" s="379"/>
      <c r="ACE518" s="13"/>
      <c r="ACF518" s="13"/>
      <c r="ACG518" s="193"/>
      <c r="ACH518" s="379"/>
      <c r="ACI518" s="379"/>
      <c r="ACJ518" s="379"/>
      <c r="ACK518" s="379"/>
      <c r="ACL518" s="379"/>
      <c r="ACM518" s="13"/>
      <c r="ACN518" s="13"/>
      <c r="ACO518" s="193"/>
      <c r="ACP518" s="379"/>
      <c r="ACQ518" s="379"/>
      <c r="ACR518" s="379"/>
      <c r="ACS518" s="379"/>
      <c r="ACT518" s="379"/>
      <c r="ACU518" s="13"/>
      <c r="ACV518" s="13"/>
      <c r="ACW518" s="193"/>
      <c r="ACX518" s="379"/>
      <c r="ACY518" s="379"/>
      <c r="ACZ518" s="379"/>
      <c r="ADA518" s="379"/>
      <c r="ADB518" s="379"/>
      <c r="ADC518" s="13"/>
      <c r="ADD518" s="13"/>
      <c r="ADE518" s="193"/>
      <c r="ADF518" s="379"/>
      <c r="ADG518" s="379"/>
      <c r="ADH518" s="379"/>
      <c r="ADI518" s="379"/>
      <c r="ADJ518" s="379"/>
      <c r="ADK518" s="13"/>
      <c r="ADL518" s="13"/>
      <c r="ADM518" s="193"/>
      <c r="ADN518" s="379"/>
      <c r="ADO518" s="379"/>
      <c r="ADP518" s="379"/>
      <c r="ADQ518" s="379"/>
      <c r="ADR518" s="379"/>
      <c r="ADS518" s="13"/>
      <c r="ADT518" s="13"/>
      <c r="ADU518" s="193"/>
      <c r="ADV518" s="379"/>
      <c r="ADW518" s="379"/>
      <c r="ADX518" s="379"/>
      <c r="ADY518" s="379"/>
      <c r="ADZ518" s="379"/>
      <c r="AEA518" s="13"/>
      <c r="AEB518" s="13"/>
      <c r="AEC518" s="193"/>
      <c r="AED518" s="379"/>
      <c r="AEE518" s="379"/>
      <c r="AEF518" s="379"/>
      <c r="AEG518" s="379"/>
      <c r="AEH518" s="379"/>
      <c r="AEI518" s="13"/>
      <c r="AEJ518" s="13"/>
      <c r="AEK518" s="193"/>
      <c r="AEL518" s="379"/>
      <c r="AEM518" s="379"/>
      <c r="AEN518" s="379"/>
      <c r="AEO518" s="379"/>
      <c r="AEP518" s="379"/>
      <c r="AEQ518" s="13"/>
      <c r="AER518" s="13"/>
      <c r="AES518" s="193"/>
      <c r="AET518" s="379"/>
      <c r="AEU518" s="379"/>
      <c r="AEV518" s="379"/>
      <c r="AEW518" s="379"/>
      <c r="AEX518" s="379"/>
      <c r="AEY518" s="13"/>
      <c r="AEZ518" s="13"/>
      <c r="AFA518" s="193"/>
      <c r="AFB518" s="379"/>
      <c r="AFC518" s="379"/>
      <c r="AFD518" s="379"/>
      <c r="AFE518" s="379"/>
      <c r="AFF518" s="379"/>
      <c r="AFG518" s="13"/>
      <c r="AFH518" s="13"/>
      <c r="AFI518" s="193"/>
      <c r="AFJ518" s="379"/>
      <c r="AFK518" s="379"/>
      <c r="AFL518" s="379"/>
      <c r="AFM518" s="379"/>
      <c r="AFN518" s="379"/>
      <c r="AFO518" s="13"/>
      <c r="AFP518" s="13"/>
      <c r="AFQ518" s="193"/>
      <c r="AFR518" s="379"/>
      <c r="AFS518" s="379"/>
      <c r="AFT518" s="379"/>
      <c r="AFU518" s="379"/>
      <c r="AFV518" s="379"/>
      <c r="AFW518" s="13"/>
      <c r="AFX518" s="13"/>
      <c r="AFY518" s="193"/>
      <c r="AFZ518" s="379"/>
      <c r="AGA518" s="379"/>
      <c r="AGB518" s="379"/>
      <c r="AGC518" s="379"/>
      <c r="AGD518" s="379"/>
      <c r="AGE518" s="13"/>
      <c r="AGF518" s="13"/>
      <c r="AGG518" s="193"/>
      <c r="AGH518" s="379"/>
      <c r="AGI518" s="379"/>
      <c r="AGJ518" s="379"/>
      <c r="AGK518" s="379"/>
      <c r="AGL518" s="379"/>
      <c r="AGM518" s="13"/>
      <c r="AGN518" s="13"/>
      <c r="AGO518" s="193"/>
      <c r="AGP518" s="379"/>
      <c r="AGQ518" s="379"/>
      <c r="AGR518" s="379"/>
      <c r="AGS518" s="379"/>
      <c r="AGT518" s="379"/>
      <c r="AGU518" s="13"/>
      <c r="AGV518" s="13"/>
      <c r="AGW518" s="193"/>
      <c r="AGX518" s="379"/>
      <c r="AGY518" s="379"/>
      <c r="AGZ518" s="379"/>
      <c r="AHA518" s="379"/>
      <c r="AHB518" s="379"/>
      <c r="AHC518" s="13"/>
      <c r="AHD518" s="13"/>
      <c r="AHE518" s="193"/>
      <c r="AHF518" s="379"/>
      <c r="AHG518" s="379"/>
      <c r="AHH518" s="379"/>
      <c r="AHI518" s="379"/>
      <c r="AHJ518" s="379"/>
      <c r="AHK518" s="13"/>
      <c r="AHL518" s="13"/>
      <c r="AHM518" s="193"/>
      <c r="AHN518" s="379"/>
      <c r="AHO518" s="379"/>
      <c r="AHP518" s="379"/>
      <c r="AHQ518" s="379"/>
      <c r="AHR518" s="379"/>
      <c r="AHS518" s="13"/>
      <c r="AHT518" s="13"/>
      <c r="AHU518" s="193"/>
      <c r="AHV518" s="379"/>
      <c r="AHW518" s="379"/>
      <c r="AHX518" s="379"/>
      <c r="AHY518" s="379"/>
      <c r="AHZ518" s="379"/>
      <c r="AIA518" s="13"/>
      <c r="AIB518" s="13"/>
      <c r="AIC518" s="193"/>
      <c r="AID518" s="379"/>
      <c r="AIE518" s="379"/>
      <c r="AIF518" s="379"/>
      <c r="AIG518" s="379"/>
      <c r="AIH518" s="379"/>
      <c r="AII518" s="13"/>
      <c r="AIJ518" s="13"/>
      <c r="AIK518" s="193"/>
      <c r="AIL518" s="379"/>
      <c r="AIM518" s="379"/>
      <c r="AIN518" s="379"/>
      <c r="AIO518" s="379"/>
      <c r="AIP518" s="379"/>
      <c r="AIQ518" s="13"/>
      <c r="AIR518" s="13"/>
      <c r="AIS518" s="193"/>
      <c r="AIT518" s="379"/>
      <c r="AIU518" s="379"/>
      <c r="AIV518" s="379"/>
      <c r="AIW518" s="379"/>
      <c r="AIX518" s="379"/>
      <c r="AIY518" s="13"/>
      <c r="AIZ518" s="13"/>
      <c r="AJA518" s="193"/>
      <c r="AJB518" s="379"/>
      <c r="AJC518" s="379"/>
      <c r="AJD518" s="379"/>
      <c r="AJE518" s="379"/>
      <c r="AJF518" s="379"/>
      <c r="AJG518" s="13"/>
      <c r="AJH518" s="13"/>
      <c r="AJI518" s="193"/>
      <c r="AJJ518" s="379"/>
      <c r="AJK518" s="379"/>
      <c r="AJL518" s="379"/>
      <c r="AJM518" s="379"/>
      <c r="AJN518" s="379"/>
      <c r="AJO518" s="13"/>
      <c r="AJP518" s="13"/>
      <c r="AJQ518" s="193"/>
      <c r="AJR518" s="379"/>
      <c r="AJS518" s="379"/>
      <c r="AJT518" s="379"/>
      <c r="AJU518" s="379"/>
      <c r="AJV518" s="379"/>
      <c r="AJW518" s="13"/>
      <c r="AJX518" s="13"/>
      <c r="AJY518" s="193"/>
      <c r="AJZ518" s="379"/>
      <c r="AKA518" s="379"/>
      <c r="AKB518" s="379"/>
      <c r="AKC518" s="379"/>
      <c r="AKD518" s="379"/>
      <c r="AKE518" s="13"/>
      <c r="AKF518" s="13"/>
      <c r="AKG518" s="193"/>
      <c r="AKH518" s="379"/>
      <c r="AKI518" s="379"/>
      <c r="AKJ518" s="379"/>
      <c r="AKK518" s="379"/>
      <c r="AKL518" s="379"/>
      <c r="AKM518" s="13"/>
      <c r="AKN518" s="13"/>
      <c r="AKO518" s="193"/>
      <c r="AKP518" s="379"/>
      <c r="AKQ518" s="379"/>
      <c r="AKR518" s="379"/>
      <c r="AKS518" s="379"/>
      <c r="AKT518" s="379"/>
      <c r="AKU518" s="13"/>
      <c r="AKV518" s="13"/>
      <c r="AKW518" s="193"/>
      <c r="AKX518" s="379"/>
      <c r="AKY518" s="379"/>
      <c r="AKZ518" s="379"/>
      <c r="ALA518" s="379"/>
      <c r="ALB518" s="379"/>
      <c r="ALC518" s="13"/>
      <c r="ALD518" s="13"/>
      <c r="ALE518" s="193"/>
      <c r="ALF518" s="379"/>
      <c r="ALG518" s="379"/>
      <c r="ALH518" s="379"/>
      <c r="ALI518" s="379"/>
      <c r="ALJ518" s="379"/>
      <c r="ALK518" s="13"/>
      <c r="ALL518" s="13"/>
      <c r="ALM518" s="193"/>
      <c r="ALN518" s="379"/>
      <c r="ALO518" s="379"/>
      <c r="ALP518" s="379"/>
      <c r="ALQ518" s="379"/>
      <c r="ALR518" s="379"/>
      <c r="ALS518" s="13"/>
      <c r="ALT518" s="13"/>
      <c r="ALU518" s="193"/>
      <c r="ALV518" s="379"/>
      <c r="ALW518" s="379"/>
      <c r="ALX518" s="379"/>
      <c r="ALY518" s="379"/>
      <c r="ALZ518" s="379"/>
      <c r="AMA518" s="13"/>
      <c r="AMB518" s="13"/>
      <c r="AMC518" s="193"/>
      <c r="AMD518" s="379"/>
      <c r="AME518" s="379"/>
      <c r="AMF518" s="379"/>
      <c r="AMG518" s="379"/>
      <c r="AMH518" s="379"/>
      <c r="AMI518" s="13"/>
      <c r="AMJ518" s="13"/>
      <c r="AMK518" s="193"/>
      <c r="AML518" s="379"/>
      <c r="AMM518" s="379"/>
      <c r="AMN518" s="379"/>
      <c r="AMO518" s="379"/>
      <c r="AMP518" s="379"/>
      <c r="AMQ518" s="13"/>
      <c r="AMR518" s="13"/>
      <c r="AMS518" s="193"/>
      <c r="AMT518" s="379"/>
      <c r="AMU518" s="379"/>
      <c r="AMV518" s="379"/>
      <c r="AMW518" s="379"/>
      <c r="AMX518" s="379"/>
      <c r="AMY518" s="13"/>
      <c r="AMZ518" s="13"/>
      <c r="ANA518" s="193"/>
      <c r="ANB518" s="379"/>
      <c r="ANC518" s="379"/>
      <c r="AND518" s="379"/>
      <c r="ANE518" s="379"/>
      <c r="ANF518" s="379"/>
      <c r="ANG518" s="13"/>
      <c r="ANH518" s="13"/>
      <c r="ANI518" s="193"/>
      <c r="ANJ518" s="379"/>
      <c r="ANK518" s="379"/>
      <c r="ANL518" s="379"/>
      <c r="ANM518" s="379"/>
      <c r="ANN518" s="379"/>
      <c r="ANO518" s="13"/>
      <c r="ANP518" s="13"/>
      <c r="ANQ518" s="193"/>
      <c r="ANR518" s="379"/>
      <c r="ANS518" s="379"/>
      <c r="ANT518" s="379"/>
      <c r="ANU518" s="379"/>
      <c r="ANV518" s="379"/>
      <c r="ANW518" s="13"/>
      <c r="ANX518" s="13"/>
      <c r="ANY518" s="193"/>
      <c r="ANZ518" s="379"/>
      <c r="AOA518" s="379"/>
      <c r="AOB518" s="379"/>
      <c r="AOC518" s="379"/>
      <c r="AOD518" s="379"/>
      <c r="AOE518" s="13"/>
      <c r="AOF518" s="13"/>
      <c r="AOG518" s="193"/>
      <c r="AOH518" s="379"/>
      <c r="AOI518" s="379"/>
      <c r="AOJ518" s="379"/>
      <c r="AOK518" s="379"/>
      <c r="AOL518" s="379"/>
      <c r="AOM518" s="13"/>
      <c r="AON518" s="13"/>
      <c r="AOO518" s="193"/>
      <c r="AOP518" s="379"/>
      <c r="AOQ518" s="379"/>
      <c r="AOR518" s="379"/>
      <c r="AOS518" s="379"/>
      <c r="AOT518" s="379"/>
      <c r="AOU518" s="13"/>
      <c r="AOV518" s="13"/>
      <c r="AOW518" s="193"/>
      <c r="AOX518" s="379"/>
      <c r="AOY518" s="379"/>
      <c r="AOZ518" s="379"/>
      <c r="APA518" s="379"/>
      <c r="APB518" s="379"/>
      <c r="APC518" s="13"/>
      <c r="APD518" s="13"/>
      <c r="APE518" s="193"/>
      <c r="APF518" s="379"/>
      <c r="APG518" s="379"/>
      <c r="APH518" s="379"/>
      <c r="API518" s="379"/>
      <c r="APJ518" s="379"/>
      <c r="APK518" s="13"/>
      <c r="APL518" s="13"/>
      <c r="APM518" s="193"/>
      <c r="APN518" s="379"/>
      <c r="APO518" s="379"/>
      <c r="APP518" s="379"/>
      <c r="APQ518" s="379"/>
      <c r="APR518" s="379"/>
      <c r="APS518" s="13"/>
      <c r="APT518" s="13"/>
      <c r="APU518" s="193"/>
      <c r="APV518" s="379"/>
      <c r="APW518" s="379"/>
      <c r="APX518" s="379"/>
      <c r="APY518" s="379"/>
      <c r="APZ518" s="379"/>
      <c r="AQA518" s="13"/>
      <c r="AQB518" s="13"/>
      <c r="AQC518" s="193"/>
      <c r="AQD518" s="379"/>
      <c r="AQE518" s="379"/>
      <c r="AQF518" s="379"/>
      <c r="AQG518" s="379"/>
      <c r="AQH518" s="379"/>
      <c r="AQI518" s="13"/>
      <c r="AQJ518" s="13"/>
      <c r="AQK518" s="193"/>
      <c r="AQL518" s="379"/>
      <c r="AQM518" s="379"/>
      <c r="AQN518" s="379"/>
      <c r="AQO518" s="379"/>
      <c r="AQP518" s="379"/>
      <c r="AQQ518" s="13"/>
      <c r="AQR518" s="13"/>
      <c r="AQS518" s="193"/>
      <c r="AQT518" s="379"/>
      <c r="AQU518" s="379"/>
      <c r="AQV518" s="379"/>
      <c r="AQW518" s="379"/>
      <c r="AQX518" s="379"/>
      <c r="AQY518" s="13"/>
      <c r="AQZ518" s="13"/>
      <c r="ARA518" s="193"/>
      <c r="ARB518" s="379"/>
      <c r="ARC518" s="379"/>
      <c r="ARD518" s="379"/>
      <c r="ARE518" s="379"/>
      <c r="ARF518" s="379"/>
      <c r="ARG518" s="13"/>
      <c r="ARH518" s="13"/>
      <c r="ARI518" s="193"/>
      <c r="ARJ518" s="379"/>
      <c r="ARK518" s="379"/>
      <c r="ARL518" s="379"/>
      <c r="ARM518" s="379"/>
      <c r="ARN518" s="379"/>
      <c r="ARO518" s="13"/>
      <c r="ARP518" s="13"/>
      <c r="ARQ518" s="193"/>
      <c r="ARR518" s="379"/>
      <c r="ARS518" s="379"/>
      <c r="ART518" s="379"/>
      <c r="ARU518" s="379"/>
      <c r="ARV518" s="379"/>
      <c r="ARW518" s="13"/>
      <c r="ARX518" s="13"/>
      <c r="ARY518" s="193"/>
      <c r="ARZ518" s="379"/>
      <c r="ASA518" s="379"/>
      <c r="ASB518" s="379"/>
      <c r="ASC518" s="379"/>
      <c r="ASD518" s="379"/>
      <c r="ASE518" s="13"/>
      <c r="ASF518" s="13"/>
      <c r="ASG518" s="193"/>
      <c r="ASH518" s="379"/>
      <c r="ASI518" s="379"/>
      <c r="ASJ518" s="379"/>
      <c r="ASK518" s="379"/>
      <c r="ASL518" s="379"/>
      <c r="ASM518" s="13"/>
      <c r="ASN518" s="13"/>
      <c r="ASO518" s="193"/>
      <c r="ASP518" s="379"/>
      <c r="ASQ518" s="379"/>
      <c r="ASR518" s="379"/>
      <c r="ASS518" s="379"/>
      <c r="AST518" s="379"/>
      <c r="ASU518" s="13"/>
      <c r="ASV518" s="13"/>
      <c r="ASW518" s="193"/>
      <c r="ASX518" s="379"/>
      <c r="ASY518" s="379"/>
      <c r="ASZ518" s="379"/>
      <c r="ATA518" s="379"/>
      <c r="ATB518" s="379"/>
      <c r="ATC518" s="13"/>
      <c r="ATD518" s="13"/>
      <c r="ATE518" s="193"/>
      <c r="ATF518" s="379"/>
      <c r="ATG518" s="379"/>
      <c r="ATH518" s="379"/>
      <c r="ATI518" s="379"/>
      <c r="ATJ518" s="379"/>
      <c r="ATK518" s="13"/>
      <c r="ATL518" s="13"/>
      <c r="ATM518" s="193"/>
      <c r="ATN518" s="379"/>
      <c r="ATO518" s="379"/>
      <c r="ATP518" s="379"/>
      <c r="ATQ518" s="379"/>
      <c r="ATR518" s="379"/>
      <c r="ATS518" s="13"/>
      <c r="ATT518" s="13"/>
      <c r="ATU518" s="193"/>
      <c r="ATV518" s="379"/>
      <c r="ATW518" s="379"/>
      <c r="ATX518" s="379"/>
      <c r="ATY518" s="379"/>
      <c r="ATZ518" s="379"/>
      <c r="AUA518" s="13"/>
      <c r="AUB518" s="13"/>
      <c r="AUC518" s="193"/>
      <c r="AUD518" s="379"/>
      <c r="AUE518" s="379"/>
      <c r="AUF518" s="379"/>
      <c r="AUG518" s="379"/>
      <c r="AUH518" s="379"/>
      <c r="AUI518" s="13"/>
      <c r="AUJ518" s="13"/>
      <c r="AUK518" s="193"/>
      <c r="AUL518" s="379"/>
      <c r="AUM518" s="379"/>
      <c r="AUN518" s="379"/>
      <c r="AUO518" s="379"/>
      <c r="AUP518" s="379"/>
      <c r="AUQ518" s="13"/>
      <c r="AUR518" s="13"/>
      <c r="AUS518" s="193"/>
      <c r="AUT518" s="379"/>
      <c r="AUU518" s="379"/>
      <c r="AUV518" s="379"/>
      <c r="AUW518" s="379"/>
      <c r="AUX518" s="379"/>
      <c r="AUY518" s="13"/>
      <c r="AUZ518" s="13"/>
      <c r="AVA518" s="193"/>
      <c r="AVB518" s="379"/>
      <c r="AVC518" s="379"/>
      <c r="AVD518" s="379"/>
      <c r="AVE518" s="379"/>
      <c r="AVF518" s="379"/>
      <c r="AVG518" s="13"/>
      <c r="AVH518" s="13"/>
      <c r="AVI518" s="193"/>
      <c r="AVJ518" s="379"/>
      <c r="AVK518" s="379"/>
      <c r="AVL518" s="379"/>
      <c r="AVM518" s="379"/>
      <c r="AVN518" s="379"/>
      <c r="AVO518" s="13"/>
      <c r="AVP518" s="13"/>
      <c r="AVQ518" s="193"/>
      <c r="AVR518" s="379"/>
      <c r="AVS518" s="379"/>
      <c r="AVT518" s="379"/>
      <c r="AVU518" s="379"/>
      <c r="AVV518" s="379"/>
      <c r="AVW518" s="13"/>
      <c r="AVX518" s="13"/>
      <c r="AVY518" s="193"/>
      <c r="AVZ518" s="379"/>
      <c r="AWA518" s="379"/>
      <c r="AWB518" s="379"/>
      <c r="AWC518" s="379"/>
      <c r="AWD518" s="379"/>
      <c r="AWE518" s="13"/>
      <c r="AWF518" s="13"/>
      <c r="AWG518" s="193"/>
      <c r="AWH518" s="379"/>
      <c r="AWI518" s="379"/>
      <c r="AWJ518" s="379"/>
      <c r="AWK518" s="379"/>
      <c r="AWL518" s="379"/>
      <c r="AWM518" s="13"/>
      <c r="AWN518" s="13"/>
      <c r="AWO518" s="193"/>
      <c r="AWP518" s="379"/>
      <c r="AWQ518" s="379"/>
      <c r="AWR518" s="379"/>
      <c r="AWS518" s="379"/>
      <c r="AWT518" s="379"/>
      <c r="AWU518" s="13"/>
      <c r="AWV518" s="13"/>
      <c r="AWW518" s="193"/>
      <c r="AWX518" s="379"/>
      <c r="AWY518" s="379"/>
      <c r="AWZ518" s="379"/>
      <c r="AXA518" s="379"/>
      <c r="AXB518" s="379"/>
      <c r="AXC518" s="13"/>
      <c r="AXD518" s="13"/>
      <c r="AXE518" s="193"/>
      <c r="AXF518" s="379"/>
      <c r="AXG518" s="379"/>
      <c r="AXH518" s="379"/>
      <c r="AXI518" s="379"/>
      <c r="AXJ518" s="379"/>
      <c r="AXK518" s="13"/>
      <c r="AXL518" s="13"/>
      <c r="AXM518" s="193"/>
      <c r="AXN518" s="379"/>
      <c r="AXO518" s="379"/>
      <c r="AXP518" s="379"/>
      <c r="AXQ518" s="379"/>
      <c r="AXR518" s="379"/>
      <c r="AXS518" s="13"/>
      <c r="AXT518" s="13"/>
      <c r="AXU518" s="193"/>
      <c r="AXV518" s="379"/>
      <c r="AXW518" s="379"/>
      <c r="AXX518" s="379"/>
      <c r="AXY518" s="379"/>
      <c r="AXZ518" s="379"/>
      <c r="AYA518" s="13"/>
      <c r="AYB518" s="13"/>
      <c r="AYC518" s="193"/>
      <c r="AYD518" s="379"/>
      <c r="AYE518" s="379"/>
      <c r="AYF518" s="379"/>
      <c r="AYG518" s="379"/>
      <c r="AYH518" s="379"/>
      <c r="AYI518" s="13"/>
      <c r="AYJ518" s="13"/>
      <c r="AYK518" s="193"/>
      <c r="AYL518" s="379"/>
      <c r="AYM518" s="379"/>
      <c r="AYN518" s="379"/>
      <c r="AYO518" s="379"/>
      <c r="AYP518" s="379"/>
      <c r="AYQ518" s="13"/>
      <c r="AYR518" s="13"/>
      <c r="AYS518" s="193"/>
      <c r="AYT518" s="379"/>
      <c r="AYU518" s="379"/>
      <c r="AYV518" s="379"/>
      <c r="AYW518" s="379"/>
      <c r="AYX518" s="379"/>
      <c r="AYY518" s="13"/>
      <c r="AYZ518" s="13"/>
      <c r="AZA518" s="193"/>
      <c r="AZB518" s="379"/>
      <c r="AZC518" s="379"/>
      <c r="AZD518" s="379"/>
      <c r="AZE518" s="379"/>
      <c r="AZF518" s="379"/>
      <c r="AZG518" s="13"/>
      <c r="AZH518" s="13"/>
      <c r="AZI518" s="193"/>
      <c r="AZJ518" s="379"/>
      <c r="AZK518" s="379"/>
      <c r="AZL518" s="379"/>
      <c r="AZM518" s="379"/>
      <c r="AZN518" s="379"/>
      <c r="AZO518" s="13"/>
      <c r="AZP518" s="13"/>
      <c r="AZQ518" s="193"/>
      <c r="AZR518" s="379"/>
      <c r="AZS518" s="379"/>
      <c r="AZT518" s="379"/>
      <c r="AZU518" s="379"/>
      <c r="AZV518" s="379"/>
      <c r="AZW518" s="13"/>
      <c r="AZX518" s="13"/>
      <c r="AZY518" s="193"/>
      <c r="AZZ518" s="379"/>
      <c r="BAA518" s="379"/>
      <c r="BAB518" s="379"/>
      <c r="BAC518" s="379"/>
      <c r="BAD518" s="379"/>
      <c r="BAE518" s="13"/>
      <c r="BAF518" s="13"/>
      <c r="BAG518" s="193"/>
      <c r="BAH518" s="379"/>
      <c r="BAI518" s="379"/>
      <c r="BAJ518" s="379"/>
      <c r="BAK518" s="379"/>
      <c r="BAL518" s="379"/>
      <c r="BAM518" s="13"/>
      <c r="BAN518" s="13"/>
      <c r="BAO518" s="193"/>
      <c r="BAP518" s="379"/>
      <c r="BAQ518" s="379"/>
      <c r="BAR518" s="379"/>
      <c r="BAS518" s="379"/>
      <c r="BAT518" s="379"/>
      <c r="BAU518" s="13"/>
      <c r="BAV518" s="13"/>
      <c r="BAW518" s="193"/>
      <c r="BAX518" s="379"/>
      <c r="BAY518" s="379"/>
      <c r="BAZ518" s="379"/>
      <c r="BBA518" s="379"/>
      <c r="BBB518" s="379"/>
      <c r="BBC518" s="13"/>
      <c r="BBD518" s="13"/>
      <c r="BBE518" s="193"/>
      <c r="BBF518" s="379"/>
      <c r="BBG518" s="379"/>
      <c r="BBH518" s="379"/>
      <c r="BBI518" s="379"/>
      <c r="BBJ518" s="379"/>
      <c r="BBK518" s="13"/>
      <c r="BBL518" s="13"/>
      <c r="BBM518" s="193"/>
      <c r="BBN518" s="379"/>
      <c r="BBO518" s="379"/>
      <c r="BBP518" s="379"/>
      <c r="BBQ518" s="379"/>
      <c r="BBR518" s="379"/>
      <c r="BBS518" s="13"/>
      <c r="BBT518" s="13"/>
      <c r="BBU518" s="193"/>
      <c r="BBV518" s="379"/>
      <c r="BBW518" s="379"/>
      <c r="BBX518" s="379"/>
      <c r="BBY518" s="379"/>
      <c r="BBZ518" s="379"/>
      <c r="BCA518" s="13"/>
      <c r="BCB518" s="13"/>
      <c r="BCC518" s="193"/>
      <c r="BCD518" s="379"/>
      <c r="BCE518" s="379"/>
      <c r="BCF518" s="379"/>
      <c r="BCG518" s="379"/>
      <c r="BCH518" s="379"/>
      <c r="BCI518" s="13"/>
      <c r="BCJ518" s="13"/>
      <c r="BCK518" s="193"/>
      <c r="BCL518" s="379"/>
      <c r="BCM518" s="379"/>
      <c r="BCN518" s="379"/>
      <c r="BCO518" s="379"/>
      <c r="BCP518" s="379"/>
      <c r="BCQ518" s="13"/>
      <c r="BCR518" s="13"/>
      <c r="BCS518" s="193"/>
      <c r="BCT518" s="379"/>
      <c r="BCU518" s="379"/>
      <c r="BCV518" s="379"/>
      <c r="BCW518" s="379"/>
      <c r="BCX518" s="379"/>
      <c r="BCY518" s="13"/>
      <c r="BCZ518" s="13"/>
      <c r="BDA518" s="193"/>
      <c r="BDB518" s="379"/>
      <c r="BDC518" s="379"/>
      <c r="BDD518" s="379"/>
      <c r="BDE518" s="379"/>
      <c r="BDF518" s="379"/>
      <c r="BDG518" s="13"/>
      <c r="BDH518" s="13"/>
      <c r="BDI518" s="193"/>
      <c r="BDJ518" s="379"/>
      <c r="BDK518" s="379"/>
      <c r="BDL518" s="379"/>
      <c r="BDM518" s="379"/>
      <c r="BDN518" s="379"/>
      <c r="BDO518" s="13"/>
      <c r="BDP518" s="13"/>
      <c r="BDQ518" s="193"/>
      <c r="BDR518" s="379"/>
      <c r="BDS518" s="379"/>
      <c r="BDT518" s="379"/>
      <c r="BDU518" s="379"/>
      <c r="BDV518" s="379"/>
      <c r="BDW518" s="13"/>
      <c r="BDX518" s="13"/>
      <c r="BDY518" s="193"/>
      <c r="BDZ518" s="379"/>
      <c r="BEA518" s="379"/>
      <c r="BEB518" s="379"/>
      <c r="BEC518" s="379"/>
      <c r="BED518" s="379"/>
      <c r="BEE518" s="13"/>
      <c r="BEF518" s="13"/>
      <c r="BEG518" s="193"/>
      <c r="BEH518" s="379"/>
      <c r="BEI518" s="379"/>
      <c r="BEJ518" s="379"/>
      <c r="BEK518" s="379"/>
      <c r="BEL518" s="379"/>
      <c r="BEM518" s="13"/>
      <c r="BEN518" s="13"/>
      <c r="BEO518" s="193"/>
      <c r="BEP518" s="379"/>
      <c r="BEQ518" s="379"/>
      <c r="BER518" s="379"/>
      <c r="BES518" s="379"/>
      <c r="BET518" s="379"/>
      <c r="BEU518" s="13"/>
      <c r="BEV518" s="13"/>
      <c r="BEW518" s="193"/>
      <c r="BEX518" s="379"/>
      <c r="BEY518" s="379"/>
      <c r="BEZ518" s="379"/>
      <c r="BFA518" s="379"/>
      <c r="BFB518" s="379"/>
      <c r="BFC518" s="13"/>
      <c r="BFD518" s="13"/>
      <c r="BFE518" s="193"/>
      <c r="BFF518" s="379"/>
      <c r="BFG518" s="379"/>
      <c r="BFH518" s="379"/>
      <c r="BFI518" s="379"/>
      <c r="BFJ518" s="379"/>
      <c r="BFK518" s="13"/>
      <c r="BFL518" s="13"/>
      <c r="BFM518" s="193"/>
      <c r="BFN518" s="379"/>
      <c r="BFO518" s="379"/>
      <c r="BFP518" s="379"/>
      <c r="BFQ518" s="379"/>
      <c r="BFR518" s="379"/>
      <c r="BFS518" s="13"/>
      <c r="BFT518" s="13"/>
      <c r="BFU518" s="193"/>
      <c r="BFV518" s="379"/>
      <c r="BFW518" s="379"/>
      <c r="BFX518" s="379"/>
      <c r="BFY518" s="379"/>
      <c r="BFZ518" s="379"/>
      <c r="BGA518" s="13"/>
      <c r="BGB518" s="13"/>
      <c r="BGC518" s="193"/>
      <c r="BGD518" s="379"/>
      <c r="BGE518" s="379"/>
      <c r="BGF518" s="379"/>
      <c r="BGG518" s="379"/>
      <c r="BGH518" s="379"/>
      <c r="BGI518" s="13"/>
      <c r="BGJ518" s="13"/>
      <c r="BGK518" s="193"/>
      <c r="BGL518" s="379"/>
      <c r="BGM518" s="379"/>
      <c r="BGN518" s="379"/>
      <c r="BGO518" s="379"/>
      <c r="BGP518" s="379"/>
      <c r="BGQ518" s="13"/>
      <c r="BGR518" s="13"/>
      <c r="BGS518" s="193"/>
      <c r="BGT518" s="379"/>
      <c r="BGU518" s="379"/>
      <c r="BGV518" s="379"/>
      <c r="BGW518" s="379"/>
      <c r="BGX518" s="379"/>
      <c r="BGY518" s="13"/>
      <c r="BGZ518" s="13"/>
      <c r="BHA518" s="193"/>
      <c r="BHB518" s="379"/>
      <c r="BHC518" s="379"/>
      <c r="BHD518" s="379"/>
      <c r="BHE518" s="379"/>
      <c r="BHF518" s="379"/>
      <c r="BHG518" s="13"/>
      <c r="BHH518" s="13"/>
      <c r="BHI518" s="193"/>
      <c r="BHJ518" s="379"/>
      <c r="BHK518" s="379"/>
      <c r="BHL518" s="379"/>
      <c r="BHM518" s="379"/>
      <c r="BHN518" s="379"/>
      <c r="BHO518" s="13"/>
      <c r="BHP518" s="13"/>
      <c r="BHQ518" s="193"/>
      <c r="BHR518" s="379"/>
      <c r="BHS518" s="379"/>
      <c r="BHT518" s="379"/>
      <c r="BHU518" s="379"/>
      <c r="BHV518" s="379"/>
      <c r="BHW518" s="13"/>
      <c r="BHX518" s="13"/>
      <c r="BHY518" s="193"/>
      <c r="BHZ518" s="379"/>
      <c r="BIA518" s="379"/>
      <c r="BIB518" s="379"/>
      <c r="BIC518" s="379"/>
      <c r="BID518" s="379"/>
      <c r="BIE518" s="13"/>
      <c r="BIF518" s="13"/>
      <c r="BIG518" s="193"/>
      <c r="BIH518" s="379"/>
      <c r="BII518" s="379"/>
      <c r="BIJ518" s="379"/>
      <c r="BIK518" s="379"/>
      <c r="BIL518" s="379"/>
      <c r="BIM518" s="13"/>
      <c r="BIN518" s="13"/>
      <c r="BIO518" s="193"/>
      <c r="BIP518" s="379"/>
      <c r="BIQ518" s="379"/>
      <c r="BIR518" s="379"/>
      <c r="BIS518" s="379"/>
      <c r="BIT518" s="379"/>
      <c r="BIU518" s="13"/>
      <c r="BIV518" s="13"/>
      <c r="BIW518" s="193"/>
      <c r="BIX518" s="379"/>
      <c r="BIY518" s="379"/>
      <c r="BIZ518" s="379"/>
      <c r="BJA518" s="379"/>
      <c r="BJB518" s="379"/>
      <c r="BJC518" s="13"/>
      <c r="BJD518" s="13"/>
      <c r="BJE518" s="193"/>
      <c r="BJF518" s="379"/>
      <c r="BJG518" s="379"/>
      <c r="BJH518" s="379"/>
      <c r="BJI518" s="379"/>
      <c r="BJJ518" s="379"/>
      <c r="BJK518" s="13"/>
      <c r="BJL518" s="13"/>
      <c r="BJM518" s="193"/>
      <c r="BJN518" s="379"/>
      <c r="BJO518" s="379"/>
      <c r="BJP518" s="379"/>
      <c r="BJQ518" s="379"/>
      <c r="BJR518" s="379"/>
      <c r="BJS518" s="13"/>
      <c r="BJT518" s="13"/>
      <c r="BJU518" s="193"/>
      <c r="BJV518" s="379"/>
      <c r="BJW518" s="379"/>
      <c r="BJX518" s="379"/>
      <c r="BJY518" s="379"/>
      <c r="BJZ518" s="379"/>
      <c r="BKA518" s="13"/>
      <c r="BKB518" s="13"/>
      <c r="BKC518" s="193"/>
      <c r="BKD518" s="379"/>
      <c r="BKE518" s="379"/>
      <c r="BKF518" s="379"/>
      <c r="BKG518" s="379"/>
      <c r="BKH518" s="379"/>
      <c r="BKI518" s="13"/>
      <c r="BKJ518" s="13"/>
      <c r="BKK518" s="193"/>
      <c r="BKL518" s="379"/>
      <c r="BKM518" s="379"/>
      <c r="BKN518" s="379"/>
      <c r="BKO518" s="379"/>
      <c r="BKP518" s="379"/>
      <c r="BKQ518" s="13"/>
      <c r="BKR518" s="13"/>
      <c r="BKS518" s="193"/>
      <c r="BKT518" s="379"/>
      <c r="BKU518" s="379"/>
      <c r="BKV518" s="379"/>
      <c r="BKW518" s="379"/>
      <c r="BKX518" s="379"/>
      <c r="BKY518" s="13"/>
      <c r="BKZ518" s="13"/>
      <c r="BLA518" s="193"/>
      <c r="BLB518" s="379"/>
      <c r="BLC518" s="379"/>
      <c r="BLD518" s="379"/>
      <c r="BLE518" s="379"/>
      <c r="BLF518" s="379"/>
      <c r="BLG518" s="13"/>
      <c r="BLH518" s="13"/>
      <c r="BLI518" s="193"/>
      <c r="BLJ518" s="379"/>
      <c r="BLK518" s="379"/>
      <c r="BLL518" s="379"/>
      <c r="BLM518" s="379"/>
      <c r="BLN518" s="379"/>
      <c r="BLO518" s="13"/>
      <c r="BLP518" s="13"/>
      <c r="BLQ518" s="193"/>
      <c r="BLR518" s="379"/>
      <c r="BLS518" s="379"/>
      <c r="BLT518" s="379"/>
      <c r="BLU518" s="379"/>
      <c r="BLV518" s="379"/>
      <c r="BLW518" s="13"/>
      <c r="BLX518" s="13"/>
      <c r="BLY518" s="193"/>
      <c r="BLZ518" s="379"/>
      <c r="BMA518" s="379"/>
      <c r="BMB518" s="379"/>
      <c r="BMC518" s="379"/>
      <c r="BMD518" s="379"/>
      <c r="BME518" s="13"/>
      <c r="BMF518" s="13"/>
      <c r="BMG518" s="193"/>
      <c r="BMH518" s="379"/>
      <c r="BMI518" s="379"/>
      <c r="BMJ518" s="379"/>
      <c r="BMK518" s="379"/>
      <c r="BML518" s="379"/>
      <c r="BMM518" s="13"/>
      <c r="BMN518" s="13"/>
      <c r="BMO518" s="193"/>
      <c r="BMP518" s="379"/>
      <c r="BMQ518" s="379"/>
      <c r="BMR518" s="379"/>
      <c r="BMS518" s="379"/>
      <c r="BMT518" s="379"/>
      <c r="BMU518" s="13"/>
      <c r="BMV518" s="13"/>
      <c r="BMW518" s="193"/>
      <c r="BMX518" s="379"/>
      <c r="BMY518" s="379"/>
      <c r="BMZ518" s="379"/>
      <c r="BNA518" s="379"/>
      <c r="BNB518" s="379"/>
      <c r="BNC518" s="13"/>
      <c r="BND518" s="13"/>
      <c r="BNE518" s="193"/>
      <c r="BNF518" s="379"/>
      <c r="BNG518" s="379"/>
      <c r="BNH518" s="379"/>
      <c r="BNI518" s="379"/>
      <c r="BNJ518" s="379"/>
      <c r="BNK518" s="13"/>
      <c r="BNL518" s="13"/>
      <c r="BNM518" s="193"/>
      <c r="BNN518" s="379"/>
      <c r="BNO518" s="379"/>
      <c r="BNP518" s="379"/>
      <c r="BNQ518" s="379"/>
      <c r="BNR518" s="379"/>
      <c r="BNS518" s="13"/>
      <c r="BNT518" s="13"/>
      <c r="BNU518" s="193"/>
      <c r="BNV518" s="379"/>
      <c r="BNW518" s="379"/>
      <c r="BNX518" s="379"/>
      <c r="BNY518" s="379"/>
      <c r="BNZ518" s="379"/>
      <c r="BOA518" s="13"/>
      <c r="BOB518" s="13"/>
      <c r="BOC518" s="193"/>
      <c r="BOD518" s="379"/>
      <c r="BOE518" s="379"/>
      <c r="BOF518" s="379"/>
      <c r="BOG518" s="379"/>
      <c r="BOH518" s="379"/>
      <c r="BOI518" s="13"/>
      <c r="BOJ518" s="13"/>
      <c r="BOK518" s="193"/>
      <c r="BOL518" s="379"/>
      <c r="BOM518" s="379"/>
      <c r="BON518" s="379"/>
      <c r="BOO518" s="379"/>
      <c r="BOP518" s="379"/>
      <c r="BOQ518" s="13"/>
      <c r="BOR518" s="13"/>
      <c r="BOS518" s="193"/>
      <c r="BOT518" s="379"/>
      <c r="BOU518" s="379"/>
      <c r="BOV518" s="379"/>
      <c r="BOW518" s="379"/>
      <c r="BOX518" s="379"/>
      <c r="BOY518" s="13"/>
      <c r="BOZ518" s="13"/>
      <c r="BPA518" s="193"/>
      <c r="BPB518" s="379"/>
      <c r="BPC518" s="379"/>
      <c r="BPD518" s="379"/>
      <c r="BPE518" s="379"/>
      <c r="BPF518" s="379"/>
      <c r="BPG518" s="13"/>
      <c r="BPH518" s="13"/>
      <c r="BPI518" s="193"/>
      <c r="BPJ518" s="379"/>
      <c r="BPK518" s="379"/>
      <c r="BPL518" s="379"/>
      <c r="BPM518" s="379"/>
      <c r="BPN518" s="379"/>
      <c r="BPO518" s="13"/>
      <c r="BPP518" s="13"/>
      <c r="BPQ518" s="193"/>
      <c r="BPR518" s="379"/>
      <c r="BPS518" s="379"/>
      <c r="BPT518" s="379"/>
      <c r="BPU518" s="379"/>
      <c r="BPV518" s="379"/>
      <c r="BPW518" s="13"/>
      <c r="BPX518" s="13"/>
      <c r="BPY518" s="193"/>
      <c r="BPZ518" s="379"/>
      <c r="BQA518" s="379"/>
      <c r="BQB518" s="379"/>
      <c r="BQC518" s="379"/>
      <c r="BQD518" s="379"/>
      <c r="BQE518" s="13"/>
      <c r="BQF518" s="13"/>
      <c r="BQG518" s="193"/>
      <c r="BQH518" s="379"/>
      <c r="BQI518" s="379"/>
      <c r="BQJ518" s="379"/>
      <c r="BQK518" s="379"/>
      <c r="BQL518" s="379"/>
      <c r="BQM518" s="13"/>
      <c r="BQN518" s="13"/>
      <c r="BQO518" s="193"/>
      <c r="BQP518" s="379"/>
      <c r="BQQ518" s="379"/>
      <c r="BQR518" s="379"/>
      <c r="BQS518" s="379"/>
      <c r="BQT518" s="379"/>
      <c r="BQU518" s="13"/>
      <c r="BQV518" s="13"/>
      <c r="BQW518" s="193"/>
      <c r="BQX518" s="379"/>
      <c r="BQY518" s="379"/>
      <c r="BQZ518" s="379"/>
      <c r="BRA518" s="379"/>
      <c r="BRB518" s="379"/>
      <c r="BRC518" s="13"/>
      <c r="BRD518" s="13"/>
      <c r="BRE518" s="193"/>
      <c r="BRF518" s="379"/>
      <c r="BRG518" s="379"/>
      <c r="BRH518" s="379"/>
      <c r="BRI518" s="379"/>
      <c r="BRJ518" s="379"/>
      <c r="BRK518" s="13"/>
      <c r="BRL518" s="13"/>
      <c r="BRM518" s="193"/>
      <c r="BRN518" s="379"/>
      <c r="BRO518" s="379"/>
      <c r="BRP518" s="379"/>
      <c r="BRQ518" s="379"/>
      <c r="BRR518" s="379"/>
      <c r="BRS518" s="13"/>
      <c r="BRT518" s="13"/>
      <c r="BRU518" s="193"/>
      <c r="BRV518" s="379"/>
      <c r="BRW518" s="379"/>
      <c r="BRX518" s="379"/>
      <c r="BRY518" s="379"/>
      <c r="BRZ518" s="379"/>
      <c r="BSA518" s="13"/>
      <c r="BSB518" s="13"/>
      <c r="BSC518" s="193"/>
      <c r="BSD518" s="379"/>
      <c r="BSE518" s="379"/>
      <c r="BSF518" s="379"/>
      <c r="BSG518" s="379"/>
      <c r="BSH518" s="379"/>
      <c r="BSI518" s="13"/>
      <c r="BSJ518" s="13"/>
      <c r="BSK518" s="193"/>
      <c r="BSL518" s="379"/>
      <c r="BSM518" s="379"/>
      <c r="BSN518" s="379"/>
      <c r="BSO518" s="379"/>
      <c r="BSP518" s="379"/>
      <c r="BSQ518" s="13"/>
      <c r="BSR518" s="13"/>
      <c r="BSS518" s="193"/>
      <c r="BST518" s="379"/>
      <c r="BSU518" s="379"/>
      <c r="BSV518" s="379"/>
      <c r="BSW518" s="379"/>
      <c r="BSX518" s="379"/>
      <c r="BSY518" s="13"/>
      <c r="BSZ518" s="13"/>
      <c r="BTA518" s="193"/>
      <c r="BTB518" s="379"/>
      <c r="BTC518" s="379"/>
      <c r="BTD518" s="379"/>
      <c r="BTE518" s="379"/>
      <c r="BTF518" s="379"/>
      <c r="BTG518" s="13"/>
      <c r="BTH518" s="13"/>
      <c r="BTI518" s="193"/>
      <c r="BTJ518" s="379"/>
      <c r="BTK518" s="379"/>
      <c r="BTL518" s="379"/>
      <c r="BTM518" s="379"/>
      <c r="BTN518" s="379"/>
      <c r="BTO518" s="13"/>
      <c r="BTP518" s="13"/>
      <c r="BTQ518" s="193"/>
      <c r="BTR518" s="379"/>
      <c r="BTS518" s="379"/>
      <c r="BTT518" s="379"/>
      <c r="BTU518" s="379"/>
      <c r="BTV518" s="379"/>
      <c r="BTW518" s="13"/>
      <c r="BTX518" s="13"/>
      <c r="BTY518" s="193"/>
      <c r="BTZ518" s="379"/>
      <c r="BUA518" s="379"/>
      <c r="BUB518" s="379"/>
      <c r="BUC518" s="379"/>
      <c r="BUD518" s="379"/>
      <c r="BUE518" s="13"/>
      <c r="BUF518" s="13"/>
      <c r="BUG518" s="193"/>
      <c r="BUH518" s="379"/>
      <c r="BUI518" s="379"/>
      <c r="BUJ518" s="379"/>
      <c r="BUK518" s="379"/>
      <c r="BUL518" s="379"/>
      <c r="BUM518" s="13"/>
      <c r="BUN518" s="13"/>
      <c r="BUO518" s="193"/>
      <c r="BUP518" s="379"/>
      <c r="BUQ518" s="379"/>
      <c r="BUR518" s="379"/>
      <c r="BUS518" s="379"/>
      <c r="BUT518" s="379"/>
      <c r="BUU518" s="13"/>
      <c r="BUV518" s="13"/>
      <c r="BUW518" s="193"/>
      <c r="BUX518" s="379"/>
      <c r="BUY518" s="379"/>
      <c r="BUZ518" s="379"/>
      <c r="BVA518" s="379"/>
      <c r="BVB518" s="379"/>
      <c r="BVC518" s="13"/>
      <c r="BVD518" s="13"/>
      <c r="BVE518" s="193"/>
      <c r="BVF518" s="379"/>
      <c r="BVG518" s="379"/>
      <c r="BVH518" s="379"/>
      <c r="BVI518" s="379"/>
      <c r="BVJ518" s="379"/>
      <c r="BVK518" s="13"/>
      <c r="BVL518" s="13"/>
      <c r="BVM518" s="193"/>
      <c r="BVN518" s="379"/>
      <c r="BVO518" s="379"/>
      <c r="BVP518" s="379"/>
      <c r="BVQ518" s="379"/>
      <c r="BVR518" s="379"/>
      <c r="BVS518" s="13"/>
      <c r="BVT518" s="13"/>
      <c r="BVU518" s="193"/>
      <c r="BVV518" s="379"/>
      <c r="BVW518" s="379"/>
      <c r="BVX518" s="379"/>
      <c r="BVY518" s="379"/>
      <c r="BVZ518" s="379"/>
      <c r="BWA518" s="13"/>
      <c r="BWB518" s="13"/>
      <c r="BWC518" s="193"/>
      <c r="BWD518" s="379"/>
      <c r="BWE518" s="379"/>
      <c r="BWF518" s="379"/>
      <c r="BWG518" s="379"/>
      <c r="BWH518" s="379"/>
      <c r="BWI518" s="13"/>
      <c r="BWJ518" s="13"/>
      <c r="BWK518" s="193"/>
      <c r="BWL518" s="379"/>
      <c r="BWM518" s="379"/>
      <c r="BWN518" s="379"/>
      <c r="BWO518" s="379"/>
      <c r="BWP518" s="379"/>
      <c r="BWQ518" s="13"/>
      <c r="BWR518" s="13"/>
      <c r="BWS518" s="193"/>
      <c r="BWT518" s="379"/>
      <c r="BWU518" s="379"/>
      <c r="BWV518" s="379"/>
      <c r="BWW518" s="379"/>
      <c r="BWX518" s="379"/>
      <c r="BWY518" s="13"/>
      <c r="BWZ518" s="13"/>
      <c r="BXA518" s="193"/>
      <c r="BXB518" s="379"/>
      <c r="BXC518" s="379"/>
      <c r="BXD518" s="379"/>
      <c r="BXE518" s="379"/>
      <c r="BXF518" s="379"/>
      <c r="BXG518" s="13"/>
      <c r="BXH518" s="13"/>
      <c r="BXI518" s="193"/>
      <c r="BXJ518" s="379"/>
      <c r="BXK518" s="379"/>
      <c r="BXL518" s="379"/>
      <c r="BXM518" s="379"/>
      <c r="BXN518" s="379"/>
      <c r="BXO518" s="13"/>
      <c r="BXP518" s="13"/>
      <c r="BXQ518" s="193"/>
      <c r="BXR518" s="379"/>
      <c r="BXS518" s="379"/>
      <c r="BXT518" s="379"/>
      <c r="BXU518" s="379"/>
      <c r="BXV518" s="379"/>
      <c r="BXW518" s="13"/>
      <c r="BXX518" s="13"/>
      <c r="BXY518" s="193"/>
      <c r="BXZ518" s="379"/>
      <c r="BYA518" s="379"/>
      <c r="BYB518" s="379"/>
      <c r="BYC518" s="379"/>
      <c r="BYD518" s="379"/>
      <c r="BYE518" s="13"/>
      <c r="BYF518" s="13"/>
      <c r="BYG518" s="193"/>
      <c r="BYH518" s="379"/>
      <c r="BYI518" s="379"/>
      <c r="BYJ518" s="379"/>
      <c r="BYK518" s="379"/>
      <c r="BYL518" s="379"/>
      <c r="BYM518" s="13"/>
      <c r="BYN518" s="13"/>
      <c r="BYO518" s="193"/>
      <c r="BYP518" s="379"/>
      <c r="BYQ518" s="379"/>
      <c r="BYR518" s="379"/>
      <c r="BYS518" s="379"/>
      <c r="BYT518" s="379"/>
      <c r="BYU518" s="13"/>
      <c r="BYV518" s="13"/>
      <c r="BYW518" s="193"/>
      <c r="BYX518" s="379"/>
      <c r="BYY518" s="379"/>
      <c r="BYZ518" s="379"/>
      <c r="BZA518" s="379"/>
      <c r="BZB518" s="379"/>
      <c r="BZC518" s="13"/>
      <c r="BZD518" s="13"/>
      <c r="BZE518" s="193"/>
      <c r="BZF518" s="379"/>
      <c r="BZG518" s="379"/>
      <c r="BZH518" s="379"/>
      <c r="BZI518" s="379"/>
      <c r="BZJ518" s="379"/>
      <c r="BZK518" s="13"/>
      <c r="BZL518" s="13"/>
      <c r="BZM518" s="193"/>
      <c r="BZN518" s="379"/>
      <c r="BZO518" s="379"/>
      <c r="BZP518" s="379"/>
      <c r="BZQ518" s="379"/>
      <c r="BZR518" s="379"/>
      <c r="BZS518" s="13"/>
      <c r="BZT518" s="13"/>
      <c r="BZU518" s="193"/>
      <c r="BZV518" s="379"/>
      <c r="BZW518" s="379"/>
      <c r="BZX518" s="379"/>
      <c r="BZY518" s="379"/>
      <c r="BZZ518" s="379"/>
      <c r="CAA518" s="13"/>
      <c r="CAB518" s="13"/>
      <c r="CAC518" s="193"/>
      <c r="CAD518" s="379"/>
      <c r="CAE518" s="379"/>
      <c r="CAF518" s="379"/>
      <c r="CAG518" s="379"/>
      <c r="CAH518" s="379"/>
      <c r="CAI518" s="13"/>
      <c r="CAJ518" s="13"/>
      <c r="CAK518" s="193"/>
      <c r="CAL518" s="379"/>
      <c r="CAM518" s="379"/>
      <c r="CAN518" s="379"/>
      <c r="CAO518" s="379"/>
      <c r="CAP518" s="379"/>
      <c r="CAQ518" s="13"/>
      <c r="CAR518" s="13"/>
      <c r="CAS518" s="193"/>
      <c r="CAT518" s="379"/>
      <c r="CAU518" s="379"/>
      <c r="CAV518" s="379"/>
      <c r="CAW518" s="379"/>
      <c r="CAX518" s="379"/>
      <c r="CAY518" s="13"/>
      <c r="CAZ518" s="13"/>
      <c r="CBA518" s="193"/>
      <c r="CBB518" s="379"/>
      <c r="CBC518" s="379"/>
      <c r="CBD518" s="379"/>
      <c r="CBE518" s="379"/>
      <c r="CBF518" s="379"/>
      <c r="CBG518" s="13"/>
      <c r="CBH518" s="13"/>
      <c r="CBI518" s="193"/>
      <c r="CBJ518" s="379"/>
      <c r="CBK518" s="379"/>
      <c r="CBL518" s="379"/>
      <c r="CBM518" s="379"/>
      <c r="CBN518" s="379"/>
      <c r="CBO518" s="13"/>
      <c r="CBP518" s="13"/>
      <c r="CBQ518" s="193"/>
      <c r="CBR518" s="379"/>
      <c r="CBS518" s="379"/>
      <c r="CBT518" s="379"/>
      <c r="CBU518" s="379"/>
      <c r="CBV518" s="379"/>
      <c r="CBW518" s="13"/>
      <c r="CBX518" s="13"/>
      <c r="CBY518" s="193"/>
      <c r="CBZ518" s="379"/>
      <c r="CCA518" s="379"/>
      <c r="CCB518" s="379"/>
      <c r="CCC518" s="379"/>
      <c r="CCD518" s="379"/>
      <c r="CCE518" s="13"/>
      <c r="CCF518" s="13"/>
      <c r="CCG518" s="193"/>
      <c r="CCH518" s="379"/>
      <c r="CCI518" s="379"/>
      <c r="CCJ518" s="379"/>
      <c r="CCK518" s="379"/>
      <c r="CCL518" s="379"/>
      <c r="CCM518" s="13"/>
      <c r="CCN518" s="13"/>
      <c r="CCO518" s="193"/>
      <c r="CCP518" s="379"/>
      <c r="CCQ518" s="379"/>
      <c r="CCR518" s="379"/>
      <c r="CCS518" s="379"/>
      <c r="CCT518" s="379"/>
      <c r="CCU518" s="13"/>
      <c r="CCV518" s="13"/>
      <c r="CCW518" s="193"/>
      <c r="CCX518" s="379"/>
      <c r="CCY518" s="379"/>
      <c r="CCZ518" s="379"/>
      <c r="CDA518" s="379"/>
      <c r="CDB518" s="379"/>
      <c r="CDC518" s="13"/>
      <c r="CDD518" s="13"/>
      <c r="CDE518" s="193"/>
      <c r="CDF518" s="379"/>
      <c r="CDG518" s="379"/>
      <c r="CDH518" s="379"/>
      <c r="CDI518" s="379"/>
      <c r="CDJ518" s="379"/>
      <c r="CDK518" s="13"/>
      <c r="CDL518" s="13"/>
      <c r="CDM518" s="193"/>
      <c r="CDN518" s="379"/>
      <c r="CDO518" s="379"/>
      <c r="CDP518" s="379"/>
      <c r="CDQ518" s="379"/>
      <c r="CDR518" s="379"/>
      <c r="CDS518" s="13"/>
      <c r="CDT518" s="13"/>
      <c r="CDU518" s="193"/>
      <c r="CDV518" s="379"/>
      <c r="CDW518" s="379"/>
      <c r="CDX518" s="379"/>
      <c r="CDY518" s="379"/>
      <c r="CDZ518" s="379"/>
      <c r="CEA518" s="13"/>
      <c r="CEB518" s="13"/>
      <c r="CEC518" s="193"/>
      <c r="CED518" s="379"/>
      <c r="CEE518" s="379"/>
      <c r="CEF518" s="379"/>
      <c r="CEG518" s="379"/>
      <c r="CEH518" s="379"/>
      <c r="CEI518" s="13"/>
      <c r="CEJ518" s="13"/>
      <c r="CEK518" s="193"/>
      <c r="CEL518" s="379"/>
      <c r="CEM518" s="379"/>
      <c r="CEN518" s="379"/>
      <c r="CEO518" s="379"/>
      <c r="CEP518" s="379"/>
      <c r="CEQ518" s="13"/>
      <c r="CER518" s="13"/>
      <c r="CES518" s="193"/>
      <c r="CET518" s="379"/>
      <c r="CEU518" s="379"/>
      <c r="CEV518" s="379"/>
      <c r="CEW518" s="379"/>
      <c r="CEX518" s="379"/>
      <c r="CEY518" s="13"/>
      <c r="CEZ518" s="13"/>
      <c r="CFA518" s="193"/>
      <c r="CFB518" s="379"/>
      <c r="CFC518" s="379"/>
      <c r="CFD518" s="379"/>
      <c r="CFE518" s="379"/>
      <c r="CFF518" s="379"/>
      <c r="CFG518" s="13"/>
      <c r="CFH518" s="13"/>
      <c r="CFI518" s="193"/>
      <c r="CFJ518" s="379"/>
      <c r="CFK518" s="379"/>
      <c r="CFL518" s="379"/>
      <c r="CFM518" s="379"/>
      <c r="CFN518" s="379"/>
      <c r="CFO518" s="13"/>
      <c r="CFP518" s="13"/>
      <c r="CFQ518" s="193"/>
      <c r="CFR518" s="379"/>
      <c r="CFS518" s="379"/>
      <c r="CFT518" s="379"/>
      <c r="CFU518" s="379"/>
      <c r="CFV518" s="379"/>
      <c r="CFW518" s="13"/>
      <c r="CFX518" s="13"/>
      <c r="CFY518" s="193"/>
      <c r="CFZ518" s="379"/>
      <c r="CGA518" s="379"/>
      <c r="CGB518" s="379"/>
      <c r="CGC518" s="379"/>
      <c r="CGD518" s="379"/>
      <c r="CGE518" s="13"/>
      <c r="CGF518" s="13"/>
      <c r="CGG518" s="193"/>
      <c r="CGH518" s="379"/>
      <c r="CGI518" s="379"/>
      <c r="CGJ518" s="379"/>
      <c r="CGK518" s="379"/>
      <c r="CGL518" s="379"/>
      <c r="CGM518" s="13"/>
      <c r="CGN518" s="13"/>
      <c r="CGO518" s="193"/>
      <c r="CGP518" s="379"/>
      <c r="CGQ518" s="379"/>
      <c r="CGR518" s="379"/>
      <c r="CGS518" s="379"/>
      <c r="CGT518" s="379"/>
      <c r="CGU518" s="13"/>
      <c r="CGV518" s="13"/>
      <c r="CGW518" s="193"/>
      <c r="CGX518" s="379"/>
      <c r="CGY518" s="379"/>
      <c r="CGZ518" s="379"/>
      <c r="CHA518" s="379"/>
      <c r="CHB518" s="379"/>
      <c r="CHC518" s="13"/>
      <c r="CHD518" s="13"/>
      <c r="CHE518" s="193"/>
      <c r="CHF518" s="379"/>
      <c r="CHG518" s="379"/>
      <c r="CHH518" s="379"/>
      <c r="CHI518" s="379"/>
      <c r="CHJ518" s="379"/>
      <c r="CHK518" s="13"/>
      <c r="CHL518" s="13"/>
      <c r="CHM518" s="193"/>
      <c r="CHN518" s="379"/>
      <c r="CHO518" s="379"/>
      <c r="CHP518" s="379"/>
      <c r="CHQ518" s="379"/>
      <c r="CHR518" s="379"/>
      <c r="CHS518" s="13"/>
      <c r="CHT518" s="13"/>
      <c r="CHU518" s="193"/>
      <c r="CHV518" s="379"/>
      <c r="CHW518" s="379"/>
      <c r="CHX518" s="379"/>
      <c r="CHY518" s="379"/>
      <c r="CHZ518" s="379"/>
      <c r="CIA518" s="13"/>
      <c r="CIB518" s="13"/>
      <c r="CIC518" s="193"/>
      <c r="CID518" s="379"/>
      <c r="CIE518" s="379"/>
      <c r="CIF518" s="379"/>
      <c r="CIG518" s="379"/>
      <c r="CIH518" s="379"/>
      <c r="CII518" s="13"/>
      <c r="CIJ518" s="13"/>
      <c r="CIK518" s="193"/>
      <c r="CIL518" s="379"/>
      <c r="CIM518" s="379"/>
      <c r="CIN518" s="379"/>
      <c r="CIO518" s="379"/>
      <c r="CIP518" s="379"/>
      <c r="CIQ518" s="13"/>
      <c r="CIR518" s="13"/>
      <c r="CIS518" s="193"/>
      <c r="CIT518" s="379"/>
      <c r="CIU518" s="379"/>
      <c r="CIV518" s="379"/>
      <c r="CIW518" s="379"/>
      <c r="CIX518" s="379"/>
      <c r="CIY518" s="13"/>
      <c r="CIZ518" s="13"/>
      <c r="CJA518" s="193"/>
      <c r="CJB518" s="379"/>
      <c r="CJC518" s="379"/>
      <c r="CJD518" s="379"/>
      <c r="CJE518" s="379"/>
      <c r="CJF518" s="379"/>
      <c r="CJG518" s="13"/>
      <c r="CJH518" s="13"/>
      <c r="CJI518" s="193"/>
      <c r="CJJ518" s="379"/>
      <c r="CJK518" s="379"/>
      <c r="CJL518" s="379"/>
      <c r="CJM518" s="379"/>
      <c r="CJN518" s="379"/>
      <c r="CJO518" s="13"/>
      <c r="CJP518" s="13"/>
      <c r="CJQ518" s="193"/>
      <c r="CJR518" s="379"/>
      <c r="CJS518" s="379"/>
      <c r="CJT518" s="379"/>
      <c r="CJU518" s="379"/>
      <c r="CJV518" s="379"/>
      <c r="CJW518" s="13"/>
      <c r="CJX518" s="13"/>
      <c r="CJY518" s="193"/>
      <c r="CJZ518" s="379"/>
      <c r="CKA518" s="379"/>
      <c r="CKB518" s="379"/>
      <c r="CKC518" s="379"/>
      <c r="CKD518" s="379"/>
      <c r="CKE518" s="13"/>
      <c r="CKF518" s="13"/>
      <c r="CKG518" s="193"/>
      <c r="CKH518" s="379"/>
      <c r="CKI518" s="379"/>
      <c r="CKJ518" s="379"/>
      <c r="CKK518" s="379"/>
      <c r="CKL518" s="379"/>
      <c r="CKM518" s="13"/>
      <c r="CKN518" s="13"/>
      <c r="CKO518" s="193"/>
      <c r="CKP518" s="379"/>
      <c r="CKQ518" s="379"/>
      <c r="CKR518" s="379"/>
      <c r="CKS518" s="379"/>
      <c r="CKT518" s="379"/>
      <c r="CKU518" s="13"/>
      <c r="CKV518" s="13"/>
      <c r="CKW518" s="193"/>
      <c r="CKX518" s="379"/>
      <c r="CKY518" s="379"/>
      <c r="CKZ518" s="379"/>
      <c r="CLA518" s="379"/>
      <c r="CLB518" s="379"/>
      <c r="CLC518" s="13"/>
      <c r="CLD518" s="13"/>
      <c r="CLE518" s="193"/>
      <c r="CLF518" s="379"/>
      <c r="CLG518" s="379"/>
      <c r="CLH518" s="379"/>
      <c r="CLI518" s="379"/>
      <c r="CLJ518" s="379"/>
      <c r="CLK518" s="13"/>
      <c r="CLL518" s="13"/>
      <c r="CLM518" s="193"/>
      <c r="CLN518" s="379"/>
      <c r="CLO518" s="379"/>
      <c r="CLP518" s="379"/>
      <c r="CLQ518" s="379"/>
      <c r="CLR518" s="379"/>
      <c r="CLS518" s="13"/>
      <c r="CLT518" s="13"/>
      <c r="CLU518" s="193"/>
      <c r="CLV518" s="379"/>
      <c r="CLW518" s="379"/>
      <c r="CLX518" s="379"/>
      <c r="CLY518" s="379"/>
      <c r="CLZ518" s="379"/>
      <c r="CMA518" s="13"/>
      <c r="CMB518" s="13"/>
      <c r="CMC518" s="193"/>
      <c r="CMD518" s="379"/>
      <c r="CME518" s="379"/>
      <c r="CMF518" s="379"/>
      <c r="CMG518" s="379"/>
      <c r="CMH518" s="379"/>
      <c r="CMI518" s="13"/>
      <c r="CMJ518" s="13"/>
      <c r="CMK518" s="193"/>
      <c r="CML518" s="379"/>
      <c r="CMM518" s="379"/>
      <c r="CMN518" s="379"/>
      <c r="CMO518" s="379"/>
      <c r="CMP518" s="379"/>
      <c r="CMQ518" s="13"/>
      <c r="CMR518" s="13"/>
      <c r="CMS518" s="193"/>
      <c r="CMT518" s="379"/>
      <c r="CMU518" s="379"/>
      <c r="CMV518" s="379"/>
      <c r="CMW518" s="379"/>
      <c r="CMX518" s="379"/>
      <c r="CMY518" s="13"/>
      <c r="CMZ518" s="13"/>
      <c r="CNA518" s="193"/>
      <c r="CNB518" s="379"/>
      <c r="CNC518" s="379"/>
      <c r="CND518" s="379"/>
      <c r="CNE518" s="379"/>
      <c r="CNF518" s="379"/>
      <c r="CNG518" s="13"/>
      <c r="CNH518" s="13"/>
      <c r="CNI518" s="193"/>
      <c r="CNJ518" s="379"/>
      <c r="CNK518" s="379"/>
      <c r="CNL518" s="379"/>
      <c r="CNM518" s="379"/>
      <c r="CNN518" s="379"/>
      <c r="CNO518" s="13"/>
      <c r="CNP518" s="13"/>
      <c r="CNQ518" s="193"/>
      <c r="CNR518" s="379"/>
      <c r="CNS518" s="379"/>
      <c r="CNT518" s="379"/>
      <c r="CNU518" s="379"/>
      <c r="CNV518" s="379"/>
      <c r="CNW518" s="13"/>
      <c r="CNX518" s="13"/>
      <c r="CNY518" s="193"/>
      <c r="CNZ518" s="379"/>
      <c r="COA518" s="379"/>
      <c r="COB518" s="379"/>
      <c r="COC518" s="379"/>
      <c r="COD518" s="379"/>
      <c r="COE518" s="13"/>
      <c r="COF518" s="13"/>
      <c r="COG518" s="193"/>
      <c r="COH518" s="379"/>
      <c r="COI518" s="379"/>
      <c r="COJ518" s="379"/>
      <c r="COK518" s="379"/>
      <c r="COL518" s="379"/>
      <c r="COM518" s="13"/>
      <c r="CON518" s="13"/>
      <c r="COO518" s="193"/>
      <c r="COP518" s="379"/>
      <c r="COQ518" s="379"/>
      <c r="COR518" s="379"/>
      <c r="COS518" s="379"/>
      <c r="COT518" s="379"/>
      <c r="COU518" s="13"/>
      <c r="COV518" s="13"/>
      <c r="COW518" s="193"/>
      <c r="COX518" s="379"/>
      <c r="COY518" s="379"/>
      <c r="COZ518" s="379"/>
      <c r="CPA518" s="379"/>
      <c r="CPB518" s="379"/>
      <c r="CPC518" s="13"/>
      <c r="CPD518" s="13"/>
      <c r="CPE518" s="193"/>
      <c r="CPF518" s="379"/>
      <c r="CPG518" s="379"/>
      <c r="CPH518" s="379"/>
      <c r="CPI518" s="379"/>
      <c r="CPJ518" s="379"/>
      <c r="CPK518" s="13"/>
      <c r="CPL518" s="13"/>
      <c r="CPM518" s="193"/>
      <c r="CPN518" s="379"/>
      <c r="CPO518" s="379"/>
      <c r="CPP518" s="379"/>
      <c r="CPQ518" s="379"/>
      <c r="CPR518" s="379"/>
      <c r="CPS518" s="13"/>
      <c r="CPT518" s="13"/>
      <c r="CPU518" s="193"/>
      <c r="CPV518" s="379"/>
      <c r="CPW518" s="379"/>
      <c r="CPX518" s="379"/>
      <c r="CPY518" s="379"/>
      <c r="CPZ518" s="379"/>
      <c r="CQA518" s="13"/>
      <c r="CQB518" s="13"/>
      <c r="CQC518" s="193"/>
      <c r="CQD518" s="379"/>
      <c r="CQE518" s="379"/>
      <c r="CQF518" s="379"/>
      <c r="CQG518" s="379"/>
      <c r="CQH518" s="379"/>
      <c r="CQI518" s="13"/>
      <c r="CQJ518" s="13"/>
      <c r="CQK518" s="193"/>
      <c r="CQL518" s="379"/>
      <c r="CQM518" s="379"/>
      <c r="CQN518" s="379"/>
      <c r="CQO518" s="379"/>
      <c r="CQP518" s="379"/>
      <c r="CQQ518" s="13"/>
      <c r="CQR518" s="13"/>
      <c r="CQS518" s="193"/>
      <c r="CQT518" s="379"/>
      <c r="CQU518" s="379"/>
      <c r="CQV518" s="379"/>
      <c r="CQW518" s="379"/>
      <c r="CQX518" s="379"/>
      <c r="CQY518" s="13"/>
      <c r="CQZ518" s="13"/>
      <c r="CRA518" s="193"/>
      <c r="CRB518" s="379"/>
      <c r="CRC518" s="379"/>
      <c r="CRD518" s="379"/>
      <c r="CRE518" s="379"/>
      <c r="CRF518" s="379"/>
      <c r="CRG518" s="13"/>
      <c r="CRH518" s="13"/>
      <c r="CRI518" s="193"/>
      <c r="CRJ518" s="379"/>
      <c r="CRK518" s="379"/>
      <c r="CRL518" s="379"/>
      <c r="CRM518" s="379"/>
      <c r="CRN518" s="379"/>
      <c r="CRO518" s="13"/>
      <c r="CRP518" s="13"/>
      <c r="CRQ518" s="193"/>
      <c r="CRR518" s="379"/>
      <c r="CRS518" s="379"/>
      <c r="CRT518" s="379"/>
      <c r="CRU518" s="379"/>
      <c r="CRV518" s="379"/>
      <c r="CRW518" s="13"/>
      <c r="CRX518" s="13"/>
      <c r="CRY518" s="193"/>
      <c r="CRZ518" s="379"/>
      <c r="CSA518" s="379"/>
      <c r="CSB518" s="379"/>
      <c r="CSC518" s="379"/>
      <c r="CSD518" s="379"/>
      <c r="CSE518" s="13"/>
      <c r="CSF518" s="13"/>
      <c r="CSG518" s="193"/>
      <c r="CSH518" s="379"/>
      <c r="CSI518" s="379"/>
      <c r="CSJ518" s="379"/>
      <c r="CSK518" s="379"/>
      <c r="CSL518" s="379"/>
      <c r="CSM518" s="13"/>
      <c r="CSN518" s="13"/>
      <c r="CSO518" s="193"/>
      <c r="CSP518" s="379"/>
      <c r="CSQ518" s="379"/>
      <c r="CSR518" s="379"/>
      <c r="CSS518" s="379"/>
      <c r="CST518" s="379"/>
      <c r="CSU518" s="13"/>
      <c r="CSV518" s="13"/>
      <c r="CSW518" s="193"/>
      <c r="CSX518" s="379"/>
      <c r="CSY518" s="379"/>
      <c r="CSZ518" s="379"/>
      <c r="CTA518" s="379"/>
      <c r="CTB518" s="379"/>
      <c r="CTC518" s="13"/>
      <c r="CTD518" s="13"/>
      <c r="CTE518" s="193"/>
      <c r="CTF518" s="379"/>
      <c r="CTG518" s="379"/>
      <c r="CTH518" s="379"/>
      <c r="CTI518" s="379"/>
      <c r="CTJ518" s="379"/>
      <c r="CTK518" s="13"/>
      <c r="CTL518" s="13"/>
      <c r="CTM518" s="193"/>
      <c r="CTN518" s="379"/>
      <c r="CTO518" s="379"/>
      <c r="CTP518" s="379"/>
      <c r="CTQ518" s="379"/>
      <c r="CTR518" s="379"/>
      <c r="CTS518" s="13"/>
      <c r="CTT518" s="13"/>
      <c r="CTU518" s="193"/>
      <c r="CTV518" s="379"/>
      <c r="CTW518" s="379"/>
      <c r="CTX518" s="379"/>
      <c r="CTY518" s="379"/>
      <c r="CTZ518" s="379"/>
      <c r="CUA518" s="13"/>
      <c r="CUB518" s="13"/>
      <c r="CUC518" s="193"/>
      <c r="CUD518" s="379"/>
      <c r="CUE518" s="379"/>
      <c r="CUF518" s="379"/>
      <c r="CUG518" s="379"/>
      <c r="CUH518" s="379"/>
      <c r="CUI518" s="13"/>
      <c r="CUJ518" s="13"/>
      <c r="CUK518" s="193"/>
      <c r="CUL518" s="379"/>
      <c r="CUM518" s="379"/>
      <c r="CUN518" s="379"/>
      <c r="CUO518" s="379"/>
      <c r="CUP518" s="379"/>
      <c r="CUQ518" s="13"/>
      <c r="CUR518" s="13"/>
      <c r="CUS518" s="193"/>
      <c r="CUT518" s="379"/>
      <c r="CUU518" s="379"/>
      <c r="CUV518" s="379"/>
      <c r="CUW518" s="379"/>
      <c r="CUX518" s="379"/>
      <c r="CUY518" s="13"/>
      <c r="CUZ518" s="13"/>
      <c r="CVA518" s="193"/>
      <c r="CVB518" s="379"/>
      <c r="CVC518" s="379"/>
      <c r="CVD518" s="379"/>
      <c r="CVE518" s="379"/>
      <c r="CVF518" s="379"/>
      <c r="CVG518" s="13"/>
      <c r="CVH518" s="13"/>
      <c r="CVI518" s="193"/>
      <c r="CVJ518" s="379"/>
      <c r="CVK518" s="379"/>
      <c r="CVL518" s="379"/>
      <c r="CVM518" s="379"/>
      <c r="CVN518" s="379"/>
      <c r="CVO518" s="13"/>
      <c r="CVP518" s="13"/>
      <c r="CVQ518" s="193"/>
      <c r="CVR518" s="379"/>
      <c r="CVS518" s="379"/>
      <c r="CVT518" s="379"/>
      <c r="CVU518" s="379"/>
      <c r="CVV518" s="379"/>
      <c r="CVW518" s="13"/>
      <c r="CVX518" s="13"/>
      <c r="CVY518" s="193"/>
      <c r="CVZ518" s="379"/>
      <c r="CWA518" s="379"/>
      <c r="CWB518" s="379"/>
      <c r="CWC518" s="379"/>
      <c r="CWD518" s="379"/>
      <c r="CWE518" s="13"/>
      <c r="CWF518" s="13"/>
      <c r="CWG518" s="193"/>
      <c r="CWH518" s="379"/>
      <c r="CWI518" s="379"/>
      <c r="CWJ518" s="379"/>
      <c r="CWK518" s="379"/>
      <c r="CWL518" s="379"/>
      <c r="CWM518" s="13"/>
      <c r="CWN518" s="13"/>
      <c r="CWO518" s="193"/>
      <c r="CWP518" s="379"/>
      <c r="CWQ518" s="379"/>
      <c r="CWR518" s="379"/>
      <c r="CWS518" s="379"/>
      <c r="CWT518" s="379"/>
      <c r="CWU518" s="13"/>
      <c r="CWV518" s="13"/>
      <c r="CWW518" s="193"/>
      <c r="CWX518" s="379"/>
      <c r="CWY518" s="379"/>
      <c r="CWZ518" s="379"/>
      <c r="CXA518" s="379"/>
      <c r="CXB518" s="379"/>
      <c r="CXC518" s="13"/>
      <c r="CXD518" s="13"/>
      <c r="CXE518" s="193"/>
      <c r="CXF518" s="379"/>
      <c r="CXG518" s="379"/>
      <c r="CXH518" s="379"/>
      <c r="CXI518" s="379"/>
      <c r="CXJ518" s="379"/>
      <c r="CXK518" s="13"/>
      <c r="CXL518" s="13"/>
      <c r="CXM518" s="193"/>
      <c r="CXN518" s="379"/>
      <c r="CXO518" s="379"/>
      <c r="CXP518" s="379"/>
      <c r="CXQ518" s="379"/>
      <c r="CXR518" s="379"/>
      <c r="CXS518" s="13"/>
      <c r="CXT518" s="13"/>
      <c r="CXU518" s="193"/>
      <c r="CXV518" s="379"/>
      <c r="CXW518" s="379"/>
      <c r="CXX518" s="379"/>
      <c r="CXY518" s="379"/>
      <c r="CXZ518" s="379"/>
      <c r="CYA518" s="13"/>
      <c r="CYB518" s="13"/>
      <c r="CYC518" s="193"/>
      <c r="CYD518" s="379"/>
      <c r="CYE518" s="379"/>
      <c r="CYF518" s="379"/>
      <c r="CYG518" s="379"/>
      <c r="CYH518" s="379"/>
      <c r="CYI518" s="13"/>
      <c r="CYJ518" s="13"/>
      <c r="CYK518" s="193"/>
      <c r="CYL518" s="379"/>
      <c r="CYM518" s="379"/>
      <c r="CYN518" s="379"/>
      <c r="CYO518" s="379"/>
      <c r="CYP518" s="379"/>
      <c r="CYQ518" s="13"/>
      <c r="CYR518" s="13"/>
      <c r="CYS518" s="193"/>
      <c r="CYT518" s="379"/>
      <c r="CYU518" s="379"/>
      <c r="CYV518" s="379"/>
      <c r="CYW518" s="379"/>
      <c r="CYX518" s="379"/>
      <c r="CYY518" s="13"/>
      <c r="CYZ518" s="13"/>
      <c r="CZA518" s="193"/>
      <c r="CZB518" s="379"/>
      <c r="CZC518" s="379"/>
      <c r="CZD518" s="379"/>
      <c r="CZE518" s="379"/>
      <c r="CZF518" s="379"/>
      <c r="CZG518" s="13"/>
      <c r="CZH518" s="13"/>
      <c r="CZI518" s="193"/>
      <c r="CZJ518" s="379"/>
      <c r="CZK518" s="379"/>
      <c r="CZL518" s="379"/>
      <c r="CZM518" s="379"/>
      <c r="CZN518" s="379"/>
      <c r="CZO518" s="13"/>
      <c r="CZP518" s="13"/>
      <c r="CZQ518" s="193"/>
      <c r="CZR518" s="379"/>
      <c r="CZS518" s="379"/>
      <c r="CZT518" s="379"/>
      <c r="CZU518" s="379"/>
      <c r="CZV518" s="379"/>
      <c r="CZW518" s="13"/>
      <c r="CZX518" s="13"/>
      <c r="CZY518" s="193"/>
      <c r="CZZ518" s="379"/>
      <c r="DAA518" s="379"/>
      <c r="DAB518" s="379"/>
      <c r="DAC518" s="379"/>
      <c r="DAD518" s="379"/>
      <c r="DAE518" s="13"/>
      <c r="DAF518" s="13"/>
      <c r="DAG518" s="193"/>
      <c r="DAH518" s="379"/>
      <c r="DAI518" s="379"/>
      <c r="DAJ518" s="379"/>
      <c r="DAK518" s="379"/>
      <c r="DAL518" s="379"/>
      <c r="DAM518" s="13"/>
      <c r="DAN518" s="13"/>
      <c r="DAO518" s="193"/>
      <c r="DAP518" s="379"/>
      <c r="DAQ518" s="379"/>
      <c r="DAR518" s="379"/>
      <c r="DAS518" s="379"/>
      <c r="DAT518" s="379"/>
      <c r="DAU518" s="13"/>
      <c r="DAV518" s="13"/>
      <c r="DAW518" s="193"/>
      <c r="DAX518" s="379"/>
      <c r="DAY518" s="379"/>
      <c r="DAZ518" s="379"/>
      <c r="DBA518" s="379"/>
      <c r="DBB518" s="379"/>
      <c r="DBC518" s="13"/>
      <c r="DBD518" s="13"/>
      <c r="DBE518" s="193"/>
      <c r="DBF518" s="379"/>
      <c r="DBG518" s="379"/>
      <c r="DBH518" s="379"/>
      <c r="DBI518" s="379"/>
      <c r="DBJ518" s="379"/>
      <c r="DBK518" s="13"/>
      <c r="DBL518" s="13"/>
      <c r="DBM518" s="193"/>
      <c r="DBN518" s="379"/>
      <c r="DBO518" s="379"/>
      <c r="DBP518" s="379"/>
      <c r="DBQ518" s="379"/>
      <c r="DBR518" s="379"/>
      <c r="DBS518" s="13"/>
      <c r="DBT518" s="13"/>
      <c r="DBU518" s="193"/>
      <c r="DBV518" s="379"/>
      <c r="DBW518" s="379"/>
      <c r="DBX518" s="379"/>
      <c r="DBY518" s="379"/>
      <c r="DBZ518" s="379"/>
      <c r="DCA518" s="13"/>
      <c r="DCB518" s="13"/>
      <c r="DCC518" s="193"/>
      <c r="DCD518" s="379"/>
      <c r="DCE518" s="379"/>
      <c r="DCF518" s="379"/>
      <c r="DCG518" s="379"/>
      <c r="DCH518" s="379"/>
      <c r="DCI518" s="13"/>
      <c r="DCJ518" s="13"/>
      <c r="DCK518" s="193"/>
      <c r="DCL518" s="379"/>
      <c r="DCM518" s="379"/>
      <c r="DCN518" s="379"/>
      <c r="DCO518" s="379"/>
      <c r="DCP518" s="379"/>
      <c r="DCQ518" s="13"/>
      <c r="DCR518" s="13"/>
      <c r="DCS518" s="193"/>
      <c r="DCT518" s="379"/>
      <c r="DCU518" s="379"/>
      <c r="DCV518" s="379"/>
      <c r="DCW518" s="379"/>
      <c r="DCX518" s="379"/>
      <c r="DCY518" s="13"/>
      <c r="DCZ518" s="13"/>
      <c r="DDA518" s="193"/>
      <c r="DDB518" s="379"/>
      <c r="DDC518" s="379"/>
      <c r="DDD518" s="379"/>
      <c r="DDE518" s="379"/>
      <c r="DDF518" s="379"/>
      <c r="DDG518" s="13"/>
      <c r="DDH518" s="13"/>
      <c r="DDI518" s="193"/>
      <c r="DDJ518" s="379"/>
      <c r="DDK518" s="379"/>
      <c r="DDL518" s="379"/>
      <c r="DDM518" s="379"/>
      <c r="DDN518" s="379"/>
      <c r="DDO518" s="13"/>
      <c r="DDP518" s="13"/>
      <c r="DDQ518" s="193"/>
      <c r="DDR518" s="379"/>
      <c r="DDS518" s="379"/>
      <c r="DDT518" s="379"/>
      <c r="DDU518" s="379"/>
      <c r="DDV518" s="379"/>
      <c r="DDW518" s="13"/>
      <c r="DDX518" s="13"/>
      <c r="DDY518" s="193"/>
      <c r="DDZ518" s="379"/>
      <c r="DEA518" s="379"/>
      <c r="DEB518" s="379"/>
      <c r="DEC518" s="379"/>
      <c r="DED518" s="379"/>
      <c r="DEE518" s="13"/>
      <c r="DEF518" s="13"/>
      <c r="DEG518" s="193"/>
      <c r="DEH518" s="379"/>
      <c r="DEI518" s="379"/>
      <c r="DEJ518" s="379"/>
      <c r="DEK518" s="379"/>
      <c r="DEL518" s="379"/>
      <c r="DEM518" s="13"/>
      <c r="DEN518" s="13"/>
      <c r="DEO518" s="193"/>
      <c r="DEP518" s="379"/>
      <c r="DEQ518" s="379"/>
      <c r="DER518" s="379"/>
      <c r="DES518" s="379"/>
      <c r="DET518" s="379"/>
      <c r="DEU518" s="13"/>
      <c r="DEV518" s="13"/>
      <c r="DEW518" s="193"/>
      <c r="DEX518" s="379"/>
      <c r="DEY518" s="379"/>
      <c r="DEZ518" s="379"/>
      <c r="DFA518" s="379"/>
      <c r="DFB518" s="379"/>
      <c r="DFC518" s="13"/>
      <c r="DFD518" s="13"/>
      <c r="DFE518" s="193"/>
      <c r="DFF518" s="379"/>
      <c r="DFG518" s="379"/>
      <c r="DFH518" s="379"/>
      <c r="DFI518" s="379"/>
      <c r="DFJ518" s="379"/>
      <c r="DFK518" s="13"/>
      <c r="DFL518" s="13"/>
      <c r="DFM518" s="193"/>
      <c r="DFN518" s="379"/>
      <c r="DFO518" s="379"/>
      <c r="DFP518" s="379"/>
      <c r="DFQ518" s="379"/>
      <c r="DFR518" s="379"/>
      <c r="DFS518" s="13"/>
      <c r="DFT518" s="13"/>
      <c r="DFU518" s="193"/>
      <c r="DFV518" s="379"/>
      <c r="DFW518" s="379"/>
      <c r="DFX518" s="379"/>
      <c r="DFY518" s="379"/>
      <c r="DFZ518" s="379"/>
      <c r="DGA518" s="13"/>
      <c r="DGB518" s="13"/>
      <c r="DGC518" s="193"/>
      <c r="DGD518" s="379"/>
      <c r="DGE518" s="379"/>
      <c r="DGF518" s="379"/>
      <c r="DGG518" s="379"/>
      <c r="DGH518" s="379"/>
      <c r="DGI518" s="13"/>
      <c r="DGJ518" s="13"/>
      <c r="DGK518" s="193"/>
      <c r="DGL518" s="379"/>
      <c r="DGM518" s="379"/>
      <c r="DGN518" s="379"/>
      <c r="DGO518" s="379"/>
      <c r="DGP518" s="379"/>
      <c r="DGQ518" s="13"/>
      <c r="DGR518" s="13"/>
      <c r="DGS518" s="193"/>
      <c r="DGT518" s="379"/>
      <c r="DGU518" s="379"/>
      <c r="DGV518" s="379"/>
      <c r="DGW518" s="379"/>
      <c r="DGX518" s="379"/>
      <c r="DGY518" s="13"/>
      <c r="DGZ518" s="13"/>
      <c r="DHA518" s="193"/>
      <c r="DHB518" s="379"/>
      <c r="DHC518" s="379"/>
      <c r="DHD518" s="379"/>
      <c r="DHE518" s="379"/>
      <c r="DHF518" s="379"/>
      <c r="DHG518" s="13"/>
      <c r="DHH518" s="13"/>
      <c r="DHI518" s="193"/>
      <c r="DHJ518" s="379"/>
      <c r="DHK518" s="379"/>
      <c r="DHL518" s="379"/>
      <c r="DHM518" s="379"/>
      <c r="DHN518" s="379"/>
      <c r="DHO518" s="13"/>
      <c r="DHP518" s="13"/>
      <c r="DHQ518" s="193"/>
      <c r="DHR518" s="379"/>
      <c r="DHS518" s="379"/>
      <c r="DHT518" s="379"/>
      <c r="DHU518" s="379"/>
      <c r="DHV518" s="379"/>
      <c r="DHW518" s="13"/>
      <c r="DHX518" s="13"/>
      <c r="DHY518" s="193"/>
      <c r="DHZ518" s="379"/>
      <c r="DIA518" s="379"/>
      <c r="DIB518" s="379"/>
      <c r="DIC518" s="379"/>
      <c r="DID518" s="379"/>
      <c r="DIE518" s="13"/>
      <c r="DIF518" s="13"/>
      <c r="DIG518" s="193"/>
      <c r="DIH518" s="379"/>
      <c r="DII518" s="379"/>
      <c r="DIJ518" s="379"/>
      <c r="DIK518" s="379"/>
      <c r="DIL518" s="379"/>
      <c r="DIM518" s="13"/>
      <c r="DIN518" s="13"/>
      <c r="DIO518" s="193"/>
      <c r="DIP518" s="379"/>
      <c r="DIQ518" s="379"/>
      <c r="DIR518" s="379"/>
      <c r="DIS518" s="379"/>
      <c r="DIT518" s="379"/>
      <c r="DIU518" s="13"/>
      <c r="DIV518" s="13"/>
      <c r="DIW518" s="193"/>
      <c r="DIX518" s="379"/>
      <c r="DIY518" s="379"/>
      <c r="DIZ518" s="379"/>
      <c r="DJA518" s="379"/>
      <c r="DJB518" s="379"/>
      <c r="DJC518" s="13"/>
      <c r="DJD518" s="13"/>
      <c r="DJE518" s="193"/>
      <c r="DJF518" s="379"/>
      <c r="DJG518" s="379"/>
      <c r="DJH518" s="379"/>
      <c r="DJI518" s="379"/>
      <c r="DJJ518" s="379"/>
      <c r="DJK518" s="13"/>
      <c r="DJL518" s="13"/>
      <c r="DJM518" s="193"/>
      <c r="DJN518" s="379"/>
      <c r="DJO518" s="379"/>
      <c r="DJP518" s="379"/>
      <c r="DJQ518" s="379"/>
      <c r="DJR518" s="379"/>
      <c r="DJS518" s="13"/>
      <c r="DJT518" s="13"/>
      <c r="DJU518" s="193"/>
      <c r="DJV518" s="379"/>
      <c r="DJW518" s="379"/>
      <c r="DJX518" s="379"/>
      <c r="DJY518" s="379"/>
      <c r="DJZ518" s="379"/>
      <c r="DKA518" s="13"/>
      <c r="DKB518" s="13"/>
      <c r="DKC518" s="193"/>
      <c r="DKD518" s="379"/>
      <c r="DKE518" s="379"/>
      <c r="DKF518" s="379"/>
      <c r="DKG518" s="379"/>
      <c r="DKH518" s="379"/>
      <c r="DKI518" s="13"/>
      <c r="DKJ518" s="13"/>
      <c r="DKK518" s="193"/>
      <c r="DKL518" s="379"/>
      <c r="DKM518" s="379"/>
      <c r="DKN518" s="379"/>
      <c r="DKO518" s="379"/>
      <c r="DKP518" s="379"/>
      <c r="DKQ518" s="13"/>
      <c r="DKR518" s="13"/>
      <c r="DKS518" s="193"/>
      <c r="DKT518" s="379"/>
      <c r="DKU518" s="379"/>
      <c r="DKV518" s="379"/>
      <c r="DKW518" s="379"/>
      <c r="DKX518" s="379"/>
      <c r="DKY518" s="13"/>
      <c r="DKZ518" s="13"/>
      <c r="DLA518" s="193"/>
      <c r="DLB518" s="379"/>
      <c r="DLC518" s="379"/>
      <c r="DLD518" s="379"/>
      <c r="DLE518" s="379"/>
      <c r="DLF518" s="379"/>
      <c r="DLG518" s="13"/>
      <c r="DLH518" s="13"/>
      <c r="DLI518" s="193"/>
      <c r="DLJ518" s="379"/>
      <c r="DLK518" s="379"/>
      <c r="DLL518" s="379"/>
      <c r="DLM518" s="379"/>
      <c r="DLN518" s="379"/>
      <c r="DLO518" s="13"/>
      <c r="DLP518" s="13"/>
      <c r="DLQ518" s="193"/>
      <c r="DLR518" s="379"/>
      <c r="DLS518" s="379"/>
      <c r="DLT518" s="379"/>
      <c r="DLU518" s="379"/>
      <c r="DLV518" s="379"/>
      <c r="DLW518" s="13"/>
      <c r="DLX518" s="13"/>
      <c r="DLY518" s="193"/>
      <c r="DLZ518" s="379"/>
      <c r="DMA518" s="379"/>
      <c r="DMB518" s="379"/>
      <c r="DMC518" s="379"/>
      <c r="DMD518" s="379"/>
      <c r="DME518" s="13"/>
      <c r="DMF518" s="13"/>
      <c r="DMG518" s="193"/>
      <c r="DMH518" s="379"/>
      <c r="DMI518" s="379"/>
      <c r="DMJ518" s="379"/>
      <c r="DMK518" s="379"/>
      <c r="DML518" s="379"/>
      <c r="DMM518" s="13"/>
      <c r="DMN518" s="13"/>
      <c r="DMO518" s="193"/>
      <c r="DMP518" s="379"/>
      <c r="DMQ518" s="379"/>
      <c r="DMR518" s="379"/>
      <c r="DMS518" s="379"/>
      <c r="DMT518" s="379"/>
      <c r="DMU518" s="13"/>
      <c r="DMV518" s="13"/>
      <c r="DMW518" s="193"/>
      <c r="DMX518" s="379"/>
      <c r="DMY518" s="379"/>
      <c r="DMZ518" s="379"/>
      <c r="DNA518" s="379"/>
      <c r="DNB518" s="379"/>
      <c r="DNC518" s="13"/>
      <c r="DND518" s="13"/>
      <c r="DNE518" s="193"/>
      <c r="DNF518" s="379"/>
      <c r="DNG518" s="379"/>
      <c r="DNH518" s="379"/>
      <c r="DNI518" s="379"/>
      <c r="DNJ518" s="379"/>
      <c r="DNK518" s="13"/>
      <c r="DNL518" s="13"/>
      <c r="DNM518" s="193"/>
      <c r="DNN518" s="379"/>
      <c r="DNO518" s="379"/>
      <c r="DNP518" s="379"/>
      <c r="DNQ518" s="379"/>
      <c r="DNR518" s="379"/>
      <c r="DNS518" s="13"/>
      <c r="DNT518" s="13"/>
      <c r="DNU518" s="193"/>
      <c r="DNV518" s="379"/>
      <c r="DNW518" s="379"/>
      <c r="DNX518" s="379"/>
      <c r="DNY518" s="379"/>
      <c r="DNZ518" s="379"/>
      <c r="DOA518" s="13"/>
      <c r="DOB518" s="13"/>
      <c r="DOC518" s="193"/>
      <c r="DOD518" s="379"/>
      <c r="DOE518" s="379"/>
      <c r="DOF518" s="379"/>
      <c r="DOG518" s="379"/>
      <c r="DOH518" s="379"/>
      <c r="DOI518" s="13"/>
      <c r="DOJ518" s="13"/>
      <c r="DOK518" s="193"/>
      <c r="DOL518" s="379"/>
      <c r="DOM518" s="379"/>
      <c r="DON518" s="379"/>
      <c r="DOO518" s="379"/>
      <c r="DOP518" s="379"/>
      <c r="DOQ518" s="13"/>
      <c r="DOR518" s="13"/>
      <c r="DOS518" s="193"/>
      <c r="DOT518" s="379"/>
      <c r="DOU518" s="379"/>
      <c r="DOV518" s="379"/>
      <c r="DOW518" s="379"/>
      <c r="DOX518" s="379"/>
      <c r="DOY518" s="13"/>
      <c r="DOZ518" s="13"/>
      <c r="DPA518" s="193"/>
      <c r="DPB518" s="379"/>
      <c r="DPC518" s="379"/>
      <c r="DPD518" s="379"/>
      <c r="DPE518" s="379"/>
      <c r="DPF518" s="379"/>
      <c r="DPG518" s="13"/>
      <c r="DPH518" s="13"/>
      <c r="DPI518" s="193"/>
      <c r="DPJ518" s="379"/>
      <c r="DPK518" s="379"/>
      <c r="DPL518" s="379"/>
      <c r="DPM518" s="379"/>
      <c r="DPN518" s="379"/>
      <c r="DPO518" s="13"/>
      <c r="DPP518" s="13"/>
      <c r="DPQ518" s="193"/>
      <c r="DPR518" s="379"/>
      <c r="DPS518" s="379"/>
      <c r="DPT518" s="379"/>
      <c r="DPU518" s="379"/>
      <c r="DPV518" s="379"/>
      <c r="DPW518" s="13"/>
      <c r="DPX518" s="13"/>
      <c r="DPY518" s="193"/>
      <c r="DPZ518" s="379"/>
      <c r="DQA518" s="379"/>
      <c r="DQB518" s="379"/>
      <c r="DQC518" s="379"/>
      <c r="DQD518" s="379"/>
      <c r="DQE518" s="13"/>
      <c r="DQF518" s="13"/>
      <c r="DQG518" s="193"/>
      <c r="DQH518" s="379"/>
      <c r="DQI518" s="379"/>
      <c r="DQJ518" s="379"/>
      <c r="DQK518" s="379"/>
      <c r="DQL518" s="379"/>
      <c r="DQM518" s="13"/>
      <c r="DQN518" s="13"/>
      <c r="DQO518" s="193"/>
      <c r="DQP518" s="379"/>
      <c r="DQQ518" s="379"/>
      <c r="DQR518" s="379"/>
      <c r="DQS518" s="379"/>
      <c r="DQT518" s="379"/>
      <c r="DQU518" s="13"/>
      <c r="DQV518" s="13"/>
      <c r="DQW518" s="193"/>
      <c r="DQX518" s="379"/>
      <c r="DQY518" s="379"/>
      <c r="DQZ518" s="379"/>
      <c r="DRA518" s="379"/>
      <c r="DRB518" s="379"/>
      <c r="DRC518" s="13"/>
      <c r="DRD518" s="13"/>
      <c r="DRE518" s="193"/>
      <c r="DRF518" s="379"/>
      <c r="DRG518" s="379"/>
      <c r="DRH518" s="379"/>
      <c r="DRI518" s="379"/>
      <c r="DRJ518" s="379"/>
      <c r="DRK518" s="13"/>
      <c r="DRL518" s="13"/>
      <c r="DRM518" s="193"/>
      <c r="DRN518" s="379"/>
      <c r="DRO518" s="379"/>
      <c r="DRP518" s="379"/>
      <c r="DRQ518" s="379"/>
      <c r="DRR518" s="379"/>
      <c r="DRS518" s="13"/>
      <c r="DRT518" s="13"/>
      <c r="DRU518" s="193"/>
      <c r="DRV518" s="379"/>
      <c r="DRW518" s="379"/>
      <c r="DRX518" s="379"/>
      <c r="DRY518" s="379"/>
      <c r="DRZ518" s="379"/>
      <c r="DSA518" s="13"/>
      <c r="DSB518" s="13"/>
      <c r="DSC518" s="193"/>
      <c r="DSD518" s="379"/>
      <c r="DSE518" s="379"/>
      <c r="DSF518" s="379"/>
      <c r="DSG518" s="379"/>
      <c r="DSH518" s="379"/>
      <c r="DSI518" s="13"/>
      <c r="DSJ518" s="13"/>
      <c r="DSK518" s="193"/>
      <c r="DSL518" s="379"/>
      <c r="DSM518" s="379"/>
      <c r="DSN518" s="379"/>
      <c r="DSO518" s="379"/>
      <c r="DSP518" s="379"/>
      <c r="DSQ518" s="13"/>
      <c r="DSR518" s="13"/>
      <c r="DSS518" s="193"/>
      <c r="DST518" s="379"/>
      <c r="DSU518" s="379"/>
      <c r="DSV518" s="379"/>
      <c r="DSW518" s="379"/>
      <c r="DSX518" s="379"/>
      <c r="DSY518" s="13"/>
      <c r="DSZ518" s="13"/>
      <c r="DTA518" s="193"/>
      <c r="DTB518" s="379"/>
      <c r="DTC518" s="379"/>
      <c r="DTD518" s="379"/>
      <c r="DTE518" s="379"/>
      <c r="DTF518" s="379"/>
      <c r="DTG518" s="13"/>
      <c r="DTH518" s="13"/>
      <c r="DTI518" s="193"/>
      <c r="DTJ518" s="379"/>
      <c r="DTK518" s="379"/>
      <c r="DTL518" s="379"/>
      <c r="DTM518" s="379"/>
      <c r="DTN518" s="379"/>
      <c r="DTO518" s="13"/>
      <c r="DTP518" s="13"/>
      <c r="DTQ518" s="193"/>
      <c r="DTR518" s="379"/>
      <c r="DTS518" s="379"/>
      <c r="DTT518" s="379"/>
      <c r="DTU518" s="379"/>
      <c r="DTV518" s="379"/>
      <c r="DTW518" s="13"/>
      <c r="DTX518" s="13"/>
      <c r="DTY518" s="193"/>
      <c r="DTZ518" s="379"/>
      <c r="DUA518" s="379"/>
      <c r="DUB518" s="379"/>
      <c r="DUC518" s="379"/>
      <c r="DUD518" s="379"/>
      <c r="DUE518" s="13"/>
      <c r="DUF518" s="13"/>
      <c r="DUG518" s="193"/>
      <c r="DUH518" s="379"/>
      <c r="DUI518" s="379"/>
      <c r="DUJ518" s="379"/>
      <c r="DUK518" s="379"/>
      <c r="DUL518" s="379"/>
      <c r="DUM518" s="13"/>
      <c r="DUN518" s="13"/>
      <c r="DUO518" s="193"/>
      <c r="DUP518" s="379"/>
      <c r="DUQ518" s="379"/>
      <c r="DUR518" s="379"/>
      <c r="DUS518" s="379"/>
      <c r="DUT518" s="379"/>
      <c r="DUU518" s="13"/>
      <c r="DUV518" s="13"/>
      <c r="DUW518" s="193"/>
      <c r="DUX518" s="379"/>
      <c r="DUY518" s="379"/>
      <c r="DUZ518" s="379"/>
      <c r="DVA518" s="379"/>
      <c r="DVB518" s="379"/>
      <c r="DVC518" s="13"/>
      <c r="DVD518" s="13"/>
      <c r="DVE518" s="193"/>
      <c r="DVF518" s="379"/>
      <c r="DVG518" s="379"/>
      <c r="DVH518" s="379"/>
      <c r="DVI518" s="379"/>
      <c r="DVJ518" s="379"/>
      <c r="DVK518" s="13"/>
      <c r="DVL518" s="13"/>
      <c r="DVM518" s="193"/>
      <c r="DVN518" s="379"/>
      <c r="DVO518" s="379"/>
      <c r="DVP518" s="379"/>
      <c r="DVQ518" s="379"/>
      <c r="DVR518" s="379"/>
      <c r="DVS518" s="13"/>
      <c r="DVT518" s="13"/>
      <c r="DVU518" s="193"/>
      <c r="DVV518" s="379"/>
      <c r="DVW518" s="379"/>
      <c r="DVX518" s="379"/>
      <c r="DVY518" s="379"/>
      <c r="DVZ518" s="379"/>
      <c r="DWA518" s="13"/>
      <c r="DWB518" s="13"/>
      <c r="DWC518" s="193"/>
      <c r="DWD518" s="379"/>
      <c r="DWE518" s="379"/>
      <c r="DWF518" s="379"/>
      <c r="DWG518" s="379"/>
      <c r="DWH518" s="379"/>
      <c r="DWI518" s="13"/>
      <c r="DWJ518" s="13"/>
      <c r="DWK518" s="193"/>
      <c r="DWL518" s="379"/>
      <c r="DWM518" s="379"/>
      <c r="DWN518" s="379"/>
      <c r="DWO518" s="379"/>
      <c r="DWP518" s="379"/>
      <c r="DWQ518" s="13"/>
      <c r="DWR518" s="13"/>
      <c r="DWS518" s="193"/>
      <c r="DWT518" s="379"/>
      <c r="DWU518" s="379"/>
      <c r="DWV518" s="379"/>
      <c r="DWW518" s="379"/>
      <c r="DWX518" s="379"/>
      <c r="DWY518" s="13"/>
      <c r="DWZ518" s="13"/>
      <c r="DXA518" s="193"/>
      <c r="DXB518" s="379"/>
      <c r="DXC518" s="379"/>
      <c r="DXD518" s="379"/>
      <c r="DXE518" s="379"/>
      <c r="DXF518" s="379"/>
      <c r="DXG518" s="13"/>
      <c r="DXH518" s="13"/>
      <c r="DXI518" s="193"/>
      <c r="DXJ518" s="379"/>
      <c r="DXK518" s="379"/>
      <c r="DXL518" s="379"/>
      <c r="DXM518" s="379"/>
      <c r="DXN518" s="379"/>
      <c r="DXO518" s="13"/>
      <c r="DXP518" s="13"/>
      <c r="DXQ518" s="193"/>
      <c r="DXR518" s="379"/>
      <c r="DXS518" s="379"/>
      <c r="DXT518" s="379"/>
      <c r="DXU518" s="379"/>
      <c r="DXV518" s="379"/>
      <c r="DXW518" s="13"/>
      <c r="DXX518" s="13"/>
      <c r="DXY518" s="193"/>
      <c r="DXZ518" s="379"/>
      <c r="DYA518" s="379"/>
      <c r="DYB518" s="379"/>
      <c r="DYC518" s="379"/>
      <c r="DYD518" s="379"/>
      <c r="DYE518" s="13"/>
      <c r="DYF518" s="13"/>
      <c r="DYG518" s="193"/>
      <c r="DYH518" s="379"/>
      <c r="DYI518" s="379"/>
      <c r="DYJ518" s="379"/>
      <c r="DYK518" s="379"/>
      <c r="DYL518" s="379"/>
      <c r="DYM518" s="13"/>
      <c r="DYN518" s="13"/>
      <c r="DYO518" s="193"/>
      <c r="DYP518" s="379"/>
      <c r="DYQ518" s="379"/>
      <c r="DYR518" s="379"/>
      <c r="DYS518" s="379"/>
      <c r="DYT518" s="379"/>
      <c r="DYU518" s="13"/>
      <c r="DYV518" s="13"/>
      <c r="DYW518" s="193"/>
      <c r="DYX518" s="379"/>
      <c r="DYY518" s="379"/>
      <c r="DYZ518" s="379"/>
      <c r="DZA518" s="379"/>
      <c r="DZB518" s="379"/>
      <c r="DZC518" s="13"/>
      <c r="DZD518" s="13"/>
      <c r="DZE518" s="193"/>
      <c r="DZF518" s="379"/>
      <c r="DZG518" s="379"/>
      <c r="DZH518" s="379"/>
      <c r="DZI518" s="379"/>
      <c r="DZJ518" s="379"/>
      <c r="DZK518" s="13"/>
      <c r="DZL518" s="13"/>
      <c r="DZM518" s="193"/>
      <c r="DZN518" s="379"/>
      <c r="DZO518" s="379"/>
      <c r="DZP518" s="379"/>
      <c r="DZQ518" s="379"/>
      <c r="DZR518" s="379"/>
      <c r="DZS518" s="13"/>
      <c r="DZT518" s="13"/>
      <c r="DZU518" s="193"/>
      <c r="DZV518" s="379"/>
      <c r="DZW518" s="379"/>
      <c r="DZX518" s="379"/>
      <c r="DZY518" s="379"/>
      <c r="DZZ518" s="379"/>
      <c r="EAA518" s="13"/>
      <c r="EAB518" s="13"/>
      <c r="EAC518" s="193"/>
      <c r="EAD518" s="379"/>
      <c r="EAE518" s="379"/>
      <c r="EAF518" s="379"/>
      <c r="EAG518" s="379"/>
      <c r="EAH518" s="379"/>
      <c r="EAI518" s="13"/>
      <c r="EAJ518" s="13"/>
      <c r="EAK518" s="193"/>
      <c r="EAL518" s="379"/>
      <c r="EAM518" s="379"/>
      <c r="EAN518" s="379"/>
      <c r="EAO518" s="379"/>
      <c r="EAP518" s="379"/>
      <c r="EAQ518" s="13"/>
      <c r="EAR518" s="13"/>
      <c r="EAS518" s="193"/>
      <c r="EAT518" s="379"/>
      <c r="EAU518" s="379"/>
      <c r="EAV518" s="379"/>
      <c r="EAW518" s="379"/>
      <c r="EAX518" s="379"/>
      <c r="EAY518" s="13"/>
      <c r="EAZ518" s="13"/>
      <c r="EBA518" s="193"/>
      <c r="EBB518" s="379"/>
      <c r="EBC518" s="379"/>
      <c r="EBD518" s="379"/>
      <c r="EBE518" s="379"/>
      <c r="EBF518" s="379"/>
      <c r="EBG518" s="13"/>
      <c r="EBH518" s="13"/>
      <c r="EBI518" s="193"/>
      <c r="EBJ518" s="379"/>
      <c r="EBK518" s="379"/>
      <c r="EBL518" s="379"/>
      <c r="EBM518" s="379"/>
      <c r="EBN518" s="379"/>
      <c r="EBO518" s="13"/>
      <c r="EBP518" s="13"/>
      <c r="EBQ518" s="193"/>
      <c r="EBR518" s="379"/>
      <c r="EBS518" s="379"/>
      <c r="EBT518" s="379"/>
      <c r="EBU518" s="379"/>
      <c r="EBV518" s="379"/>
      <c r="EBW518" s="13"/>
      <c r="EBX518" s="13"/>
      <c r="EBY518" s="193"/>
      <c r="EBZ518" s="379"/>
      <c r="ECA518" s="379"/>
      <c r="ECB518" s="379"/>
      <c r="ECC518" s="379"/>
      <c r="ECD518" s="379"/>
      <c r="ECE518" s="13"/>
      <c r="ECF518" s="13"/>
      <c r="ECG518" s="193"/>
      <c r="ECH518" s="379"/>
      <c r="ECI518" s="379"/>
      <c r="ECJ518" s="379"/>
      <c r="ECK518" s="379"/>
      <c r="ECL518" s="379"/>
      <c r="ECM518" s="13"/>
      <c r="ECN518" s="13"/>
      <c r="ECO518" s="193"/>
      <c r="ECP518" s="379"/>
      <c r="ECQ518" s="379"/>
      <c r="ECR518" s="379"/>
      <c r="ECS518" s="379"/>
      <c r="ECT518" s="379"/>
      <c r="ECU518" s="13"/>
      <c r="ECV518" s="13"/>
      <c r="ECW518" s="193"/>
      <c r="ECX518" s="379"/>
      <c r="ECY518" s="379"/>
      <c r="ECZ518" s="379"/>
      <c r="EDA518" s="379"/>
      <c r="EDB518" s="379"/>
      <c r="EDC518" s="13"/>
      <c r="EDD518" s="13"/>
      <c r="EDE518" s="193"/>
      <c r="EDF518" s="379"/>
      <c r="EDG518" s="379"/>
      <c r="EDH518" s="379"/>
      <c r="EDI518" s="379"/>
      <c r="EDJ518" s="379"/>
      <c r="EDK518" s="13"/>
      <c r="EDL518" s="13"/>
      <c r="EDM518" s="193"/>
      <c r="EDN518" s="379"/>
      <c r="EDO518" s="379"/>
      <c r="EDP518" s="379"/>
      <c r="EDQ518" s="379"/>
      <c r="EDR518" s="379"/>
      <c r="EDS518" s="13"/>
      <c r="EDT518" s="13"/>
      <c r="EDU518" s="193"/>
      <c r="EDV518" s="379"/>
      <c r="EDW518" s="379"/>
      <c r="EDX518" s="379"/>
      <c r="EDY518" s="379"/>
      <c r="EDZ518" s="379"/>
      <c r="EEA518" s="13"/>
      <c r="EEB518" s="13"/>
      <c r="EEC518" s="193"/>
      <c r="EED518" s="379"/>
      <c r="EEE518" s="379"/>
      <c r="EEF518" s="379"/>
      <c r="EEG518" s="379"/>
      <c r="EEH518" s="379"/>
      <c r="EEI518" s="13"/>
      <c r="EEJ518" s="13"/>
      <c r="EEK518" s="193"/>
      <c r="EEL518" s="379"/>
      <c r="EEM518" s="379"/>
      <c r="EEN518" s="379"/>
      <c r="EEO518" s="379"/>
      <c r="EEP518" s="379"/>
      <c r="EEQ518" s="13"/>
      <c r="EER518" s="13"/>
      <c r="EES518" s="193"/>
      <c r="EET518" s="379"/>
      <c r="EEU518" s="379"/>
      <c r="EEV518" s="379"/>
      <c r="EEW518" s="379"/>
      <c r="EEX518" s="379"/>
      <c r="EEY518" s="13"/>
      <c r="EEZ518" s="13"/>
      <c r="EFA518" s="193"/>
      <c r="EFB518" s="379"/>
      <c r="EFC518" s="379"/>
      <c r="EFD518" s="379"/>
      <c r="EFE518" s="379"/>
      <c r="EFF518" s="379"/>
      <c r="EFG518" s="13"/>
      <c r="EFH518" s="13"/>
      <c r="EFI518" s="193"/>
      <c r="EFJ518" s="379"/>
      <c r="EFK518" s="379"/>
      <c r="EFL518" s="379"/>
      <c r="EFM518" s="379"/>
      <c r="EFN518" s="379"/>
      <c r="EFO518" s="13"/>
      <c r="EFP518" s="13"/>
      <c r="EFQ518" s="193"/>
      <c r="EFR518" s="379"/>
      <c r="EFS518" s="379"/>
      <c r="EFT518" s="379"/>
      <c r="EFU518" s="379"/>
      <c r="EFV518" s="379"/>
      <c r="EFW518" s="13"/>
      <c r="EFX518" s="13"/>
      <c r="EFY518" s="193"/>
      <c r="EFZ518" s="379"/>
      <c r="EGA518" s="379"/>
      <c r="EGB518" s="379"/>
      <c r="EGC518" s="379"/>
      <c r="EGD518" s="379"/>
      <c r="EGE518" s="13"/>
      <c r="EGF518" s="13"/>
      <c r="EGG518" s="193"/>
      <c r="EGH518" s="379"/>
      <c r="EGI518" s="379"/>
      <c r="EGJ518" s="379"/>
      <c r="EGK518" s="379"/>
      <c r="EGL518" s="379"/>
      <c r="EGM518" s="13"/>
      <c r="EGN518" s="13"/>
      <c r="EGO518" s="193"/>
      <c r="EGP518" s="379"/>
      <c r="EGQ518" s="379"/>
      <c r="EGR518" s="379"/>
      <c r="EGS518" s="379"/>
      <c r="EGT518" s="379"/>
      <c r="EGU518" s="13"/>
      <c r="EGV518" s="13"/>
      <c r="EGW518" s="193"/>
      <c r="EGX518" s="379"/>
      <c r="EGY518" s="379"/>
      <c r="EGZ518" s="379"/>
      <c r="EHA518" s="379"/>
      <c r="EHB518" s="379"/>
      <c r="EHC518" s="13"/>
      <c r="EHD518" s="13"/>
      <c r="EHE518" s="193"/>
      <c r="EHF518" s="379"/>
      <c r="EHG518" s="379"/>
      <c r="EHH518" s="379"/>
      <c r="EHI518" s="379"/>
      <c r="EHJ518" s="379"/>
      <c r="EHK518" s="13"/>
      <c r="EHL518" s="13"/>
      <c r="EHM518" s="193"/>
      <c r="EHN518" s="379"/>
      <c r="EHO518" s="379"/>
      <c r="EHP518" s="379"/>
      <c r="EHQ518" s="379"/>
      <c r="EHR518" s="379"/>
      <c r="EHS518" s="13"/>
      <c r="EHT518" s="13"/>
      <c r="EHU518" s="193"/>
      <c r="EHV518" s="379"/>
      <c r="EHW518" s="379"/>
      <c r="EHX518" s="379"/>
      <c r="EHY518" s="379"/>
      <c r="EHZ518" s="379"/>
      <c r="EIA518" s="13"/>
      <c r="EIB518" s="13"/>
      <c r="EIC518" s="193"/>
      <c r="EID518" s="379"/>
      <c r="EIE518" s="379"/>
      <c r="EIF518" s="379"/>
      <c r="EIG518" s="379"/>
      <c r="EIH518" s="379"/>
      <c r="EII518" s="13"/>
      <c r="EIJ518" s="13"/>
      <c r="EIK518" s="193"/>
      <c r="EIL518" s="379"/>
      <c r="EIM518" s="379"/>
      <c r="EIN518" s="379"/>
      <c r="EIO518" s="379"/>
      <c r="EIP518" s="379"/>
      <c r="EIQ518" s="13"/>
      <c r="EIR518" s="13"/>
      <c r="EIS518" s="193"/>
      <c r="EIT518" s="379"/>
      <c r="EIU518" s="379"/>
      <c r="EIV518" s="379"/>
      <c r="EIW518" s="379"/>
      <c r="EIX518" s="379"/>
      <c r="EIY518" s="13"/>
      <c r="EIZ518" s="13"/>
      <c r="EJA518" s="193"/>
      <c r="EJB518" s="379"/>
      <c r="EJC518" s="379"/>
      <c r="EJD518" s="379"/>
      <c r="EJE518" s="379"/>
      <c r="EJF518" s="379"/>
      <c r="EJG518" s="13"/>
      <c r="EJH518" s="13"/>
      <c r="EJI518" s="193"/>
      <c r="EJJ518" s="379"/>
      <c r="EJK518" s="379"/>
      <c r="EJL518" s="379"/>
      <c r="EJM518" s="379"/>
      <c r="EJN518" s="379"/>
      <c r="EJO518" s="13"/>
      <c r="EJP518" s="13"/>
      <c r="EJQ518" s="193"/>
      <c r="EJR518" s="379"/>
      <c r="EJS518" s="379"/>
      <c r="EJT518" s="379"/>
      <c r="EJU518" s="379"/>
      <c r="EJV518" s="379"/>
      <c r="EJW518" s="13"/>
      <c r="EJX518" s="13"/>
      <c r="EJY518" s="193"/>
      <c r="EJZ518" s="379"/>
      <c r="EKA518" s="379"/>
      <c r="EKB518" s="379"/>
      <c r="EKC518" s="379"/>
      <c r="EKD518" s="379"/>
      <c r="EKE518" s="13"/>
      <c r="EKF518" s="13"/>
      <c r="EKG518" s="193"/>
      <c r="EKH518" s="379"/>
      <c r="EKI518" s="379"/>
      <c r="EKJ518" s="379"/>
      <c r="EKK518" s="379"/>
      <c r="EKL518" s="379"/>
      <c r="EKM518" s="13"/>
      <c r="EKN518" s="13"/>
      <c r="EKO518" s="193"/>
      <c r="EKP518" s="379"/>
      <c r="EKQ518" s="379"/>
      <c r="EKR518" s="379"/>
      <c r="EKS518" s="379"/>
      <c r="EKT518" s="379"/>
      <c r="EKU518" s="13"/>
      <c r="EKV518" s="13"/>
      <c r="EKW518" s="193"/>
      <c r="EKX518" s="379"/>
      <c r="EKY518" s="379"/>
      <c r="EKZ518" s="379"/>
      <c r="ELA518" s="379"/>
      <c r="ELB518" s="379"/>
      <c r="ELC518" s="13"/>
      <c r="ELD518" s="13"/>
      <c r="ELE518" s="193"/>
      <c r="ELF518" s="379"/>
      <c r="ELG518" s="379"/>
      <c r="ELH518" s="379"/>
      <c r="ELI518" s="379"/>
      <c r="ELJ518" s="379"/>
      <c r="ELK518" s="13"/>
      <c r="ELL518" s="13"/>
      <c r="ELM518" s="193"/>
      <c r="ELN518" s="379"/>
      <c r="ELO518" s="379"/>
      <c r="ELP518" s="379"/>
      <c r="ELQ518" s="379"/>
      <c r="ELR518" s="379"/>
      <c r="ELS518" s="13"/>
      <c r="ELT518" s="13"/>
      <c r="ELU518" s="193"/>
      <c r="ELV518" s="379"/>
      <c r="ELW518" s="379"/>
      <c r="ELX518" s="379"/>
      <c r="ELY518" s="379"/>
      <c r="ELZ518" s="379"/>
      <c r="EMA518" s="13"/>
      <c r="EMB518" s="13"/>
      <c r="EMC518" s="193"/>
      <c r="EMD518" s="379"/>
      <c r="EME518" s="379"/>
      <c r="EMF518" s="379"/>
      <c r="EMG518" s="379"/>
      <c r="EMH518" s="379"/>
      <c r="EMI518" s="13"/>
      <c r="EMJ518" s="13"/>
      <c r="EMK518" s="193"/>
      <c r="EML518" s="379"/>
      <c r="EMM518" s="379"/>
      <c r="EMN518" s="379"/>
      <c r="EMO518" s="379"/>
      <c r="EMP518" s="379"/>
      <c r="EMQ518" s="13"/>
      <c r="EMR518" s="13"/>
      <c r="EMS518" s="193"/>
      <c r="EMT518" s="379"/>
      <c r="EMU518" s="379"/>
      <c r="EMV518" s="379"/>
      <c r="EMW518" s="379"/>
      <c r="EMX518" s="379"/>
      <c r="EMY518" s="13"/>
      <c r="EMZ518" s="13"/>
      <c r="ENA518" s="193"/>
      <c r="ENB518" s="379"/>
      <c r="ENC518" s="379"/>
      <c r="END518" s="379"/>
      <c r="ENE518" s="379"/>
      <c r="ENF518" s="379"/>
      <c r="ENG518" s="13"/>
      <c r="ENH518" s="13"/>
      <c r="ENI518" s="193"/>
      <c r="ENJ518" s="379"/>
      <c r="ENK518" s="379"/>
      <c r="ENL518" s="379"/>
      <c r="ENM518" s="379"/>
      <c r="ENN518" s="379"/>
      <c r="ENO518" s="13"/>
      <c r="ENP518" s="13"/>
      <c r="ENQ518" s="193"/>
      <c r="ENR518" s="379"/>
      <c r="ENS518" s="379"/>
      <c r="ENT518" s="379"/>
      <c r="ENU518" s="379"/>
      <c r="ENV518" s="379"/>
      <c r="ENW518" s="13"/>
      <c r="ENX518" s="13"/>
      <c r="ENY518" s="193"/>
      <c r="ENZ518" s="379"/>
      <c r="EOA518" s="379"/>
      <c r="EOB518" s="379"/>
      <c r="EOC518" s="379"/>
      <c r="EOD518" s="379"/>
      <c r="EOE518" s="13"/>
      <c r="EOF518" s="13"/>
      <c r="EOG518" s="193"/>
      <c r="EOH518" s="379"/>
      <c r="EOI518" s="379"/>
      <c r="EOJ518" s="379"/>
      <c r="EOK518" s="379"/>
      <c r="EOL518" s="379"/>
      <c r="EOM518" s="13"/>
      <c r="EON518" s="13"/>
      <c r="EOO518" s="193"/>
      <c r="EOP518" s="379"/>
      <c r="EOQ518" s="379"/>
      <c r="EOR518" s="379"/>
      <c r="EOS518" s="379"/>
      <c r="EOT518" s="379"/>
      <c r="EOU518" s="13"/>
      <c r="EOV518" s="13"/>
      <c r="EOW518" s="193"/>
      <c r="EOX518" s="379"/>
      <c r="EOY518" s="379"/>
      <c r="EOZ518" s="379"/>
      <c r="EPA518" s="379"/>
      <c r="EPB518" s="379"/>
      <c r="EPC518" s="13"/>
      <c r="EPD518" s="13"/>
      <c r="EPE518" s="193"/>
      <c r="EPF518" s="379"/>
      <c r="EPG518" s="379"/>
      <c r="EPH518" s="379"/>
      <c r="EPI518" s="379"/>
      <c r="EPJ518" s="379"/>
      <c r="EPK518" s="13"/>
      <c r="EPL518" s="13"/>
      <c r="EPM518" s="193"/>
      <c r="EPN518" s="379"/>
      <c r="EPO518" s="379"/>
      <c r="EPP518" s="379"/>
      <c r="EPQ518" s="379"/>
      <c r="EPR518" s="379"/>
      <c r="EPS518" s="13"/>
      <c r="EPT518" s="13"/>
      <c r="EPU518" s="193"/>
      <c r="EPV518" s="379"/>
      <c r="EPW518" s="379"/>
      <c r="EPX518" s="379"/>
      <c r="EPY518" s="379"/>
      <c r="EPZ518" s="379"/>
      <c r="EQA518" s="13"/>
      <c r="EQB518" s="13"/>
      <c r="EQC518" s="193"/>
      <c r="EQD518" s="379"/>
      <c r="EQE518" s="379"/>
      <c r="EQF518" s="379"/>
      <c r="EQG518" s="379"/>
      <c r="EQH518" s="379"/>
      <c r="EQI518" s="13"/>
      <c r="EQJ518" s="13"/>
      <c r="EQK518" s="193"/>
      <c r="EQL518" s="379"/>
      <c r="EQM518" s="379"/>
      <c r="EQN518" s="379"/>
      <c r="EQO518" s="379"/>
      <c r="EQP518" s="379"/>
      <c r="EQQ518" s="13"/>
      <c r="EQR518" s="13"/>
      <c r="EQS518" s="193"/>
      <c r="EQT518" s="379"/>
      <c r="EQU518" s="379"/>
      <c r="EQV518" s="379"/>
      <c r="EQW518" s="379"/>
      <c r="EQX518" s="379"/>
      <c r="EQY518" s="13"/>
      <c r="EQZ518" s="13"/>
      <c r="ERA518" s="193"/>
      <c r="ERB518" s="379"/>
      <c r="ERC518" s="379"/>
      <c r="ERD518" s="379"/>
      <c r="ERE518" s="379"/>
      <c r="ERF518" s="379"/>
      <c r="ERG518" s="13"/>
      <c r="ERH518" s="13"/>
      <c r="ERI518" s="193"/>
      <c r="ERJ518" s="379"/>
      <c r="ERK518" s="379"/>
      <c r="ERL518" s="379"/>
      <c r="ERM518" s="379"/>
      <c r="ERN518" s="379"/>
      <c r="ERO518" s="13"/>
      <c r="ERP518" s="13"/>
      <c r="ERQ518" s="193"/>
      <c r="ERR518" s="379"/>
      <c r="ERS518" s="379"/>
      <c r="ERT518" s="379"/>
      <c r="ERU518" s="379"/>
      <c r="ERV518" s="379"/>
      <c r="ERW518" s="13"/>
      <c r="ERX518" s="13"/>
      <c r="ERY518" s="193"/>
      <c r="ERZ518" s="379"/>
      <c r="ESA518" s="379"/>
      <c r="ESB518" s="379"/>
      <c r="ESC518" s="379"/>
      <c r="ESD518" s="379"/>
      <c r="ESE518" s="13"/>
      <c r="ESF518" s="13"/>
      <c r="ESG518" s="193"/>
      <c r="ESH518" s="379"/>
      <c r="ESI518" s="379"/>
      <c r="ESJ518" s="379"/>
      <c r="ESK518" s="379"/>
      <c r="ESL518" s="379"/>
      <c r="ESM518" s="13"/>
      <c r="ESN518" s="13"/>
      <c r="ESO518" s="193"/>
      <c r="ESP518" s="379"/>
      <c r="ESQ518" s="379"/>
      <c r="ESR518" s="379"/>
      <c r="ESS518" s="379"/>
      <c r="EST518" s="379"/>
      <c r="ESU518" s="13"/>
      <c r="ESV518" s="13"/>
      <c r="ESW518" s="193"/>
      <c r="ESX518" s="379"/>
      <c r="ESY518" s="379"/>
      <c r="ESZ518" s="379"/>
      <c r="ETA518" s="379"/>
      <c r="ETB518" s="379"/>
      <c r="ETC518" s="13"/>
      <c r="ETD518" s="13"/>
      <c r="ETE518" s="193"/>
      <c r="ETF518" s="379"/>
      <c r="ETG518" s="379"/>
      <c r="ETH518" s="379"/>
      <c r="ETI518" s="379"/>
      <c r="ETJ518" s="379"/>
      <c r="ETK518" s="13"/>
      <c r="ETL518" s="13"/>
      <c r="ETM518" s="193"/>
      <c r="ETN518" s="379"/>
      <c r="ETO518" s="379"/>
      <c r="ETP518" s="379"/>
      <c r="ETQ518" s="379"/>
      <c r="ETR518" s="379"/>
      <c r="ETS518" s="13"/>
      <c r="ETT518" s="13"/>
      <c r="ETU518" s="193"/>
      <c r="ETV518" s="379"/>
      <c r="ETW518" s="379"/>
      <c r="ETX518" s="379"/>
      <c r="ETY518" s="379"/>
      <c r="ETZ518" s="379"/>
      <c r="EUA518" s="13"/>
      <c r="EUB518" s="13"/>
      <c r="EUC518" s="193"/>
      <c r="EUD518" s="379"/>
      <c r="EUE518" s="379"/>
      <c r="EUF518" s="379"/>
      <c r="EUG518" s="379"/>
      <c r="EUH518" s="379"/>
      <c r="EUI518" s="13"/>
      <c r="EUJ518" s="13"/>
      <c r="EUK518" s="193"/>
      <c r="EUL518" s="379"/>
      <c r="EUM518" s="379"/>
      <c r="EUN518" s="379"/>
      <c r="EUO518" s="379"/>
      <c r="EUP518" s="379"/>
      <c r="EUQ518" s="13"/>
      <c r="EUR518" s="13"/>
      <c r="EUS518" s="193"/>
      <c r="EUT518" s="379"/>
      <c r="EUU518" s="379"/>
      <c r="EUV518" s="379"/>
      <c r="EUW518" s="379"/>
      <c r="EUX518" s="379"/>
      <c r="EUY518" s="13"/>
      <c r="EUZ518" s="13"/>
      <c r="EVA518" s="193"/>
      <c r="EVB518" s="379"/>
      <c r="EVC518" s="379"/>
      <c r="EVD518" s="379"/>
      <c r="EVE518" s="379"/>
      <c r="EVF518" s="379"/>
      <c r="EVG518" s="13"/>
      <c r="EVH518" s="13"/>
      <c r="EVI518" s="193"/>
      <c r="EVJ518" s="379"/>
      <c r="EVK518" s="379"/>
      <c r="EVL518" s="379"/>
      <c r="EVM518" s="379"/>
      <c r="EVN518" s="379"/>
      <c r="EVO518" s="13"/>
      <c r="EVP518" s="13"/>
      <c r="EVQ518" s="193"/>
      <c r="EVR518" s="379"/>
      <c r="EVS518" s="379"/>
      <c r="EVT518" s="379"/>
      <c r="EVU518" s="379"/>
      <c r="EVV518" s="379"/>
      <c r="EVW518" s="13"/>
      <c r="EVX518" s="13"/>
      <c r="EVY518" s="193"/>
      <c r="EVZ518" s="379"/>
      <c r="EWA518" s="379"/>
      <c r="EWB518" s="379"/>
      <c r="EWC518" s="379"/>
      <c r="EWD518" s="379"/>
      <c r="EWE518" s="13"/>
      <c r="EWF518" s="13"/>
      <c r="EWG518" s="193"/>
      <c r="EWH518" s="379"/>
      <c r="EWI518" s="379"/>
      <c r="EWJ518" s="379"/>
      <c r="EWK518" s="379"/>
      <c r="EWL518" s="379"/>
      <c r="EWM518" s="13"/>
      <c r="EWN518" s="13"/>
      <c r="EWO518" s="193"/>
      <c r="EWP518" s="379"/>
      <c r="EWQ518" s="379"/>
      <c r="EWR518" s="379"/>
      <c r="EWS518" s="379"/>
      <c r="EWT518" s="379"/>
      <c r="EWU518" s="13"/>
      <c r="EWV518" s="13"/>
      <c r="EWW518" s="193"/>
      <c r="EWX518" s="379"/>
      <c r="EWY518" s="379"/>
      <c r="EWZ518" s="379"/>
      <c r="EXA518" s="379"/>
      <c r="EXB518" s="379"/>
      <c r="EXC518" s="13"/>
      <c r="EXD518" s="13"/>
      <c r="EXE518" s="193"/>
      <c r="EXF518" s="379"/>
      <c r="EXG518" s="379"/>
      <c r="EXH518" s="379"/>
      <c r="EXI518" s="379"/>
      <c r="EXJ518" s="379"/>
      <c r="EXK518" s="13"/>
      <c r="EXL518" s="13"/>
      <c r="EXM518" s="193"/>
      <c r="EXN518" s="379"/>
      <c r="EXO518" s="379"/>
      <c r="EXP518" s="379"/>
      <c r="EXQ518" s="379"/>
      <c r="EXR518" s="379"/>
      <c r="EXS518" s="13"/>
      <c r="EXT518" s="13"/>
      <c r="EXU518" s="193"/>
      <c r="EXV518" s="379"/>
      <c r="EXW518" s="379"/>
      <c r="EXX518" s="379"/>
      <c r="EXY518" s="379"/>
      <c r="EXZ518" s="379"/>
      <c r="EYA518" s="13"/>
      <c r="EYB518" s="13"/>
      <c r="EYC518" s="193"/>
      <c r="EYD518" s="379"/>
      <c r="EYE518" s="379"/>
      <c r="EYF518" s="379"/>
      <c r="EYG518" s="379"/>
      <c r="EYH518" s="379"/>
      <c r="EYI518" s="13"/>
      <c r="EYJ518" s="13"/>
      <c r="EYK518" s="193"/>
      <c r="EYL518" s="379"/>
      <c r="EYM518" s="379"/>
      <c r="EYN518" s="379"/>
      <c r="EYO518" s="379"/>
      <c r="EYP518" s="379"/>
      <c r="EYQ518" s="13"/>
      <c r="EYR518" s="13"/>
      <c r="EYS518" s="193"/>
      <c r="EYT518" s="379"/>
      <c r="EYU518" s="379"/>
      <c r="EYV518" s="379"/>
      <c r="EYW518" s="379"/>
      <c r="EYX518" s="379"/>
      <c r="EYY518" s="13"/>
      <c r="EYZ518" s="13"/>
      <c r="EZA518" s="193"/>
      <c r="EZB518" s="379"/>
      <c r="EZC518" s="379"/>
      <c r="EZD518" s="379"/>
      <c r="EZE518" s="379"/>
      <c r="EZF518" s="379"/>
      <c r="EZG518" s="13"/>
      <c r="EZH518" s="13"/>
      <c r="EZI518" s="193"/>
      <c r="EZJ518" s="379"/>
      <c r="EZK518" s="379"/>
      <c r="EZL518" s="379"/>
      <c r="EZM518" s="379"/>
      <c r="EZN518" s="379"/>
      <c r="EZO518" s="13"/>
      <c r="EZP518" s="13"/>
      <c r="EZQ518" s="193"/>
      <c r="EZR518" s="379"/>
      <c r="EZS518" s="379"/>
      <c r="EZT518" s="379"/>
      <c r="EZU518" s="379"/>
      <c r="EZV518" s="379"/>
      <c r="EZW518" s="13"/>
      <c r="EZX518" s="13"/>
      <c r="EZY518" s="193"/>
      <c r="EZZ518" s="379"/>
      <c r="FAA518" s="379"/>
      <c r="FAB518" s="379"/>
      <c r="FAC518" s="379"/>
      <c r="FAD518" s="379"/>
      <c r="FAE518" s="13"/>
      <c r="FAF518" s="13"/>
      <c r="FAG518" s="193"/>
      <c r="FAH518" s="379"/>
      <c r="FAI518" s="379"/>
      <c r="FAJ518" s="379"/>
      <c r="FAK518" s="379"/>
      <c r="FAL518" s="379"/>
      <c r="FAM518" s="13"/>
      <c r="FAN518" s="13"/>
      <c r="FAO518" s="193"/>
      <c r="FAP518" s="379"/>
      <c r="FAQ518" s="379"/>
      <c r="FAR518" s="379"/>
      <c r="FAS518" s="379"/>
      <c r="FAT518" s="379"/>
      <c r="FAU518" s="13"/>
      <c r="FAV518" s="13"/>
      <c r="FAW518" s="193"/>
      <c r="FAX518" s="379"/>
      <c r="FAY518" s="379"/>
      <c r="FAZ518" s="379"/>
      <c r="FBA518" s="379"/>
      <c r="FBB518" s="379"/>
      <c r="FBC518" s="13"/>
      <c r="FBD518" s="13"/>
      <c r="FBE518" s="193"/>
      <c r="FBF518" s="379"/>
      <c r="FBG518" s="379"/>
      <c r="FBH518" s="379"/>
      <c r="FBI518" s="379"/>
      <c r="FBJ518" s="379"/>
      <c r="FBK518" s="13"/>
      <c r="FBL518" s="13"/>
      <c r="FBM518" s="193"/>
      <c r="FBN518" s="379"/>
      <c r="FBO518" s="379"/>
      <c r="FBP518" s="379"/>
      <c r="FBQ518" s="379"/>
      <c r="FBR518" s="379"/>
      <c r="FBS518" s="13"/>
      <c r="FBT518" s="13"/>
      <c r="FBU518" s="193"/>
      <c r="FBV518" s="379"/>
      <c r="FBW518" s="379"/>
      <c r="FBX518" s="379"/>
      <c r="FBY518" s="379"/>
      <c r="FBZ518" s="379"/>
      <c r="FCA518" s="13"/>
      <c r="FCB518" s="13"/>
      <c r="FCC518" s="193"/>
      <c r="FCD518" s="379"/>
      <c r="FCE518" s="379"/>
      <c r="FCF518" s="379"/>
      <c r="FCG518" s="379"/>
      <c r="FCH518" s="379"/>
      <c r="FCI518" s="13"/>
      <c r="FCJ518" s="13"/>
      <c r="FCK518" s="193"/>
      <c r="FCL518" s="379"/>
      <c r="FCM518" s="379"/>
      <c r="FCN518" s="379"/>
      <c r="FCO518" s="379"/>
      <c r="FCP518" s="379"/>
      <c r="FCQ518" s="13"/>
      <c r="FCR518" s="13"/>
      <c r="FCS518" s="193"/>
      <c r="FCT518" s="379"/>
      <c r="FCU518" s="379"/>
      <c r="FCV518" s="379"/>
      <c r="FCW518" s="379"/>
      <c r="FCX518" s="379"/>
      <c r="FCY518" s="13"/>
      <c r="FCZ518" s="13"/>
      <c r="FDA518" s="193"/>
      <c r="FDB518" s="379"/>
      <c r="FDC518" s="379"/>
      <c r="FDD518" s="379"/>
      <c r="FDE518" s="379"/>
      <c r="FDF518" s="379"/>
      <c r="FDG518" s="13"/>
      <c r="FDH518" s="13"/>
      <c r="FDI518" s="193"/>
      <c r="FDJ518" s="379"/>
      <c r="FDK518" s="379"/>
      <c r="FDL518" s="379"/>
      <c r="FDM518" s="379"/>
      <c r="FDN518" s="379"/>
      <c r="FDO518" s="13"/>
      <c r="FDP518" s="13"/>
      <c r="FDQ518" s="193"/>
      <c r="FDR518" s="379"/>
      <c r="FDS518" s="379"/>
      <c r="FDT518" s="379"/>
      <c r="FDU518" s="379"/>
      <c r="FDV518" s="379"/>
      <c r="FDW518" s="13"/>
      <c r="FDX518" s="13"/>
      <c r="FDY518" s="193"/>
      <c r="FDZ518" s="379"/>
      <c r="FEA518" s="379"/>
      <c r="FEB518" s="379"/>
      <c r="FEC518" s="379"/>
      <c r="FED518" s="379"/>
      <c r="FEE518" s="13"/>
      <c r="FEF518" s="13"/>
      <c r="FEG518" s="193"/>
      <c r="FEH518" s="379"/>
      <c r="FEI518" s="379"/>
      <c r="FEJ518" s="379"/>
      <c r="FEK518" s="379"/>
      <c r="FEL518" s="379"/>
      <c r="FEM518" s="13"/>
      <c r="FEN518" s="13"/>
      <c r="FEO518" s="193"/>
      <c r="FEP518" s="379"/>
      <c r="FEQ518" s="379"/>
      <c r="FER518" s="379"/>
      <c r="FES518" s="379"/>
      <c r="FET518" s="379"/>
      <c r="FEU518" s="13"/>
      <c r="FEV518" s="13"/>
      <c r="FEW518" s="193"/>
      <c r="FEX518" s="379"/>
      <c r="FEY518" s="379"/>
      <c r="FEZ518" s="379"/>
      <c r="FFA518" s="379"/>
      <c r="FFB518" s="379"/>
      <c r="FFC518" s="13"/>
      <c r="FFD518" s="13"/>
      <c r="FFE518" s="193"/>
      <c r="FFF518" s="379"/>
      <c r="FFG518" s="379"/>
      <c r="FFH518" s="379"/>
      <c r="FFI518" s="379"/>
      <c r="FFJ518" s="379"/>
      <c r="FFK518" s="13"/>
      <c r="FFL518" s="13"/>
      <c r="FFM518" s="193"/>
      <c r="FFN518" s="379"/>
      <c r="FFO518" s="379"/>
      <c r="FFP518" s="379"/>
      <c r="FFQ518" s="379"/>
      <c r="FFR518" s="379"/>
      <c r="FFS518" s="13"/>
      <c r="FFT518" s="13"/>
      <c r="FFU518" s="193"/>
      <c r="FFV518" s="379"/>
      <c r="FFW518" s="379"/>
      <c r="FFX518" s="379"/>
      <c r="FFY518" s="379"/>
      <c r="FFZ518" s="379"/>
      <c r="FGA518" s="13"/>
      <c r="FGB518" s="13"/>
      <c r="FGC518" s="193"/>
      <c r="FGD518" s="379"/>
      <c r="FGE518" s="379"/>
      <c r="FGF518" s="379"/>
      <c r="FGG518" s="379"/>
      <c r="FGH518" s="379"/>
      <c r="FGI518" s="13"/>
      <c r="FGJ518" s="13"/>
      <c r="FGK518" s="193"/>
      <c r="FGL518" s="379"/>
      <c r="FGM518" s="379"/>
      <c r="FGN518" s="379"/>
      <c r="FGO518" s="379"/>
      <c r="FGP518" s="379"/>
      <c r="FGQ518" s="13"/>
      <c r="FGR518" s="13"/>
      <c r="FGS518" s="193"/>
      <c r="FGT518" s="379"/>
      <c r="FGU518" s="379"/>
      <c r="FGV518" s="379"/>
      <c r="FGW518" s="379"/>
      <c r="FGX518" s="379"/>
      <c r="FGY518" s="13"/>
      <c r="FGZ518" s="13"/>
      <c r="FHA518" s="193"/>
      <c r="FHB518" s="379"/>
      <c r="FHC518" s="379"/>
      <c r="FHD518" s="379"/>
      <c r="FHE518" s="379"/>
      <c r="FHF518" s="379"/>
      <c r="FHG518" s="13"/>
      <c r="FHH518" s="13"/>
      <c r="FHI518" s="193"/>
      <c r="FHJ518" s="379"/>
      <c r="FHK518" s="379"/>
      <c r="FHL518" s="379"/>
      <c r="FHM518" s="379"/>
      <c r="FHN518" s="379"/>
      <c r="FHO518" s="13"/>
      <c r="FHP518" s="13"/>
      <c r="FHQ518" s="193"/>
      <c r="FHR518" s="379"/>
      <c r="FHS518" s="379"/>
      <c r="FHT518" s="379"/>
      <c r="FHU518" s="379"/>
      <c r="FHV518" s="379"/>
      <c r="FHW518" s="13"/>
      <c r="FHX518" s="13"/>
      <c r="FHY518" s="193"/>
      <c r="FHZ518" s="379"/>
      <c r="FIA518" s="379"/>
      <c r="FIB518" s="379"/>
      <c r="FIC518" s="379"/>
      <c r="FID518" s="379"/>
      <c r="FIE518" s="13"/>
      <c r="FIF518" s="13"/>
      <c r="FIG518" s="193"/>
      <c r="FIH518" s="379"/>
      <c r="FII518" s="379"/>
      <c r="FIJ518" s="379"/>
      <c r="FIK518" s="379"/>
      <c r="FIL518" s="379"/>
      <c r="FIM518" s="13"/>
      <c r="FIN518" s="13"/>
      <c r="FIO518" s="193"/>
      <c r="FIP518" s="379"/>
      <c r="FIQ518" s="379"/>
      <c r="FIR518" s="379"/>
      <c r="FIS518" s="379"/>
      <c r="FIT518" s="379"/>
      <c r="FIU518" s="13"/>
      <c r="FIV518" s="13"/>
      <c r="FIW518" s="193"/>
      <c r="FIX518" s="379"/>
      <c r="FIY518" s="379"/>
      <c r="FIZ518" s="379"/>
      <c r="FJA518" s="379"/>
      <c r="FJB518" s="379"/>
      <c r="FJC518" s="13"/>
      <c r="FJD518" s="13"/>
      <c r="FJE518" s="193"/>
      <c r="FJF518" s="379"/>
      <c r="FJG518" s="379"/>
      <c r="FJH518" s="379"/>
      <c r="FJI518" s="379"/>
      <c r="FJJ518" s="379"/>
      <c r="FJK518" s="13"/>
      <c r="FJL518" s="13"/>
      <c r="FJM518" s="193"/>
      <c r="FJN518" s="379"/>
      <c r="FJO518" s="379"/>
      <c r="FJP518" s="379"/>
      <c r="FJQ518" s="379"/>
      <c r="FJR518" s="379"/>
      <c r="FJS518" s="13"/>
      <c r="FJT518" s="13"/>
      <c r="FJU518" s="193"/>
      <c r="FJV518" s="379"/>
      <c r="FJW518" s="379"/>
      <c r="FJX518" s="379"/>
      <c r="FJY518" s="379"/>
      <c r="FJZ518" s="379"/>
      <c r="FKA518" s="13"/>
      <c r="FKB518" s="13"/>
      <c r="FKC518" s="193"/>
      <c r="FKD518" s="379"/>
      <c r="FKE518" s="379"/>
      <c r="FKF518" s="379"/>
      <c r="FKG518" s="379"/>
      <c r="FKH518" s="379"/>
      <c r="FKI518" s="13"/>
      <c r="FKJ518" s="13"/>
      <c r="FKK518" s="193"/>
      <c r="FKL518" s="379"/>
      <c r="FKM518" s="379"/>
      <c r="FKN518" s="379"/>
      <c r="FKO518" s="379"/>
      <c r="FKP518" s="379"/>
      <c r="FKQ518" s="13"/>
      <c r="FKR518" s="13"/>
      <c r="FKS518" s="193"/>
      <c r="FKT518" s="379"/>
      <c r="FKU518" s="379"/>
      <c r="FKV518" s="379"/>
      <c r="FKW518" s="379"/>
      <c r="FKX518" s="379"/>
      <c r="FKY518" s="13"/>
      <c r="FKZ518" s="13"/>
      <c r="FLA518" s="193"/>
      <c r="FLB518" s="379"/>
      <c r="FLC518" s="379"/>
      <c r="FLD518" s="379"/>
      <c r="FLE518" s="379"/>
      <c r="FLF518" s="379"/>
      <c r="FLG518" s="13"/>
      <c r="FLH518" s="13"/>
      <c r="FLI518" s="193"/>
      <c r="FLJ518" s="379"/>
      <c r="FLK518" s="379"/>
      <c r="FLL518" s="379"/>
      <c r="FLM518" s="379"/>
      <c r="FLN518" s="379"/>
      <c r="FLO518" s="13"/>
      <c r="FLP518" s="13"/>
      <c r="FLQ518" s="193"/>
      <c r="FLR518" s="379"/>
      <c r="FLS518" s="379"/>
      <c r="FLT518" s="379"/>
      <c r="FLU518" s="379"/>
      <c r="FLV518" s="379"/>
      <c r="FLW518" s="13"/>
      <c r="FLX518" s="13"/>
      <c r="FLY518" s="193"/>
      <c r="FLZ518" s="379"/>
      <c r="FMA518" s="379"/>
      <c r="FMB518" s="379"/>
      <c r="FMC518" s="379"/>
      <c r="FMD518" s="379"/>
      <c r="FME518" s="13"/>
      <c r="FMF518" s="13"/>
      <c r="FMG518" s="193"/>
      <c r="FMH518" s="379"/>
      <c r="FMI518" s="379"/>
      <c r="FMJ518" s="379"/>
      <c r="FMK518" s="379"/>
      <c r="FML518" s="379"/>
      <c r="FMM518" s="13"/>
      <c r="FMN518" s="13"/>
      <c r="FMO518" s="193"/>
      <c r="FMP518" s="379"/>
      <c r="FMQ518" s="379"/>
      <c r="FMR518" s="379"/>
      <c r="FMS518" s="379"/>
      <c r="FMT518" s="379"/>
      <c r="FMU518" s="13"/>
      <c r="FMV518" s="13"/>
      <c r="FMW518" s="193"/>
      <c r="FMX518" s="379"/>
      <c r="FMY518" s="379"/>
      <c r="FMZ518" s="379"/>
      <c r="FNA518" s="379"/>
      <c r="FNB518" s="379"/>
      <c r="FNC518" s="13"/>
      <c r="FND518" s="13"/>
      <c r="FNE518" s="193"/>
      <c r="FNF518" s="379"/>
      <c r="FNG518" s="379"/>
      <c r="FNH518" s="379"/>
      <c r="FNI518" s="379"/>
      <c r="FNJ518" s="379"/>
      <c r="FNK518" s="13"/>
      <c r="FNL518" s="13"/>
      <c r="FNM518" s="193"/>
      <c r="FNN518" s="379"/>
      <c r="FNO518" s="379"/>
      <c r="FNP518" s="379"/>
      <c r="FNQ518" s="379"/>
      <c r="FNR518" s="379"/>
      <c r="FNS518" s="13"/>
      <c r="FNT518" s="13"/>
      <c r="FNU518" s="193"/>
      <c r="FNV518" s="379"/>
      <c r="FNW518" s="379"/>
      <c r="FNX518" s="379"/>
      <c r="FNY518" s="379"/>
      <c r="FNZ518" s="379"/>
      <c r="FOA518" s="13"/>
      <c r="FOB518" s="13"/>
      <c r="FOC518" s="193"/>
      <c r="FOD518" s="379"/>
      <c r="FOE518" s="379"/>
      <c r="FOF518" s="379"/>
      <c r="FOG518" s="379"/>
      <c r="FOH518" s="379"/>
      <c r="FOI518" s="13"/>
      <c r="FOJ518" s="13"/>
      <c r="FOK518" s="193"/>
      <c r="FOL518" s="379"/>
      <c r="FOM518" s="379"/>
      <c r="FON518" s="379"/>
      <c r="FOO518" s="379"/>
      <c r="FOP518" s="379"/>
      <c r="FOQ518" s="13"/>
      <c r="FOR518" s="13"/>
      <c r="FOS518" s="193"/>
      <c r="FOT518" s="379"/>
      <c r="FOU518" s="379"/>
      <c r="FOV518" s="379"/>
      <c r="FOW518" s="379"/>
      <c r="FOX518" s="379"/>
      <c r="FOY518" s="13"/>
      <c r="FOZ518" s="13"/>
      <c r="FPA518" s="193"/>
      <c r="FPB518" s="379"/>
      <c r="FPC518" s="379"/>
      <c r="FPD518" s="379"/>
      <c r="FPE518" s="379"/>
      <c r="FPF518" s="379"/>
      <c r="FPG518" s="13"/>
      <c r="FPH518" s="13"/>
      <c r="FPI518" s="193"/>
      <c r="FPJ518" s="379"/>
      <c r="FPK518" s="379"/>
      <c r="FPL518" s="379"/>
      <c r="FPM518" s="379"/>
      <c r="FPN518" s="379"/>
      <c r="FPO518" s="13"/>
      <c r="FPP518" s="13"/>
      <c r="FPQ518" s="193"/>
      <c r="FPR518" s="379"/>
      <c r="FPS518" s="379"/>
      <c r="FPT518" s="379"/>
      <c r="FPU518" s="379"/>
      <c r="FPV518" s="379"/>
      <c r="FPW518" s="13"/>
      <c r="FPX518" s="13"/>
      <c r="FPY518" s="193"/>
      <c r="FPZ518" s="379"/>
      <c r="FQA518" s="379"/>
      <c r="FQB518" s="379"/>
      <c r="FQC518" s="379"/>
      <c r="FQD518" s="379"/>
      <c r="FQE518" s="13"/>
      <c r="FQF518" s="13"/>
      <c r="FQG518" s="193"/>
      <c r="FQH518" s="379"/>
      <c r="FQI518" s="379"/>
      <c r="FQJ518" s="379"/>
      <c r="FQK518" s="379"/>
      <c r="FQL518" s="379"/>
      <c r="FQM518" s="13"/>
      <c r="FQN518" s="13"/>
      <c r="FQO518" s="193"/>
      <c r="FQP518" s="379"/>
      <c r="FQQ518" s="379"/>
      <c r="FQR518" s="379"/>
      <c r="FQS518" s="379"/>
      <c r="FQT518" s="379"/>
      <c r="FQU518" s="13"/>
      <c r="FQV518" s="13"/>
      <c r="FQW518" s="193"/>
      <c r="FQX518" s="379"/>
      <c r="FQY518" s="379"/>
      <c r="FQZ518" s="379"/>
      <c r="FRA518" s="379"/>
      <c r="FRB518" s="379"/>
      <c r="FRC518" s="13"/>
      <c r="FRD518" s="13"/>
      <c r="FRE518" s="193"/>
      <c r="FRF518" s="379"/>
      <c r="FRG518" s="379"/>
      <c r="FRH518" s="379"/>
      <c r="FRI518" s="379"/>
      <c r="FRJ518" s="379"/>
      <c r="FRK518" s="13"/>
      <c r="FRL518" s="13"/>
      <c r="FRM518" s="193"/>
      <c r="FRN518" s="379"/>
      <c r="FRO518" s="379"/>
      <c r="FRP518" s="379"/>
      <c r="FRQ518" s="379"/>
      <c r="FRR518" s="379"/>
      <c r="FRS518" s="13"/>
      <c r="FRT518" s="13"/>
      <c r="FRU518" s="193"/>
      <c r="FRV518" s="379"/>
      <c r="FRW518" s="379"/>
      <c r="FRX518" s="379"/>
      <c r="FRY518" s="379"/>
      <c r="FRZ518" s="379"/>
      <c r="FSA518" s="13"/>
      <c r="FSB518" s="13"/>
      <c r="FSC518" s="193"/>
      <c r="FSD518" s="379"/>
      <c r="FSE518" s="379"/>
      <c r="FSF518" s="379"/>
      <c r="FSG518" s="379"/>
      <c r="FSH518" s="379"/>
      <c r="FSI518" s="13"/>
      <c r="FSJ518" s="13"/>
      <c r="FSK518" s="193"/>
      <c r="FSL518" s="379"/>
      <c r="FSM518" s="379"/>
      <c r="FSN518" s="379"/>
      <c r="FSO518" s="379"/>
      <c r="FSP518" s="379"/>
      <c r="FSQ518" s="13"/>
      <c r="FSR518" s="13"/>
      <c r="FSS518" s="193"/>
      <c r="FST518" s="379"/>
      <c r="FSU518" s="379"/>
      <c r="FSV518" s="379"/>
      <c r="FSW518" s="379"/>
      <c r="FSX518" s="379"/>
      <c r="FSY518" s="13"/>
      <c r="FSZ518" s="13"/>
      <c r="FTA518" s="193"/>
      <c r="FTB518" s="379"/>
      <c r="FTC518" s="379"/>
      <c r="FTD518" s="379"/>
      <c r="FTE518" s="379"/>
      <c r="FTF518" s="379"/>
      <c r="FTG518" s="13"/>
      <c r="FTH518" s="13"/>
      <c r="FTI518" s="193"/>
      <c r="FTJ518" s="379"/>
      <c r="FTK518" s="379"/>
      <c r="FTL518" s="379"/>
      <c r="FTM518" s="379"/>
      <c r="FTN518" s="379"/>
      <c r="FTO518" s="13"/>
      <c r="FTP518" s="13"/>
      <c r="FTQ518" s="193"/>
      <c r="FTR518" s="379"/>
      <c r="FTS518" s="379"/>
      <c r="FTT518" s="379"/>
      <c r="FTU518" s="379"/>
      <c r="FTV518" s="379"/>
      <c r="FTW518" s="13"/>
      <c r="FTX518" s="13"/>
      <c r="FTY518" s="193"/>
      <c r="FTZ518" s="379"/>
      <c r="FUA518" s="379"/>
      <c r="FUB518" s="379"/>
      <c r="FUC518" s="379"/>
      <c r="FUD518" s="379"/>
      <c r="FUE518" s="13"/>
      <c r="FUF518" s="13"/>
      <c r="FUG518" s="193"/>
      <c r="FUH518" s="379"/>
      <c r="FUI518" s="379"/>
      <c r="FUJ518" s="379"/>
      <c r="FUK518" s="379"/>
      <c r="FUL518" s="379"/>
      <c r="FUM518" s="13"/>
      <c r="FUN518" s="13"/>
      <c r="FUO518" s="193"/>
      <c r="FUP518" s="379"/>
      <c r="FUQ518" s="379"/>
      <c r="FUR518" s="379"/>
      <c r="FUS518" s="379"/>
      <c r="FUT518" s="379"/>
      <c r="FUU518" s="13"/>
      <c r="FUV518" s="13"/>
      <c r="FUW518" s="193"/>
      <c r="FUX518" s="379"/>
      <c r="FUY518" s="379"/>
      <c r="FUZ518" s="379"/>
      <c r="FVA518" s="379"/>
      <c r="FVB518" s="379"/>
      <c r="FVC518" s="13"/>
      <c r="FVD518" s="13"/>
      <c r="FVE518" s="193"/>
      <c r="FVF518" s="379"/>
      <c r="FVG518" s="379"/>
      <c r="FVH518" s="379"/>
      <c r="FVI518" s="379"/>
      <c r="FVJ518" s="379"/>
      <c r="FVK518" s="13"/>
      <c r="FVL518" s="13"/>
      <c r="FVM518" s="193"/>
      <c r="FVN518" s="379"/>
      <c r="FVO518" s="379"/>
      <c r="FVP518" s="379"/>
      <c r="FVQ518" s="379"/>
      <c r="FVR518" s="379"/>
      <c r="FVS518" s="13"/>
      <c r="FVT518" s="13"/>
      <c r="FVU518" s="193"/>
      <c r="FVV518" s="379"/>
      <c r="FVW518" s="379"/>
      <c r="FVX518" s="379"/>
      <c r="FVY518" s="379"/>
      <c r="FVZ518" s="379"/>
      <c r="FWA518" s="13"/>
      <c r="FWB518" s="13"/>
      <c r="FWC518" s="193"/>
      <c r="FWD518" s="379"/>
      <c r="FWE518" s="379"/>
      <c r="FWF518" s="379"/>
      <c r="FWG518" s="379"/>
      <c r="FWH518" s="379"/>
      <c r="FWI518" s="13"/>
      <c r="FWJ518" s="13"/>
      <c r="FWK518" s="193"/>
      <c r="FWL518" s="379"/>
      <c r="FWM518" s="379"/>
      <c r="FWN518" s="379"/>
      <c r="FWO518" s="379"/>
      <c r="FWP518" s="379"/>
      <c r="FWQ518" s="13"/>
      <c r="FWR518" s="13"/>
      <c r="FWS518" s="193"/>
      <c r="FWT518" s="379"/>
      <c r="FWU518" s="379"/>
      <c r="FWV518" s="379"/>
      <c r="FWW518" s="379"/>
      <c r="FWX518" s="379"/>
      <c r="FWY518" s="13"/>
      <c r="FWZ518" s="13"/>
      <c r="FXA518" s="193"/>
      <c r="FXB518" s="379"/>
      <c r="FXC518" s="379"/>
      <c r="FXD518" s="379"/>
      <c r="FXE518" s="379"/>
      <c r="FXF518" s="379"/>
      <c r="FXG518" s="13"/>
      <c r="FXH518" s="13"/>
      <c r="FXI518" s="193"/>
      <c r="FXJ518" s="379"/>
      <c r="FXK518" s="379"/>
      <c r="FXL518" s="379"/>
      <c r="FXM518" s="379"/>
      <c r="FXN518" s="379"/>
      <c r="FXO518" s="13"/>
      <c r="FXP518" s="13"/>
      <c r="FXQ518" s="193"/>
      <c r="FXR518" s="379"/>
      <c r="FXS518" s="379"/>
      <c r="FXT518" s="379"/>
      <c r="FXU518" s="379"/>
      <c r="FXV518" s="379"/>
      <c r="FXW518" s="13"/>
      <c r="FXX518" s="13"/>
      <c r="FXY518" s="193"/>
      <c r="FXZ518" s="379"/>
      <c r="FYA518" s="379"/>
      <c r="FYB518" s="379"/>
      <c r="FYC518" s="379"/>
      <c r="FYD518" s="379"/>
      <c r="FYE518" s="13"/>
      <c r="FYF518" s="13"/>
      <c r="FYG518" s="193"/>
      <c r="FYH518" s="379"/>
      <c r="FYI518" s="379"/>
      <c r="FYJ518" s="379"/>
      <c r="FYK518" s="379"/>
      <c r="FYL518" s="379"/>
      <c r="FYM518" s="13"/>
      <c r="FYN518" s="13"/>
      <c r="FYO518" s="193"/>
      <c r="FYP518" s="379"/>
      <c r="FYQ518" s="379"/>
      <c r="FYR518" s="379"/>
      <c r="FYS518" s="379"/>
      <c r="FYT518" s="379"/>
      <c r="FYU518" s="13"/>
      <c r="FYV518" s="13"/>
      <c r="FYW518" s="193"/>
      <c r="FYX518" s="379"/>
      <c r="FYY518" s="379"/>
      <c r="FYZ518" s="379"/>
      <c r="FZA518" s="379"/>
      <c r="FZB518" s="379"/>
      <c r="FZC518" s="13"/>
      <c r="FZD518" s="13"/>
      <c r="FZE518" s="193"/>
      <c r="FZF518" s="379"/>
      <c r="FZG518" s="379"/>
      <c r="FZH518" s="379"/>
      <c r="FZI518" s="379"/>
      <c r="FZJ518" s="379"/>
      <c r="FZK518" s="13"/>
      <c r="FZL518" s="13"/>
      <c r="FZM518" s="193"/>
      <c r="FZN518" s="379"/>
      <c r="FZO518" s="379"/>
      <c r="FZP518" s="379"/>
      <c r="FZQ518" s="379"/>
      <c r="FZR518" s="379"/>
      <c r="FZS518" s="13"/>
      <c r="FZT518" s="13"/>
      <c r="FZU518" s="193"/>
      <c r="FZV518" s="379"/>
      <c r="FZW518" s="379"/>
      <c r="FZX518" s="379"/>
      <c r="FZY518" s="379"/>
      <c r="FZZ518" s="379"/>
      <c r="GAA518" s="13"/>
      <c r="GAB518" s="13"/>
      <c r="GAC518" s="193"/>
      <c r="GAD518" s="379"/>
      <c r="GAE518" s="379"/>
      <c r="GAF518" s="379"/>
      <c r="GAG518" s="379"/>
      <c r="GAH518" s="379"/>
      <c r="GAI518" s="13"/>
      <c r="GAJ518" s="13"/>
      <c r="GAK518" s="193"/>
      <c r="GAL518" s="379"/>
      <c r="GAM518" s="379"/>
      <c r="GAN518" s="379"/>
      <c r="GAO518" s="379"/>
      <c r="GAP518" s="379"/>
      <c r="GAQ518" s="13"/>
      <c r="GAR518" s="13"/>
      <c r="GAS518" s="193"/>
      <c r="GAT518" s="379"/>
      <c r="GAU518" s="379"/>
      <c r="GAV518" s="379"/>
      <c r="GAW518" s="379"/>
      <c r="GAX518" s="379"/>
      <c r="GAY518" s="13"/>
      <c r="GAZ518" s="13"/>
      <c r="GBA518" s="193"/>
      <c r="GBB518" s="379"/>
      <c r="GBC518" s="379"/>
      <c r="GBD518" s="379"/>
      <c r="GBE518" s="379"/>
      <c r="GBF518" s="379"/>
      <c r="GBG518" s="13"/>
      <c r="GBH518" s="13"/>
      <c r="GBI518" s="193"/>
      <c r="GBJ518" s="379"/>
      <c r="GBK518" s="379"/>
      <c r="GBL518" s="379"/>
      <c r="GBM518" s="379"/>
      <c r="GBN518" s="379"/>
      <c r="GBO518" s="13"/>
      <c r="GBP518" s="13"/>
      <c r="GBQ518" s="193"/>
      <c r="GBR518" s="379"/>
      <c r="GBS518" s="379"/>
      <c r="GBT518" s="379"/>
      <c r="GBU518" s="379"/>
      <c r="GBV518" s="379"/>
      <c r="GBW518" s="13"/>
      <c r="GBX518" s="13"/>
      <c r="GBY518" s="193"/>
      <c r="GBZ518" s="379"/>
      <c r="GCA518" s="379"/>
      <c r="GCB518" s="379"/>
      <c r="GCC518" s="379"/>
      <c r="GCD518" s="379"/>
      <c r="GCE518" s="13"/>
      <c r="GCF518" s="13"/>
      <c r="GCG518" s="193"/>
      <c r="GCH518" s="379"/>
      <c r="GCI518" s="379"/>
      <c r="GCJ518" s="379"/>
      <c r="GCK518" s="379"/>
      <c r="GCL518" s="379"/>
      <c r="GCM518" s="13"/>
      <c r="GCN518" s="13"/>
      <c r="GCO518" s="193"/>
      <c r="GCP518" s="379"/>
      <c r="GCQ518" s="379"/>
      <c r="GCR518" s="379"/>
      <c r="GCS518" s="379"/>
      <c r="GCT518" s="379"/>
      <c r="GCU518" s="13"/>
      <c r="GCV518" s="13"/>
      <c r="GCW518" s="193"/>
      <c r="GCX518" s="379"/>
      <c r="GCY518" s="379"/>
      <c r="GCZ518" s="379"/>
      <c r="GDA518" s="379"/>
      <c r="GDB518" s="379"/>
      <c r="GDC518" s="13"/>
      <c r="GDD518" s="13"/>
      <c r="GDE518" s="193"/>
      <c r="GDF518" s="379"/>
      <c r="GDG518" s="379"/>
      <c r="GDH518" s="379"/>
      <c r="GDI518" s="379"/>
      <c r="GDJ518" s="379"/>
      <c r="GDK518" s="13"/>
      <c r="GDL518" s="13"/>
      <c r="GDM518" s="193"/>
      <c r="GDN518" s="379"/>
      <c r="GDO518" s="379"/>
      <c r="GDP518" s="379"/>
      <c r="GDQ518" s="379"/>
      <c r="GDR518" s="379"/>
      <c r="GDS518" s="13"/>
      <c r="GDT518" s="13"/>
      <c r="GDU518" s="193"/>
      <c r="GDV518" s="379"/>
      <c r="GDW518" s="379"/>
      <c r="GDX518" s="379"/>
      <c r="GDY518" s="379"/>
      <c r="GDZ518" s="379"/>
      <c r="GEA518" s="13"/>
      <c r="GEB518" s="13"/>
      <c r="GEC518" s="193"/>
      <c r="GED518" s="379"/>
      <c r="GEE518" s="379"/>
      <c r="GEF518" s="379"/>
      <c r="GEG518" s="379"/>
      <c r="GEH518" s="379"/>
      <c r="GEI518" s="13"/>
      <c r="GEJ518" s="13"/>
      <c r="GEK518" s="193"/>
      <c r="GEL518" s="379"/>
      <c r="GEM518" s="379"/>
      <c r="GEN518" s="379"/>
      <c r="GEO518" s="379"/>
      <c r="GEP518" s="379"/>
      <c r="GEQ518" s="13"/>
      <c r="GER518" s="13"/>
      <c r="GES518" s="193"/>
      <c r="GET518" s="379"/>
      <c r="GEU518" s="379"/>
      <c r="GEV518" s="379"/>
      <c r="GEW518" s="379"/>
      <c r="GEX518" s="379"/>
      <c r="GEY518" s="13"/>
      <c r="GEZ518" s="13"/>
      <c r="GFA518" s="193"/>
      <c r="GFB518" s="379"/>
      <c r="GFC518" s="379"/>
      <c r="GFD518" s="379"/>
      <c r="GFE518" s="379"/>
      <c r="GFF518" s="379"/>
      <c r="GFG518" s="13"/>
      <c r="GFH518" s="13"/>
      <c r="GFI518" s="193"/>
      <c r="GFJ518" s="379"/>
      <c r="GFK518" s="379"/>
      <c r="GFL518" s="379"/>
      <c r="GFM518" s="379"/>
      <c r="GFN518" s="379"/>
      <c r="GFO518" s="13"/>
      <c r="GFP518" s="13"/>
      <c r="GFQ518" s="193"/>
      <c r="GFR518" s="379"/>
      <c r="GFS518" s="379"/>
      <c r="GFT518" s="379"/>
      <c r="GFU518" s="379"/>
      <c r="GFV518" s="379"/>
      <c r="GFW518" s="13"/>
      <c r="GFX518" s="13"/>
      <c r="GFY518" s="193"/>
      <c r="GFZ518" s="379"/>
      <c r="GGA518" s="379"/>
      <c r="GGB518" s="379"/>
      <c r="GGC518" s="379"/>
      <c r="GGD518" s="379"/>
      <c r="GGE518" s="13"/>
      <c r="GGF518" s="13"/>
      <c r="GGG518" s="193"/>
      <c r="GGH518" s="379"/>
      <c r="GGI518" s="379"/>
      <c r="GGJ518" s="379"/>
      <c r="GGK518" s="379"/>
      <c r="GGL518" s="379"/>
      <c r="GGM518" s="13"/>
      <c r="GGN518" s="13"/>
      <c r="GGO518" s="193"/>
      <c r="GGP518" s="379"/>
      <c r="GGQ518" s="379"/>
      <c r="GGR518" s="379"/>
      <c r="GGS518" s="379"/>
      <c r="GGT518" s="379"/>
      <c r="GGU518" s="13"/>
      <c r="GGV518" s="13"/>
      <c r="GGW518" s="193"/>
      <c r="GGX518" s="379"/>
      <c r="GGY518" s="379"/>
      <c r="GGZ518" s="379"/>
      <c r="GHA518" s="379"/>
      <c r="GHB518" s="379"/>
      <c r="GHC518" s="13"/>
      <c r="GHD518" s="13"/>
      <c r="GHE518" s="193"/>
      <c r="GHF518" s="379"/>
      <c r="GHG518" s="379"/>
      <c r="GHH518" s="379"/>
      <c r="GHI518" s="379"/>
      <c r="GHJ518" s="379"/>
      <c r="GHK518" s="13"/>
      <c r="GHL518" s="13"/>
      <c r="GHM518" s="193"/>
      <c r="GHN518" s="379"/>
      <c r="GHO518" s="379"/>
      <c r="GHP518" s="379"/>
      <c r="GHQ518" s="379"/>
      <c r="GHR518" s="379"/>
      <c r="GHS518" s="13"/>
      <c r="GHT518" s="13"/>
      <c r="GHU518" s="193"/>
      <c r="GHV518" s="379"/>
      <c r="GHW518" s="379"/>
      <c r="GHX518" s="379"/>
      <c r="GHY518" s="379"/>
      <c r="GHZ518" s="379"/>
      <c r="GIA518" s="13"/>
      <c r="GIB518" s="13"/>
      <c r="GIC518" s="193"/>
      <c r="GID518" s="379"/>
      <c r="GIE518" s="379"/>
      <c r="GIF518" s="379"/>
      <c r="GIG518" s="379"/>
      <c r="GIH518" s="379"/>
      <c r="GII518" s="13"/>
      <c r="GIJ518" s="13"/>
      <c r="GIK518" s="193"/>
      <c r="GIL518" s="379"/>
      <c r="GIM518" s="379"/>
      <c r="GIN518" s="379"/>
      <c r="GIO518" s="379"/>
      <c r="GIP518" s="379"/>
      <c r="GIQ518" s="13"/>
      <c r="GIR518" s="13"/>
      <c r="GIS518" s="193"/>
      <c r="GIT518" s="379"/>
      <c r="GIU518" s="379"/>
      <c r="GIV518" s="379"/>
      <c r="GIW518" s="379"/>
      <c r="GIX518" s="379"/>
      <c r="GIY518" s="13"/>
      <c r="GIZ518" s="13"/>
      <c r="GJA518" s="193"/>
      <c r="GJB518" s="379"/>
      <c r="GJC518" s="379"/>
      <c r="GJD518" s="379"/>
      <c r="GJE518" s="379"/>
      <c r="GJF518" s="379"/>
      <c r="GJG518" s="13"/>
      <c r="GJH518" s="13"/>
      <c r="GJI518" s="193"/>
      <c r="GJJ518" s="379"/>
      <c r="GJK518" s="379"/>
      <c r="GJL518" s="379"/>
      <c r="GJM518" s="379"/>
      <c r="GJN518" s="379"/>
      <c r="GJO518" s="13"/>
      <c r="GJP518" s="13"/>
      <c r="GJQ518" s="193"/>
      <c r="GJR518" s="379"/>
      <c r="GJS518" s="379"/>
      <c r="GJT518" s="379"/>
      <c r="GJU518" s="379"/>
      <c r="GJV518" s="379"/>
      <c r="GJW518" s="13"/>
      <c r="GJX518" s="13"/>
      <c r="GJY518" s="193"/>
      <c r="GJZ518" s="379"/>
      <c r="GKA518" s="379"/>
      <c r="GKB518" s="379"/>
      <c r="GKC518" s="379"/>
      <c r="GKD518" s="379"/>
      <c r="GKE518" s="13"/>
      <c r="GKF518" s="13"/>
      <c r="GKG518" s="193"/>
      <c r="GKH518" s="379"/>
      <c r="GKI518" s="379"/>
      <c r="GKJ518" s="379"/>
      <c r="GKK518" s="379"/>
      <c r="GKL518" s="379"/>
      <c r="GKM518" s="13"/>
      <c r="GKN518" s="13"/>
      <c r="GKO518" s="193"/>
      <c r="GKP518" s="379"/>
      <c r="GKQ518" s="379"/>
      <c r="GKR518" s="379"/>
      <c r="GKS518" s="379"/>
      <c r="GKT518" s="379"/>
      <c r="GKU518" s="13"/>
      <c r="GKV518" s="13"/>
      <c r="GKW518" s="193"/>
      <c r="GKX518" s="379"/>
      <c r="GKY518" s="379"/>
      <c r="GKZ518" s="379"/>
      <c r="GLA518" s="379"/>
      <c r="GLB518" s="379"/>
      <c r="GLC518" s="13"/>
      <c r="GLD518" s="13"/>
      <c r="GLE518" s="193"/>
      <c r="GLF518" s="379"/>
      <c r="GLG518" s="379"/>
      <c r="GLH518" s="379"/>
      <c r="GLI518" s="379"/>
      <c r="GLJ518" s="379"/>
      <c r="GLK518" s="13"/>
      <c r="GLL518" s="13"/>
      <c r="GLM518" s="193"/>
      <c r="GLN518" s="379"/>
      <c r="GLO518" s="379"/>
      <c r="GLP518" s="379"/>
      <c r="GLQ518" s="379"/>
      <c r="GLR518" s="379"/>
      <c r="GLS518" s="13"/>
      <c r="GLT518" s="13"/>
      <c r="GLU518" s="193"/>
      <c r="GLV518" s="379"/>
      <c r="GLW518" s="379"/>
      <c r="GLX518" s="379"/>
      <c r="GLY518" s="379"/>
      <c r="GLZ518" s="379"/>
      <c r="GMA518" s="13"/>
      <c r="GMB518" s="13"/>
      <c r="GMC518" s="193"/>
      <c r="GMD518" s="379"/>
      <c r="GME518" s="379"/>
      <c r="GMF518" s="379"/>
      <c r="GMG518" s="379"/>
      <c r="GMH518" s="379"/>
      <c r="GMI518" s="13"/>
      <c r="GMJ518" s="13"/>
      <c r="GMK518" s="193"/>
      <c r="GML518" s="379"/>
      <c r="GMM518" s="379"/>
      <c r="GMN518" s="379"/>
      <c r="GMO518" s="379"/>
      <c r="GMP518" s="379"/>
      <c r="GMQ518" s="13"/>
      <c r="GMR518" s="13"/>
      <c r="GMS518" s="193"/>
      <c r="GMT518" s="379"/>
      <c r="GMU518" s="379"/>
      <c r="GMV518" s="379"/>
      <c r="GMW518" s="379"/>
      <c r="GMX518" s="379"/>
      <c r="GMY518" s="13"/>
      <c r="GMZ518" s="13"/>
      <c r="GNA518" s="193"/>
      <c r="GNB518" s="379"/>
      <c r="GNC518" s="379"/>
      <c r="GND518" s="379"/>
      <c r="GNE518" s="379"/>
      <c r="GNF518" s="379"/>
      <c r="GNG518" s="13"/>
      <c r="GNH518" s="13"/>
      <c r="GNI518" s="193"/>
      <c r="GNJ518" s="379"/>
      <c r="GNK518" s="379"/>
      <c r="GNL518" s="379"/>
      <c r="GNM518" s="379"/>
      <c r="GNN518" s="379"/>
      <c r="GNO518" s="13"/>
      <c r="GNP518" s="13"/>
      <c r="GNQ518" s="193"/>
      <c r="GNR518" s="379"/>
      <c r="GNS518" s="379"/>
      <c r="GNT518" s="379"/>
      <c r="GNU518" s="379"/>
      <c r="GNV518" s="379"/>
      <c r="GNW518" s="13"/>
      <c r="GNX518" s="13"/>
      <c r="GNY518" s="193"/>
      <c r="GNZ518" s="379"/>
      <c r="GOA518" s="379"/>
      <c r="GOB518" s="379"/>
      <c r="GOC518" s="379"/>
      <c r="GOD518" s="379"/>
      <c r="GOE518" s="13"/>
      <c r="GOF518" s="13"/>
      <c r="GOG518" s="193"/>
      <c r="GOH518" s="379"/>
      <c r="GOI518" s="379"/>
      <c r="GOJ518" s="379"/>
      <c r="GOK518" s="379"/>
      <c r="GOL518" s="379"/>
      <c r="GOM518" s="13"/>
      <c r="GON518" s="13"/>
      <c r="GOO518" s="193"/>
      <c r="GOP518" s="379"/>
      <c r="GOQ518" s="379"/>
      <c r="GOR518" s="379"/>
      <c r="GOS518" s="379"/>
      <c r="GOT518" s="379"/>
      <c r="GOU518" s="13"/>
      <c r="GOV518" s="13"/>
      <c r="GOW518" s="193"/>
      <c r="GOX518" s="379"/>
      <c r="GOY518" s="379"/>
      <c r="GOZ518" s="379"/>
      <c r="GPA518" s="379"/>
      <c r="GPB518" s="379"/>
      <c r="GPC518" s="13"/>
      <c r="GPD518" s="13"/>
      <c r="GPE518" s="193"/>
      <c r="GPF518" s="379"/>
      <c r="GPG518" s="379"/>
      <c r="GPH518" s="379"/>
      <c r="GPI518" s="379"/>
      <c r="GPJ518" s="379"/>
      <c r="GPK518" s="13"/>
      <c r="GPL518" s="13"/>
      <c r="GPM518" s="193"/>
      <c r="GPN518" s="379"/>
      <c r="GPO518" s="379"/>
      <c r="GPP518" s="379"/>
      <c r="GPQ518" s="379"/>
      <c r="GPR518" s="379"/>
      <c r="GPS518" s="13"/>
      <c r="GPT518" s="13"/>
      <c r="GPU518" s="193"/>
      <c r="GPV518" s="379"/>
      <c r="GPW518" s="379"/>
      <c r="GPX518" s="379"/>
      <c r="GPY518" s="379"/>
      <c r="GPZ518" s="379"/>
      <c r="GQA518" s="13"/>
      <c r="GQB518" s="13"/>
      <c r="GQC518" s="193"/>
      <c r="GQD518" s="379"/>
      <c r="GQE518" s="379"/>
      <c r="GQF518" s="379"/>
      <c r="GQG518" s="379"/>
      <c r="GQH518" s="379"/>
      <c r="GQI518" s="13"/>
      <c r="GQJ518" s="13"/>
      <c r="GQK518" s="193"/>
      <c r="GQL518" s="379"/>
      <c r="GQM518" s="379"/>
      <c r="GQN518" s="379"/>
      <c r="GQO518" s="379"/>
      <c r="GQP518" s="379"/>
      <c r="GQQ518" s="13"/>
      <c r="GQR518" s="13"/>
      <c r="GQS518" s="193"/>
      <c r="GQT518" s="379"/>
      <c r="GQU518" s="379"/>
      <c r="GQV518" s="379"/>
      <c r="GQW518" s="379"/>
      <c r="GQX518" s="379"/>
      <c r="GQY518" s="13"/>
      <c r="GQZ518" s="13"/>
      <c r="GRA518" s="193"/>
      <c r="GRB518" s="379"/>
      <c r="GRC518" s="379"/>
      <c r="GRD518" s="379"/>
      <c r="GRE518" s="379"/>
      <c r="GRF518" s="379"/>
      <c r="GRG518" s="13"/>
      <c r="GRH518" s="13"/>
      <c r="GRI518" s="193"/>
      <c r="GRJ518" s="379"/>
      <c r="GRK518" s="379"/>
      <c r="GRL518" s="379"/>
      <c r="GRM518" s="379"/>
      <c r="GRN518" s="379"/>
      <c r="GRO518" s="13"/>
      <c r="GRP518" s="13"/>
      <c r="GRQ518" s="193"/>
      <c r="GRR518" s="379"/>
      <c r="GRS518" s="379"/>
      <c r="GRT518" s="379"/>
      <c r="GRU518" s="379"/>
      <c r="GRV518" s="379"/>
      <c r="GRW518" s="13"/>
      <c r="GRX518" s="13"/>
      <c r="GRY518" s="193"/>
      <c r="GRZ518" s="379"/>
      <c r="GSA518" s="379"/>
      <c r="GSB518" s="379"/>
      <c r="GSC518" s="379"/>
      <c r="GSD518" s="379"/>
      <c r="GSE518" s="13"/>
      <c r="GSF518" s="13"/>
      <c r="GSG518" s="193"/>
      <c r="GSH518" s="379"/>
      <c r="GSI518" s="379"/>
      <c r="GSJ518" s="379"/>
      <c r="GSK518" s="379"/>
      <c r="GSL518" s="379"/>
      <c r="GSM518" s="13"/>
      <c r="GSN518" s="13"/>
      <c r="GSO518" s="193"/>
      <c r="GSP518" s="379"/>
      <c r="GSQ518" s="379"/>
      <c r="GSR518" s="379"/>
      <c r="GSS518" s="379"/>
      <c r="GST518" s="379"/>
      <c r="GSU518" s="13"/>
      <c r="GSV518" s="13"/>
      <c r="GSW518" s="193"/>
      <c r="GSX518" s="379"/>
      <c r="GSY518" s="379"/>
      <c r="GSZ518" s="379"/>
      <c r="GTA518" s="379"/>
      <c r="GTB518" s="379"/>
      <c r="GTC518" s="13"/>
      <c r="GTD518" s="13"/>
      <c r="GTE518" s="193"/>
      <c r="GTF518" s="379"/>
      <c r="GTG518" s="379"/>
      <c r="GTH518" s="379"/>
      <c r="GTI518" s="379"/>
      <c r="GTJ518" s="379"/>
      <c r="GTK518" s="13"/>
      <c r="GTL518" s="13"/>
      <c r="GTM518" s="193"/>
      <c r="GTN518" s="379"/>
      <c r="GTO518" s="379"/>
      <c r="GTP518" s="379"/>
      <c r="GTQ518" s="379"/>
      <c r="GTR518" s="379"/>
      <c r="GTS518" s="13"/>
      <c r="GTT518" s="13"/>
      <c r="GTU518" s="193"/>
      <c r="GTV518" s="379"/>
      <c r="GTW518" s="379"/>
      <c r="GTX518" s="379"/>
      <c r="GTY518" s="379"/>
      <c r="GTZ518" s="379"/>
      <c r="GUA518" s="13"/>
      <c r="GUB518" s="13"/>
      <c r="GUC518" s="193"/>
      <c r="GUD518" s="379"/>
      <c r="GUE518" s="379"/>
      <c r="GUF518" s="379"/>
      <c r="GUG518" s="379"/>
      <c r="GUH518" s="379"/>
      <c r="GUI518" s="13"/>
      <c r="GUJ518" s="13"/>
      <c r="GUK518" s="193"/>
      <c r="GUL518" s="379"/>
      <c r="GUM518" s="379"/>
      <c r="GUN518" s="379"/>
      <c r="GUO518" s="379"/>
      <c r="GUP518" s="379"/>
      <c r="GUQ518" s="13"/>
      <c r="GUR518" s="13"/>
      <c r="GUS518" s="193"/>
      <c r="GUT518" s="379"/>
      <c r="GUU518" s="379"/>
      <c r="GUV518" s="379"/>
      <c r="GUW518" s="379"/>
      <c r="GUX518" s="379"/>
      <c r="GUY518" s="13"/>
      <c r="GUZ518" s="13"/>
      <c r="GVA518" s="193"/>
      <c r="GVB518" s="379"/>
      <c r="GVC518" s="379"/>
      <c r="GVD518" s="379"/>
      <c r="GVE518" s="379"/>
      <c r="GVF518" s="379"/>
      <c r="GVG518" s="13"/>
      <c r="GVH518" s="13"/>
      <c r="GVI518" s="193"/>
      <c r="GVJ518" s="379"/>
      <c r="GVK518" s="379"/>
      <c r="GVL518" s="379"/>
      <c r="GVM518" s="379"/>
      <c r="GVN518" s="379"/>
      <c r="GVO518" s="13"/>
      <c r="GVP518" s="13"/>
      <c r="GVQ518" s="193"/>
      <c r="GVR518" s="379"/>
      <c r="GVS518" s="379"/>
      <c r="GVT518" s="379"/>
      <c r="GVU518" s="379"/>
      <c r="GVV518" s="379"/>
      <c r="GVW518" s="13"/>
      <c r="GVX518" s="13"/>
      <c r="GVY518" s="193"/>
      <c r="GVZ518" s="379"/>
      <c r="GWA518" s="379"/>
      <c r="GWB518" s="379"/>
      <c r="GWC518" s="379"/>
      <c r="GWD518" s="379"/>
      <c r="GWE518" s="13"/>
      <c r="GWF518" s="13"/>
      <c r="GWG518" s="193"/>
      <c r="GWH518" s="379"/>
      <c r="GWI518" s="379"/>
      <c r="GWJ518" s="379"/>
      <c r="GWK518" s="379"/>
      <c r="GWL518" s="379"/>
      <c r="GWM518" s="13"/>
      <c r="GWN518" s="13"/>
      <c r="GWO518" s="193"/>
      <c r="GWP518" s="379"/>
      <c r="GWQ518" s="379"/>
      <c r="GWR518" s="379"/>
      <c r="GWS518" s="379"/>
      <c r="GWT518" s="379"/>
      <c r="GWU518" s="13"/>
      <c r="GWV518" s="13"/>
      <c r="GWW518" s="193"/>
      <c r="GWX518" s="379"/>
      <c r="GWY518" s="379"/>
      <c r="GWZ518" s="379"/>
      <c r="GXA518" s="379"/>
      <c r="GXB518" s="379"/>
      <c r="GXC518" s="13"/>
      <c r="GXD518" s="13"/>
      <c r="GXE518" s="193"/>
      <c r="GXF518" s="379"/>
      <c r="GXG518" s="379"/>
      <c r="GXH518" s="379"/>
      <c r="GXI518" s="379"/>
      <c r="GXJ518" s="379"/>
      <c r="GXK518" s="13"/>
      <c r="GXL518" s="13"/>
      <c r="GXM518" s="193"/>
      <c r="GXN518" s="379"/>
      <c r="GXO518" s="379"/>
      <c r="GXP518" s="379"/>
      <c r="GXQ518" s="379"/>
      <c r="GXR518" s="379"/>
      <c r="GXS518" s="13"/>
      <c r="GXT518" s="13"/>
      <c r="GXU518" s="193"/>
      <c r="GXV518" s="379"/>
      <c r="GXW518" s="379"/>
      <c r="GXX518" s="379"/>
      <c r="GXY518" s="379"/>
      <c r="GXZ518" s="379"/>
      <c r="GYA518" s="13"/>
      <c r="GYB518" s="13"/>
      <c r="GYC518" s="193"/>
      <c r="GYD518" s="379"/>
      <c r="GYE518" s="379"/>
      <c r="GYF518" s="379"/>
      <c r="GYG518" s="379"/>
      <c r="GYH518" s="379"/>
      <c r="GYI518" s="13"/>
      <c r="GYJ518" s="13"/>
      <c r="GYK518" s="193"/>
      <c r="GYL518" s="379"/>
      <c r="GYM518" s="379"/>
      <c r="GYN518" s="379"/>
      <c r="GYO518" s="379"/>
      <c r="GYP518" s="379"/>
      <c r="GYQ518" s="13"/>
      <c r="GYR518" s="13"/>
      <c r="GYS518" s="193"/>
      <c r="GYT518" s="379"/>
      <c r="GYU518" s="379"/>
      <c r="GYV518" s="379"/>
      <c r="GYW518" s="379"/>
      <c r="GYX518" s="379"/>
      <c r="GYY518" s="13"/>
      <c r="GYZ518" s="13"/>
      <c r="GZA518" s="193"/>
      <c r="GZB518" s="379"/>
      <c r="GZC518" s="379"/>
      <c r="GZD518" s="379"/>
      <c r="GZE518" s="379"/>
      <c r="GZF518" s="379"/>
      <c r="GZG518" s="13"/>
      <c r="GZH518" s="13"/>
      <c r="GZI518" s="193"/>
      <c r="GZJ518" s="379"/>
      <c r="GZK518" s="379"/>
      <c r="GZL518" s="379"/>
      <c r="GZM518" s="379"/>
      <c r="GZN518" s="379"/>
      <c r="GZO518" s="13"/>
      <c r="GZP518" s="13"/>
      <c r="GZQ518" s="193"/>
      <c r="GZR518" s="379"/>
      <c r="GZS518" s="379"/>
      <c r="GZT518" s="379"/>
      <c r="GZU518" s="379"/>
      <c r="GZV518" s="379"/>
      <c r="GZW518" s="13"/>
      <c r="GZX518" s="13"/>
      <c r="GZY518" s="193"/>
      <c r="GZZ518" s="379"/>
      <c r="HAA518" s="379"/>
      <c r="HAB518" s="379"/>
      <c r="HAC518" s="379"/>
      <c r="HAD518" s="379"/>
      <c r="HAE518" s="13"/>
      <c r="HAF518" s="13"/>
      <c r="HAG518" s="193"/>
      <c r="HAH518" s="379"/>
      <c r="HAI518" s="379"/>
      <c r="HAJ518" s="379"/>
      <c r="HAK518" s="379"/>
      <c r="HAL518" s="379"/>
      <c r="HAM518" s="13"/>
      <c r="HAN518" s="13"/>
      <c r="HAO518" s="193"/>
      <c r="HAP518" s="379"/>
      <c r="HAQ518" s="379"/>
      <c r="HAR518" s="379"/>
      <c r="HAS518" s="379"/>
      <c r="HAT518" s="379"/>
      <c r="HAU518" s="13"/>
      <c r="HAV518" s="13"/>
      <c r="HAW518" s="193"/>
      <c r="HAX518" s="379"/>
      <c r="HAY518" s="379"/>
      <c r="HAZ518" s="379"/>
      <c r="HBA518" s="379"/>
      <c r="HBB518" s="379"/>
      <c r="HBC518" s="13"/>
      <c r="HBD518" s="13"/>
      <c r="HBE518" s="193"/>
      <c r="HBF518" s="379"/>
      <c r="HBG518" s="379"/>
      <c r="HBH518" s="379"/>
      <c r="HBI518" s="379"/>
      <c r="HBJ518" s="379"/>
      <c r="HBK518" s="13"/>
      <c r="HBL518" s="13"/>
      <c r="HBM518" s="193"/>
      <c r="HBN518" s="379"/>
      <c r="HBO518" s="379"/>
      <c r="HBP518" s="379"/>
      <c r="HBQ518" s="379"/>
      <c r="HBR518" s="379"/>
      <c r="HBS518" s="13"/>
      <c r="HBT518" s="13"/>
      <c r="HBU518" s="193"/>
      <c r="HBV518" s="379"/>
      <c r="HBW518" s="379"/>
      <c r="HBX518" s="379"/>
      <c r="HBY518" s="379"/>
      <c r="HBZ518" s="379"/>
      <c r="HCA518" s="13"/>
      <c r="HCB518" s="13"/>
      <c r="HCC518" s="193"/>
      <c r="HCD518" s="379"/>
      <c r="HCE518" s="379"/>
      <c r="HCF518" s="379"/>
      <c r="HCG518" s="379"/>
      <c r="HCH518" s="379"/>
      <c r="HCI518" s="13"/>
      <c r="HCJ518" s="13"/>
      <c r="HCK518" s="193"/>
      <c r="HCL518" s="379"/>
      <c r="HCM518" s="379"/>
      <c r="HCN518" s="379"/>
      <c r="HCO518" s="379"/>
      <c r="HCP518" s="379"/>
      <c r="HCQ518" s="13"/>
      <c r="HCR518" s="13"/>
      <c r="HCS518" s="193"/>
      <c r="HCT518" s="379"/>
      <c r="HCU518" s="379"/>
      <c r="HCV518" s="379"/>
      <c r="HCW518" s="379"/>
      <c r="HCX518" s="379"/>
      <c r="HCY518" s="13"/>
      <c r="HCZ518" s="13"/>
      <c r="HDA518" s="193"/>
      <c r="HDB518" s="379"/>
      <c r="HDC518" s="379"/>
      <c r="HDD518" s="379"/>
      <c r="HDE518" s="379"/>
      <c r="HDF518" s="379"/>
      <c r="HDG518" s="13"/>
      <c r="HDH518" s="13"/>
      <c r="HDI518" s="193"/>
      <c r="HDJ518" s="379"/>
      <c r="HDK518" s="379"/>
      <c r="HDL518" s="379"/>
      <c r="HDM518" s="379"/>
      <c r="HDN518" s="379"/>
      <c r="HDO518" s="13"/>
      <c r="HDP518" s="13"/>
      <c r="HDQ518" s="193"/>
      <c r="HDR518" s="379"/>
      <c r="HDS518" s="379"/>
      <c r="HDT518" s="379"/>
      <c r="HDU518" s="379"/>
      <c r="HDV518" s="379"/>
      <c r="HDW518" s="13"/>
      <c r="HDX518" s="13"/>
      <c r="HDY518" s="193"/>
      <c r="HDZ518" s="379"/>
      <c r="HEA518" s="379"/>
      <c r="HEB518" s="379"/>
      <c r="HEC518" s="379"/>
      <c r="HED518" s="379"/>
      <c r="HEE518" s="13"/>
      <c r="HEF518" s="13"/>
      <c r="HEG518" s="193"/>
      <c r="HEH518" s="379"/>
      <c r="HEI518" s="379"/>
      <c r="HEJ518" s="379"/>
      <c r="HEK518" s="379"/>
      <c r="HEL518" s="379"/>
      <c r="HEM518" s="13"/>
      <c r="HEN518" s="13"/>
      <c r="HEO518" s="193"/>
      <c r="HEP518" s="379"/>
      <c r="HEQ518" s="379"/>
      <c r="HER518" s="379"/>
      <c r="HES518" s="379"/>
      <c r="HET518" s="379"/>
      <c r="HEU518" s="13"/>
      <c r="HEV518" s="13"/>
      <c r="HEW518" s="193"/>
      <c r="HEX518" s="379"/>
      <c r="HEY518" s="379"/>
      <c r="HEZ518" s="379"/>
      <c r="HFA518" s="379"/>
      <c r="HFB518" s="379"/>
      <c r="HFC518" s="13"/>
      <c r="HFD518" s="13"/>
      <c r="HFE518" s="193"/>
      <c r="HFF518" s="379"/>
      <c r="HFG518" s="379"/>
      <c r="HFH518" s="379"/>
      <c r="HFI518" s="379"/>
      <c r="HFJ518" s="379"/>
      <c r="HFK518" s="13"/>
      <c r="HFL518" s="13"/>
      <c r="HFM518" s="193"/>
      <c r="HFN518" s="379"/>
      <c r="HFO518" s="379"/>
      <c r="HFP518" s="379"/>
      <c r="HFQ518" s="379"/>
      <c r="HFR518" s="379"/>
      <c r="HFS518" s="13"/>
      <c r="HFT518" s="13"/>
      <c r="HFU518" s="193"/>
      <c r="HFV518" s="379"/>
      <c r="HFW518" s="379"/>
      <c r="HFX518" s="379"/>
      <c r="HFY518" s="379"/>
      <c r="HFZ518" s="379"/>
      <c r="HGA518" s="13"/>
      <c r="HGB518" s="13"/>
      <c r="HGC518" s="193"/>
      <c r="HGD518" s="379"/>
      <c r="HGE518" s="379"/>
      <c r="HGF518" s="379"/>
      <c r="HGG518" s="379"/>
      <c r="HGH518" s="379"/>
      <c r="HGI518" s="13"/>
      <c r="HGJ518" s="13"/>
      <c r="HGK518" s="193"/>
      <c r="HGL518" s="379"/>
      <c r="HGM518" s="379"/>
      <c r="HGN518" s="379"/>
      <c r="HGO518" s="379"/>
      <c r="HGP518" s="379"/>
      <c r="HGQ518" s="13"/>
      <c r="HGR518" s="13"/>
      <c r="HGS518" s="193"/>
      <c r="HGT518" s="379"/>
      <c r="HGU518" s="379"/>
      <c r="HGV518" s="379"/>
      <c r="HGW518" s="379"/>
      <c r="HGX518" s="379"/>
      <c r="HGY518" s="13"/>
      <c r="HGZ518" s="13"/>
      <c r="HHA518" s="193"/>
      <c r="HHB518" s="379"/>
      <c r="HHC518" s="379"/>
      <c r="HHD518" s="379"/>
      <c r="HHE518" s="379"/>
      <c r="HHF518" s="379"/>
      <c r="HHG518" s="13"/>
      <c r="HHH518" s="13"/>
      <c r="HHI518" s="193"/>
      <c r="HHJ518" s="379"/>
      <c r="HHK518" s="379"/>
      <c r="HHL518" s="379"/>
      <c r="HHM518" s="379"/>
      <c r="HHN518" s="379"/>
      <c r="HHO518" s="13"/>
      <c r="HHP518" s="13"/>
      <c r="HHQ518" s="193"/>
      <c r="HHR518" s="379"/>
      <c r="HHS518" s="379"/>
      <c r="HHT518" s="379"/>
      <c r="HHU518" s="379"/>
      <c r="HHV518" s="379"/>
      <c r="HHW518" s="13"/>
      <c r="HHX518" s="13"/>
      <c r="HHY518" s="193"/>
      <c r="HHZ518" s="379"/>
      <c r="HIA518" s="379"/>
      <c r="HIB518" s="379"/>
      <c r="HIC518" s="379"/>
      <c r="HID518" s="379"/>
      <c r="HIE518" s="13"/>
      <c r="HIF518" s="13"/>
      <c r="HIG518" s="193"/>
      <c r="HIH518" s="379"/>
      <c r="HII518" s="379"/>
      <c r="HIJ518" s="379"/>
      <c r="HIK518" s="379"/>
      <c r="HIL518" s="379"/>
      <c r="HIM518" s="13"/>
      <c r="HIN518" s="13"/>
      <c r="HIO518" s="193"/>
      <c r="HIP518" s="379"/>
      <c r="HIQ518" s="379"/>
      <c r="HIR518" s="379"/>
      <c r="HIS518" s="379"/>
      <c r="HIT518" s="379"/>
      <c r="HIU518" s="13"/>
      <c r="HIV518" s="13"/>
      <c r="HIW518" s="193"/>
      <c r="HIX518" s="379"/>
      <c r="HIY518" s="379"/>
      <c r="HIZ518" s="379"/>
      <c r="HJA518" s="379"/>
      <c r="HJB518" s="379"/>
      <c r="HJC518" s="13"/>
      <c r="HJD518" s="13"/>
      <c r="HJE518" s="193"/>
      <c r="HJF518" s="379"/>
      <c r="HJG518" s="379"/>
      <c r="HJH518" s="379"/>
      <c r="HJI518" s="379"/>
      <c r="HJJ518" s="379"/>
      <c r="HJK518" s="13"/>
      <c r="HJL518" s="13"/>
      <c r="HJM518" s="193"/>
      <c r="HJN518" s="379"/>
      <c r="HJO518" s="379"/>
      <c r="HJP518" s="379"/>
      <c r="HJQ518" s="379"/>
      <c r="HJR518" s="379"/>
      <c r="HJS518" s="13"/>
      <c r="HJT518" s="13"/>
      <c r="HJU518" s="193"/>
      <c r="HJV518" s="379"/>
      <c r="HJW518" s="379"/>
      <c r="HJX518" s="379"/>
      <c r="HJY518" s="379"/>
      <c r="HJZ518" s="379"/>
      <c r="HKA518" s="13"/>
      <c r="HKB518" s="13"/>
      <c r="HKC518" s="193"/>
      <c r="HKD518" s="379"/>
      <c r="HKE518" s="379"/>
      <c r="HKF518" s="379"/>
      <c r="HKG518" s="379"/>
      <c r="HKH518" s="379"/>
      <c r="HKI518" s="13"/>
      <c r="HKJ518" s="13"/>
      <c r="HKK518" s="193"/>
      <c r="HKL518" s="379"/>
      <c r="HKM518" s="379"/>
      <c r="HKN518" s="379"/>
      <c r="HKO518" s="379"/>
      <c r="HKP518" s="379"/>
      <c r="HKQ518" s="13"/>
      <c r="HKR518" s="13"/>
      <c r="HKS518" s="193"/>
      <c r="HKT518" s="379"/>
      <c r="HKU518" s="379"/>
      <c r="HKV518" s="379"/>
      <c r="HKW518" s="379"/>
      <c r="HKX518" s="379"/>
      <c r="HKY518" s="13"/>
      <c r="HKZ518" s="13"/>
      <c r="HLA518" s="193"/>
      <c r="HLB518" s="379"/>
      <c r="HLC518" s="379"/>
      <c r="HLD518" s="379"/>
      <c r="HLE518" s="379"/>
      <c r="HLF518" s="379"/>
      <c r="HLG518" s="13"/>
      <c r="HLH518" s="13"/>
      <c r="HLI518" s="193"/>
      <c r="HLJ518" s="379"/>
      <c r="HLK518" s="379"/>
      <c r="HLL518" s="379"/>
      <c r="HLM518" s="379"/>
      <c r="HLN518" s="379"/>
      <c r="HLO518" s="13"/>
      <c r="HLP518" s="13"/>
      <c r="HLQ518" s="193"/>
      <c r="HLR518" s="379"/>
      <c r="HLS518" s="379"/>
      <c r="HLT518" s="379"/>
      <c r="HLU518" s="379"/>
      <c r="HLV518" s="379"/>
      <c r="HLW518" s="13"/>
      <c r="HLX518" s="13"/>
      <c r="HLY518" s="193"/>
      <c r="HLZ518" s="379"/>
      <c r="HMA518" s="379"/>
      <c r="HMB518" s="379"/>
      <c r="HMC518" s="379"/>
      <c r="HMD518" s="379"/>
      <c r="HME518" s="13"/>
      <c r="HMF518" s="13"/>
      <c r="HMG518" s="193"/>
      <c r="HMH518" s="379"/>
      <c r="HMI518" s="379"/>
      <c r="HMJ518" s="379"/>
      <c r="HMK518" s="379"/>
      <c r="HML518" s="379"/>
      <c r="HMM518" s="13"/>
      <c r="HMN518" s="13"/>
      <c r="HMO518" s="193"/>
      <c r="HMP518" s="379"/>
      <c r="HMQ518" s="379"/>
      <c r="HMR518" s="379"/>
      <c r="HMS518" s="379"/>
      <c r="HMT518" s="379"/>
      <c r="HMU518" s="13"/>
      <c r="HMV518" s="13"/>
      <c r="HMW518" s="193"/>
      <c r="HMX518" s="379"/>
      <c r="HMY518" s="379"/>
      <c r="HMZ518" s="379"/>
      <c r="HNA518" s="379"/>
      <c r="HNB518" s="379"/>
      <c r="HNC518" s="13"/>
      <c r="HND518" s="13"/>
      <c r="HNE518" s="193"/>
      <c r="HNF518" s="379"/>
      <c r="HNG518" s="379"/>
      <c r="HNH518" s="379"/>
      <c r="HNI518" s="379"/>
      <c r="HNJ518" s="379"/>
      <c r="HNK518" s="13"/>
      <c r="HNL518" s="13"/>
      <c r="HNM518" s="193"/>
      <c r="HNN518" s="379"/>
      <c r="HNO518" s="379"/>
      <c r="HNP518" s="379"/>
      <c r="HNQ518" s="379"/>
      <c r="HNR518" s="379"/>
      <c r="HNS518" s="13"/>
      <c r="HNT518" s="13"/>
      <c r="HNU518" s="193"/>
      <c r="HNV518" s="379"/>
      <c r="HNW518" s="379"/>
      <c r="HNX518" s="379"/>
      <c r="HNY518" s="379"/>
      <c r="HNZ518" s="379"/>
      <c r="HOA518" s="13"/>
      <c r="HOB518" s="13"/>
      <c r="HOC518" s="193"/>
      <c r="HOD518" s="379"/>
      <c r="HOE518" s="379"/>
      <c r="HOF518" s="379"/>
      <c r="HOG518" s="379"/>
      <c r="HOH518" s="379"/>
      <c r="HOI518" s="13"/>
      <c r="HOJ518" s="13"/>
      <c r="HOK518" s="193"/>
      <c r="HOL518" s="379"/>
      <c r="HOM518" s="379"/>
      <c r="HON518" s="379"/>
      <c r="HOO518" s="379"/>
      <c r="HOP518" s="379"/>
      <c r="HOQ518" s="13"/>
      <c r="HOR518" s="13"/>
      <c r="HOS518" s="193"/>
      <c r="HOT518" s="379"/>
      <c r="HOU518" s="379"/>
      <c r="HOV518" s="379"/>
      <c r="HOW518" s="379"/>
      <c r="HOX518" s="379"/>
      <c r="HOY518" s="13"/>
      <c r="HOZ518" s="13"/>
      <c r="HPA518" s="193"/>
      <c r="HPB518" s="379"/>
      <c r="HPC518" s="379"/>
      <c r="HPD518" s="379"/>
      <c r="HPE518" s="379"/>
      <c r="HPF518" s="379"/>
      <c r="HPG518" s="13"/>
      <c r="HPH518" s="13"/>
      <c r="HPI518" s="193"/>
      <c r="HPJ518" s="379"/>
      <c r="HPK518" s="379"/>
      <c r="HPL518" s="379"/>
      <c r="HPM518" s="379"/>
      <c r="HPN518" s="379"/>
      <c r="HPO518" s="13"/>
      <c r="HPP518" s="13"/>
      <c r="HPQ518" s="193"/>
      <c r="HPR518" s="379"/>
      <c r="HPS518" s="379"/>
      <c r="HPT518" s="379"/>
      <c r="HPU518" s="379"/>
      <c r="HPV518" s="379"/>
      <c r="HPW518" s="13"/>
      <c r="HPX518" s="13"/>
      <c r="HPY518" s="193"/>
      <c r="HPZ518" s="379"/>
      <c r="HQA518" s="379"/>
      <c r="HQB518" s="379"/>
      <c r="HQC518" s="379"/>
      <c r="HQD518" s="379"/>
      <c r="HQE518" s="13"/>
      <c r="HQF518" s="13"/>
      <c r="HQG518" s="193"/>
      <c r="HQH518" s="379"/>
      <c r="HQI518" s="379"/>
      <c r="HQJ518" s="379"/>
      <c r="HQK518" s="379"/>
      <c r="HQL518" s="379"/>
      <c r="HQM518" s="13"/>
      <c r="HQN518" s="13"/>
      <c r="HQO518" s="193"/>
      <c r="HQP518" s="379"/>
      <c r="HQQ518" s="379"/>
      <c r="HQR518" s="379"/>
      <c r="HQS518" s="379"/>
      <c r="HQT518" s="379"/>
      <c r="HQU518" s="13"/>
      <c r="HQV518" s="13"/>
      <c r="HQW518" s="193"/>
      <c r="HQX518" s="379"/>
      <c r="HQY518" s="379"/>
      <c r="HQZ518" s="379"/>
      <c r="HRA518" s="379"/>
      <c r="HRB518" s="379"/>
      <c r="HRC518" s="13"/>
      <c r="HRD518" s="13"/>
      <c r="HRE518" s="193"/>
      <c r="HRF518" s="379"/>
      <c r="HRG518" s="379"/>
      <c r="HRH518" s="379"/>
      <c r="HRI518" s="379"/>
      <c r="HRJ518" s="379"/>
      <c r="HRK518" s="13"/>
      <c r="HRL518" s="13"/>
      <c r="HRM518" s="193"/>
      <c r="HRN518" s="379"/>
      <c r="HRO518" s="379"/>
      <c r="HRP518" s="379"/>
      <c r="HRQ518" s="379"/>
      <c r="HRR518" s="379"/>
      <c r="HRS518" s="13"/>
      <c r="HRT518" s="13"/>
      <c r="HRU518" s="193"/>
      <c r="HRV518" s="379"/>
      <c r="HRW518" s="379"/>
      <c r="HRX518" s="379"/>
      <c r="HRY518" s="379"/>
      <c r="HRZ518" s="379"/>
      <c r="HSA518" s="13"/>
      <c r="HSB518" s="13"/>
      <c r="HSC518" s="193"/>
      <c r="HSD518" s="379"/>
      <c r="HSE518" s="379"/>
      <c r="HSF518" s="379"/>
      <c r="HSG518" s="379"/>
      <c r="HSH518" s="379"/>
      <c r="HSI518" s="13"/>
      <c r="HSJ518" s="13"/>
      <c r="HSK518" s="193"/>
      <c r="HSL518" s="379"/>
      <c r="HSM518" s="379"/>
      <c r="HSN518" s="379"/>
      <c r="HSO518" s="379"/>
      <c r="HSP518" s="379"/>
      <c r="HSQ518" s="13"/>
      <c r="HSR518" s="13"/>
      <c r="HSS518" s="193"/>
      <c r="HST518" s="379"/>
      <c r="HSU518" s="379"/>
      <c r="HSV518" s="379"/>
      <c r="HSW518" s="379"/>
      <c r="HSX518" s="379"/>
      <c r="HSY518" s="13"/>
      <c r="HSZ518" s="13"/>
      <c r="HTA518" s="193"/>
      <c r="HTB518" s="379"/>
      <c r="HTC518" s="379"/>
      <c r="HTD518" s="379"/>
      <c r="HTE518" s="379"/>
      <c r="HTF518" s="379"/>
      <c r="HTG518" s="13"/>
      <c r="HTH518" s="13"/>
      <c r="HTI518" s="193"/>
      <c r="HTJ518" s="379"/>
      <c r="HTK518" s="379"/>
      <c r="HTL518" s="379"/>
      <c r="HTM518" s="379"/>
      <c r="HTN518" s="379"/>
      <c r="HTO518" s="13"/>
      <c r="HTP518" s="13"/>
      <c r="HTQ518" s="193"/>
      <c r="HTR518" s="379"/>
      <c r="HTS518" s="379"/>
      <c r="HTT518" s="379"/>
      <c r="HTU518" s="379"/>
      <c r="HTV518" s="379"/>
      <c r="HTW518" s="13"/>
      <c r="HTX518" s="13"/>
      <c r="HTY518" s="193"/>
      <c r="HTZ518" s="379"/>
      <c r="HUA518" s="379"/>
      <c r="HUB518" s="379"/>
      <c r="HUC518" s="379"/>
      <c r="HUD518" s="379"/>
      <c r="HUE518" s="13"/>
      <c r="HUF518" s="13"/>
      <c r="HUG518" s="193"/>
      <c r="HUH518" s="379"/>
      <c r="HUI518" s="379"/>
      <c r="HUJ518" s="379"/>
      <c r="HUK518" s="379"/>
      <c r="HUL518" s="379"/>
      <c r="HUM518" s="13"/>
      <c r="HUN518" s="13"/>
      <c r="HUO518" s="193"/>
      <c r="HUP518" s="379"/>
      <c r="HUQ518" s="379"/>
      <c r="HUR518" s="379"/>
      <c r="HUS518" s="379"/>
      <c r="HUT518" s="379"/>
      <c r="HUU518" s="13"/>
      <c r="HUV518" s="13"/>
      <c r="HUW518" s="193"/>
      <c r="HUX518" s="379"/>
      <c r="HUY518" s="379"/>
      <c r="HUZ518" s="379"/>
      <c r="HVA518" s="379"/>
      <c r="HVB518" s="379"/>
      <c r="HVC518" s="13"/>
      <c r="HVD518" s="13"/>
      <c r="HVE518" s="193"/>
      <c r="HVF518" s="379"/>
      <c r="HVG518" s="379"/>
      <c r="HVH518" s="379"/>
      <c r="HVI518" s="379"/>
      <c r="HVJ518" s="379"/>
      <c r="HVK518" s="13"/>
      <c r="HVL518" s="13"/>
      <c r="HVM518" s="193"/>
      <c r="HVN518" s="379"/>
      <c r="HVO518" s="379"/>
      <c r="HVP518" s="379"/>
      <c r="HVQ518" s="379"/>
      <c r="HVR518" s="379"/>
      <c r="HVS518" s="13"/>
      <c r="HVT518" s="13"/>
      <c r="HVU518" s="193"/>
      <c r="HVV518" s="379"/>
      <c r="HVW518" s="379"/>
      <c r="HVX518" s="379"/>
      <c r="HVY518" s="379"/>
      <c r="HVZ518" s="379"/>
      <c r="HWA518" s="13"/>
      <c r="HWB518" s="13"/>
      <c r="HWC518" s="193"/>
      <c r="HWD518" s="379"/>
      <c r="HWE518" s="379"/>
      <c r="HWF518" s="379"/>
      <c r="HWG518" s="379"/>
      <c r="HWH518" s="379"/>
      <c r="HWI518" s="13"/>
      <c r="HWJ518" s="13"/>
      <c r="HWK518" s="193"/>
      <c r="HWL518" s="379"/>
      <c r="HWM518" s="379"/>
      <c r="HWN518" s="379"/>
      <c r="HWO518" s="379"/>
      <c r="HWP518" s="379"/>
      <c r="HWQ518" s="13"/>
      <c r="HWR518" s="13"/>
      <c r="HWS518" s="193"/>
      <c r="HWT518" s="379"/>
      <c r="HWU518" s="379"/>
      <c r="HWV518" s="379"/>
      <c r="HWW518" s="379"/>
      <c r="HWX518" s="379"/>
      <c r="HWY518" s="13"/>
      <c r="HWZ518" s="13"/>
      <c r="HXA518" s="193"/>
      <c r="HXB518" s="379"/>
      <c r="HXC518" s="379"/>
      <c r="HXD518" s="379"/>
      <c r="HXE518" s="379"/>
      <c r="HXF518" s="379"/>
      <c r="HXG518" s="13"/>
      <c r="HXH518" s="13"/>
      <c r="HXI518" s="193"/>
      <c r="HXJ518" s="379"/>
      <c r="HXK518" s="379"/>
      <c r="HXL518" s="379"/>
      <c r="HXM518" s="379"/>
      <c r="HXN518" s="379"/>
      <c r="HXO518" s="13"/>
      <c r="HXP518" s="13"/>
      <c r="HXQ518" s="193"/>
      <c r="HXR518" s="379"/>
      <c r="HXS518" s="379"/>
      <c r="HXT518" s="379"/>
      <c r="HXU518" s="379"/>
      <c r="HXV518" s="379"/>
      <c r="HXW518" s="13"/>
      <c r="HXX518" s="13"/>
      <c r="HXY518" s="193"/>
      <c r="HXZ518" s="379"/>
      <c r="HYA518" s="379"/>
      <c r="HYB518" s="379"/>
      <c r="HYC518" s="379"/>
      <c r="HYD518" s="379"/>
      <c r="HYE518" s="13"/>
      <c r="HYF518" s="13"/>
      <c r="HYG518" s="193"/>
      <c r="HYH518" s="379"/>
      <c r="HYI518" s="379"/>
      <c r="HYJ518" s="379"/>
      <c r="HYK518" s="379"/>
      <c r="HYL518" s="379"/>
      <c r="HYM518" s="13"/>
      <c r="HYN518" s="13"/>
      <c r="HYO518" s="193"/>
      <c r="HYP518" s="379"/>
      <c r="HYQ518" s="379"/>
      <c r="HYR518" s="379"/>
      <c r="HYS518" s="379"/>
      <c r="HYT518" s="379"/>
      <c r="HYU518" s="13"/>
      <c r="HYV518" s="13"/>
      <c r="HYW518" s="193"/>
      <c r="HYX518" s="379"/>
      <c r="HYY518" s="379"/>
      <c r="HYZ518" s="379"/>
      <c r="HZA518" s="379"/>
      <c r="HZB518" s="379"/>
      <c r="HZC518" s="13"/>
      <c r="HZD518" s="13"/>
      <c r="HZE518" s="193"/>
      <c r="HZF518" s="379"/>
      <c r="HZG518" s="379"/>
      <c r="HZH518" s="379"/>
      <c r="HZI518" s="379"/>
      <c r="HZJ518" s="379"/>
      <c r="HZK518" s="13"/>
      <c r="HZL518" s="13"/>
      <c r="HZM518" s="193"/>
      <c r="HZN518" s="379"/>
      <c r="HZO518" s="379"/>
      <c r="HZP518" s="379"/>
      <c r="HZQ518" s="379"/>
      <c r="HZR518" s="379"/>
      <c r="HZS518" s="13"/>
      <c r="HZT518" s="13"/>
      <c r="HZU518" s="193"/>
      <c r="HZV518" s="379"/>
      <c r="HZW518" s="379"/>
      <c r="HZX518" s="379"/>
      <c r="HZY518" s="379"/>
      <c r="HZZ518" s="379"/>
      <c r="IAA518" s="13"/>
      <c r="IAB518" s="13"/>
      <c r="IAC518" s="193"/>
      <c r="IAD518" s="379"/>
      <c r="IAE518" s="379"/>
      <c r="IAF518" s="379"/>
      <c r="IAG518" s="379"/>
      <c r="IAH518" s="379"/>
      <c r="IAI518" s="13"/>
      <c r="IAJ518" s="13"/>
      <c r="IAK518" s="193"/>
      <c r="IAL518" s="379"/>
      <c r="IAM518" s="379"/>
      <c r="IAN518" s="379"/>
      <c r="IAO518" s="379"/>
      <c r="IAP518" s="379"/>
      <c r="IAQ518" s="13"/>
      <c r="IAR518" s="13"/>
      <c r="IAS518" s="193"/>
      <c r="IAT518" s="379"/>
      <c r="IAU518" s="379"/>
      <c r="IAV518" s="379"/>
      <c r="IAW518" s="379"/>
      <c r="IAX518" s="379"/>
      <c r="IAY518" s="13"/>
      <c r="IAZ518" s="13"/>
      <c r="IBA518" s="193"/>
      <c r="IBB518" s="379"/>
      <c r="IBC518" s="379"/>
      <c r="IBD518" s="379"/>
      <c r="IBE518" s="379"/>
      <c r="IBF518" s="379"/>
      <c r="IBG518" s="13"/>
      <c r="IBH518" s="13"/>
      <c r="IBI518" s="193"/>
      <c r="IBJ518" s="379"/>
      <c r="IBK518" s="379"/>
      <c r="IBL518" s="379"/>
      <c r="IBM518" s="379"/>
      <c r="IBN518" s="379"/>
      <c r="IBO518" s="13"/>
      <c r="IBP518" s="13"/>
      <c r="IBQ518" s="193"/>
      <c r="IBR518" s="379"/>
      <c r="IBS518" s="379"/>
      <c r="IBT518" s="379"/>
      <c r="IBU518" s="379"/>
      <c r="IBV518" s="379"/>
      <c r="IBW518" s="13"/>
      <c r="IBX518" s="13"/>
      <c r="IBY518" s="193"/>
      <c r="IBZ518" s="379"/>
      <c r="ICA518" s="379"/>
      <c r="ICB518" s="379"/>
      <c r="ICC518" s="379"/>
      <c r="ICD518" s="379"/>
      <c r="ICE518" s="13"/>
      <c r="ICF518" s="13"/>
      <c r="ICG518" s="193"/>
      <c r="ICH518" s="379"/>
      <c r="ICI518" s="379"/>
      <c r="ICJ518" s="379"/>
      <c r="ICK518" s="379"/>
      <c r="ICL518" s="379"/>
      <c r="ICM518" s="13"/>
      <c r="ICN518" s="13"/>
      <c r="ICO518" s="193"/>
      <c r="ICP518" s="379"/>
      <c r="ICQ518" s="379"/>
      <c r="ICR518" s="379"/>
      <c r="ICS518" s="379"/>
      <c r="ICT518" s="379"/>
      <c r="ICU518" s="13"/>
      <c r="ICV518" s="13"/>
      <c r="ICW518" s="193"/>
      <c r="ICX518" s="379"/>
      <c r="ICY518" s="379"/>
      <c r="ICZ518" s="379"/>
      <c r="IDA518" s="379"/>
      <c r="IDB518" s="379"/>
      <c r="IDC518" s="13"/>
      <c r="IDD518" s="13"/>
      <c r="IDE518" s="193"/>
      <c r="IDF518" s="379"/>
      <c r="IDG518" s="379"/>
      <c r="IDH518" s="379"/>
      <c r="IDI518" s="379"/>
      <c r="IDJ518" s="379"/>
      <c r="IDK518" s="13"/>
      <c r="IDL518" s="13"/>
      <c r="IDM518" s="193"/>
      <c r="IDN518" s="379"/>
      <c r="IDO518" s="379"/>
      <c r="IDP518" s="379"/>
      <c r="IDQ518" s="379"/>
      <c r="IDR518" s="379"/>
      <c r="IDS518" s="13"/>
      <c r="IDT518" s="13"/>
      <c r="IDU518" s="193"/>
      <c r="IDV518" s="379"/>
      <c r="IDW518" s="379"/>
      <c r="IDX518" s="379"/>
      <c r="IDY518" s="379"/>
      <c r="IDZ518" s="379"/>
      <c r="IEA518" s="13"/>
      <c r="IEB518" s="13"/>
      <c r="IEC518" s="193"/>
      <c r="IED518" s="379"/>
      <c r="IEE518" s="379"/>
      <c r="IEF518" s="379"/>
      <c r="IEG518" s="379"/>
      <c r="IEH518" s="379"/>
      <c r="IEI518" s="13"/>
      <c r="IEJ518" s="13"/>
      <c r="IEK518" s="193"/>
      <c r="IEL518" s="379"/>
      <c r="IEM518" s="379"/>
      <c r="IEN518" s="379"/>
      <c r="IEO518" s="379"/>
      <c r="IEP518" s="379"/>
      <c r="IEQ518" s="13"/>
      <c r="IER518" s="13"/>
      <c r="IES518" s="193"/>
      <c r="IET518" s="379"/>
      <c r="IEU518" s="379"/>
      <c r="IEV518" s="379"/>
      <c r="IEW518" s="379"/>
      <c r="IEX518" s="379"/>
      <c r="IEY518" s="13"/>
      <c r="IEZ518" s="13"/>
      <c r="IFA518" s="193"/>
      <c r="IFB518" s="379"/>
      <c r="IFC518" s="379"/>
      <c r="IFD518" s="379"/>
      <c r="IFE518" s="379"/>
      <c r="IFF518" s="379"/>
      <c r="IFG518" s="13"/>
      <c r="IFH518" s="13"/>
      <c r="IFI518" s="193"/>
      <c r="IFJ518" s="379"/>
      <c r="IFK518" s="379"/>
      <c r="IFL518" s="379"/>
      <c r="IFM518" s="379"/>
      <c r="IFN518" s="379"/>
      <c r="IFO518" s="13"/>
      <c r="IFP518" s="13"/>
      <c r="IFQ518" s="193"/>
      <c r="IFR518" s="379"/>
      <c r="IFS518" s="379"/>
      <c r="IFT518" s="379"/>
      <c r="IFU518" s="379"/>
      <c r="IFV518" s="379"/>
      <c r="IFW518" s="13"/>
      <c r="IFX518" s="13"/>
      <c r="IFY518" s="193"/>
      <c r="IFZ518" s="379"/>
      <c r="IGA518" s="379"/>
      <c r="IGB518" s="379"/>
      <c r="IGC518" s="379"/>
      <c r="IGD518" s="379"/>
      <c r="IGE518" s="13"/>
      <c r="IGF518" s="13"/>
      <c r="IGG518" s="193"/>
      <c r="IGH518" s="379"/>
      <c r="IGI518" s="379"/>
      <c r="IGJ518" s="379"/>
      <c r="IGK518" s="379"/>
      <c r="IGL518" s="379"/>
      <c r="IGM518" s="13"/>
      <c r="IGN518" s="13"/>
      <c r="IGO518" s="193"/>
      <c r="IGP518" s="379"/>
      <c r="IGQ518" s="379"/>
      <c r="IGR518" s="379"/>
      <c r="IGS518" s="379"/>
      <c r="IGT518" s="379"/>
      <c r="IGU518" s="13"/>
      <c r="IGV518" s="13"/>
      <c r="IGW518" s="193"/>
      <c r="IGX518" s="379"/>
      <c r="IGY518" s="379"/>
      <c r="IGZ518" s="379"/>
      <c r="IHA518" s="379"/>
      <c r="IHB518" s="379"/>
      <c r="IHC518" s="13"/>
      <c r="IHD518" s="13"/>
      <c r="IHE518" s="193"/>
      <c r="IHF518" s="379"/>
      <c r="IHG518" s="379"/>
      <c r="IHH518" s="379"/>
      <c r="IHI518" s="379"/>
      <c r="IHJ518" s="379"/>
      <c r="IHK518" s="13"/>
      <c r="IHL518" s="13"/>
      <c r="IHM518" s="193"/>
      <c r="IHN518" s="379"/>
      <c r="IHO518" s="379"/>
      <c r="IHP518" s="379"/>
      <c r="IHQ518" s="379"/>
      <c r="IHR518" s="379"/>
      <c r="IHS518" s="13"/>
      <c r="IHT518" s="13"/>
      <c r="IHU518" s="193"/>
      <c r="IHV518" s="379"/>
      <c r="IHW518" s="379"/>
      <c r="IHX518" s="379"/>
      <c r="IHY518" s="379"/>
      <c r="IHZ518" s="379"/>
      <c r="IIA518" s="13"/>
      <c r="IIB518" s="13"/>
      <c r="IIC518" s="193"/>
      <c r="IID518" s="379"/>
      <c r="IIE518" s="379"/>
      <c r="IIF518" s="379"/>
      <c r="IIG518" s="379"/>
      <c r="IIH518" s="379"/>
      <c r="III518" s="13"/>
      <c r="IIJ518" s="13"/>
      <c r="IIK518" s="193"/>
      <c r="IIL518" s="379"/>
      <c r="IIM518" s="379"/>
      <c r="IIN518" s="379"/>
      <c r="IIO518" s="379"/>
      <c r="IIP518" s="379"/>
      <c r="IIQ518" s="13"/>
      <c r="IIR518" s="13"/>
      <c r="IIS518" s="193"/>
      <c r="IIT518" s="379"/>
      <c r="IIU518" s="379"/>
      <c r="IIV518" s="379"/>
      <c r="IIW518" s="379"/>
      <c r="IIX518" s="379"/>
      <c r="IIY518" s="13"/>
      <c r="IIZ518" s="13"/>
      <c r="IJA518" s="193"/>
      <c r="IJB518" s="379"/>
      <c r="IJC518" s="379"/>
      <c r="IJD518" s="379"/>
      <c r="IJE518" s="379"/>
      <c r="IJF518" s="379"/>
      <c r="IJG518" s="13"/>
      <c r="IJH518" s="13"/>
      <c r="IJI518" s="193"/>
      <c r="IJJ518" s="379"/>
      <c r="IJK518" s="379"/>
      <c r="IJL518" s="379"/>
      <c r="IJM518" s="379"/>
      <c r="IJN518" s="379"/>
      <c r="IJO518" s="13"/>
      <c r="IJP518" s="13"/>
      <c r="IJQ518" s="193"/>
      <c r="IJR518" s="379"/>
      <c r="IJS518" s="379"/>
      <c r="IJT518" s="379"/>
      <c r="IJU518" s="379"/>
      <c r="IJV518" s="379"/>
      <c r="IJW518" s="13"/>
      <c r="IJX518" s="13"/>
      <c r="IJY518" s="193"/>
      <c r="IJZ518" s="379"/>
      <c r="IKA518" s="379"/>
      <c r="IKB518" s="379"/>
      <c r="IKC518" s="379"/>
      <c r="IKD518" s="379"/>
      <c r="IKE518" s="13"/>
      <c r="IKF518" s="13"/>
      <c r="IKG518" s="193"/>
      <c r="IKH518" s="379"/>
      <c r="IKI518" s="379"/>
      <c r="IKJ518" s="379"/>
      <c r="IKK518" s="379"/>
      <c r="IKL518" s="379"/>
      <c r="IKM518" s="13"/>
      <c r="IKN518" s="13"/>
      <c r="IKO518" s="193"/>
      <c r="IKP518" s="379"/>
      <c r="IKQ518" s="379"/>
      <c r="IKR518" s="379"/>
      <c r="IKS518" s="379"/>
      <c r="IKT518" s="379"/>
      <c r="IKU518" s="13"/>
      <c r="IKV518" s="13"/>
      <c r="IKW518" s="193"/>
      <c r="IKX518" s="379"/>
      <c r="IKY518" s="379"/>
      <c r="IKZ518" s="379"/>
      <c r="ILA518" s="379"/>
      <c r="ILB518" s="379"/>
      <c r="ILC518" s="13"/>
      <c r="ILD518" s="13"/>
      <c r="ILE518" s="193"/>
      <c r="ILF518" s="379"/>
      <c r="ILG518" s="379"/>
      <c r="ILH518" s="379"/>
      <c r="ILI518" s="379"/>
      <c r="ILJ518" s="379"/>
      <c r="ILK518" s="13"/>
      <c r="ILL518" s="13"/>
      <c r="ILM518" s="193"/>
      <c r="ILN518" s="379"/>
      <c r="ILO518" s="379"/>
      <c r="ILP518" s="379"/>
      <c r="ILQ518" s="379"/>
      <c r="ILR518" s="379"/>
      <c r="ILS518" s="13"/>
      <c r="ILT518" s="13"/>
      <c r="ILU518" s="193"/>
      <c r="ILV518" s="379"/>
      <c r="ILW518" s="379"/>
      <c r="ILX518" s="379"/>
      <c r="ILY518" s="379"/>
      <c r="ILZ518" s="379"/>
      <c r="IMA518" s="13"/>
      <c r="IMB518" s="13"/>
      <c r="IMC518" s="193"/>
      <c r="IMD518" s="379"/>
      <c r="IME518" s="379"/>
      <c r="IMF518" s="379"/>
      <c r="IMG518" s="379"/>
      <c r="IMH518" s="379"/>
      <c r="IMI518" s="13"/>
      <c r="IMJ518" s="13"/>
      <c r="IMK518" s="193"/>
      <c r="IML518" s="379"/>
      <c r="IMM518" s="379"/>
      <c r="IMN518" s="379"/>
      <c r="IMO518" s="379"/>
      <c r="IMP518" s="379"/>
      <c r="IMQ518" s="13"/>
      <c r="IMR518" s="13"/>
      <c r="IMS518" s="193"/>
      <c r="IMT518" s="379"/>
      <c r="IMU518" s="379"/>
      <c r="IMV518" s="379"/>
      <c r="IMW518" s="379"/>
      <c r="IMX518" s="379"/>
      <c r="IMY518" s="13"/>
      <c r="IMZ518" s="13"/>
      <c r="INA518" s="193"/>
      <c r="INB518" s="379"/>
      <c r="INC518" s="379"/>
      <c r="IND518" s="379"/>
      <c r="INE518" s="379"/>
      <c r="INF518" s="379"/>
      <c r="ING518" s="13"/>
      <c r="INH518" s="13"/>
      <c r="INI518" s="193"/>
      <c r="INJ518" s="379"/>
      <c r="INK518" s="379"/>
      <c r="INL518" s="379"/>
      <c r="INM518" s="379"/>
      <c r="INN518" s="379"/>
      <c r="INO518" s="13"/>
      <c r="INP518" s="13"/>
      <c r="INQ518" s="193"/>
      <c r="INR518" s="379"/>
      <c r="INS518" s="379"/>
      <c r="INT518" s="379"/>
      <c r="INU518" s="379"/>
      <c r="INV518" s="379"/>
      <c r="INW518" s="13"/>
      <c r="INX518" s="13"/>
      <c r="INY518" s="193"/>
      <c r="INZ518" s="379"/>
      <c r="IOA518" s="379"/>
      <c r="IOB518" s="379"/>
      <c r="IOC518" s="379"/>
      <c r="IOD518" s="379"/>
      <c r="IOE518" s="13"/>
      <c r="IOF518" s="13"/>
      <c r="IOG518" s="193"/>
      <c r="IOH518" s="379"/>
      <c r="IOI518" s="379"/>
      <c r="IOJ518" s="379"/>
      <c r="IOK518" s="379"/>
      <c r="IOL518" s="379"/>
      <c r="IOM518" s="13"/>
      <c r="ION518" s="13"/>
      <c r="IOO518" s="193"/>
      <c r="IOP518" s="379"/>
      <c r="IOQ518" s="379"/>
      <c r="IOR518" s="379"/>
      <c r="IOS518" s="379"/>
      <c r="IOT518" s="379"/>
      <c r="IOU518" s="13"/>
      <c r="IOV518" s="13"/>
      <c r="IOW518" s="193"/>
      <c r="IOX518" s="379"/>
      <c r="IOY518" s="379"/>
      <c r="IOZ518" s="379"/>
      <c r="IPA518" s="379"/>
      <c r="IPB518" s="379"/>
      <c r="IPC518" s="13"/>
      <c r="IPD518" s="13"/>
      <c r="IPE518" s="193"/>
      <c r="IPF518" s="379"/>
      <c r="IPG518" s="379"/>
      <c r="IPH518" s="379"/>
      <c r="IPI518" s="379"/>
      <c r="IPJ518" s="379"/>
      <c r="IPK518" s="13"/>
      <c r="IPL518" s="13"/>
      <c r="IPM518" s="193"/>
      <c r="IPN518" s="379"/>
      <c r="IPO518" s="379"/>
      <c r="IPP518" s="379"/>
      <c r="IPQ518" s="379"/>
      <c r="IPR518" s="379"/>
      <c r="IPS518" s="13"/>
      <c r="IPT518" s="13"/>
      <c r="IPU518" s="193"/>
      <c r="IPV518" s="379"/>
      <c r="IPW518" s="379"/>
      <c r="IPX518" s="379"/>
      <c r="IPY518" s="379"/>
      <c r="IPZ518" s="379"/>
      <c r="IQA518" s="13"/>
      <c r="IQB518" s="13"/>
      <c r="IQC518" s="193"/>
      <c r="IQD518" s="379"/>
      <c r="IQE518" s="379"/>
      <c r="IQF518" s="379"/>
      <c r="IQG518" s="379"/>
      <c r="IQH518" s="379"/>
      <c r="IQI518" s="13"/>
      <c r="IQJ518" s="13"/>
      <c r="IQK518" s="193"/>
      <c r="IQL518" s="379"/>
      <c r="IQM518" s="379"/>
      <c r="IQN518" s="379"/>
      <c r="IQO518" s="379"/>
      <c r="IQP518" s="379"/>
      <c r="IQQ518" s="13"/>
      <c r="IQR518" s="13"/>
      <c r="IQS518" s="193"/>
      <c r="IQT518" s="379"/>
      <c r="IQU518" s="379"/>
      <c r="IQV518" s="379"/>
      <c r="IQW518" s="379"/>
      <c r="IQX518" s="379"/>
      <c r="IQY518" s="13"/>
      <c r="IQZ518" s="13"/>
      <c r="IRA518" s="193"/>
      <c r="IRB518" s="379"/>
      <c r="IRC518" s="379"/>
      <c r="IRD518" s="379"/>
      <c r="IRE518" s="379"/>
      <c r="IRF518" s="379"/>
      <c r="IRG518" s="13"/>
      <c r="IRH518" s="13"/>
      <c r="IRI518" s="193"/>
      <c r="IRJ518" s="379"/>
      <c r="IRK518" s="379"/>
      <c r="IRL518" s="379"/>
      <c r="IRM518" s="379"/>
      <c r="IRN518" s="379"/>
      <c r="IRO518" s="13"/>
      <c r="IRP518" s="13"/>
      <c r="IRQ518" s="193"/>
      <c r="IRR518" s="379"/>
      <c r="IRS518" s="379"/>
      <c r="IRT518" s="379"/>
      <c r="IRU518" s="379"/>
      <c r="IRV518" s="379"/>
      <c r="IRW518" s="13"/>
      <c r="IRX518" s="13"/>
      <c r="IRY518" s="193"/>
      <c r="IRZ518" s="379"/>
      <c r="ISA518" s="379"/>
      <c r="ISB518" s="379"/>
      <c r="ISC518" s="379"/>
      <c r="ISD518" s="379"/>
      <c r="ISE518" s="13"/>
      <c r="ISF518" s="13"/>
      <c r="ISG518" s="193"/>
      <c r="ISH518" s="379"/>
      <c r="ISI518" s="379"/>
      <c r="ISJ518" s="379"/>
      <c r="ISK518" s="379"/>
      <c r="ISL518" s="379"/>
      <c r="ISM518" s="13"/>
      <c r="ISN518" s="13"/>
      <c r="ISO518" s="193"/>
      <c r="ISP518" s="379"/>
      <c r="ISQ518" s="379"/>
      <c r="ISR518" s="379"/>
      <c r="ISS518" s="379"/>
      <c r="IST518" s="379"/>
      <c r="ISU518" s="13"/>
      <c r="ISV518" s="13"/>
      <c r="ISW518" s="193"/>
      <c r="ISX518" s="379"/>
      <c r="ISY518" s="379"/>
      <c r="ISZ518" s="379"/>
      <c r="ITA518" s="379"/>
      <c r="ITB518" s="379"/>
      <c r="ITC518" s="13"/>
      <c r="ITD518" s="13"/>
      <c r="ITE518" s="193"/>
      <c r="ITF518" s="379"/>
      <c r="ITG518" s="379"/>
      <c r="ITH518" s="379"/>
      <c r="ITI518" s="379"/>
      <c r="ITJ518" s="379"/>
      <c r="ITK518" s="13"/>
      <c r="ITL518" s="13"/>
      <c r="ITM518" s="193"/>
      <c r="ITN518" s="379"/>
      <c r="ITO518" s="379"/>
      <c r="ITP518" s="379"/>
      <c r="ITQ518" s="379"/>
      <c r="ITR518" s="379"/>
      <c r="ITS518" s="13"/>
      <c r="ITT518" s="13"/>
      <c r="ITU518" s="193"/>
      <c r="ITV518" s="379"/>
      <c r="ITW518" s="379"/>
      <c r="ITX518" s="379"/>
      <c r="ITY518" s="379"/>
      <c r="ITZ518" s="379"/>
      <c r="IUA518" s="13"/>
      <c r="IUB518" s="13"/>
      <c r="IUC518" s="193"/>
      <c r="IUD518" s="379"/>
      <c r="IUE518" s="379"/>
      <c r="IUF518" s="379"/>
      <c r="IUG518" s="379"/>
      <c r="IUH518" s="379"/>
      <c r="IUI518" s="13"/>
      <c r="IUJ518" s="13"/>
      <c r="IUK518" s="193"/>
      <c r="IUL518" s="379"/>
      <c r="IUM518" s="379"/>
      <c r="IUN518" s="379"/>
      <c r="IUO518" s="379"/>
      <c r="IUP518" s="379"/>
      <c r="IUQ518" s="13"/>
      <c r="IUR518" s="13"/>
      <c r="IUS518" s="193"/>
      <c r="IUT518" s="379"/>
      <c r="IUU518" s="379"/>
      <c r="IUV518" s="379"/>
      <c r="IUW518" s="379"/>
      <c r="IUX518" s="379"/>
      <c r="IUY518" s="13"/>
      <c r="IUZ518" s="13"/>
      <c r="IVA518" s="193"/>
      <c r="IVB518" s="379"/>
      <c r="IVC518" s="379"/>
      <c r="IVD518" s="379"/>
      <c r="IVE518" s="379"/>
      <c r="IVF518" s="379"/>
      <c r="IVG518" s="13"/>
      <c r="IVH518" s="13"/>
      <c r="IVI518" s="193"/>
      <c r="IVJ518" s="379"/>
      <c r="IVK518" s="379"/>
      <c r="IVL518" s="379"/>
      <c r="IVM518" s="379"/>
      <c r="IVN518" s="379"/>
      <c r="IVO518" s="13"/>
      <c r="IVP518" s="13"/>
      <c r="IVQ518" s="193"/>
      <c r="IVR518" s="379"/>
      <c r="IVS518" s="379"/>
      <c r="IVT518" s="379"/>
      <c r="IVU518" s="379"/>
      <c r="IVV518" s="379"/>
      <c r="IVW518" s="13"/>
      <c r="IVX518" s="13"/>
      <c r="IVY518" s="193"/>
      <c r="IVZ518" s="379"/>
      <c r="IWA518" s="379"/>
      <c r="IWB518" s="379"/>
      <c r="IWC518" s="379"/>
      <c r="IWD518" s="379"/>
      <c r="IWE518" s="13"/>
      <c r="IWF518" s="13"/>
      <c r="IWG518" s="193"/>
      <c r="IWH518" s="379"/>
      <c r="IWI518" s="379"/>
      <c r="IWJ518" s="379"/>
      <c r="IWK518" s="379"/>
      <c r="IWL518" s="379"/>
      <c r="IWM518" s="13"/>
      <c r="IWN518" s="13"/>
      <c r="IWO518" s="193"/>
      <c r="IWP518" s="379"/>
      <c r="IWQ518" s="379"/>
      <c r="IWR518" s="379"/>
      <c r="IWS518" s="379"/>
      <c r="IWT518" s="379"/>
      <c r="IWU518" s="13"/>
      <c r="IWV518" s="13"/>
      <c r="IWW518" s="193"/>
      <c r="IWX518" s="379"/>
      <c r="IWY518" s="379"/>
      <c r="IWZ518" s="379"/>
      <c r="IXA518" s="379"/>
      <c r="IXB518" s="379"/>
      <c r="IXC518" s="13"/>
      <c r="IXD518" s="13"/>
      <c r="IXE518" s="193"/>
      <c r="IXF518" s="379"/>
      <c r="IXG518" s="379"/>
      <c r="IXH518" s="379"/>
      <c r="IXI518" s="379"/>
      <c r="IXJ518" s="379"/>
      <c r="IXK518" s="13"/>
      <c r="IXL518" s="13"/>
      <c r="IXM518" s="193"/>
      <c r="IXN518" s="379"/>
      <c r="IXO518" s="379"/>
      <c r="IXP518" s="379"/>
      <c r="IXQ518" s="379"/>
      <c r="IXR518" s="379"/>
      <c r="IXS518" s="13"/>
      <c r="IXT518" s="13"/>
      <c r="IXU518" s="193"/>
      <c r="IXV518" s="379"/>
      <c r="IXW518" s="379"/>
      <c r="IXX518" s="379"/>
      <c r="IXY518" s="379"/>
      <c r="IXZ518" s="379"/>
      <c r="IYA518" s="13"/>
      <c r="IYB518" s="13"/>
      <c r="IYC518" s="193"/>
      <c r="IYD518" s="379"/>
      <c r="IYE518" s="379"/>
      <c r="IYF518" s="379"/>
      <c r="IYG518" s="379"/>
      <c r="IYH518" s="379"/>
      <c r="IYI518" s="13"/>
      <c r="IYJ518" s="13"/>
      <c r="IYK518" s="193"/>
      <c r="IYL518" s="379"/>
      <c r="IYM518" s="379"/>
      <c r="IYN518" s="379"/>
      <c r="IYO518" s="379"/>
      <c r="IYP518" s="379"/>
      <c r="IYQ518" s="13"/>
      <c r="IYR518" s="13"/>
      <c r="IYS518" s="193"/>
      <c r="IYT518" s="379"/>
      <c r="IYU518" s="379"/>
      <c r="IYV518" s="379"/>
      <c r="IYW518" s="379"/>
      <c r="IYX518" s="379"/>
      <c r="IYY518" s="13"/>
      <c r="IYZ518" s="13"/>
      <c r="IZA518" s="193"/>
      <c r="IZB518" s="379"/>
      <c r="IZC518" s="379"/>
      <c r="IZD518" s="379"/>
      <c r="IZE518" s="379"/>
      <c r="IZF518" s="379"/>
      <c r="IZG518" s="13"/>
      <c r="IZH518" s="13"/>
      <c r="IZI518" s="193"/>
      <c r="IZJ518" s="379"/>
      <c r="IZK518" s="379"/>
      <c r="IZL518" s="379"/>
      <c r="IZM518" s="379"/>
      <c r="IZN518" s="379"/>
      <c r="IZO518" s="13"/>
      <c r="IZP518" s="13"/>
      <c r="IZQ518" s="193"/>
      <c r="IZR518" s="379"/>
      <c r="IZS518" s="379"/>
      <c r="IZT518" s="379"/>
      <c r="IZU518" s="379"/>
      <c r="IZV518" s="379"/>
      <c r="IZW518" s="13"/>
      <c r="IZX518" s="13"/>
      <c r="IZY518" s="193"/>
      <c r="IZZ518" s="379"/>
      <c r="JAA518" s="379"/>
      <c r="JAB518" s="379"/>
      <c r="JAC518" s="379"/>
      <c r="JAD518" s="379"/>
      <c r="JAE518" s="13"/>
      <c r="JAF518" s="13"/>
      <c r="JAG518" s="193"/>
      <c r="JAH518" s="379"/>
      <c r="JAI518" s="379"/>
      <c r="JAJ518" s="379"/>
      <c r="JAK518" s="379"/>
      <c r="JAL518" s="379"/>
      <c r="JAM518" s="13"/>
      <c r="JAN518" s="13"/>
      <c r="JAO518" s="193"/>
      <c r="JAP518" s="379"/>
      <c r="JAQ518" s="379"/>
      <c r="JAR518" s="379"/>
      <c r="JAS518" s="379"/>
      <c r="JAT518" s="379"/>
      <c r="JAU518" s="13"/>
      <c r="JAV518" s="13"/>
      <c r="JAW518" s="193"/>
      <c r="JAX518" s="379"/>
      <c r="JAY518" s="379"/>
      <c r="JAZ518" s="379"/>
      <c r="JBA518" s="379"/>
      <c r="JBB518" s="379"/>
      <c r="JBC518" s="13"/>
      <c r="JBD518" s="13"/>
      <c r="JBE518" s="193"/>
      <c r="JBF518" s="379"/>
      <c r="JBG518" s="379"/>
      <c r="JBH518" s="379"/>
      <c r="JBI518" s="379"/>
      <c r="JBJ518" s="379"/>
      <c r="JBK518" s="13"/>
      <c r="JBL518" s="13"/>
      <c r="JBM518" s="193"/>
      <c r="JBN518" s="379"/>
      <c r="JBO518" s="379"/>
      <c r="JBP518" s="379"/>
      <c r="JBQ518" s="379"/>
      <c r="JBR518" s="379"/>
      <c r="JBS518" s="13"/>
      <c r="JBT518" s="13"/>
      <c r="JBU518" s="193"/>
      <c r="JBV518" s="379"/>
      <c r="JBW518" s="379"/>
      <c r="JBX518" s="379"/>
      <c r="JBY518" s="379"/>
      <c r="JBZ518" s="379"/>
      <c r="JCA518" s="13"/>
      <c r="JCB518" s="13"/>
      <c r="JCC518" s="193"/>
      <c r="JCD518" s="379"/>
      <c r="JCE518" s="379"/>
      <c r="JCF518" s="379"/>
      <c r="JCG518" s="379"/>
      <c r="JCH518" s="379"/>
      <c r="JCI518" s="13"/>
      <c r="JCJ518" s="13"/>
      <c r="JCK518" s="193"/>
      <c r="JCL518" s="379"/>
      <c r="JCM518" s="379"/>
      <c r="JCN518" s="379"/>
      <c r="JCO518" s="379"/>
      <c r="JCP518" s="379"/>
      <c r="JCQ518" s="13"/>
      <c r="JCR518" s="13"/>
      <c r="JCS518" s="193"/>
      <c r="JCT518" s="379"/>
      <c r="JCU518" s="379"/>
      <c r="JCV518" s="379"/>
      <c r="JCW518" s="379"/>
      <c r="JCX518" s="379"/>
      <c r="JCY518" s="13"/>
      <c r="JCZ518" s="13"/>
      <c r="JDA518" s="193"/>
      <c r="JDB518" s="379"/>
      <c r="JDC518" s="379"/>
      <c r="JDD518" s="379"/>
      <c r="JDE518" s="379"/>
      <c r="JDF518" s="379"/>
      <c r="JDG518" s="13"/>
      <c r="JDH518" s="13"/>
      <c r="JDI518" s="193"/>
      <c r="JDJ518" s="379"/>
      <c r="JDK518" s="379"/>
      <c r="JDL518" s="379"/>
      <c r="JDM518" s="379"/>
      <c r="JDN518" s="379"/>
      <c r="JDO518" s="13"/>
      <c r="JDP518" s="13"/>
      <c r="JDQ518" s="193"/>
      <c r="JDR518" s="379"/>
      <c r="JDS518" s="379"/>
      <c r="JDT518" s="379"/>
      <c r="JDU518" s="379"/>
      <c r="JDV518" s="379"/>
      <c r="JDW518" s="13"/>
      <c r="JDX518" s="13"/>
      <c r="JDY518" s="193"/>
      <c r="JDZ518" s="379"/>
      <c r="JEA518" s="379"/>
      <c r="JEB518" s="379"/>
      <c r="JEC518" s="379"/>
      <c r="JED518" s="379"/>
      <c r="JEE518" s="13"/>
      <c r="JEF518" s="13"/>
      <c r="JEG518" s="193"/>
      <c r="JEH518" s="379"/>
      <c r="JEI518" s="379"/>
      <c r="JEJ518" s="379"/>
      <c r="JEK518" s="379"/>
      <c r="JEL518" s="379"/>
      <c r="JEM518" s="13"/>
      <c r="JEN518" s="13"/>
      <c r="JEO518" s="193"/>
      <c r="JEP518" s="379"/>
      <c r="JEQ518" s="379"/>
      <c r="JER518" s="379"/>
      <c r="JES518" s="379"/>
      <c r="JET518" s="379"/>
      <c r="JEU518" s="13"/>
      <c r="JEV518" s="13"/>
      <c r="JEW518" s="193"/>
      <c r="JEX518" s="379"/>
      <c r="JEY518" s="379"/>
      <c r="JEZ518" s="379"/>
      <c r="JFA518" s="379"/>
      <c r="JFB518" s="379"/>
      <c r="JFC518" s="13"/>
      <c r="JFD518" s="13"/>
      <c r="JFE518" s="193"/>
      <c r="JFF518" s="379"/>
      <c r="JFG518" s="379"/>
      <c r="JFH518" s="379"/>
      <c r="JFI518" s="379"/>
      <c r="JFJ518" s="379"/>
      <c r="JFK518" s="13"/>
      <c r="JFL518" s="13"/>
      <c r="JFM518" s="193"/>
      <c r="JFN518" s="379"/>
      <c r="JFO518" s="379"/>
      <c r="JFP518" s="379"/>
      <c r="JFQ518" s="379"/>
      <c r="JFR518" s="379"/>
      <c r="JFS518" s="13"/>
      <c r="JFT518" s="13"/>
      <c r="JFU518" s="193"/>
      <c r="JFV518" s="379"/>
      <c r="JFW518" s="379"/>
      <c r="JFX518" s="379"/>
      <c r="JFY518" s="379"/>
      <c r="JFZ518" s="379"/>
      <c r="JGA518" s="13"/>
      <c r="JGB518" s="13"/>
      <c r="JGC518" s="193"/>
      <c r="JGD518" s="379"/>
      <c r="JGE518" s="379"/>
      <c r="JGF518" s="379"/>
      <c r="JGG518" s="379"/>
      <c r="JGH518" s="379"/>
      <c r="JGI518" s="13"/>
      <c r="JGJ518" s="13"/>
      <c r="JGK518" s="193"/>
      <c r="JGL518" s="379"/>
      <c r="JGM518" s="379"/>
      <c r="JGN518" s="379"/>
      <c r="JGO518" s="379"/>
      <c r="JGP518" s="379"/>
      <c r="JGQ518" s="13"/>
      <c r="JGR518" s="13"/>
      <c r="JGS518" s="193"/>
      <c r="JGT518" s="379"/>
      <c r="JGU518" s="379"/>
      <c r="JGV518" s="379"/>
      <c r="JGW518" s="379"/>
      <c r="JGX518" s="379"/>
      <c r="JGY518" s="13"/>
      <c r="JGZ518" s="13"/>
      <c r="JHA518" s="193"/>
      <c r="JHB518" s="379"/>
      <c r="JHC518" s="379"/>
      <c r="JHD518" s="379"/>
      <c r="JHE518" s="379"/>
      <c r="JHF518" s="379"/>
      <c r="JHG518" s="13"/>
      <c r="JHH518" s="13"/>
      <c r="JHI518" s="193"/>
      <c r="JHJ518" s="379"/>
      <c r="JHK518" s="379"/>
      <c r="JHL518" s="379"/>
      <c r="JHM518" s="379"/>
      <c r="JHN518" s="379"/>
      <c r="JHO518" s="13"/>
      <c r="JHP518" s="13"/>
      <c r="JHQ518" s="193"/>
      <c r="JHR518" s="379"/>
      <c r="JHS518" s="379"/>
      <c r="JHT518" s="379"/>
      <c r="JHU518" s="379"/>
      <c r="JHV518" s="379"/>
      <c r="JHW518" s="13"/>
      <c r="JHX518" s="13"/>
      <c r="JHY518" s="193"/>
      <c r="JHZ518" s="379"/>
      <c r="JIA518" s="379"/>
      <c r="JIB518" s="379"/>
      <c r="JIC518" s="379"/>
      <c r="JID518" s="379"/>
      <c r="JIE518" s="13"/>
      <c r="JIF518" s="13"/>
      <c r="JIG518" s="193"/>
      <c r="JIH518" s="379"/>
      <c r="JII518" s="379"/>
      <c r="JIJ518" s="379"/>
      <c r="JIK518" s="379"/>
      <c r="JIL518" s="379"/>
      <c r="JIM518" s="13"/>
      <c r="JIN518" s="13"/>
      <c r="JIO518" s="193"/>
      <c r="JIP518" s="379"/>
      <c r="JIQ518" s="379"/>
      <c r="JIR518" s="379"/>
      <c r="JIS518" s="379"/>
      <c r="JIT518" s="379"/>
      <c r="JIU518" s="13"/>
      <c r="JIV518" s="13"/>
      <c r="JIW518" s="193"/>
      <c r="JIX518" s="379"/>
      <c r="JIY518" s="379"/>
      <c r="JIZ518" s="379"/>
      <c r="JJA518" s="379"/>
      <c r="JJB518" s="379"/>
      <c r="JJC518" s="13"/>
      <c r="JJD518" s="13"/>
      <c r="JJE518" s="193"/>
      <c r="JJF518" s="379"/>
      <c r="JJG518" s="379"/>
      <c r="JJH518" s="379"/>
      <c r="JJI518" s="379"/>
      <c r="JJJ518" s="379"/>
      <c r="JJK518" s="13"/>
      <c r="JJL518" s="13"/>
      <c r="JJM518" s="193"/>
      <c r="JJN518" s="379"/>
      <c r="JJO518" s="379"/>
      <c r="JJP518" s="379"/>
      <c r="JJQ518" s="379"/>
      <c r="JJR518" s="379"/>
      <c r="JJS518" s="13"/>
      <c r="JJT518" s="13"/>
      <c r="JJU518" s="193"/>
      <c r="JJV518" s="379"/>
      <c r="JJW518" s="379"/>
      <c r="JJX518" s="379"/>
      <c r="JJY518" s="379"/>
      <c r="JJZ518" s="379"/>
      <c r="JKA518" s="13"/>
      <c r="JKB518" s="13"/>
      <c r="JKC518" s="193"/>
      <c r="JKD518" s="379"/>
      <c r="JKE518" s="379"/>
      <c r="JKF518" s="379"/>
      <c r="JKG518" s="379"/>
      <c r="JKH518" s="379"/>
      <c r="JKI518" s="13"/>
      <c r="JKJ518" s="13"/>
      <c r="JKK518" s="193"/>
      <c r="JKL518" s="379"/>
      <c r="JKM518" s="379"/>
      <c r="JKN518" s="379"/>
      <c r="JKO518" s="379"/>
      <c r="JKP518" s="379"/>
      <c r="JKQ518" s="13"/>
      <c r="JKR518" s="13"/>
      <c r="JKS518" s="193"/>
      <c r="JKT518" s="379"/>
      <c r="JKU518" s="379"/>
      <c r="JKV518" s="379"/>
      <c r="JKW518" s="379"/>
      <c r="JKX518" s="379"/>
      <c r="JKY518" s="13"/>
      <c r="JKZ518" s="13"/>
      <c r="JLA518" s="193"/>
      <c r="JLB518" s="379"/>
      <c r="JLC518" s="379"/>
      <c r="JLD518" s="379"/>
      <c r="JLE518" s="379"/>
      <c r="JLF518" s="379"/>
      <c r="JLG518" s="13"/>
      <c r="JLH518" s="13"/>
      <c r="JLI518" s="193"/>
      <c r="JLJ518" s="379"/>
      <c r="JLK518" s="379"/>
      <c r="JLL518" s="379"/>
      <c r="JLM518" s="379"/>
      <c r="JLN518" s="379"/>
      <c r="JLO518" s="13"/>
      <c r="JLP518" s="13"/>
      <c r="JLQ518" s="193"/>
      <c r="JLR518" s="379"/>
      <c r="JLS518" s="379"/>
      <c r="JLT518" s="379"/>
      <c r="JLU518" s="379"/>
      <c r="JLV518" s="379"/>
      <c r="JLW518" s="13"/>
      <c r="JLX518" s="13"/>
      <c r="JLY518" s="193"/>
      <c r="JLZ518" s="379"/>
      <c r="JMA518" s="379"/>
      <c r="JMB518" s="379"/>
      <c r="JMC518" s="379"/>
      <c r="JMD518" s="379"/>
      <c r="JME518" s="13"/>
      <c r="JMF518" s="13"/>
      <c r="JMG518" s="193"/>
      <c r="JMH518" s="379"/>
      <c r="JMI518" s="379"/>
      <c r="JMJ518" s="379"/>
      <c r="JMK518" s="379"/>
      <c r="JML518" s="379"/>
      <c r="JMM518" s="13"/>
      <c r="JMN518" s="13"/>
      <c r="JMO518" s="193"/>
      <c r="JMP518" s="379"/>
      <c r="JMQ518" s="379"/>
      <c r="JMR518" s="379"/>
      <c r="JMS518" s="379"/>
      <c r="JMT518" s="379"/>
      <c r="JMU518" s="13"/>
      <c r="JMV518" s="13"/>
      <c r="JMW518" s="193"/>
      <c r="JMX518" s="379"/>
      <c r="JMY518" s="379"/>
      <c r="JMZ518" s="379"/>
      <c r="JNA518" s="379"/>
      <c r="JNB518" s="379"/>
      <c r="JNC518" s="13"/>
      <c r="JND518" s="13"/>
      <c r="JNE518" s="193"/>
      <c r="JNF518" s="379"/>
      <c r="JNG518" s="379"/>
      <c r="JNH518" s="379"/>
      <c r="JNI518" s="379"/>
      <c r="JNJ518" s="379"/>
      <c r="JNK518" s="13"/>
      <c r="JNL518" s="13"/>
      <c r="JNM518" s="193"/>
      <c r="JNN518" s="379"/>
      <c r="JNO518" s="379"/>
      <c r="JNP518" s="379"/>
      <c r="JNQ518" s="379"/>
      <c r="JNR518" s="379"/>
      <c r="JNS518" s="13"/>
      <c r="JNT518" s="13"/>
      <c r="JNU518" s="193"/>
      <c r="JNV518" s="379"/>
      <c r="JNW518" s="379"/>
      <c r="JNX518" s="379"/>
      <c r="JNY518" s="379"/>
      <c r="JNZ518" s="379"/>
      <c r="JOA518" s="13"/>
      <c r="JOB518" s="13"/>
      <c r="JOC518" s="193"/>
      <c r="JOD518" s="379"/>
      <c r="JOE518" s="379"/>
      <c r="JOF518" s="379"/>
      <c r="JOG518" s="379"/>
      <c r="JOH518" s="379"/>
      <c r="JOI518" s="13"/>
      <c r="JOJ518" s="13"/>
      <c r="JOK518" s="193"/>
      <c r="JOL518" s="379"/>
      <c r="JOM518" s="379"/>
      <c r="JON518" s="379"/>
      <c r="JOO518" s="379"/>
      <c r="JOP518" s="379"/>
      <c r="JOQ518" s="13"/>
      <c r="JOR518" s="13"/>
      <c r="JOS518" s="193"/>
      <c r="JOT518" s="379"/>
      <c r="JOU518" s="379"/>
      <c r="JOV518" s="379"/>
      <c r="JOW518" s="379"/>
      <c r="JOX518" s="379"/>
      <c r="JOY518" s="13"/>
      <c r="JOZ518" s="13"/>
      <c r="JPA518" s="193"/>
      <c r="JPB518" s="379"/>
      <c r="JPC518" s="379"/>
      <c r="JPD518" s="379"/>
      <c r="JPE518" s="379"/>
      <c r="JPF518" s="379"/>
      <c r="JPG518" s="13"/>
      <c r="JPH518" s="13"/>
      <c r="JPI518" s="193"/>
      <c r="JPJ518" s="379"/>
      <c r="JPK518" s="379"/>
      <c r="JPL518" s="379"/>
      <c r="JPM518" s="379"/>
      <c r="JPN518" s="379"/>
      <c r="JPO518" s="13"/>
      <c r="JPP518" s="13"/>
      <c r="JPQ518" s="193"/>
      <c r="JPR518" s="379"/>
      <c r="JPS518" s="379"/>
      <c r="JPT518" s="379"/>
      <c r="JPU518" s="379"/>
      <c r="JPV518" s="379"/>
      <c r="JPW518" s="13"/>
      <c r="JPX518" s="13"/>
      <c r="JPY518" s="193"/>
      <c r="JPZ518" s="379"/>
      <c r="JQA518" s="379"/>
      <c r="JQB518" s="379"/>
      <c r="JQC518" s="379"/>
      <c r="JQD518" s="379"/>
      <c r="JQE518" s="13"/>
      <c r="JQF518" s="13"/>
      <c r="JQG518" s="193"/>
      <c r="JQH518" s="379"/>
      <c r="JQI518" s="379"/>
      <c r="JQJ518" s="379"/>
      <c r="JQK518" s="379"/>
      <c r="JQL518" s="379"/>
      <c r="JQM518" s="13"/>
      <c r="JQN518" s="13"/>
      <c r="JQO518" s="193"/>
      <c r="JQP518" s="379"/>
      <c r="JQQ518" s="379"/>
      <c r="JQR518" s="379"/>
      <c r="JQS518" s="379"/>
      <c r="JQT518" s="379"/>
      <c r="JQU518" s="13"/>
      <c r="JQV518" s="13"/>
      <c r="JQW518" s="193"/>
      <c r="JQX518" s="379"/>
      <c r="JQY518" s="379"/>
      <c r="JQZ518" s="379"/>
      <c r="JRA518" s="379"/>
      <c r="JRB518" s="379"/>
      <c r="JRC518" s="13"/>
      <c r="JRD518" s="13"/>
      <c r="JRE518" s="193"/>
      <c r="JRF518" s="379"/>
      <c r="JRG518" s="379"/>
      <c r="JRH518" s="379"/>
      <c r="JRI518" s="379"/>
      <c r="JRJ518" s="379"/>
      <c r="JRK518" s="13"/>
      <c r="JRL518" s="13"/>
      <c r="JRM518" s="193"/>
      <c r="JRN518" s="379"/>
      <c r="JRO518" s="379"/>
      <c r="JRP518" s="379"/>
      <c r="JRQ518" s="379"/>
      <c r="JRR518" s="379"/>
      <c r="JRS518" s="13"/>
      <c r="JRT518" s="13"/>
      <c r="JRU518" s="193"/>
      <c r="JRV518" s="379"/>
      <c r="JRW518" s="379"/>
      <c r="JRX518" s="379"/>
      <c r="JRY518" s="379"/>
      <c r="JRZ518" s="379"/>
      <c r="JSA518" s="13"/>
      <c r="JSB518" s="13"/>
      <c r="JSC518" s="193"/>
      <c r="JSD518" s="379"/>
      <c r="JSE518" s="379"/>
      <c r="JSF518" s="379"/>
      <c r="JSG518" s="379"/>
      <c r="JSH518" s="379"/>
      <c r="JSI518" s="13"/>
      <c r="JSJ518" s="13"/>
      <c r="JSK518" s="193"/>
      <c r="JSL518" s="379"/>
      <c r="JSM518" s="379"/>
      <c r="JSN518" s="379"/>
      <c r="JSO518" s="379"/>
      <c r="JSP518" s="379"/>
      <c r="JSQ518" s="13"/>
      <c r="JSR518" s="13"/>
      <c r="JSS518" s="193"/>
      <c r="JST518" s="379"/>
      <c r="JSU518" s="379"/>
      <c r="JSV518" s="379"/>
      <c r="JSW518" s="379"/>
      <c r="JSX518" s="379"/>
      <c r="JSY518" s="13"/>
      <c r="JSZ518" s="13"/>
      <c r="JTA518" s="193"/>
      <c r="JTB518" s="379"/>
      <c r="JTC518" s="379"/>
      <c r="JTD518" s="379"/>
      <c r="JTE518" s="379"/>
      <c r="JTF518" s="379"/>
      <c r="JTG518" s="13"/>
      <c r="JTH518" s="13"/>
      <c r="JTI518" s="193"/>
      <c r="JTJ518" s="379"/>
      <c r="JTK518" s="379"/>
      <c r="JTL518" s="379"/>
      <c r="JTM518" s="379"/>
      <c r="JTN518" s="379"/>
      <c r="JTO518" s="13"/>
      <c r="JTP518" s="13"/>
      <c r="JTQ518" s="193"/>
      <c r="JTR518" s="379"/>
      <c r="JTS518" s="379"/>
      <c r="JTT518" s="379"/>
      <c r="JTU518" s="379"/>
      <c r="JTV518" s="379"/>
      <c r="JTW518" s="13"/>
      <c r="JTX518" s="13"/>
      <c r="JTY518" s="193"/>
      <c r="JTZ518" s="379"/>
      <c r="JUA518" s="379"/>
      <c r="JUB518" s="379"/>
      <c r="JUC518" s="379"/>
      <c r="JUD518" s="379"/>
      <c r="JUE518" s="13"/>
      <c r="JUF518" s="13"/>
      <c r="JUG518" s="193"/>
      <c r="JUH518" s="379"/>
      <c r="JUI518" s="379"/>
      <c r="JUJ518" s="379"/>
      <c r="JUK518" s="379"/>
      <c r="JUL518" s="379"/>
      <c r="JUM518" s="13"/>
      <c r="JUN518" s="13"/>
      <c r="JUO518" s="193"/>
      <c r="JUP518" s="379"/>
      <c r="JUQ518" s="379"/>
      <c r="JUR518" s="379"/>
      <c r="JUS518" s="379"/>
      <c r="JUT518" s="379"/>
      <c r="JUU518" s="13"/>
      <c r="JUV518" s="13"/>
      <c r="JUW518" s="193"/>
      <c r="JUX518" s="379"/>
      <c r="JUY518" s="379"/>
      <c r="JUZ518" s="379"/>
      <c r="JVA518" s="379"/>
      <c r="JVB518" s="379"/>
      <c r="JVC518" s="13"/>
      <c r="JVD518" s="13"/>
      <c r="JVE518" s="193"/>
      <c r="JVF518" s="379"/>
      <c r="JVG518" s="379"/>
      <c r="JVH518" s="379"/>
      <c r="JVI518" s="379"/>
      <c r="JVJ518" s="379"/>
      <c r="JVK518" s="13"/>
      <c r="JVL518" s="13"/>
      <c r="JVM518" s="193"/>
      <c r="JVN518" s="379"/>
      <c r="JVO518" s="379"/>
      <c r="JVP518" s="379"/>
      <c r="JVQ518" s="379"/>
      <c r="JVR518" s="379"/>
      <c r="JVS518" s="13"/>
      <c r="JVT518" s="13"/>
      <c r="JVU518" s="193"/>
      <c r="JVV518" s="379"/>
      <c r="JVW518" s="379"/>
      <c r="JVX518" s="379"/>
      <c r="JVY518" s="379"/>
      <c r="JVZ518" s="379"/>
      <c r="JWA518" s="13"/>
      <c r="JWB518" s="13"/>
      <c r="JWC518" s="193"/>
      <c r="JWD518" s="379"/>
      <c r="JWE518" s="379"/>
      <c r="JWF518" s="379"/>
      <c r="JWG518" s="379"/>
      <c r="JWH518" s="379"/>
      <c r="JWI518" s="13"/>
      <c r="JWJ518" s="13"/>
      <c r="JWK518" s="193"/>
      <c r="JWL518" s="379"/>
      <c r="JWM518" s="379"/>
      <c r="JWN518" s="379"/>
      <c r="JWO518" s="379"/>
      <c r="JWP518" s="379"/>
      <c r="JWQ518" s="13"/>
      <c r="JWR518" s="13"/>
      <c r="JWS518" s="193"/>
      <c r="JWT518" s="379"/>
      <c r="JWU518" s="379"/>
      <c r="JWV518" s="379"/>
      <c r="JWW518" s="379"/>
      <c r="JWX518" s="379"/>
      <c r="JWY518" s="13"/>
      <c r="JWZ518" s="13"/>
      <c r="JXA518" s="193"/>
      <c r="JXB518" s="379"/>
      <c r="JXC518" s="379"/>
      <c r="JXD518" s="379"/>
      <c r="JXE518" s="379"/>
      <c r="JXF518" s="379"/>
      <c r="JXG518" s="13"/>
      <c r="JXH518" s="13"/>
      <c r="JXI518" s="193"/>
      <c r="JXJ518" s="379"/>
      <c r="JXK518" s="379"/>
      <c r="JXL518" s="379"/>
      <c r="JXM518" s="379"/>
      <c r="JXN518" s="379"/>
      <c r="JXO518" s="13"/>
      <c r="JXP518" s="13"/>
      <c r="JXQ518" s="193"/>
      <c r="JXR518" s="379"/>
      <c r="JXS518" s="379"/>
      <c r="JXT518" s="379"/>
      <c r="JXU518" s="379"/>
      <c r="JXV518" s="379"/>
      <c r="JXW518" s="13"/>
      <c r="JXX518" s="13"/>
      <c r="JXY518" s="193"/>
      <c r="JXZ518" s="379"/>
      <c r="JYA518" s="379"/>
      <c r="JYB518" s="379"/>
      <c r="JYC518" s="379"/>
      <c r="JYD518" s="379"/>
      <c r="JYE518" s="13"/>
      <c r="JYF518" s="13"/>
      <c r="JYG518" s="193"/>
      <c r="JYH518" s="379"/>
      <c r="JYI518" s="379"/>
      <c r="JYJ518" s="379"/>
      <c r="JYK518" s="379"/>
      <c r="JYL518" s="379"/>
      <c r="JYM518" s="13"/>
      <c r="JYN518" s="13"/>
      <c r="JYO518" s="193"/>
      <c r="JYP518" s="379"/>
      <c r="JYQ518" s="379"/>
      <c r="JYR518" s="379"/>
      <c r="JYS518" s="379"/>
      <c r="JYT518" s="379"/>
      <c r="JYU518" s="13"/>
      <c r="JYV518" s="13"/>
      <c r="JYW518" s="193"/>
      <c r="JYX518" s="379"/>
      <c r="JYY518" s="379"/>
      <c r="JYZ518" s="379"/>
      <c r="JZA518" s="379"/>
      <c r="JZB518" s="379"/>
      <c r="JZC518" s="13"/>
      <c r="JZD518" s="13"/>
      <c r="JZE518" s="193"/>
      <c r="JZF518" s="379"/>
      <c r="JZG518" s="379"/>
      <c r="JZH518" s="379"/>
      <c r="JZI518" s="379"/>
      <c r="JZJ518" s="379"/>
      <c r="JZK518" s="13"/>
      <c r="JZL518" s="13"/>
      <c r="JZM518" s="193"/>
      <c r="JZN518" s="379"/>
      <c r="JZO518" s="379"/>
      <c r="JZP518" s="379"/>
      <c r="JZQ518" s="379"/>
      <c r="JZR518" s="379"/>
      <c r="JZS518" s="13"/>
      <c r="JZT518" s="13"/>
      <c r="JZU518" s="193"/>
      <c r="JZV518" s="379"/>
      <c r="JZW518" s="379"/>
      <c r="JZX518" s="379"/>
      <c r="JZY518" s="379"/>
      <c r="JZZ518" s="379"/>
      <c r="KAA518" s="13"/>
      <c r="KAB518" s="13"/>
      <c r="KAC518" s="193"/>
      <c r="KAD518" s="379"/>
      <c r="KAE518" s="379"/>
      <c r="KAF518" s="379"/>
      <c r="KAG518" s="379"/>
      <c r="KAH518" s="379"/>
      <c r="KAI518" s="13"/>
      <c r="KAJ518" s="13"/>
      <c r="KAK518" s="193"/>
      <c r="KAL518" s="379"/>
      <c r="KAM518" s="379"/>
      <c r="KAN518" s="379"/>
      <c r="KAO518" s="379"/>
      <c r="KAP518" s="379"/>
      <c r="KAQ518" s="13"/>
      <c r="KAR518" s="13"/>
      <c r="KAS518" s="193"/>
      <c r="KAT518" s="379"/>
      <c r="KAU518" s="379"/>
      <c r="KAV518" s="379"/>
      <c r="KAW518" s="379"/>
      <c r="KAX518" s="379"/>
      <c r="KAY518" s="13"/>
      <c r="KAZ518" s="13"/>
      <c r="KBA518" s="193"/>
      <c r="KBB518" s="379"/>
      <c r="KBC518" s="379"/>
      <c r="KBD518" s="379"/>
      <c r="KBE518" s="379"/>
      <c r="KBF518" s="379"/>
      <c r="KBG518" s="13"/>
      <c r="KBH518" s="13"/>
      <c r="KBI518" s="193"/>
      <c r="KBJ518" s="379"/>
      <c r="KBK518" s="379"/>
      <c r="KBL518" s="379"/>
      <c r="KBM518" s="379"/>
      <c r="KBN518" s="379"/>
      <c r="KBO518" s="13"/>
      <c r="KBP518" s="13"/>
      <c r="KBQ518" s="193"/>
      <c r="KBR518" s="379"/>
      <c r="KBS518" s="379"/>
      <c r="KBT518" s="379"/>
      <c r="KBU518" s="379"/>
      <c r="KBV518" s="379"/>
      <c r="KBW518" s="13"/>
      <c r="KBX518" s="13"/>
      <c r="KBY518" s="193"/>
      <c r="KBZ518" s="379"/>
      <c r="KCA518" s="379"/>
      <c r="KCB518" s="379"/>
      <c r="KCC518" s="379"/>
      <c r="KCD518" s="379"/>
      <c r="KCE518" s="13"/>
      <c r="KCF518" s="13"/>
      <c r="KCG518" s="193"/>
      <c r="KCH518" s="379"/>
      <c r="KCI518" s="379"/>
      <c r="KCJ518" s="379"/>
      <c r="KCK518" s="379"/>
      <c r="KCL518" s="379"/>
      <c r="KCM518" s="13"/>
      <c r="KCN518" s="13"/>
      <c r="KCO518" s="193"/>
      <c r="KCP518" s="379"/>
      <c r="KCQ518" s="379"/>
      <c r="KCR518" s="379"/>
      <c r="KCS518" s="379"/>
      <c r="KCT518" s="379"/>
      <c r="KCU518" s="13"/>
      <c r="KCV518" s="13"/>
      <c r="KCW518" s="193"/>
      <c r="KCX518" s="379"/>
      <c r="KCY518" s="379"/>
      <c r="KCZ518" s="379"/>
      <c r="KDA518" s="379"/>
      <c r="KDB518" s="379"/>
      <c r="KDC518" s="13"/>
      <c r="KDD518" s="13"/>
      <c r="KDE518" s="193"/>
      <c r="KDF518" s="379"/>
      <c r="KDG518" s="379"/>
      <c r="KDH518" s="379"/>
      <c r="KDI518" s="379"/>
      <c r="KDJ518" s="379"/>
      <c r="KDK518" s="13"/>
      <c r="KDL518" s="13"/>
      <c r="KDM518" s="193"/>
      <c r="KDN518" s="379"/>
      <c r="KDO518" s="379"/>
      <c r="KDP518" s="379"/>
      <c r="KDQ518" s="379"/>
      <c r="KDR518" s="379"/>
      <c r="KDS518" s="13"/>
      <c r="KDT518" s="13"/>
      <c r="KDU518" s="193"/>
      <c r="KDV518" s="379"/>
      <c r="KDW518" s="379"/>
      <c r="KDX518" s="379"/>
      <c r="KDY518" s="379"/>
      <c r="KDZ518" s="379"/>
      <c r="KEA518" s="13"/>
      <c r="KEB518" s="13"/>
      <c r="KEC518" s="193"/>
      <c r="KED518" s="379"/>
      <c r="KEE518" s="379"/>
      <c r="KEF518" s="379"/>
      <c r="KEG518" s="379"/>
      <c r="KEH518" s="379"/>
      <c r="KEI518" s="13"/>
      <c r="KEJ518" s="13"/>
      <c r="KEK518" s="193"/>
      <c r="KEL518" s="379"/>
      <c r="KEM518" s="379"/>
      <c r="KEN518" s="379"/>
      <c r="KEO518" s="379"/>
      <c r="KEP518" s="379"/>
      <c r="KEQ518" s="13"/>
      <c r="KER518" s="13"/>
      <c r="KES518" s="193"/>
      <c r="KET518" s="379"/>
      <c r="KEU518" s="379"/>
      <c r="KEV518" s="379"/>
      <c r="KEW518" s="379"/>
      <c r="KEX518" s="379"/>
      <c r="KEY518" s="13"/>
      <c r="KEZ518" s="13"/>
      <c r="KFA518" s="193"/>
      <c r="KFB518" s="379"/>
      <c r="KFC518" s="379"/>
      <c r="KFD518" s="379"/>
      <c r="KFE518" s="379"/>
      <c r="KFF518" s="379"/>
      <c r="KFG518" s="13"/>
      <c r="KFH518" s="13"/>
      <c r="KFI518" s="193"/>
      <c r="KFJ518" s="379"/>
      <c r="KFK518" s="379"/>
      <c r="KFL518" s="379"/>
      <c r="KFM518" s="379"/>
      <c r="KFN518" s="379"/>
      <c r="KFO518" s="13"/>
      <c r="KFP518" s="13"/>
      <c r="KFQ518" s="193"/>
      <c r="KFR518" s="379"/>
      <c r="KFS518" s="379"/>
      <c r="KFT518" s="379"/>
      <c r="KFU518" s="379"/>
      <c r="KFV518" s="379"/>
      <c r="KFW518" s="13"/>
      <c r="KFX518" s="13"/>
      <c r="KFY518" s="193"/>
      <c r="KFZ518" s="379"/>
      <c r="KGA518" s="379"/>
      <c r="KGB518" s="379"/>
      <c r="KGC518" s="379"/>
      <c r="KGD518" s="379"/>
      <c r="KGE518" s="13"/>
      <c r="KGF518" s="13"/>
      <c r="KGG518" s="193"/>
      <c r="KGH518" s="379"/>
      <c r="KGI518" s="379"/>
      <c r="KGJ518" s="379"/>
      <c r="KGK518" s="379"/>
      <c r="KGL518" s="379"/>
      <c r="KGM518" s="13"/>
      <c r="KGN518" s="13"/>
      <c r="KGO518" s="193"/>
      <c r="KGP518" s="379"/>
      <c r="KGQ518" s="379"/>
      <c r="KGR518" s="379"/>
      <c r="KGS518" s="379"/>
      <c r="KGT518" s="379"/>
      <c r="KGU518" s="13"/>
      <c r="KGV518" s="13"/>
      <c r="KGW518" s="193"/>
      <c r="KGX518" s="379"/>
      <c r="KGY518" s="379"/>
      <c r="KGZ518" s="379"/>
      <c r="KHA518" s="379"/>
      <c r="KHB518" s="379"/>
      <c r="KHC518" s="13"/>
      <c r="KHD518" s="13"/>
      <c r="KHE518" s="193"/>
      <c r="KHF518" s="379"/>
      <c r="KHG518" s="379"/>
      <c r="KHH518" s="379"/>
      <c r="KHI518" s="379"/>
      <c r="KHJ518" s="379"/>
      <c r="KHK518" s="13"/>
      <c r="KHL518" s="13"/>
      <c r="KHM518" s="193"/>
      <c r="KHN518" s="379"/>
      <c r="KHO518" s="379"/>
      <c r="KHP518" s="379"/>
      <c r="KHQ518" s="379"/>
      <c r="KHR518" s="379"/>
      <c r="KHS518" s="13"/>
      <c r="KHT518" s="13"/>
      <c r="KHU518" s="193"/>
      <c r="KHV518" s="379"/>
      <c r="KHW518" s="379"/>
      <c r="KHX518" s="379"/>
      <c r="KHY518" s="379"/>
      <c r="KHZ518" s="379"/>
      <c r="KIA518" s="13"/>
      <c r="KIB518" s="13"/>
      <c r="KIC518" s="193"/>
      <c r="KID518" s="379"/>
      <c r="KIE518" s="379"/>
      <c r="KIF518" s="379"/>
      <c r="KIG518" s="379"/>
      <c r="KIH518" s="379"/>
      <c r="KII518" s="13"/>
      <c r="KIJ518" s="13"/>
      <c r="KIK518" s="193"/>
      <c r="KIL518" s="379"/>
      <c r="KIM518" s="379"/>
      <c r="KIN518" s="379"/>
      <c r="KIO518" s="379"/>
      <c r="KIP518" s="379"/>
      <c r="KIQ518" s="13"/>
      <c r="KIR518" s="13"/>
      <c r="KIS518" s="193"/>
      <c r="KIT518" s="379"/>
      <c r="KIU518" s="379"/>
      <c r="KIV518" s="379"/>
      <c r="KIW518" s="379"/>
      <c r="KIX518" s="379"/>
      <c r="KIY518" s="13"/>
      <c r="KIZ518" s="13"/>
      <c r="KJA518" s="193"/>
      <c r="KJB518" s="379"/>
      <c r="KJC518" s="379"/>
      <c r="KJD518" s="379"/>
      <c r="KJE518" s="379"/>
      <c r="KJF518" s="379"/>
      <c r="KJG518" s="13"/>
      <c r="KJH518" s="13"/>
      <c r="KJI518" s="193"/>
      <c r="KJJ518" s="379"/>
      <c r="KJK518" s="379"/>
      <c r="KJL518" s="379"/>
      <c r="KJM518" s="379"/>
      <c r="KJN518" s="379"/>
      <c r="KJO518" s="13"/>
      <c r="KJP518" s="13"/>
      <c r="KJQ518" s="193"/>
      <c r="KJR518" s="379"/>
      <c r="KJS518" s="379"/>
      <c r="KJT518" s="379"/>
      <c r="KJU518" s="379"/>
      <c r="KJV518" s="379"/>
      <c r="KJW518" s="13"/>
      <c r="KJX518" s="13"/>
      <c r="KJY518" s="193"/>
      <c r="KJZ518" s="379"/>
      <c r="KKA518" s="379"/>
      <c r="KKB518" s="379"/>
      <c r="KKC518" s="379"/>
      <c r="KKD518" s="379"/>
      <c r="KKE518" s="13"/>
      <c r="KKF518" s="13"/>
      <c r="KKG518" s="193"/>
      <c r="KKH518" s="379"/>
      <c r="KKI518" s="379"/>
      <c r="KKJ518" s="379"/>
      <c r="KKK518" s="379"/>
      <c r="KKL518" s="379"/>
      <c r="KKM518" s="13"/>
      <c r="KKN518" s="13"/>
      <c r="KKO518" s="193"/>
      <c r="KKP518" s="379"/>
      <c r="KKQ518" s="379"/>
      <c r="KKR518" s="379"/>
      <c r="KKS518" s="379"/>
      <c r="KKT518" s="379"/>
      <c r="KKU518" s="13"/>
      <c r="KKV518" s="13"/>
      <c r="KKW518" s="193"/>
      <c r="KKX518" s="379"/>
      <c r="KKY518" s="379"/>
      <c r="KKZ518" s="379"/>
      <c r="KLA518" s="379"/>
      <c r="KLB518" s="379"/>
      <c r="KLC518" s="13"/>
      <c r="KLD518" s="13"/>
      <c r="KLE518" s="193"/>
      <c r="KLF518" s="379"/>
      <c r="KLG518" s="379"/>
      <c r="KLH518" s="379"/>
      <c r="KLI518" s="379"/>
      <c r="KLJ518" s="379"/>
      <c r="KLK518" s="13"/>
      <c r="KLL518" s="13"/>
      <c r="KLM518" s="193"/>
      <c r="KLN518" s="379"/>
      <c r="KLO518" s="379"/>
      <c r="KLP518" s="379"/>
      <c r="KLQ518" s="379"/>
      <c r="KLR518" s="379"/>
      <c r="KLS518" s="13"/>
      <c r="KLT518" s="13"/>
      <c r="KLU518" s="193"/>
      <c r="KLV518" s="379"/>
      <c r="KLW518" s="379"/>
      <c r="KLX518" s="379"/>
      <c r="KLY518" s="379"/>
      <c r="KLZ518" s="379"/>
      <c r="KMA518" s="13"/>
      <c r="KMB518" s="13"/>
      <c r="KMC518" s="193"/>
      <c r="KMD518" s="379"/>
      <c r="KME518" s="379"/>
      <c r="KMF518" s="379"/>
      <c r="KMG518" s="379"/>
      <c r="KMH518" s="379"/>
      <c r="KMI518" s="13"/>
      <c r="KMJ518" s="13"/>
      <c r="KMK518" s="193"/>
      <c r="KML518" s="379"/>
      <c r="KMM518" s="379"/>
      <c r="KMN518" s="379"/>
      <c r="KMO518" s="379"/>
      <c r="KMP518" s="379"/>
      <c r="KMQ518" s="13"/>
      <c r="KMR518" s="13"/>
      <c r="KMS518" s="193"/>
      <c r="KMT518" s="379"/>
      <c r="KMU518" s="379"/>
      <c r="KMV518" s="379"/>
      <c r="KMW518" s="379"/>
      <c r="KMX518" s="379"/>
      <c r="KMY518" s="13"/>
      <c r="KMZ518" s="13"/>
      <c r="KNA518" s="193"/>
      <c r="KNB518" s="379"/>
      <c r="KNC518" s="379"/>
      <c r="KND518" s="379"/>
      <c r="KNE518" s="379"/>
      <c r="KNF518" s="379"/>
      <c r="KNG518" s="13"/>
      <c r="KNH518" s="13"/>
      <c r="KNI518" s="193"/>
      <c r="KNJ518" s="379"/>
      <c r="KNK518" s="379"/>
      <c r="KNL518" s="379"/>
      <c r="KNM518" s="379"/>
      <c r="KNN518" s="379"/>
      <c r="KNO518" s="13"/>
      <c r="KNP518" s="13"/>
      <c r="KNQ518" s="193"/>
      <c r="KNR518" s="379"/>
      <c r="KNS518" s="379"/>
      <c r="KNT518" s="379"/>
      <c r="KNU518" s="379"/>
      <c r="KNV518" s="379"/>
      <c r="KNW518" s="13"/>
      <c r="KNX518" s="13"/>
      <c r="KNY518" s="193"/>
      <c r="KNZ518" s="379"/>
      <c r="KOA518" s="379"/>
      <c r="KOB518" s="379"/>
      <c r="KOC518" s="379"/>
      <c r="KOD518" s="379"/>
      <c r="KOE518" s="13"/>
      <c r="KOF518" s="13"/>
      <c r="KOG518" s="193"/>
      <c r="KOH518" s="379"/>
      <c r="KOI518" s="379"/>
      <c r="KOJ518" s="379"/>
      <c r="KOK518" s="379"/>
      <c r="KOL518" s="379"/>
      <c r="KOM518" s="13"/>
      <c r="KON518" s="13"/>
      <c r="KOO518" s="193"/>
      <c r="KOP518" s="379"/>
      <c r="KOQ518" s="379"/>
      <c r="KOR518" s="379"/>
      <c r="KOS518" s="379"/>
      <c r="KOT518" s="379"/>
      <c r="KOU518" s="13"/>
      <c r="KOV518" s="13"/>
      <c r="KOW518" s="193"/>
      <c r="KOX518" s="379"/>
      <c r="KOY518" s="379"/>
      <c r="KOZ518" s="379"/>
      <c r="KPA518" s="379"/>
      <c r="KPB518" s="379"/>
      <c r="KPC518" s="13"/>
      <c r="KPD518" s="13"/>
      <c r="KPE518" s="193"/>
      <c r="KPF518" s="379"/>
      <c r="KPG518" s="379"/>
      <c r="KPH518" s="379"/>
      <c r="KPI518" s="379"/>
      <c r="KPJ518" s="379"/>
      <c r="KPK518" s="13"/>
      <c r="KPL518" s="13"/>
      <c r="KPM518" s="193"/>
      <c r="KPN518" s="379"/>
      <c r="KPO518" s="379"/>
      <c r="KPP518" s="379"/>
      <c r="KPQ518" s="379"/>
      <c r="KPR518" s="379"/>
      <c r="KPS518" s="13"/>
      <c r="KPT518" s="13"/>
      <c r="KPU518" s="193"/>
      <c r="KPV518" s="379"/>
      <c r="KPW518" s="379"/>
      <c r="KPX518" s="379"/>
      <c r="KPY518" s="379"/>
      <c r="KPZ518" s="379"/>
      <c r="KQA518" s="13"/>
      <c r="KQB518" s="13"/>
      <c r="KQC518" s="193"/>
      <c r="KQD518" s="379"/>
      <c r="KQE518" s="379"/>
      <c r="KQF518" s="379"/>
      <c r="KQG518" s="379"/>
      <c r="KQH518" s="379"/>
      <c r="KQI518" s="13"/>
      <c r="KQJ518" s="13"/>
      <c r="KQK518" s="193"/>
      <c r="KQL518" s="379"/>
      <c r="KQM518" s="379"/>
      <c r="KQN518" s="379"/>
      <c r="KQO518" s="379"/>
      <c r="KQP518" s="379"/>
      <c r="KQQ518" s="13"/>
      <c r="KQR518" s="13"/>
      <c r="KQS518" s="193"/>
      <c r="KQT518" s="379"/>
      <c r="KQU518" s="379"/>
      <c r="KQV518" s="379"/>
      <c r="KQW518" s="379"/>
      <c r="KQX518" s="379"/>
      <c r="KQY518" s="13"/>
      <c r="KQZ518" s="13"/>
      <c r="KRA518" s="193"/>
      <c r="KRB518" s="379"/>
      <c r="KRC518" s="379"/>
      <c r="KRD518" s="379"/>
      <c r="KRE518" s="379"/>
      <c r="KRF518" s="379"/>
      <c r="KRG518" s="13"/>
      <c r="KRH518" s="13"/>
      <c r="KRI518" s="193"/>
      <c r="KRJ518" s="379"/>
      <c r="KRK518" s="379"/>
      <c r="KRL518" s="379"/>
      <c r="KRM518" s="379"/>
      <c r="KRN518" s="379"/>
      <c r="KRO518" s="13"/>
      <c r="KRP518" s="13"/>
      <c r="KRQ518" s="193"/>
      <c r="KRR518" s="379"/>
      <c r="KRS518" s="379"/>
      <c r="KRT518" s="379"/>
      <c r="KRU518" s="379"/>
      <c r="KRV518" s="379"/>
      <c r="KRW518" s="13"/>
      <c r="KRX518" s="13"/>
      <c r="KRY518" s="193"/>
      <c r="KRZ518" s="379"/>
      <c r="KSA518" s="379"/>
      <c r="KSB518" s="379"/>
      <c r="KSC518" s="379"/>
      <c r="KSD518" s="379"/>
      <c r="KSE518" s="13"/>
      <c r="KSF518" s="13"/>
      <c r="KSG518" s="193"/>
      <c r="KSH518" s="379"/>
      <c r="KSI518" s="379"/>
      <c r="KSJ518" s="379"/>
      <c r="KSK518" s="379"/>
      <c r="KSL518" s="379"/>
      <c r="KSM518" s="13"/>
      <c r="KSN518" s="13"/>
      <c r="KSO518" s="193"/>
      <c r="KSP518" s="379"/>
      <c r="KSQ518" s="379"/>
      <c r="KSR518" s="379"/>
      <c r="KSS518" s="379"/>
      <c r="KST518" s="379"/>
      <c r="KSU518" s="13"/>
      <c r="KSV518" s="13"/>
      <c r="KSW518" s="193"/>
      <c r="KSX518" s="379"/>
      <c r="KSY518" s="379"/>
      <c r="KSZ518" s="379"/>
      <c r="KTA518" s="379"/>
      <c r="KTB518" s="379"/>
      <c r="KTC518" s="13"/>
      <c r="KTD518" s="13"/>
      <c r="KTE518" s="193"/>
      <c r="KTF518" s="379"/>
      <c r="KTG518" s="379"/>
      <c r="KTH518" s="379"/>
      <c r="KTI518" s="379"/>
      <c r="KTJ518" s="379"/>
      <c r="KTK518" s="13"/>
      <c r="KTL518" s="13"/>
      <c r="KTM518" s="193"/>
      <c r="KTN518" s="379"/>
      <c r="KTO518" s="379"/>
      <c r="KTP518" s="379"/>
      <c r="KTQ518" s="379"/>
      <c r="KTR518" s="379"/>
      <c r="KTS518" s="13"/>
      <c r="KTT518" s="13"/>
      <c r="KTU518" s="193"/>
      <c r="KTV518" s="379"/>
      <c r="KTW518" s="379"/>
      <c r="KTX518" s="379"/>
      <c r="KTY518" s="379"/>
      <c r="KTZ518" s="379"/>
      <c r="KUA518" s="13"/>
      <c r="KUB518" s="13"/>
      <c r="KUC518" s="193"/>
      <c r="KUD518" s="379"/>
      <c r="KUE518" s="379"/>
      <c r="KUF518" s="379"/>
      <c r="KUG518" s="379"/>
      <c r="KUH518" s="379"/>
      <c r="KUI518" s="13"/>
      <c r="KUJ518" s="13"/>
      <c r="KUK518" s="193"/>
      <c r="KUL518" s="379"/>
      <c r="KUM518" s="379"/>
      <c r="KUN518" s="379"/>
      <c r="KUO518" s="379"/>
      <c r="KUP518" s="379"/>
      <c r="KUQ518" s="13"/>
      <c r="KUR518" s="13"/>
      <c r="KUS518" s="193"/>
      <c r="KUT518" s="379"/>
      <c r="KUU518" s="379"/>
      <c r="KUV518" s="379"/>
      <c r="KUW518" s="379"/>
      <c r="KUX518" s="379"/>
      <c r="KUY518" s="13"/>
      <c r="KUZ518" s="13"/>
      <c r="KVA518" s="193"/>
      <c r="KVB518" s="379"/>
      <c r="KVC518" s="379"/>
      <c r="KVD518" s="379"/>
      <c r="KVE518" s="379"/>
      <c r="KVF518" s="379"/>
      <c r="KVG518" s="13"/>
      <c r="KVH518" s="13"/>
      <c r="KVI518" s="193"/>
      <c r="KVJ518" s="379"/>
      <c r="KVK518" s="379"/>
      <c r="KVL518" s="379"/>
      <c r="KVM518" s="379"/>
      <c r="KVN518" s="379"/>
      <c r="KVO518" s="13"/>
      <c r="KVP518" s="13"/>
      <c r="KVQ518" s="193"/>
      <c r="KVR518" s="379"/>
      <c r="KVS518" s="379"/>
      <c r="KVT518" s="379"/>
      <c r="KVU518" s="379"/>
      <c r="KVV518" s="379"/>
      <c r="KVW518" s="13"/>
      <c r="KVX518" s="13"/>
      <c r="KVY518" s="193"/>
      <c r="KVZ518" s="379"/>
      <c r="KWA518" s="379"/>
      <c r="KWB518" s="379"/>
      <c r="KWC518" s="379"/>
      <c r="KWD518" s="379"/>
      <c r="KWE518" s="13"/>
      <c r="KWF518" s="13"/>
      <c r="KWG518" s="193"/>
      <c r="KWH518" s="379"/>
      <c r="KWI518" s="379"/>
      <c r="KWJ518" s="379"/>
      <c r="KWK518" s="379"/>
      <c r="KWL518" s="379"/>
      <c r="KWM518" s="13"/>
      <c r="KWN518" s="13"/>
      <c r="KWO518" s="193"/>
      <c r="KWP518" s="379"/>
      <c r="KWQ518" s="379"/>
      <c r="KWR518" s="379"/>
      <c r="KWS518" s="379"/>
      <c r="KWT518" s="379"/>
      <c r="KWU518" s="13"/>
      <c r="KWV518" s="13"/>
      <c r="KWW518" s="193"/>
      <c r="KWX518" s="379"/>
      <c r="KWY518" s="379"/>
      <c r="KWZ518" s="379"/>
      <c r="KXA518" s="379"/>
      <c r="KXB518" s="379"/>
      <c r="KXC518" s="13"/>
      <c r="KXD518" s="13"/>
      <c r="KXE518" s="193"/>
      <c r="KXF518" s="379"/>
      <c r="KXG518" s="379"/>
      <c r="KXH518" s="379"/>
      <c r="KXI518" s="379"/>
      <c r="KXJ518" s="379"/>
      <c r="KXK518" s="13"/>
      <c r="KXL518" s="13"/>
      <c r="KXM518" s="193"/>
      <c r="KXN518" s="379"/>
      <c r="KXO518" s="379"/>
      <c r="KXP518" s="379"/>
      <c r="KXQ518" s="379"/>
      <c r="KXR518" s="379"/>
      <c r="KXS518" s="13"/>
      <c r="KXT518" s="13"/>
      <c r="KXU518" s="193"/>
      <c r="KXV518" s="379"/>
      <c r="KXW518" s="379"/>
      <c r="KXX518" s="379"/>
      <c r="KXY518" s="379"/>
      <c r="KXZ518" s="379"/>
      <c r="KYA518" s="13"/>
      <c r="KYB518" s="13"/>
      <c r="KYC518" s="193"/>
      <c r="KYD518" s="379"/>
      <c r="KYE518" s="379"/>
      <c r="KYF518" s="379"/>
      <c r="KYG518" s="379"/>
      <c r="KYH518" s="379"/>
      <c r="KYI518" s="13"/>
      <c r="KYJ518" s="13"/>
      <c r="KYK518" s="193"/>
      <c r="KYL518" s="379"/>
      <c r="KYM518" s="379"/>
      <c r="KYN518" s="379"/>
      <c r="KYO518" s="379"/>
      <c r="KYP518" s="379"/>
      <c r="KYQ518" s="13"/>
      <c r="KYR518" s="13"/>
      <c r="KYS518" s="193"/>
      <c r="KYT518" s="379"/>
      <c r="KYU518" s="379"/>
      <c r="KYV518" s="379"/>
      <c r="KYW518" s="379"/>
      <c r="KYX518" s="379"/>
      <c r="KYY518" s="13"/>
      <c r="KYZ518" s="13"/>
      <c r="KZA518" s="193"/>
      <c r="KZB518" s="379"/>
      <c r="KZC518" s="379"/>
      <c r="KZD518" s="379"/>
      <c r="KZE518" s="379"/>
      <c r="KZF518" s="379"/>
      <c r="KZG518" s="13"/>
      <c r="KZH518" s="13"/>
      <c r="KZI518" s="193"/>
      <c r="KZJ518" s="379"/>
      <c r="KZK518" s="379"/>
      <c r="KZL518" s="379"/>
      <c r="KZM518" s="379"/>
      <c r="KZN518" s="379"/>
      <c r="KZO518" s="13"/>
      <c r="KZP518" s="13"/>
      <c r="KZQ518" s="193"/>
      <c r="KZR518" s="379"/>
      <c r="KZS518" s="379"/>
      <c r="KZT518" s="379"/>
      <c r="KZU518" s="379"/>
      <c r="KZV518" s="379"/>
      <c r="KZW518" s="13"/>
      <c r="KZX518" s="13"/>
      <c r="KZY518" s="193"/>
      <c r="KZZ518" s="379"/>
      <c r="LAA518" s="379"/>
      <c r="LAB518" s="379"/>
      <c r="LAC518" s="379"/>
      <c r="LAD518" s="379"/>
      <c r="LAE518" s="13"/>
      <c r="LAF518" s="13"/>
      <c r="LAG518" s="193"/>
      <c r="LAH518" s="379"/>
      <c r="LAI518" s="379"/>
      <c r="LAJ518" s="379"/>
      <c r="LAK518" s="379"/>
      <c r="LAL518" s="379"/>
      <c r="LAM518" s="13"/>
      <c r="LAN518" s="13"/>
      <c r="LAO518" s="193"/>
      <c r="LAP518" s="379"/>
      <c r="LAQ518" s="379"/>
      <c r="LAR518" s="379"/>
      <c r="LAS518" s="379"/>
      <c r="LAT518" s="379"/>
      <c r="LAU518" s="13"/>
      <c r="LAV518" s="13"/>
      <c r="LAW518" s="193"/>
      <c r="LAX518" s="379"/>
      <c r="LAY518" s="379"/>
      <c r="LAZ518" s="379"/>
      <c r="LBA518" s="379"/>
      <c r="LBB518" s="379"/>
      <c r="LBC518" s="13"/>
      <c r="LBD518" s="13"/>
      <c r="LBE518" s="193"/>
      <c r="LBF518" s="379"/>
      <c r="LBG518" s="379"/>
      <c r="LBH518" s="379"/>
      <c r="LBI518" s="379"/>
      <c r="LBJ518" s="379"/>
      <c r="LBK518" s="13"/>
      <c r="LBL518" s="13"/>
      <c r="LBM518" s="193"/>
      <c r="LBN518" s="379"/>
      <c r="LBO518" s="379"/>
      <c r="LBP518" s="379"/>
      <c r="LBQ518" s="379"/>
      <c r="LBR518" s="379"/>
      <c r="LBS518" s="13"/>
      <c r="LBT518" s="13"/>
      <c r="LBU518" s="193"/>
      <c r="LBV518" s="379"/>
      <c r="LBW518" s="379"/>
      <c r="LBX518" s="379"/>
      <c r="LBY518" s="379"/>
      <c r="LBZ518" s="379"/>
      <c r="LCA518" s="13"/>
      <c r="LCB518" s="13"/>
      <c r="LCC518" s="193"/>
      <c r="LCD518" s="379"/>
      <c r="LCE518" s="379"/>
      <c r="LCF518" s="379"/>
      <c r="LCG518" s="379"/>
      <c r="LCH518" s="379"/>
      <c r="LCI518" s="13"/>
      <c r="LCJ518" s="13"/>
      <c r="LCK518" s="193"/>
      <c r="LCL518" s="379"/>
      <c r="LCM518" s="379"/>
      <c r="LCN518" s="379"/>
      <c r="LCO518" s="379"/>
      <c r="LCP518" s="379"/>
      <c r="LCQ518" s="13"/>
      <c r="LCR518" s="13"/>
      <c r="LCS518" s="193"/>
      <c r="LCT518" s="379"/>
      <c r="LCU518" s="379"/>
      <c r="LCV518" s="379"/>
      <c r="LCW518" s="379"/>
      <c r="LCX518" s="379"/>
      <c r="LCY518" s="13"/>
      <c r="LCZ518" s="13"/>
      <c r="LDA518" s="193"/>
      <c r="LDB518" s="379"/>
      <c r="LDC518" s="379"/>
      <c r="LDD518" s="379"/>
      <c r="LDE518" s="379"/>
      <c r="LDF518" s="379"/>
      <c r="LDG518" s="13"/>
      <c r="LDH518" s="13"/>
      <c r="LDI518" s="193"/>
      <c r="LDJ518" s="379"/>
      <c r="LDK518" s="379"/>
      <c r="LDL518" s="379"/>
      <c r="LDM518" s="379"/>
      <c r="LDN518" s="379"/>
      <c r="LDO518" s="13"/>
      <c r="LDP518" s="13"/>
      <c r="LDQ518" s="193"/>
      <c r="LDR518" s="379"/>
      <c r="LDS518" s="379"/>
      <c r="LDT518" s="379"/>
      <c r="LDU518" s="379"/>
      <c r="LDV518" s="379"/>
      <c r="LDW518" s="13"/>
      <c r="LDX518" s="13"/>
      <c r="LDY518" s="193"/>
      <c r="LDZ518" s="379"/>
      <c r="LEA518" s="379"/>
      <c r="LEB518" s="379"/>
      <c r="LEC518" s="379"/>
      <c r="LED518" s="379"/>
      <c r="LEE518" s="13"/>
      <c r="LEF518" s="13"/>
      <c r="LEG518" s="193"/>
      <c r="LEH518" s="379"/>
      <c r="LEI518" s="379"/>
      <c r="LEJ518" s="379"/>
      <c r="LEK518" s="379"/>
      <c r="LEL518" s="379"/>
      <c r="LEM518" s="13"/>
      <c r="LEN518" s="13"/>
      <c r="LEO518" s="193"/>
      <c r="LEP518" s="379"/>
      <c r="LEQ518" s="379"/>
      <c r="LER518" s="379"/>
      <c r="LES518" s="379"/>
      <c r="LET518" s="379"/>
      <c r="LEU518" s="13"/>
      <c r="LEV518" s="13"/>
      <c r="LEW518" s="193"/>
      <c r="LEX518" s="379"/>
      <c r="LEY518" s="379"/>
      <c r="LEZ518" s="379"/>
      <c r="LFA518" s="379"/>
      <c r="LFB518" s="379"/>
      <c r="LFC518" s="13"/>
      <c r="LFD518" s="13"/>
      <c r="LFE518" s="193"/>
      <c r="LFF518" s="379"/>
      <c r="LFG518" s="379"/>
      <c r="LFH518" s="379"/>
      <c r="LFI518" s="379"/>
      <c r="LFJ518" s="379"/>
      <c r="LFK518" s="13"/>
      <c r="LFL518" s="13"/>
      <c r="LFM518" s="193"/>
      <c r="LFN518" s="379"/>
      <c r="LFO518" s="379"/>
      <c r="LFP518" s="379"/>
      <c r="LFQ518" s="379"/>
      <c r="LFR518" s="379"/>
      <c r="LFS518" s="13"/>
      <c r="LFT518" s="13"/>
      <c r="LFU518" s="193"/>
      <c r="LFV518" s="379"/>
      <c r="LFW518" s="379"/>
      <c r="LFX518" s="379"/>
      <c r="LFY518" s="379"/>
      <c r="LFZ518" s="379"/>
      <c r="LGA518" s="13"/>
      <c r="LGB518" s="13"/>
      <c r="LGC518" s="193"/>
      <c r="LGD518" s="379"/>
      <c r="LGE518" s="379"/>
      <c r="LGF518" s="379"/>
      <c r="LGG518" s="379"/>
      <c r="LGH518" s="379"/>
      <c r="LGI518" s="13"/>
      <c r="LGJ518" s="13"/>
      <c r="LGK518" s="193"/>
      <c r="LGL518" s="379"/>
      <c r="LGM518" s="379"/>
      <c r="LGN518" s="379"/>
      <c r="LGO518" s="379"/>
      <c r="LGP518" s="379"/>
      <c r="LGQ518" s="13"/>
      <c r="LGR518" s="13"/>
      <c r="LGS518" s="193"/>
      <c r="LGT518" s="379"/>
      <c r="LGU518" s="379"/>
      <c r="LGV518" s="379"/>
      <c r="LGW518" s="379"/>
      <c r="LGX518" s="379"/>
      <c r="LGY518" s="13"/>
      <c r="LGZ518" s="13"/>
      <c r="LHA518" s="193"/>
      <c r="LHB518" s="379"/>
      <c r="LHC518" s="379"/>
      <c r="LHD518" s="379"/>
      <c r="LHE518" s="379"/>
      <c r="LHF518" s="379"/>
      <c r="LHG518" s="13"/>
      <c r="LHH518" s="13"/>
      <c r="LHI518" s="193"/>
      <c r="LHJ518" s="379"/>
      <c r="LHK518" s="379"/>
      <c r="LHL518" s="379"/>
      <c r="LHM518" s="379"/>
      <c r="LHN518" s="379"/>
      <c r="LHO518" s="13"/>
      <c r="LHP518" s="13"/>
      <c r="LHQ518" s="193"/>
      <c r="LHR518" s="379"/>
      <c r="LHS518" s="379"/>
      <c r="LHT518" s="379"/>
      <c r="LHU518" s="379"/>
      <c r="LHV518" s="379"/>
      <c r="LHW518" s="13"/>
      <c r="LHX518" s="13"/>
      <c r="LHY518" s="193"/>
      <c r="LHZ518" s="379"/>
      <c r="LIA518" s="379"/>
      <c r="LIB518" s="379"/>
      <c r="LIC518" s="379"/>
      <c r="LID518" s="379"/>
      <c r="LIE518" s="13"/>
      <c r="LIF518" s="13"/>
      <c r="LIG518" s="193"/>
      <c r="LIH518" s="379"/>
      <c r="LII518" s="379"/>
      <c r="LIJ518" s="379"/>
      <c r="LIK518" s="379"/>
      <c r="LIL518" s="379"/>
      <c r="LIM518" s="13"/>
      <c r="LIN518" s="13"/>
      <c r="LIO518" s="193"/>
      <c r="LIP518" s="379"/>
      <c r="LIQ518" s="379"/>
      <c r="LIR518" s="379"/>
      <c r="LIS518" s="379"/>
      <c r="LIT518" s="379"/>
      <c r="LIU518" s="13"/>
      <c r="LIV518" s="13"/>
      <c r="LIW518" s="193"/>
      <c r="LIX518" s="379"/>
      <c r="LIY518" s="379"/>
      <c r="LIZ518" s="379"/>
      <c r="LJA518" s="379"/>
      <c r="LJB518" s="379"/>
      <c r="LJC518" s="13"/>
      <c r="LJD518" s="13"/>
      <c r="LJE518" s="193"/>
      <c r="LJF518" s="379"/>
      <c r="LJG518" s="379"/>
      <c r="LJH518" s="379"/>
      <c r="LJI518" s="379"/>
      <c r="LJJ518" s="379"/>
      <c r="LJK518" s="13"/>
      <c r="LJL518" s="13"/>
      <c r="LJM518" s="193"/>
      <c r="LJN518" s="379"/>
      <c r="LJO518" s="379"/>
      <c r="LJP518" s="379"/>
      <c r="LJQ518" s="379"/>
      <c r="LJR518" s="379"/>
      <c r="LJS518" s="13"/>
      <c r="LJT518" s="13"/>
      <c r="LJU518" s="193"/>
      <c r="LJV518" s="379"/>
      <c r="LJW518" s="379"/>
      <c r="LJX518" s="379"/>
      <c r="LJY518" s="379"/>
      <c r="LJZ518" s="379"/>
      <c r="LKA518" s="13"/>
      <c r="LKB518" s="13"/>
      <c r="LKC518" s="193"/>
      <c r="LKD518" s="379"/>
      <c r="LKE518" s="379"/>
      <c r="LKF518" s="379"/>
      <c r="LKG518" s="379"/>
      <c r="LKH518" s="379"/>
      <c r="LKI518" s="13"/>
      <c r="LKJ518" s="13"/>
      <c r="LKK518" s="193"/>
      <c r="LKL518" s="379"/>
      <c r="LKM518" s="379"/>
      <c r="LKN518" s="379"/>
      <c r="LKO518" s="379"/>
      <c r="LKP518" s="379"/>
      <c r="LKQ518" s="13"/>
      <c r="LKR518" s="13"/>
      <c r="LKS518" s="193"/>
      <c r="LKT518" s="379"/>
      <c r="LKU518" s="379"/>
      <c r="LKV518" s="379"/>
      <c r="LKW518" s="379"/>
      <c r="LKX518" s="379"/>
      <c r="LKY518" s="13"/>
      <c r="LKZ518" s="13"/>
      <c r="LLA518" s="193"/>
      <c r="LLB518" s="379"/>
      <c r="LLC518" s="379"/>
      <c r="LLD518" s="379"/>
      <c r="LLE518" s="379"/>
      <c r="LLF518" s="379"/>
      <c r="LLG518" s="13"/>
      <c r="LLH518" s="13"/>
      <c r="LLI518" s="193"/>
      <c r="LLJ518" s="379"/>
      <c r="LLK518" s="379"/>
      <c r="LLL518" s="379"/>
      <c r="LLM518" s="379"/>
      <c r="LLN518" s="379"/>
      <c r="LLO518" s="13"/>
      <c r="LLP518" s="13"/>
      <c r="LLQ518" s="193"/>
      <c r="LLR518" s="379"/>
      <c r="LLS518" s="379"/>
      <c r="LLT518" s="379"/>
      <c r="LLU518" s="379"/>
      <c r="LLV518" s="379"/>
      <c r="LLW518" s="13"/>
      <c r="LLX518" s="13"/>
      <c r="LLY518" s="193"/>
      <c r="LLZ518" s="379"/>
      <c r="LMA518" s="379"/>
      <c r="LMB518" s="379"/>
      <c r="LMC518" s="379"/>
      <c r="LMD518" s="379"/>
      <c r="LME518" s="13"/>
      <c r="LMF518" s="13"/>
      <c r="LMG518" s="193"/>
      <c r="LMH518" s="379"/>
      <c r="LMI518" s="379"/>
      <c r="LMJ518" s="379"/>
      <c r="LMK518" s="379"/>
      <c r="LML518" s="379"/>
      <c r="LMM518" s="13"/>
      <c r="LMN518" s="13"/>
      <c r="LMO518" s="193"/>
      <c r="LMP518" s="379"/>
      <c r="LMQ518" s="379"/>
      <c r="LMR518" s="379"/>
      <c r="LMS518" s="379"/>
      <c r="LMT518" s="379"/>
      <c r="LMU518" s="13"/>
      <c r="LMV518" s="13"/>
      <c r="LMW518" s="193"/>
      <c r="LMX518" s="379"/>
      <c r="LMY518" s="379"/>
      <c r="LMZ518" s="379"/>
      <c r="LNA518" s="379"/>
      <c r="LNB518" s="379"/>
      <c r="LNC518" s="13"/>
      <c r="LND518" s="13"/>
      <c r="LNE518" s="193"/>
      <c r="LNF518" s="379"/>
      <c r="LNG518" s="379"/>
      <c r="LNH518" s="379"/>
      <c r="LNI518" s="379"/>
      <c r="LNJ518" s="379"/>
      <c r="LNK518" s="13"/>
      <c r="LNL518" s="13"/>
      <c r="LNM518" s="193"/>
      <c r="LNN518" s="379"/>
      <c r="LNO518" s="379"/>
      <c r="LNP518" s="379"/>
      <c r="LNQ518" s="379"/>
      <c r="LNR518" s="379"/>
      <c r="LNS518" s="13"/>
      <c r="LNT518" s="13"/>
      <c r="LNU518" s="193"/>
      <c r="LNV518" s="379"/>
      <c r="LNW518" s="379"/>
      <c r="LNX518" s="379"/>
      <c r="LNY518" s="379"/>
      <c r="LNZ518" s="379"/>
      <c r="LOA518" s="13"/>
      <c r="LOB518" s="13"/>
      <c r="LOC518" s="193"/>
      <c r="LOD518" s="379"/>
      <c r="LOE518" s="379"/>
      <c r="LOF518" s="379"/>
      <c r="LOG518" s="379"/>
      <c r="LOH518" s="379"/>
      <c r="LOI518" s="13"/>
      <c r="LOJ518" s="13"/>
      <c r="LOK518" s="193"/>
      <c r="LOL518" s="379"/>
      <c r="LOM518" s="379"/>
      <c r="LON518" s="379"/>
      <c r="LOO518" s="379"/>
      <c r="LOP518" s="379"/>
      <c r="LOQ518" s="13"/>
      <c r="LOR518" s="13"/>
      <c r="LOS518" s="193"/>
      <c r="LOT518" s="379"/>
      <c r="LOU518" s="379"/>
      <c r="LOV518" s="379"/>
      <c r="LOW518" s="379"/>
      <c r="LOX518" s="379"/>
      <c r="LOY518" s="13"/>
      <c r="LOZ518" s="13"/>
      <c r="LPA518" s="193"/>
      <c r="LPB518" s="379"/>
      <c r="LPC518" s="379"/>
      <c r="LPD518" s="379"/>
      <c r="LPE518" s="379"/>
      <c r="LPF518" s="379"/>
      <c r="LPG518" s="13"/>
      <c r="LPH518" s="13"/>
      <c r="LPI518" s="193"/>
      <c r="LPJ518" s="379"/>
      <c r="LPK518" s="379"/>
      <c r="LPL518" s="379"/>
      <c r="LPM518" s="379"/>
      <c r="LPN518" s="379"/>
      <c r="LPO518" s="13"/>
      <c r="LPP518" s="13"/>
      <c r="LPQ518" s="193"/>
      <c r="LPR518" s="379"/>
      <c r="LPS518" s="379"/>
      <c r="LPT518" s="379"/>
      <c r="LPU518" s="379"/>
      <c r="LPV518" s="379"/>
      <c r="LPW518" s="13"/>
      <c r="LPX518" s="13"/>
      <c r="LPY518" s="193"/>
      <c r="LPZ518" s="379"/>
      <c r="LQA518" s="379"/>
      <c r="LQB518" s="379"/>
      <c r="LQC518" s="379"/>
      <c r="LQD518" s="379"/>
      <c r="LQE518" s="13"/>
      <c r="LQF518" s="13"/>
      <c r="LQG518" s="193"/>
      <c r="LQH518" s="379"/>
      <c r="LQI518" s="379"/>
      <c r="LQJ518" s="379"/>
      <c r="LQK518" s="379"/>
      <c r="LQL518" s="379"/>
      <c r="LQM518" s="13"/>
      <c r="LQN518" s="13"/>
      <c r="LQO518" s="193"/>
      <c r="LQP518" s="379"/>
      <c r="LQQ518" s="379"/>
      <c r="LQR518" s="379"/>
      <c r="LQS518" s="379"/>
      <c r="LQT518" s="379"/>
      <c r="LQU518" s="13"/>
      <c r="LQV518" s="13"/>
      <c r="LQW518" s="193"/>
      <c r="LQX518" s="379"/>
      <c r="LQY518" s="379"/>
      <c r="LQZ518" s="379"/>
      <c r="LRA518" s="379"/>
      <c r="LRB518" s="379"/>
      <c r="LRC518" s="13"/>
      <c r="LRD518" s="13"/>
      <c r="LRE518" s="193"/>
      <c r="LRF518" s="379"/>
      <c r="LRG518" s="379"/>
      <c r="LRH518" s="379"/>
      <c r="LRI518" s="379"/>
      <c r="LRJ518" s="379"/>
      <c r="LRK518" s="13"/>
      <c r="LRL518" s="13"/>
      <c r="LRM518" s="193"/>
      <c r="LRN518" s="379"/>
      <c r="LRO518" s="379"/>
      <c r="LRP518" s="379"/>
      <c r="LRQ518" s="379"/>
      <c r="LRR518" s="379"/>
      <c r="LRS518" s="13"/>
      <c r="LRT518" s="13"/>
      <c r="LRU518" s="193"/>
      <c r="LRV518" s="379"/>
      <c r="LRW518" s="379"/>
      <c r="LRX518" s="379"/>
      <c r="LRY518" s="379"/>
      <c r="LRZ518" s="379"/>
      <c r="LSA518" s="13"/>
      <c r="LSB518" s="13"/>
      <c r="LSC518" s="193"/>
      <c r="LSD518" s="379"/>
      <c r="LSE518" s="379"/>
      <c r="LSF518" s="379"/>
      <c r="LSG518" s="379"/>
      <c r="LSH518" s="379"/>
      <c r="LSI518" s="13"/>
      <c r="LSJ518" s="13"/>
      <c r="LSK518" s="193"/>
      <c r="LSL518" s="379"/>
      <c r="LSM518" s="379"/>
      <c r="LSN518" s="379"/>
      <c r="LSO518" s="379"/>
      <c r="LSP518" s="379"/>
      <c r="LSQ518" s="13"/>
      <c r="LSR518" s="13"/>
      <c r="LSS518" s="193"/>
      <c r="LST518" s="379"/>
      <c r="LSU518" s="379"/>
      <c r="LSV518" s="379"/>
      <c r="LSW518" s="379"/>
      <c r="LSX518" s="379"/>
      <c r="LSY518" s="13"/>
      <c r="LSZ518" s="13"/>
      <c r="LTA518" s="193"/>
      <c r="LTB518" s="379"/>
      <c r="LTC518" s="379"/>
      <c r="LTD518" s="379"/>
      <c r="LTE518" s="379"/>
      <c r="LTF518" s="379"/>
      <c r="LTG518" s="13"/>
      <c r="LTH518" s="13"/>
      <c r="LTI518" s="193"/>
      <c r="LTJ518" s="379"/>
      <c r="LTK518" s="379"/>
      <c r="LTL518" s="379"/>
      <c r="LTM518" s="379"/>
      <c r="LTN518" s="379"/>
      <c r="LTO518" s="13"/>
      <c r="LTP518" s="13"/>
      <c r="LTQ518" s="193"/>
      <c r="LTR518" s="379"/>
      <c r="LTS518" s="379"/>
      <c r="LTT518" s="379"/>
      <c r="LTU518" s="379"/>
      <c r="LTV518" s="379"/>
      <c r="LTW518" s="13"/>
      <c r="LTX518" s="13"/>
      <c r="LTY518" s="193"/>
      <c r="LTZ518" s="379"/>
      <c r="LUA518" s="379"/>
      <c r="LUB518" s="379"/>
      <c r="LUC518" s="379"/>
      <c r="LUD518" s="379"/>
      <c r="LUE518" s="13"/>
      <c r="LUF518" s="13"/>
      <c r="LUG518" s="193"/>
      <c r="LUH518" s="379"/>
      <c r="LUI518" s="379"/>
      <c r="LUJ518" s="379"/>
      <c r="LUK518" s="379"/>
      <c r="LUL518" s="379"/>
      <c r="LUM518" s="13"/>
      <c r="LUN518" s="13"/>
      <c r="LUO518" s="193"/>
      <c r="LUP518" s="379"/>
      <c r="LUQ518" s="379"/>
      <c r="LUR518" s="379"/>
      <c r="LUS518" s="379"/>
      <c r="LUT518" s="379"/>
      <c r="LUU518" s="13"/>
      <c r="LUV518" s="13"/>
      <c r="LUW518" s="193"/>
      <c r="LUX518" s="379"/>
      <c r="LUY518" s="379"/>
      <c r="LUZ518" s="379"/>
      <c r="LVA518" s="379"/>
      <c r="LVB518" s="379"/>
      <c r="LVC518" s="13"/>
      <c r="LVD518" s="13"/>
      <c r="LVE518" s="193"/>
      <c r="LVF518" s="379"/>
      <c r="LVG518" s="379"/>
      <c r="LVH518" s="379"/>
      <c r="LVI518" s="379"/>
      <c r="LVJ518" s="379"/>
      <c r="LVK518" s="13"/>
      <c r="LVL518" s="13"/>
      <c r="LVM518" s="193"/>
      <c r="LVN518" s="379"/>
      <c r="LVO518" s="379"/>
      <c r="LVP518" s="379"/>
      <c r="LVQ518" s="379"/>
      <c r="LVR518" s="379"/>
      <c r="LVS518" s="13"/>
      <c r="LVT518" s="13"/>
      <c r="LVU518" s="193"/>
      <c r="LVV518" s="379"/>
      <c r="LVW518" s="379"/>
      <c r="LVX518" s="379"/>
      <c r="LVY518" s="379"/>
      <c r="LVZ518" s="379"/>
      <c r="LWA518" s="13"/>
      <c r="LWB518" s="13"/>
      <c r="LWC518" s="193"/>
      <c r="LWD518" s="379"/>
      <c r="LWE518" s="379"/>
      <c r="LWF518" s="379"/>
      <c r="LWG518" s="379"/>
      <c r="LWH518" s="379"/>
      <c r="LWI518" s="13"/>
      <c r="LWJ518" s="13"/>
      <c r="LWK518" s="193"/>
      <c r="LWL518" s="379"/>
      <c r="LWM518" s="379"/>
      <c r="LWN518" s="379"/>
      <c r="LWO518" s="379"/>
      <c r="LWP518" s="379"/>
      <c r="LWQ518" s="13"/>
      <c r="LWR518" s="13"/>
      <c r="LWS518" s="193"/>
      <c r="LWT518" s="379"/>
      <c r="LWU518" s="379"/>
      <c r="LWV518" s="379"/>
      <c r="LWW518" s="379"/>
      <c r="LWX518" s="379"/>
      <c r="LWY518" s="13"/>
      <c r="LWZ518" s="13"/>
      <c r="LXA518" s="193"/>
      <c r="LXB518" s="379"/>
      <c r="LXC518" s="379"/>
      <c r="LXD518" s="379"/>
      <c r="LXE518" s="379"/>
      <c r="LXF518" s="379"/>
      <c r="LXG518" s="13"/>
      <c r="LXH518" s="13"/>
      <c r="LXI518" s="193"/>
      <c r="LXJ518" s="379"/>
      <c r="LXK518" s="379"/>
      <c r="LXL518" s="379"/>
      <c r="LXM518" s="379"/>
      <c r="LXN518" s="379"/>
      <c r="LXO518" s="13"/>
      <c r="LXP518" s="13"/>
      <c r="LXQ518" s="193"/>
      <c r="LXR518" s="379"/>
      <c r="LXS518" s="379"/>
      <c r="LXT518" s="379"/>
      <c r="LXU518" s="379"/>
      <c r="LXV518" s="379"/>
      <c r="LXW518" s="13"/>
      <c r="LXX518" s="13"/>
      <c r="LXY518" s="193"/>
      <c r="LXZ518" s="379"/>
      <c r="LYA518" s="379"/>
      <c r="LYB518" s="379"/>
      <c r="LYC518" s="379"/>
      <c r="LYD518" s="379"/>
      <c r="LYE518" s="13"/>
      <c r="LYF518" s="13"/>
      <c r="LYG518" s="193"/>
      <c r="LYH518" s="379"/>
      <c r="LYI518" s="379"/>
      <c r="LYJ518" s="379"/>
      <c r="LYK518" s="379"/>
      <c r="LYL518" s="379"/>
      <c r="LYM518" s="13"/>
      <c r="LYN518" s="13"/>
      <c r="LYO518" s="193"/>
      <c r="LYP518" s="379"/>
      <c r="LYQ518" s="379"/>
      <c r="LYR518" s="379"/>
      <c r="LYS518" s="379"/>
      <c r="LYT518" s="379"/>
      <c r="LYU518" s="13"/>
      <c r="LYV518" s="13"/>
      <c r="LYW518" s="193"/>
      <c r="LYX518" s="379"/>
      <c r="LYY518" s="379"/>
      <c r="LYZ518" s="379"/>
      <c r="LZA518" s="379"/>
      <c r="LZB518" s="379"/>
      <c r="LZC518" s="13"/>
      <c r="LZD518" s="13"/>
      <c r="LZE518" s="193"/>
      <c r="LZF518" s="379"/>
      <c r="LZG518" s="379"/>
      <c r="LZH518" s="379"/>
      <c r="LZI518" s="379"/>
      <c r="LZJ518" s="379"/>
      <c r="LZK518" s="13"/>
      <c r="LZL518" s="13"/>
      <c r="LZM518" s="193"/>
      <c r="LZN518" s="379"/>
      <c r="LZO518" s="379"/>
      <c r="LZP518" s="379"/>
      <c r="LZQ518" s="379"/>
      <c r="LZR518" s="379"/>
      <c r="LZS518" s="13"/>
      <c r="LZT518" s="13"/>
      <c r="LZU518" s="193"/>
      <c r="LZV518" s="379"/>
      <c r="LZW518" s="379"/>
      <c r="LZX518" s="379"/>
      <c r="LZY518" s="379"/>
      <c r="LZZ518" s="379"/>
      <c r="MAA518" s="13"/>
      <c r="MAB518" s="13"/>
      <c r="MAC518" s="193"/>
      <c r="MAD518" s="379"/>
      <c r="MAE518" s="379"/>
      <c r="MAF518" s="379"/>
      <c r="MAG518" s="379"/>
      <c r="MAH518" s="379"/>
      <c r="MAI518" s="13"/>
      <c r="MAJ518" s="13"/>
      <c r="MAK518" s="193"/>
      <c r="MAL518" s="379"/>
      <c r="MAM518" s="379"/>
      <c r="MAN518" s="379"/>
      <c r="MAO518" s="379"/>
      <c r="MAP518" s="379"/>
      <c r="MAQ518" s="13"/>
      <c r="MAR518" s="13"/>
      <c r="MAS518" s="193"/>
      <c r="MAT518" s="379"/>
      <c r="MAU518" s="379"/>
      <c r="MAV518" s="379"/>
      <c r="MAW518" s="379"/>
      <c r="MAX518" s="379"/>
      <c r="MAY518" s="13"/>
      <c r="MAZ518" s="13"/>
      <c r="MBA518" s="193"/>
      <c r="MBB518" s="379"/>
      <c r="MBC518" s="379"/>
      <c r="MBD518" s="379"/>
      <c r="MBE518" s="379"/>
      <c r="MBF518" s="379"/>
      <c r="MBG518" s="13"/>
      <c r="MBH518" s="13"/>
      <c r="MBI518" s="193"/>
      <c r="MBJ518" s="379"/>
      <c r="MBK518" s="379"/>
      <c r="MBL518" s="379"/>
      <c r="MBM518" s="379"/>
      <c r="MBN518" s="379"/>
      <c r="MBO518" s="13"/>
      <c r="MBP518" s="13"/>
      <c r="MBQ518" s="193"/>
      <c r="MBR518" s="379"/>
      <c r="MBS518" s="379"/>
      <c r="MBT518" s="379"/>
      <c r="MBU518" s="379"/>
      <c r="MBV518" s="379"/>
      <c r="MBW518" s="13"/>
      <c r="MBX518" s="13"/>
      <c r="MBY518" s="193"/>
      <c r="MBZ518" s="379"/>
      <c r="MCA518" s="379"/>
      <c r="MCB518" s="379"/>
      <c r="MCC518" s="379"/>
      <c r="MCD518" s="379"/>
      <c r="MCE518" s="13"/>
      <c r="MCF518" s="13"/>
      <c r="MCG518" s="193"/>
      <c r="MCH518" s="379"/>
      <c r="MCI518" s="379"/>
      <c r="MCJ518" s="379"/>
      <c r="MCK518" s="379"/>
      <c r="MCL518" s="379"/>
      <c r="MCM518" s="13"/>
      <c r="MCN518" s="13"/>
      <c r="MCO518" s="193"/>
      <c r="MCP518" s="379"/>
      <c r="MCQ518" s="379"/>
      <c r="MCR518" s="379"/>
      <c r="MCS518" s="379"/>
      <c r="MCT518" s="379"/>
      <c r="MCU518" s="13"/>
      <c r="MCV518" s="13"/>
      <c r="MCW518" s="193"/>
      <c r="MCX518" s="379"/>
      <c r="MCY518" s="379"/>
      <c r="MCZ518" s="379"/>
      <c r="MDA518" s="379"/>
      <c r="MDB518" s="379"/>
      <c r="MDC518" s="13"/>
      <c r="MDD518" s="13"/>
      <c r="MDE518" s="193"/>
      <c r="MDF518" s="379"/>
      <c r="MDG518" s="379"/>
      <c r="MDH518" s="379"/>
      <c r="MDI518" s="379"/>
      <c r="MDJ518" s="379"/>
      <c r="MDK518" s="13"/>
      <c r="MDL518" s="13"/>
      <c r="MDM518" s="193"/>
      <c r="MDN518" s="379"/>
      <c r="MDO518" s="379"/>
      <c r="MDP518" s="379"/>
      <c r="MDQ518" s="379"/>
      <c r="MDR518" s="379"/>
      <c r="MDS518" s="13"/>
      <c r="MDT518" s="13"/>
      <c r="MDU518" s="193"/>
      <c r="MDV518" s="379"/>
      <c r="MDW518" s="379"/>
      <c r="MDX518" s="379"/>
      <c r="MDY518" s="379"/>
      <c r="MDZ518" s="379"/>
      <c r="MEA518" s="13"/>
      <c r="MEB518" s="13"/>
      <c r="MEC518" s="193"/>
      <c r="MED518" s="379"/>
      <c r="MEE518" s="379"/>
      <c r="MEF518" s="379"/>
      <c r="MEG518" s="379"/>
      <c r="MEH518" s="379"/>
      <c r="MEI518" s="13"/>
      <c r="MEJ518" s="13"/>
      <c r="MEK518" s="193"/>
      <c r="MEL518" s="379"/>
      <c r="MEM518" s="379"/>
      <c r="MEN518" s="379"/>
      <c r="MEO518" s="379"/>
      <c r="MEP518" s="379"/>
      <c r="MEQ518" s="13"/>
      <c r="MER518" s="13"/>
      <c r="MES518" s="193"/>
      <c r="MET518" s="379"/>
      <c r="MEU518" s="379"/>
      <c r="MEV518" s="379"/>
      <c r="MEW518" s="379"/>
      <c r="MEX518" s="379"/>
      <c r="MEY518" s="13"/>
      <c r="MEZ518" s="13"/>
      <c r="MFA518" s="193"/>
      <c r="MFB518" s="379"/>
      <c r="MFC518" s="379"/>
      <c r="MFD518" s="379"/>
      <c r="MFE518" s="379"/>
      <c r="MFF518" s="379"/>
      <c r="MFG518" s="13"/>
      <c r="MFH518" s="13"/>
      <c r="MFI518" s="193"/>
      <c r="MFJ518" s="379"/>
      <c r="MFK518" s="379"/>
      <c r="MFL518" s="379"/>
      <c r="MFM518" s="379"/>
      <c r="MFN518" s="379"/>
      <c r="MFO518" s="13"/>
      <c r="MFP518" s="13"/>
      <c r="MFQ518" s="193"/>
      <c r="MFR518" s="379"/>
      <c r="MFS518" s="379"/>
      <c r="MFT518" s="379"/>
      <c r="MFU518" s="379"/>
      <c r="MFV518" s="379"/>
      <c r="MFW518" s="13"/>
      <c r="MFX518" s="13"/>
      <c r="MFY518" s="193"/>
      <c r="MFZ518" s="379"/>
      <c r="MGA518" s="379"/>
      <c r="MGB518" s="379"/>
      <c r="MGC518" s="379"/>
      <c r="MGD518" s="379"/>
      <c r="MGE518" s="13"/>
      <c r="MGF518" s="13"/>
      <c r="MGG518" s="193"/>
      <c r="MGH518" s="379"/>
      <c r="MGI518" s="379"/>
      <c r="MGJ518" s="379"/>
      <c r="MGK518" s="379"/>
      <c r="MGL518" s="379"/>
      <c r="MGM518" s="13"/>
      <c r="MGN518" s="13"/>
      <c r="MGO518" s="193"/>
      <c r="MGP518" s="379"/>
      <c r="MGQ518" s="379"/>
      <c r="MGR518" s="379"/>
      <c r="MGS518" s="379"/>
      <c r="MGT518" s="379"/>
      <c r="MGU518" s="13"/>
      <c r="MGV518" s="13"/>
      <c r="MGW518" s="193"/>
      <c r="MGX518" s="379"/>
      <c r="MGY518" s="379"/>
      <c r="MGZ518" s="379"/>
      <c r="MHA518" s="379"/>
      <c r="MHB518" s="379"/>
      <c r="MHC518" s="13"/>
      <c r="MHD518" s="13"/>
      <c r="MHE518" s="193"/>
      <c r="MHF518" s="379"/>
      <c r="MHG518" s="379"/>
      <c r="MHH518" s="379"/>
      <c r="MHI518" s="379"/>
      <c r="MHJ518" s="379"/>
      <c r="MHK518" s="13"/>
      <c r="MHL518" s="13"/>
      <c r="MHM518" s="193"/>
      <c r="MHN518" s="379"/>
      <c r="MHO518" s="379"/>
      <c r="MHP518" s="379"/>
      <c r="MHQ518" s="379"/>
      <c r="MHR518" s="379"/>
      <c r="MHS518" s="13"/>
      <c r="MHT518" s="13"/>
      <c r="MHU518" s="193"/>
      <c r="MHV518" s="379"/>
      <c r="MHW518" s="379"/>
      <c r="MHX518" s="379"/>
      <c r="MHY518" s="379"/>
      <c r="MHZ518" s="379"/>
      <c r="MIA518" s="13"/>
      <c r="MIB518" s="13"/>
      <c r="MIC518" s="193"/>
      <c r="MID518" s="379"/>
      <c r="MIE518" s="379"/>
      <c r="MIF518" s="379"/>
      <c r="MIG518" s="379"/>
      <c r="MIH518" s="379"/>
      <c r="MII518" s="13"/>
      <c r="MIJ518" s="13"/>
      <c r="MIK518" s="193"/>
      <c r="MIL518" s="379"/>
      <c r="MIM518" s="379"/>
      <c r="MIN518" s="379"/>
      <c r="MIO518" s="379"/>
      <c r="MIP518" s="379"/>
      <c r="MIQ518" s="13"/>
      <c r="MIR518" s="13"/>
      <c r="MIS518" s="193"/>
      <c r="MIT518" s="379"/>
      <c r="MIU518" s="379"/>
      <c r="MIV518" s="379"/>
      <c r="MIW518" s="379"/>
      <c r="MIX518" s="379"/>
      <c r="MIY518" s="13"/>
      <c r="MIZ518" s="13"/>
      <c r="MJA518" s="193"/>
      <c r="MJB518" s="379"/>
      <c r="MJC518" s="379"/>
      <c r="MJD518" s="379"/>
      <c r="MJE518" s="379"/>
      <c r="MJF518" s="379"/>
      <c r="MJG518" s="13"/>
      <c r="MJH518" s="13"/>
      <c r="MJI518" s="193"/>
      <c r="MJJ518" s="379"/>
      <c r="MJK518" s="379"/>
      <c r="MJL518" s="379"/>
      <c r="MJM518" s="379"/>
      <c r="MJN518" s="379"/>
      <c r="MJO518" s="13"/>
      <c r="MJP518" s="13"/>
      <c r="MJQ518" s="193"/>
      <c r="MJR518" s="379"/>
      <c r="MJS518" s="379"/>
      <c r="MJT518" s="379"/>
      <c r="MJU518" s="379"/>
      <c r="MJV518" s="379"/>
      <c r="MJW518" s="13"/>
      <c r="MJX518" s="13"/>
      <c r="MJY518" s="193"/>
      <c r="MJZ518" s="379"/>
      <c r="MKA518" s="379"/>
      <c r="MKB518" s="379"/>
      <c r="MKC518" s="379"/>
      <c r="MKD518" s="379"/>
      <c r="MKE518" s="13"/>
      <c r="MKF518" s="13"/>
      <c r="MKG518" s="193"/>
      <c r="MKH518" s="379"/>
      <c r="MKI518" s="379"/>
      <c r="MKJ518" s="379"/>
      <c r="MKK518" s="379"/>
      <c r="MKL518" s="379"/>
      <c r="MKM518" s="13"/>
      <c r="MKN518" s="13"/>
      <c r="MKO518" s="193"/>
      <c r="MKP518" s="379"/>
      <c r="MKQ518" s="379"/>
      <c r="MKR518" s="379"/>
      <c r="MKS518" s="379"/>
      <c r="MKT518" s="379"/>
      <c r="MKU518" s="13"/>
      <c r="MKV518" s="13"/>
      <c r="MKW518" s="193"/>
      <c r="MKX518" s="379"/>
      <c r="MKY518" s="379"/>
      <c r="MKZ518" s="379"/>
      <c r="MLA518" s="379"/>
      <c r="MLB518" s="379"/>
      <c r="MLC518" s="13"/>
      <c r="MLD518" s="13"/>
      <c r="MLE518" s="193"/>
      <c r="MLF518" s="379"/>
      <c r="MLG518" s="379"/>
      <c r="MLH518" s="379"/>
      <c r="MLI518" s="379"/>
      <c r="MLJ518" s="379"/>
      <c r="MLK518" s="13"/>
      <c r="MLL518" s="13"/>
      <c r="MLM518" s="193"/>
      <c r="MLN518" s="379"/>
      <c r="MLO518" s="379"/>
      <c r="MLP518" s="379"/>
      <c r="MLQ518" s="379"/>
      <c r="MLR518" s="379"/>
      <c r="MLS518" s="13"/>
      <c r="MLT518" s="13"/>
      <c r="MLU518" s="193"/>
      <c r="MLV518" s="379"/>
      <c r="MLW518" s="379"/>
      <c r="MLX518" s="379"/>
      <c r="MLY518" s="379"/>
      <c r="MLZ518" s="379"/>
      <c r="MMA518" s="13"/>
      <c r="MMB518" s="13"/>
      <c r="MMC518" s="193"/>
      <c r="MMD518" s="379"/>
      <c r="MME518" s="379"/>
      <c r="MMF518" s="379"/>
      <c r="MMG518" s="379"/>
      <c r="MMH518" s="379"/>
      <c r="MMI518" s="13"/>
      <c r="MMJ518" s="13"/>
      <c r="MMK518" s="193"/>
      <c r="MML518" s="379"/>
      <c r="MMM518" s="379"/>
      <c r="MMN518" s="379"/>
      <c r="MMO518" s="379"/>
      <c r="MMP518" s="379"/>
      <c r="MMQ518" s="13"/>
      <c r="MMR518" s="13"/>
      <c r="MMS518" s="193"/>
      <c r="MMT518" s="379"/>
      <c r="MMU518" s="379"/>
      <c r="MMV518" s="379"/>
      <c r="MMW518" s="379"/>
      <c r="MMX518" s="379"/>
      <c r="MMY518" s="13"/>
      <c r="MMZ518" s="13"/>
      <c r="MNA518" s="193"/>
      <c r="MNB518" s="379"/>
      <c r="MNC518" s="379"/>
      <c r="MND518" s="379"/>
      <c r="MNE518" s="379"/>
      <c r="MNF518" s="379"/>
      <c r="MNG518" s="13"/>
      <c r="MNH518" s="13"/>
      <c r="MNI518" s="193"/>
      <c r="MNJ518" s="379"/>
      <c r="MNK518" s="379"/>
      <c r="MNL518" s="379"/>
      <c r="MNM518" s="379"/>
      <c r="MNN518" s="379"/>
      <c r="MNO518" s="13"/>
      <c r="MNP518" s="13"/>
      <c r="MNQ518" s="193"/>
      <c r="MNR518" s="379"/>
      <c r="MNS518" s="379"/>
      <c r="MNT518" s="379"/>
      <c r="MNU518" s="379"/>
      <c r="MNV518" s="379"/>
      <c r="MNW518" s="13"/>
      <c r="MNX518" s="13"/>
      <c r="MNY518" s="193"/>
      <c r="MNZ518" s="379"/>
      <c r="MOA518" s="379"/>
      <c r="MOB518" s="379"/>
      <c r="MOC518" s="379"/>
      <c r="MOD518" s="379"/>
      <c r="MOE518" s="13"/>
      <c r="MOF518" s="13"/>
      <c r="MOG518" s="193"/>
      <c r="MOH518" s="379"/>
      <c r="MOI518" s="379"/>
      <c r="MOJ518" s="379"/>
      <c r="MOK518" s="379"/>
      <c r="MOL518" s="379"/>
      <c r="MOM518" s="13"/>
      <c r="MON518" s="13"/>
      <c r="MOO518" s="193"/>
      <c r="MOP518" s="379"/>
      <c r="MOQ518" s="379"/>
      <c r="MOR518" s="379"/>
      <c r="MOS518" s="379"/>
      <c r="MOT518" s="379"/>
      <c r="MOU518" s="13"/>
      <c r="MOV518" s="13"/>
      <c r="MOW518" s="193"/>
      <c r="MOX518" s="379"/>
      <c r="MOY518" s="379"/>
      <c r="MOZ518" s="379"/>
      <c r="MPA518" s="379"/>
      <c r="MPB518" s="379"/>
      <c r="MPC518" s="13"/>
      <c r="MPD518" s="13"/>
      <c r="MPE518" s="193"/>
      <c r="MPF518" s="379"/>
      <c r="MPG518" s="379"/>
      <c r="MPH518" s="379"/>
      <c r="MPI518" s="379"/>
      <c r="MPJ518" s="379"/>
      <c r="MPK518" s="13"/>
      <c r="MPL518" s="13"/>
      <c r="MPM518" s="193"/>
      <c r="MPN518" s="379"/>
      <c r="MPO518" s="379"/>
      <c r="MPP518" s="379"/>
      <c r="MPQ518" s="379"/>
      <c r="MPR518" s="379"/>
      <c r="MPS518" s="13"/>
      <c r="MPT518" s="13"/>
      <c r="MPU518" s="193"/>
      <c r="MPV518" s="379"/>
      <c r="MPW518" s="379"/>
      <c r="MPX518" s="379"/>
      <c r="MPY518" s="379"/>
      <c r="MPZ518" s="379"/>
      <c r="MQA518" s="13"/>
      <c r="MQB518" s="13"/>
      <c r="MQC518" s="193"/>
      <c r="MQD518" s="379"/>
      <c r="MQE518" s="379"/>
      <c r="MQF518" s="379"/>
      <c r="MQG518" s="379"/>
      <c r="MQH518" s="379"/>
      <c r="MQI518" s="13"/>
      <c r="MQJ518" s="13"/>
      <c r="MQK518" s="193"/>
      <c r="MQL518" s="379"/>
      <c r="MQM518" s="379"/>
      <c r="MQN518" s="379"/>
      <c r="MQO518" s="379"/>
      <c r="MQP518" s="379"/>
      <c r="MQQ518" s="13"/>
      <c r="MQR518" s="13"/>
      <c r="MQS518" s="193"/>
      <c r="MQT518" s="379"/>
      <c r="MQU518" s="379"/>
      <c r="MQV518" s="379"/>
      <c r="MQW518" s="379"/>
      <c r="MQX518" s="379"/>
      <c r="MQY518" s="13"/>
      <c r="MQZ518" s="13"/>
      <c r="MRA518" s="193"/>
      <c r="MRB518" s="379"/>
      <c r="MRC518" s="379"/>
      <c r="MRD518" s="379"/>
      <c r="MRE518" s="379"/>
      <c r="MRF518" s="379"/>
      <c r="MRG518" s="13"/>
      <c r="MRH518" s="13"/>
      <c r="MRI518" s="193"/>
      <c r="MRJ518" s="379"/>
      <c r="MRK518" s="379"/>
      <c r="MRL518" s="379"/>
      <c r="MRM518" s="379"/>
      <c r="MRN518" s="379"/>
      <c r="MRO518" s="13"/>
      <c r="MRP518" s="13"/>
      <c r="MRQ518" s="193"/>
      <c r="MRR518" s="379"/>
      <c r="MRS518" s="379"/>
      <c r="MRT518" s="379"/>
      <c r="MRU518" s="379"/>
      <c r="MRV518" s="379"/>
      <c r="MRW518" s="13"/>
      <c r="MRX518" s="13"/>
      <c r="MRY518" s="193"/>
      <c r="MRZ518" s="379"/>
      <c r="MSA518" s="379"/>
      <c r="MSB518" s="379"/>
      <c r="MSC518" s="379"/>
      <c r="MSD518" s="379"/>
      <c r="MSE518" s="13"/>
      <c r="MSF518" s="13"/>
      <c r="MSG518" s="193"/>
      <c r="MSH518" s="379"/>
      <c r="MSI518" s="379"/>
      <c r="MSJ518" s="379"/>
      <c r="MSK518" s="379"/>
      <c r="MSL518" s="379"/>
      <c r="MSM518" s="13"/>
      <c r="MSN518" s="13"/>
      <c r="MSO518" s="193"/>
      <c r="MSP518" s="379"/>
      <c r="MSQ518" s="379"/>
      <c r="MSR518" s="379"/>
      <c r="MSS518" s="379"/>
      <c r="MST518" s="379"/>
      <c r="MSU518" s="13"/>
      <c r="MSV518" s="13"/>
      <c r="MSW518" s="193"/>
      <c r="MSX518" s="379"/>
      <c r="MSY518" s="379"/>
      <c r="MSZ518" s="379"/>
      <c r="MTA518" s="379"/>
      <c r="MTB518" s="379"/>
      <c r="MTC518" s="13"/>
      <c r="MTD518" s="13"/>
      <c r="MTE518" s="193"/>
      <c r="MTF518" s="379"/>
      <c r="MTG518" s="379"/>
      <c r="MTH518" s="379"/>
      <c r="MTI518" s="379"/>
      <c r="MTJ518" s="379"/>
      <c r="MTK518" s="13"/>
      <c r="MTL518" s="13"/>
      <c r="MTM518" s="193"/>
      <c r="MTN518" s="379"/>
      <c r="MTO518" s="379"/>
      <c r="MTP518" s="379"/>
      <c r="MTQ518" s="379"/>
      <c r="MTR518" s="379"/>
      <c r="MTS518" s="13"/>
      <c r="MTT518" s="13"/>
      <c r="MTU518" s="193"/>
      <c r="MTV518" s="379"/>
      <c r="MTW518" s="379"/>
      <c r="MTX518" s="379"/>
      <c r="MTY518" s="379"/>
      <c r="MTZ518" s="379"/>
      <c r="MUA518" s="13"/>
      <c r="MUB518" s="13"/>
      <c r="MUC518" s="193"/>
      <c r="MUD518" s="379"/>
      <c r="MUE518" s="379"/>
      <c r="MUF518" s="379"/>
      <c r="MUG518" s="379"/>
      <c r="MUH518" s="379"/>
      <c r="MUI518" s="13"/>
      <c r="MUJ518" s="13"/>
      <c r="MUK518" s="193"/>
      <c r="MUL518" s="379"/>
      <c r="MUM518" s="379"/>
      <c r="MUN518" s="379"/>
      <c r="MUO518" s="379"/>
      <c r="MUP518" s="379"/>
      <c r="MUQ518" s="13"/>
      <c r="MUR518" s="13"/>
      <c r="MUS518" s="193"/>
      <c r="MUT518" s="379"/>
      <c r="MUU518" s="379"/>
      <c r="MUV518" s="379"/>
      <c r="MUW518" s="379"/>
      <c r="MUX518" s="379"/>
      <c r="MUY518" s="13"/>
      <c r="MUZ518" s="13"/>
      <c r="MVA518" s="193"/>
      <c r="MVB518" s="379"/>
      <c r="MVC518" s="379"/>
      <c r="MVD518" s="379"/>
      <c r="MVE518" s="379"/>
      <c r="MVF518" s="379"/>
      <c r="MVG518" s="13"/>
      <c r="MVH518" s="13"/>
      <c r="MVI518" s="193"/>
      <c r="MVJ518" s="379"/>
      <c r="MVK518" s="379"/>
      <c r="MVL518" s="379"/>
      <c r="MVM518" s="379"/>
      <c r="MVN518" s="379"/>
      <c r="MVO518" s="13"/>
      <c r="MVP518" s="13"/>
      <c r="MVQ518" s="193"/>
      <c r="MVR518" s="379"/>
      <c r="MVS518" s="379"/>
      <c r="MVT518" s="379"/>
      <c r="MVU518" s="379"/>
      <c r="MVV518" s="379"/>
      <c r="MVW518" s="13"/>
      <c r="MVX518" s="13"/>
      <c r="MVY518" s="193"/>
      <c r="MVZ518" s="379"/>
      <c r="MWA518" s="379"/>
      <c r="MWB518" s="379"/>
      <c r="MWC518" s="379"/>
      <c r="MWD518" s="379"/>
      <c r="MWE518" s="13"/>
      <c r="MWF518" s="13"/>
      <c r="MWG518" s="193"/>
      <c r="MWH518" s="379"/>
      <c r="MWI518" s="379"/>
      <c r="MWJ518" s="379"/>
      <c r="MWK518" s="379"/>
      <c r="MWL518" s="379"/>
      <c r="MWM518" s="13"/>
      <c r="MWN518" s="13"/>
      <c r="MWO518" s="193"/>
      <c r="MWP518" s="379"/>
      <c r="MWQ518" s="379"/>
      <c r="MWR518" s="379"/>
      <c r="MWS518" s="379"/>
      <c r="MWT518" s="379"/>
      <c r="MWU518" s="13"/>
      <c r="MWV518" s="13"/>
      <c r="MWW518" s="193"/>
      <c r="MWX518" s="379"/>
      <c r="MWY518" s="379"/>
      <c r="MWZ518" s="379"/>
      <c r="MXA518" s="379"/>
      <c r="MXB518" s="379"/>
      <c r="MXC518" s="13"/>
      <c r="MXD518" s="13"/>
      <c r="MXE518" s="193"/>
      <c r="MXF518" s="379"/>
      <c r="MXG518" s="379"/>
      <c r="MXH518" s="379"/>
      <c r="MXI518" s="379"/>
      <c r="MXJ518" s="379"/>
      <c r="MXK518" s="13"/>
      <c r="MXL518" s="13"/>
      <c r="MXM518" s="193"/>
      <c r="MXN518" s="379"/>
      <c r="MXO518" s="379"/>
      <c r="MXP518" s="379"/>
      <c r="MXQ518" s="379"/>
      <c r="MXR518" s="379"/>
      <c r="MXS518" s="13"/>
      <c r="MXT518" s="13"/>
      <c r="MXU518" s="193"/>
      <c r="MXV518" s="379"/>
      <c r="MXW518" s="379"/>
      <c r="MXX518" s="379"/>
      <c r="MXY518" s="379"/>
      <c r="MXZ518" s="379"/>
      <c r="MYA518" s="13"/>
      <c r="MYB518" s="13"/>
      <c r="MYC518" s="193"/>
      <c r="MYD518" s="379"/>
      <c r="MYE518" s="379"/>
      <c r="MYF518" s="379"/>
      <c r="MYG518" s="379"/>
      <c r="MYH518" s="379"/>
      <c r="MYI518" s="13"/>
      <c r="MYJ518" s="13"/>
      <c r="MYK518" s="193"/>
      <c r="MYL518" s="379"/>
      <c r="MYM518" s="379"/>
      <c r="MYN518" s="379"/>
      <c r="MYO518" s="379"/>
      <c r="MYP518" s="379"/>
      <c r="MYQ518" s="13"/>
      <c r="MYR518" s="13"/>
      <c r="MYS518" s="193"/>
      <c r="MYT518" s="379"/>
      <c r="MYU518" s="379"/>
      <c r="MYV518" s="379"/>
      <c r="MYW518" s="379"/>
      <c r="MYX518" s="379"/>
      <c r="MYY518" s="13"/>
      <c r="MYZ518" s="13"/>
      <c r="MZA518" s="193"/>
      <c r="MZB518" s="379"/>
      <c r="MZC518" s="379"/>
      <c r="MZD518" s="379"/>
      <c r="MZE518" s="379"/>
      <c r="MZF518" s="379"/>
      <c r="MZG518" s="13"/>
      <c r="MZH518" s="13"/>
      <c r="MZI518" s="193"/>
      <c r="MZJ518" s="379"/>
      <c r="MZK518" s="379"/>
      <c r="MZL518" s="379"/>
      <c r="MZM518" s="379"/>
      <c r="MZN518" s="379"/>
      <c r="MZO518" s="13"/>
      <c r="MZP518" s="13"/>
      <c r="MZQ518" s="193"/>
      <c r="MZR518" s="379"/>
      <c r="MZS518" s="379"/>
      <c r="MZT518" s="379"/>
      <c r="MZU518" s="379"/>
      <c r="MZV518" s="379"/>
      <c r="MZW518" s="13"/>
      <c r="MZX518" s="13"/>
      <c r="MZY518" s="193"/>
      <c r="MZZ518" s="379"/>
      <c r="NAA518" s="379"/>
      <c r="NAB518" s="379"/>
      <c r="NAC518" s="379"/>
      <c r="NAD518" s="379"/>
      <c r="NAE518" s="13"/>
      <c r="NAF518" s="13"/>
      <c r="NAG518" s="193"/>
      <c r="NAH518" s="379"/>
      <c r="NAI518" s="379"/>
      <c r="NAJ518" s="379"/>
      <c r="NAK518" s="379"/>
      <c r="NAL518" s="379"/>
      <c r="NAM518" s="13"/>
      <c r="NAN518" s="13"/>
      <c r="NAO518" s="193"/>
      <c r="NAP518" s="379"/>
      <c r="NAQ518" s="379"/>
      <c r="NAR518" s="379"/>
      <c r="NAS518" s="379"/>
      <c r="NAT518" s="379"/>
      <c r="NAU518" s="13"/>
      <c r="NAV518" s="13"/>
      <c r="NAW518" s="193"/>
      <c r="NAX518" s="379"/>
      <c r="NAY518" s="379"/>
      <c r="NAZ518" s="379"/>
      <c r="NBA518" s="379"/>
      <c r="NBB518" s="379"/>
      <c r="NBC518" s="13"/>
      <c r="NBD518" s="13"/>
      <c r="NBE518" s="193"/>
      <c r="NBF518" s="379"/>
      <c r="NBG518" s="379"/>
      <c r="NBH518" s="379"/>
      <c r="NBI518" s="379"/>
      <c r="NBJ518" s="379"/>
      <c r="NBK518" s="13"/>
      <c r="NBL518" s="13"/>
      <c r="NBM518" s="193"/>
      <c r="NBN518" s="379"/>
      <c r="NBO518" s="379"/>
      <c r="NBP518" s="379"/>
      <c r="NBQ518" s="379"/>
      <c r="NBR518" s="379"/>
      <c r="NBS518" s="13"/>
      <c r="NBT518" s="13"/>
      <c r="NBU518" s="193"/>
      <c r="NBV518" s="379"/>
      <c r="NBW518" s="379"/>
      <c r="NBX518" s="379"/>
      <c r="NBY518" s="379"/>
      <c r="NBZ518" s="379"/>
      <c r="NCA518" s="13"/>
      <c r="NCB518" s="13"/>
      <c r="NCC518" s="193"/>
      <c r="NCD518" s="379"/>
      <c r="NCE518" s="379"/>
      <c r="NCF518" s="379"/>
      <c r="NCG518" s="379"/>
      <c r="NCH518" s="379"/>
      <c r="NCI518" s="13"/>
      <c r="NCJ518" s="13"/>
      <c r="NCK518" s="193"/>
      <c r="NCL518" s="379"/>
      <c r="NCM518" s="379"/>
      <c r="NCN518" s="379"/>
      <c r="NCO518" s="379"/>
      <c r="NCP518" s="379"/>
      <c r="NCQ518" s="13"/>
      <c r="NCR518" s="13"/>
      <c r="NCS518" s="193"/>
      <c r="NCT518" s="379"/>
      <c r="NCU518" s="379"/>
      <c r="NCV518" s="379"/>
      <c r="NCW518" s="379"/>
      <c r="NCX518" s="379"/>
      <c r="NCY518" s="13"/>
      <c r="NCZ518" s="13"/>
      <c r="NDA518" s="193"/>
      <c r="NDB518" s="379"/>
      <c r="NDC518" s="379"/>
      <c r="NDD518" s="379"/>
      <c r="NDE518" s="379"/>
      <c r="NDF518" s="379"/>
      <c r="NDG518" s="13"/>
      <c r="NDH518" s="13"/>
      <c r="NDI518" s="193"/>
      <c r="NDJ518" s="379"/>
      <c r="NDK518" s="379"/>
      <c r="NDL518" s="379"/>
      <c r="NDM518" s="379"/>
      <c r="NDN518" s="379"/>
      <c r="NDO518" s="13"/>
      <c r="NDP518" s="13"/>
      <c r="NDQ518" s="193"/>
      <c r="NDR518" s="379"/>
      <c r="NDS518" s="379"/>
      <c r="NDT518" s="379"/>
      <c r="NDU518" s="379"/>
      <c r="NDV518" s="379"/>
      <c r="NDW518" s="13"/>
      <c r="NDX518" s="13"/>
      <c r="NDY518" s="193"/>
      <c r="NDZ518" s="379"/>
      <c r="NEA518" s="379"/>
      <c r="NEB518" s="379"/>
      <c r="NEC518" s="379"/>
      <c r="NED518" s="379"/>
      <c r="NEE518" s="13"/>
      <c r="NEF518" s="13"/>
      <c r="NEG518" s="193"/>
      <c r="NEH518" s="379"/>
      <c r="NEI518" s="379"/>
      <c r="NEJ518" s="379"/>
      <c r="NEK518" s="379"/>
      <c r="NEL518" s="379"/>
      <c r="NEM518" s="13"/>
      <c r="NEN518" s="13"/>
      <c r="NEO518" s="193"/>
      <c r="NEP518" s="379"/>
      <c r="NEQ518" s="379"/>
      <c r="NER518" s="379"/>
      <c r="NES518" s="379"/>
      <c r="NET518" s="379"/>
      <c r="NEU518" s="13"/>
      <c r="NEV518" s="13"/>
      <c r="NEW518" s="193"/>
      <c r="NEX518" s="379"/>
      <c r="NEY518" s="379"/>
      <c r="NEZ518" s="379"/>
      <c r="NFA518" s="379"/>
      <c r="NFB518" s="379"/>
      <c r="NFC518" s="13"/>
      <c r="NFD518" s="13"/>
      <c r="NFE518" s="193"/>
      <c r="NFF518" s="379"/>
      <c r="NFG518" s="379"/>
      <c r="NFH518" s="379"/>
      <c r="NFI518" s="379"/>
      <c r="NFJ518" s="379"/>
      <c r="NFK518" s="13"/>
      <c r="NFL518" s="13"/>
      <c r="NFM518" s="193"/>
      <c r="NFN518" s="379"/>
      <c r="NFO518" s="379"/>
      <c r="NFP518" s="379"/>
      <c r="NFQ518" s="379"/>
      <c r="NFR518" s="379"/>
      <c r="NFS518" s="13"/>
      <c r="NFT518" s="13"/>
      <c r="NFU518" s="193"/>
      <c r="NFV518" s="379"/>
      <c r="NFW518" s="379"/>
      <c r="NFX518" s="379"/>
      <c r="NFY518" s="379"/>
      <c r="NFZ518" s="379"/>
      <c r="NGA518" s="13"/>
      <c r="NGB518" s="13"/>
      <c r="NGC518" s="193"/>
      <c r="NGD518" s="379"/>
      <c r="NGE518" s="379"/>
      <c r="NGF518" s="379"/>
      <c r="NGG518" s="379"/>
      <c r="NGH518" s="379"/>
      <c r="NGI518" s="13"/>
      <c r="NGJ518" s="13"/>
      <c r="NGK518" s="193"/>
      <c r="NGL518" s="379"/>
      <c r="NGM518" s="379"/>
      <c r="NGN518" s="379"/>
      <c r="NGO518" s="379"/>
      <c r="NGP518" s="379"/>
      <c r="NGQ518" s="13"/>
      <c r="NGR518" s="13"/>
      <c r="NGS518" s="193"/>
      <c r="NGT518" s="379"/>
      <c r="NGU518" s="379"/>
      <c r="NGV518" s="379"/>
      <c r="NGW518" s="379"/>
      <c r="NGX518" s="379"/>
      <c r="NGY518" s="13"/>
      <c r="NGZ518" s="13"/>
      <c r="NHA518" s="193"/>
      <c r="NHB518" s="379"/>
      <c r="NHC518" s="379"/>
      <c r="NHD518" s="379"/>
      <c r="NHE518" s="379"/>
      <c r="NHF518" s="379"/>
      <c r="NHG518" s="13"/>
      <c r="NHH518" s="13"/>
      <c r="NHI518" s="193"/>
      <c r="NHJ518" s="379"/>
      <c r="NHK518" s="379"/>
      <c r="NHL518" s="379"/>
      <c r="NHM518" s="379"/>
      <c r="NHN518" s="379"/>
      <c r="NHO518" s="13"/>
      <c r="NHP518" s="13"/>
      <c r="NHQ518" s="193"/>
      <c r="NHR518" s="379"/>
      <c r="NHS518" s="379"/>
      <c r="NHT518" s="379"/>
      <c r="NHU518" s="379"/>
      <c r="NHV518" s="379"/>
      <c r="NHW518" s="13"/>
      <c r="NHX518" s="13"/>
      <c r="NHY518" s="193"/>
      <c r="NHZ518" s="379"/>
      <c r="NIA518" s="379"/>
      <c r="NIB518" s="379"/>
      <c r="NIC518" s="379"/>
      <c r="NID518" s="379"/>
      <c r="NIE518" s="13"/>
      <c r="NIF518" s="13"/>
      <c r="NIG518" s="193"/>
      <c r="NIH518" s="379"/>
      <c r="NII518" s="379"/>
      <c r="NIJ518" s="379"/>
      <c r="NIK518" s="379"/>
      <c r="NIL518" s="379"/>
      <c r="NIM518" s="13"/>
      <c r="NIN518" s="13"/>
      <c r="NIO518" s="193"/>
      <c r="NIP518" s="379"/>
      <c r="NIQ518" s="379"/>
      <c r="NIR518" s="379"/>
      <c r="NIS518" s="379"/>
      <c r="NIT518" s="379"/>
      <c r="NIU518" s="13"/>
      <c r="NIV518" s="13"/>
      <c r="NIW518" s="193"/>
      <c r="NIX518" s="379"/>
      <c r="NIY518" s="379"/>
      <c r="NIZ518" s="379"/>
      <c r="NJA518" s="379"/>
      <c r="NJB518" s="379"/>
      <c r="NJC518" s="13"/>
      <c r="NJD518" s="13"/>
      <c r="NJE518" s="193"/>
      <c r="NJF518" s="379"/>
      <c r="NJG518" s="379"/>
      <c r="NJH518" s="379"/>
      <c r="NJI518" s="379"/>
      <c r="NJJ518" s="379"/>
      <c r="NJK518" s="13"/>
      <c r="NJL518" s="13"/>
      <c r="NJM518" s="193"/>
      <c r="NJN518" s="379"/>
      <c r="NJO518" s="379"/>
      <c r="NJP518" s="379"/>
      <c r="NJQ518" s="379"/>
      <c r="NJR518" s="379"/>
      <c r="NJS518" s="13"/>
      <c r="NJT518" s="13"/>
      <c r="NJU518" s="193"/>
      <c r="NJV518" s="379"/>
      <c r="NJW518" s="379"/>
      <c r="NJX518" s="379"/>
      <c r="NJY518" s="379"/>
      <c r="NJZ518" s="379"/>
      <c r="NKA518" s="13"/>
      <c r="NKB518" s="13"/>
      <c r="NKC518" s="193"/>
      <c r="NKD518" s="379"/>
      <c r="NKE518" s="379"/>
      <c r="NKF518" s="379"/>
      <c r="NKG518" s="379"/>
      <c r="NKH518" s="379"/>
      <c r="NKI518" s="13"/>
      <c r="NKJ518" s="13"/>
      <c r="NKK518" s="193"/>
      <c r="NKL518" s="379"/>
      <c r="NKM518" s="379"/>
      <c r="NKN518" s="379"/>
      <c r="NKO518" s="379"/>
      <c r="NKP518" s="379"/>
      <c r="NKQ518" s="13"/>
      <c r="NKR518" s="13"/>
      <c r="NKS518" s="193"/>
      <c r="NKT518" s="379"/>
      <c r="NKU518" s="379"/>
      <c r="NKV518" s="379"/>
      <c r="NKW518" s="379"/>
      <c r="NKX518" s="379"/>
      <c r="NKY518" s="13"/>
      <c r="NKZ518" s="13"/>
      <c r="NLA518" s="193"/>
      <c r="NLB518" s="379"/>
      <c r="NLC518" s="379"/>
      <c r="NLD518" s="379"/>
      <c r="NLE518" s="379"/>
      <c r="NLF518" s="379"/>
      <c r="NLG518" s="13"/>
      <c r="NLH518" s="13"/>
      <c r="NLI518" s="193"/>
      <c r="NLJ518" s="379"/>
      <c r="NLK518" s="379"/>
      <c r="NLL518" s="379"/>
      <c r="NLM518" s="379"/>
      <c r="NLN518" s="379"/>
      <c r="NLO518" s="13"/>
      <c r="NLP518" s="13"/>
      <c r="NLQ518" s="193"/>
      <c r="NLR518" s="379"/>
      <c r="NLS518" s="379"/>
      <c r="NLT518" s="379"/>
      <c r="NLU518" s="379"/>
      <c r="NLV518" s="379"/>
      <c r="NLW518" s="13"/>
      <c r="NLX518" s="13"/>
      <c r="NLY518" s="193"/>
      <c r="NLZ518" s="379"/>
      <c r="NMA518" s="379"/>
      <c r="NMB518" s="379"/>
      <c r="NMC518" s="379"/>
      <c r="NMD518" s="379"/>
      <c r="NME518" s="13"/>
      <c r="NMF518" s="13"/>
      <c r="NMG518" s="193"/>
      <c r="NMH518" s="379"/>
      <c r="NMI518" s="379"/>
      <c r="NMJ518" s="379"/>
      <c r="NMK518" s="379"/>
      <c r="NML518" s="379"/>
      <c r="NMM518" s="13"/>
      <c r="NMN518" s="13"/>
      <c r="NMO518" s="193"/>
      <c r="NMP518" s="379"/>
      <c r="NMQ518" s="379"/>
      <c r="NMR518" s="379"/>
      <c r="NMS518" s="379"/>
      <c r="NMT518" s="379"/>
      <c r="NMU518" s="13"/>
      <c r="NMV518" s="13"/>
      <c r="NMW518" s="193"/>
      <c r="NMX518" s="379"/>
      <c r="NMY518" s="379"/>
      <c r="NMZ518" s="379"/>
      <c r="NNA518" s="379"/>
      <c r="NNB518" s="379"/>
      <c r="NNC518" s="13"/>
      <c r="NND518" s="13"/>
      <c r="NNE518" s="193"/>
      <c r="NNF518" s="379"/>
      <c r="NNG518" s="379"/>
      <c r="NNH518" s="379"/>
      <c r="NNI518" s="379"/>
      <c r="NNJ518" s="379"/>
      <c r="NNK518" s="13"/>
      <c r="NNL518" s="13"/>
      <c r="NNM518" s="193"/>
      <c r="NNN518" s="379"/>
      <c r="NNO518" s="379"/>
      <c r="NNP518" s="379"/>
      <c r="NNQ518" s="379"/>
      <c r="NNR518" s="379"/>
      <c r="NNS518" s="13"/>
      <c r="NNT518" s="13"/>
      <c r="NNU518" s="193"/>
      <c r="NNV518" s="379"/>
      <c r="NNW518" s="379"/>
      <c r="NNX518" s="379"/>
      <c r="NNY518" s="379"/>
      <c r="NNZ518" s="379"/>
      <c r="NOA518" s="13"/>
      <c r="NOB518" s="13"/>
      <c r="NOC518" s="193"/>
      <c r="NOD518" s="379"/>
      <c r="NOE518" s="379"/>
      <c r="NOF518" s="379"/>
      <c r="NOG518" s="379"/>
      <c r="NOH518" s="379"/>
      <c r="NOI518" s="13"/>
      <c r="NOJ518" s="13"/>
      <c r="NOK518" s="193"/>
      <c r="NOL518" s="379"/>
      <c r="NOM518" s="379"/>
      <c r="NON518" s="379"/>
      <c r="NOO518" s="379"/>
      <c r="NOP518" s="379"/>
      <c r="NOQ518" s="13"/>
      <c r="NOR518" s="13"/>
      <c r="NOS518" s="193"/>
      <c r="NOT518" s="379"/>
      <c r="NOU518" s="379"/>
      <c r="NOV518" s="379"/>
      <c r="NOW518" s="379"/>
      <c r="NOX518" s="379"/>
      <c r="NOY518" s="13"/>
      <c r="NOZ518" s="13"/>
      <c r="NPA518" s="193"/>
      <c r="NPB518" s="379"/>
      <c r="NPC518" s="379"/>
      <c r="NPD518" s="379"/>
      <c r="NPE518" s="379"/>
      <c r="NPF518" s="379"/>
      <c r="NPG518" s="13"/>
      <c r="NPH518" s="13"/>
      <c r="NPI518" s="193"/>
      <c r="NPJ518" s="379"/>
      <c r="NPK518" s="379"/>
      <c r="NPL518" s="379"/>
      <c r="NPM518" s="379"/>
      <c r="NPN518" s="379"/>
      <c r="NPO518" s="13"/>
      <c r="NPP518" s="13"/>
      <c r="NPQ518" s="193"/>
      <c r="NPR518" s="379"/>
      <c r="NPS518" s="379"/>
      <c r="NPT518" s="379"/>
      <c r="NPU518" s="379"/>
      <c r="NPV518" s="379"/>
      <c r="NPW518" s="13"/>
      <c r="NPX518" s="13"/>
      <c r="NPY518" s="193"/>
      <c r="NPZ518" s="379"/>
      <c r="NQA518" s="379"/>
      <c r="NQB518" s="379"/>
      <c r="NQC518" s="379"/>
      <c r="NQD518" s="379"/>
      <c r="NQE518" s="13"/>
      <c r="NQF518" s="13"/>
      <c r="NQG518" s="193"/>
      <c r="NQH518" s="379"/>
      <c r="NQI518" s="379"/>
      <c r="NQJ518" s="379"/>
      <c r="NQK518" s="379"/>
      <c r="NQL518" s="379"/>
      <c r="NQM518" s="13"/>
      <c r="NQN518" s="13"/>
      <c r="NQO518" s="193"/>
      <c r="NQP518" s="379"/>
      <c r="NQQ518" s="379"/>
      <c r="NQR518" s="379"/>
      <c r="NQS518" s="379"/>
      <c r="NQT518" s="379"/>
      <c r="NQU518" s="13"/>
      <c r="NQV518" s="13"/>
      <c r="NQW518" s="193"/>
      <c r="NQX518" s="379"/>
      <c r="NQY518" s="379"/>
      <c r="NQZ518" s="379"/>
      <c r="NRA518" s="379"/>
      <c r="NRB518" s="379"/>
      <c r="NRC518" s="13"/>
      <c r="NRD518" s="13"/>
      <c r="NRE518" s="193"/>
      <c r="NRF518" s="379"/>
      <c r="NRG518" s="379"/>
      <c r="NRH518" s="379"/>
      <c r="NRI518" s="379"/>
      <c r="NRJ518" s="379"/>
      <c r="NRK518" s="13"/>
      <c r="NRL518" s="13"/>
      <c r="NRM518" s="193"/>
      <c r="NRN518" s="379"/>
      <c r="NRO518" s="379"/>
      <c r="NRP518" s="379"/>
      <c r="NRQ518" s="379"/>
      <c r="NRR518" s="379"/>
      <c r="NRS518" s="13"/>
      <c r="NRT518" s="13"/>
      <c r="NRU518" s="193"/>
      <c r="NRV518" s="379"/>
      <c r="NRW518" s="379"/>
      <c r="NRX518" s="379"/>
      <c r="NRY518" s="379"/>
      <c r="NRZ518" s="379"/>
      <c r="NSA518" s="13"/>
      <c r="NSB518" s="13"/>
      <c r="NSC518" s="193"/>
      <c r="NSD518" s="379"/>
      <c r="NSE518" s="379"/>
      <c r="NSF518" s="379"/>
      <c r="NSG518" s="379"/>
      <c r="NSH518" s="379"/>
      <c r="NSI518" s="13"/>
      <c r="NSJ518" s="13"/>
      <c r="NSK518" s="193"/>
      <c r="NSL518" s="379"/>
      <c r="NSM518" s="379"/>
      <c r="NSN518" s="379"/>
      <c r="NSO518" s="379"/>
      <c r="NSP518" s="379"/>
      <c r="NSQ518" s="13"/>
      <c r="NSR518" s="13"/>
      <c r="NSS518" s="193"/>
      <c r="NST518" s="379"/>
      <c r="NSU518" s="379"/>
      <c r="NSV518" s="379"/>
      <c r="NSW518" s="379"/>
      <c r="NSX518" s="379"/>
      <c r="NSY518" s="13"/>
      <c r="NSZ518" s="13"/>
      <c r="NTA518" s="193"/>
      <c r="NTB518" s="379"/>
      <c r="NTC518" s="379"/>
      <c r="NTD518" s="379"/>
      <c r="NTE518" s="379"/>
      <c r="NTF518" s="379"/>
      <c r="NTG518" s="13"/>
      <c r="NTH518" s="13"/>
      <c r="NTI518" s="193"/>
      <c r="NTJ518" s="379"/>
      <c r="NTK518" s="379"/>
      <c r="NTL518" s="379"/>
      <c r="NTM518" s="379"/>
      <c r="NTN518" s="379"/>
      <c r="NTO518" s="13"/>
      <c r="NTP518" s="13"/>
      <c r="NTQ518" s="193"/>
      <c r="NTR518" s="379"/>
      <c r="NTS518" s="379"/>
      <c r="NTT518" s="379"/>
      <c r="NTU518" s="379"/>
      <c r="NTV518" s="379"/>
      <c r="NTW518" s="13"/>
      <c r="NTX518" s="13"/>
      <c r="NTY518" s="193"/>
      <c r="NTZ518" s="379"/>
      <c r="NUA518" s="379"/>
      <c r="NUB518" s="379"/>
      <c r="NUC518" s="379"/>
      <c r="NUD518" s="379"/>
      <c r="NUE518" s="13"/>
      <c r="NUF518" s="13"/>
      <c r="NUG518" s="193"/>
      <c r="NUH518" s="379"/>
      <c r="NUI518" s="379"/>
      <c r="NUJ518" s="379"/>
      <c r="NUK518" s="379"/>
      <c r="NUL518" s="379"/>
      <c r="NUM518" s="13"/>
      <c r="NUN518" s="13"/>
      <c r="NUO518" s="193"/>
      <c r="NUP518" s="379"/>
      <c r="NUQ518" s="379"/>
      <c r="NUR518" s="379"/>
      <c r="NUS518" s="379"/>
      <c r="NUT518" s="379"/>
      <c r="NUU518" s="13"/>
      <c r="NUV518" s="13"/>
      <c r="NUW518" s="193"/>
      <c r="NUX518" s="379"/>
      <c r="NUY518" s="379"/>
      <c r="NUZ518" s="379"/>
      <c r="NVA518" s="379"/>
      <c r="NVB518" s="379"/>
      <c r="NVC518" s="13"/>
      <c r="NVD518" s="13"/>
      <c r="NVE518" s="193"/>
      <c r="NVF518" s="379"/>
      <c r="NVG518" s="379"/>
      <c r="NVH518" s="379"/>
      <c r="NVI518" s="379"/>
      <c r="NVJ518" s="379"/>
      <c r="NVK518" s="13"/>
      <c r="NVL518" s="13"/>
      <c r="NVM518" s="193"/>
      <c r="NVN518" s="379"/>
      <c r="NVO518" s="379"/>
      <c r="NVP518" s="379"/>
      <c r="NVQ518" s="379"/>
      <c r="NVR518" s="379"/>
      <c r="NVS518" s="13"/>
      <c r="NVT518" s="13"/>
      <c r="NVU518" s="193"/>
      <c r="NVV518" s="379"/>
      <c r="NVW518" s="379"/>
      <c r="NVX518" s="379"/>
      <c r="NVY518" s="379"/>
      <c r="NVZ518" s="379"/>
      <c r="NWA518" s="13"/>
      <c r="NWB518" s="13"/>
      <c r="NWC518" s="193"/>
      <c r="NWD518" s="379"/>
      <c r="NWE518" s="379"/>
      <c r="NWF518" s="379"/>
      <c r="NWG518" s="379"/>
      <c r="NWH518" s="379"/>
      <c r="NWI518" s="13"/>
      <c r="NWJ518" s="13"/>
      <c r="NWK518" s="193"/>
      <c r="NWL518" s="379"/>
      <c r="NWM518" s="379"/>
      <c r="NWN518" s="379"/>
      <c r="NWO518" s="379"/>
      <c r="NWP518" s="379"/>
      <c r="NWQ518" s="13"/>
      <c r="NWR518" s="13"/>
      <c r="NWS518" s="193"/>
      <c r="NWT518" s="379"/>
      <c r="NWU518" s="379"/>
      <c r="NWV518" s="379"/>
      <c r="NWW518" s="379"/>
      <c r="NWX518" s="379"/>
      <c r="NWY518" s="13"/>
      <c r="NWZ518" s="13"/>
      <c r="NXA518" s="193"/>
      <c r="NXB518" s="379"/>
      <c r="NXC518" s="379"/>
      <c r="NXD518" s="379"/>
      <c r="NXE518" s="379"/>
      <c r="NXF518" s="379"/>
      <c r="NXG518" s="13"/>
      <c r="NXH518" s="13"/>
      <c r="NXI518" s="193"/>
      <c r="NXJ518" s="379"/>
      <c r="NXK518" s="379"/>
      <c r="NXL518" s="379"/>
      <c r="NXM518" s="379"/>
      <c r="NXN518" s="379"/>
      <c r="NXO518" s="13"/>
      <c r="NXP518" s="13"/>
      <c r="NXQ518" s="193"/>
      <c r="NXR518" s="379"/>
      <c r="NXS518" s="379"/>
      <c r="NXT518" s="379"/>
      <c r="NXU518" s="379"/>
      <c r="NXV518" s="379"/>
      <c r="NXW518" s="13"/>
      <c r="NXX518" s="13"/>
      <c r="NXY518" s="193"/>
      <c r="NXZ518" s="379"/>
      <c r="NYA518" s="379"/>
      <c r="NYB518" s="379"/>
      <c r="NYC518" s="379"/>
      <c r="NYD518" s="379"/>
      <c r="NYE518" s="13"/>
      <c r="NYF518" s="13"/>
      <c r="NYG518" s="193"/>
      <c r="NYH518" s="379"/>
      <c r="NYI518" s="379"/>
      <c r="NYJ518" s="379"/>
      <c r="NYK518" s="379"/>
      <c r="NYL518" s="379"/>
      <c r="NYM518" s="13"/>
      <c r="NYN518" s="13"/>
      <c r="NYO518" s="193"/>
      <c r="NYP518" s="379"/>
      <c r="NYQ518" s="379"/>
      <c r="NYR518" s="379"/>
      <c r="NYS518" s="379"/>
      <c r="NYT518" s="379"/>
      <c r="NYU518" s="13"/>
      <c r="NYV518" s="13"/>
      <c r="NYW518" s="193"/>
      <c r="NYX518" s="379"/>
      <c r="NYY518" s="379"/>
      <c r="NYZ518" s="379"/>
      <c r="NZA518" s="379"/>
      <c r="NZB518" s="379"/>
      <c r="NZC518" s="13"/>
      <c r="NZD518" s="13"/>
      <c r="NZE518" s="193"/>
      <c r="NZF518" s="379"/>
      <c r="NZG518" s="379"/>
      <c r="NZH518" s="379"/>
      <c r="NZI518" s="379"/>
      <c r="NZJ518" s="379"/>
      <c r="NZK518" s="13"/>
      <c r="NZL518" s="13"/>
      <c r="NZM518" s="193"/>
      <c r="NZN518" s="379"/>
      <c r="NZO518" s="379"/>
      <c r="NZP518" s="379"/>
      <c r="NZQ518" s="379"/>
      <c r="NZR518" s="379"/>
      <c r="NZS518" s="13"/>
      <c r="NZT518" s="13"/>
      <c r="NZU518" s="193"/>
      <c r="NZV518" s="379"/>
      <c r="NZW518" s="379"/>
      <c r="NZX518" s="379"/>
      <c r="NZY518" s="379"/>
      <c r="NZZ518" s="379"/>
      <c r="OAA518" s="13"/>
      <c r="OAB518" s="13"/>
      <c r="OAC518" s="193"/>
      <c r="OAD518" s="379"/>
      <c r="OAE518" s="379"/>
      <c r="OAF518" s="379"/>
      <c r="OAG518" s="379"/>
      <c r="OAH518" s="379"/>
      <c r="OAI518" s="13"/>
      <c r="OAJ518" s="13"/>
      <c r="OAK518" s="193"/>
      <c r="OAL518" s="379"/>
      <c r="OAM518" s="379"/>
      <c r="OAN518" s="379"/>
      <c r="OAO518" s="379"/>
      <c r="OAP518" s="379"/>
      <c r="OAQ518" s="13"/>
      <c r="OAR518" s="13"/>
      <c r="OAS518" s="193"/>
      <c r="OAT518" s="379"/>
      <c r="OAU518" s="379"/>
      <c r="OAV518" s="379"/>
      <c r="OAW518" s="379"/>
      <c r="OAX518" s="379"/>
      <c r="OAY518" s="13"/>
      <c r="OAZ518" s="13"/>
      <c r="OBA518" s="193"/>
      <c r="OBB518" s="379"/>
      <c r="OBC518" s="379"/>
      <c r="OBD518" s="379"/>
      <c r="OBE518" s="379"/>
      <c r="OBF518" s="379"/>
      <c r="OBG518" s="13"/>
      <c r="OBH518" s="13"/>
      <c r="OBI518" s="193"/>
      <c r="OBJ518" s="379"/>
      <c r="OBK518" s="379"/>
      <c r="OBL518" s="379"/>
      <c r="OBM518" s="379"/>
      <c r="OBN518" s="379"/>
      <c r="OBO518" s="13"/>
      <c r="OBP518" s="13"/>
      <c r="OBQ518" s="193"/>
      <c r="OBR518" s="379"/>
      <c r="OBS518" s="379"/>
      <c r="OBT518" s="379"/>
      <c r="OBU518" s="379"/>
      <c r="OBV518" s="379"/>
      <c r="OBW518" s="13"/>
      <c r="OBX518" s="13"/>
      <c r="OBY518" s="193"/>
      <c r="OBZ518" s="379"/>
      <c r="OCA518" s="379"/>
      <c r="OCB518" s="379"/>
      <c r="OCC518" s="379"/>
      <c r="OCD518" s="379"/>
      <c r="OCE518" s="13"/>
      <c r="OCF518" s="13"/>
      <c r="OCG518" s="193"/>
      <c r="OCH518" s="379"/>
      <c r="OCI518" s="379"/>
      <c r="OCJ518" s="379"/>
      <c r="OCK518" s="379"/>
      <c r="OCL518" s="379"/>
      <c r="OCM518" s="13"/>
      <c r="OCN518" s="13"/>
      <c r="OCO518" s="193"/>
      <c r="OCP518" s="379"/>
      <c r="OCQ518" s="379"/>
      <c r="OCR518" s="379"/>
      <c r="OCS518" s="379"/>
      <c r="OCT518" s="379"/>
      <c r="OCU518" s="13"/>
      <c r="OCV518" s="13"/>
      <c r="OCW518" s="193"/>
      <c r="OCX518" s="379"/>
      <c r="OCY518" s="379"/>
      <c r="OCZ518" s="379"/>
      <c r="ODA518" s="379"/>
      <c r="ODB518" s="379"/>
      <c r="ODC518" s="13"/>
      <c r="ODD518" s="13"/>
      <c r="ODE518" s="193"/>
      <c r="ODF518" s="379"/>
      <c r="ODG518" s="379"/>
      <c r="ODH518" s="379"/>
      <c r="ODI518" s="379"/>
      <c r="ODJ518" s="379"/>
      <c r="ODK518" s="13"/>
      <c r="ODL518" s="13"/>
      <c r="ODM518" s="193"/>
      <c r="ODN518" s="379"/>
      <c r="ODO518" s="379"/>
      <c r="ODP518" s="379"/>
      <c r="ODQ518" s="379"/>
      <c r="ODR518" s="379"/>
      <c r="ODS518" s="13"/>
      <c r="ODT518" s="13"/>
      <c r="ODU518" s="193"/>
      <c r="ODV518" s="379"/>
      <c r="ODW518" s="379"/>
      <c r="ODX518" s="379"/>
      <c r="ODY518" s="379"/>
      <c r="ODZ518" s="379"/>
      <c r="OEA518" s="13"/>
      <c r="OEB518" s="13"/>
      <c r="OEC518" s="193"/>
      <c r="OED518" s="379"/>
      <c r="OEE518" s="379"/>
      <c r="OEF518" s="379"/>
      <c r="OEG518" s="379"/>
      <c r="OEH518" s="379"/>
      <c r="OEI518" s="13"/>
      <c r="OEJ518" s="13"/>
      <c r="OEK518" s="193"/>
      <c r="OEL518" s="379"/>
      <c r="OEM518" s="379"/>
      <c r="OEN518" s="379"/>
      <c r="OEO518" s="379"/>
      <c r="OEP518" s="379"/>
      <c r="OEQ518" s="13"/>
      <c r="OER518" s="13"/>
      <c r="OES518" s="193"/>
      <c r="OET518" s="379"/>
      <c r="OEU518" s="379"/>
      <c r="OEV518" s="379"/>
      <c r="OEW518" s="379"/>
      <c r="OEX518" s="379"/>
      <c r="OEY518" s="13"/>
      <c r="OEZ518" s="13"/>
      <c r="OFA518" s="193"/>
      <c r="OFB518" s="379"/>
      <c r="OFC518" s="379"/>
      <c r="OFD518" s="379"/>
      <c r="OFE518" s="379"/>
      <c r="OFF518" s="379"/>
      <c r="OFG518" s="13"/>
      <c r="OFH518" s="13"/>
      <c r="OFI518" s="193"/>
      <c r="OFJ518" s="379"/>
      <c r="OFK518" s="379"/>
      <c r="OFL518" s="379"/>
      <c r="OFM518" s="379"/>
      <c r="OFN518" s="379"/>
      <c r="OFO518" s="13"/>
      <c r="OFP518" s="13"/>
      <c r="OFQ518" s="193"/>
      <c r="OFR518" s="379"/>
      <c r="OFS518" s="379"/>
      <c r="OFT518" s="379"/>
      <c r="OFU518" s="379"/>
      <c r="OFV518" s="379"/>
      <c r="OFW518" s="13"/>
      <c r="OFX518" s="13"/>
      <c r="OFY518" s="193"/>
      <c r="OFZ518" s="379"/>
      <c r="OGA518" s="379"/>
      <c r="OGB518" s="379"/>
      <c r="OGC518" s="379"/>
      <c r="OGD518" s="379"/>
      <c r="OGE518" s="13"/>
      <c r="OGF518" s="13"/>
      <c r="OGG518" s="193"/>
      <c r="OGH518" s="379"/>
      <c r="OGI518" s="379"/>
      <c r="OGJ518" s="379"/>
      <c r="OGK518" s="379"/>
      <c r="OGL518" s="379"/>
      <c r="OGM518" s="13"/>
      <c r="OGN518" s="13"/>
      <c r="OGO518" s="193"/>
      <c r="OGP518" s="379"/>
      <c r="OGQ518" s="379"/>
      <c r="OGR518" s="379"/>
      <c r="OGS518" s="379"/>
      <c r="OGT518" s="379"/>
      <c r="OGU518" s="13"/>
      <c r="OGV518" s="13"/>
      <c r="OGW518" s="193"/>
      <c r="OGX518" s="379"/>
      <c r="OGY518" s="379"/>
      <c r="OGZ518" s="379"/>
      <c r="OHA518" s="379"/>
      <c r="OHB518" s="379"/>
      <c r="OHC518" s="13"/>
      <c r="OHD518" s="13"/>
      <c r="OHE518" s="193"/>
      <c r="OHF518" s="379"/>
      <c r="OHG518" s="379"/>
      <c r="OHH518" s="379"/>
      <c r="OHI518" s="379"/>
      <c r="OHJ518" s="379"/>
      <c r="OHK518" s="13"/>
      <c r="OHL518" s="13"/>
      <c r="OHM518" s="193"/>
      <c r="OHN518" s="379"/>
      <c r="OHO518" s="379"/>
      <c r="OHP518" s="379"/>
      <c r="OHQ518" s="379"/>
      <c r="OHR518" s="379"/>
      <c r="OHS518" s="13"/>
      <c r="OHT518" s="13"/>
      <c r="OHU518" s="193"/>
      <c r="OHV518" s="379"/>
      <c r="OHW518" s="379"/>
      <c r="OHX518" s="379"/>
      <c r="OHY518" s="379"/>
      <c r="OHZ518" s="379"/>
      <c r="OIA518" s="13"/>
      <c r="OIB518" s="13"/>
      <c r="OIC518" s="193"/>
      <c r="OID518" s="379"/>
      <c r="OIE518" s="379"/>
      <c r="OIF518" s="379"/>
      <c r="OIG518" s="379"/>
      <c r="OIH518" s="379"/>
      <c r="OII518" s="13"/>
      <c r="OIJ518" s="13"/>
      <c r="OIK518" s="193"/>
      <c r="OIL518" s="379"/>
      <c r="OIM518" s="379"/>
      <c r="OIN518" s="379"/>
      <c r="OIO518" s="379"/>
      <c r="OIP518" s="379"/>
      <c r="OIQ518" s="13"/>
      <c r="OIR518" s="13"/>
      <c r="OIS518" s="193"/>
      <c r="OIT518" s="379"/>
      <c r="OIU518" s="379"/>
      <c r="OIV518" s="379"/>
      <c r="OIW518" s="379"/>
      <c r="OIX518" s="379"/>
      <c r="OIY518" s="13"/>
      <c r="OIZ518" s="13"/>
      <c r="OJA518" s="193"/>
      <c r="OJB518" s="379"/>
      <c r="OJC518" s="379"/>
      <c r="OJD518" s="379"/>
      <c r="OJE518" s="379"/>
      <c r="OJF518" s="379"/>
      <c r="OJG518" s="13"/>
      <c r="OJH518" s="13"/>
      <c r="OJI518" s="193"/>
      <c r="OJJ518" s="379"/>
      <c r="OJK518" s="379"/>
      <c r="OJL518" s="379"/>
      <c r="OJM518" s="379"/>
      <c r="OJN518" s="379"/>
      <c r="OJO518" s="13"/>
      <c r="OJP518" s="13"/>
      <c r="OJQ518" s="193"/>
      <c r="OJR518" s="379"/>
      <c r="OJS518" s="379"/>
      <c r="OJT518" s="379"/>
      <c r="OJU518" s="379"/>
      <c r="OJV518" s="379"/>
      <c r="OJW518" s="13"/>
      <c r="OJX518" s="13"/>
      <c r="OJY518" s="193"/>
      <c r="OJZ518" s="379"/>
      <c r="OKA518" s="379"/>
      <c r="OKB518" s="379"/>
      <c r="OKC518" s="379"/>
      <c r="OKD518" s="379"/>
      <c r="OKE518" s="13"/>
      <c r="OKF518" s="13"/>
      <c r="OKG518" s="193"/>
      <c r="OKH518" s="379"/>
      <c r="OKI518" s="379"/>
      <c r="OKJ518" s="379"/>
      <c r="OKK518" s="379"/>
      <c r="OKL518" s="379"/>
      <c r="OKM518" s="13"/>
      <c r="OKN518" s="13"/>
      <c r="OKO518" s="193"/>
      <c r="OKP518" s="379"/>
      <c r="OKQ518" s="379"/>
      <c r="OKR518" s="379"/>
      <c r="OKS518" s="379"/>
      <c r="OKT518" s="379"/>
      <c r="OKU518" s="13"/>
      <c r="OKV518" s="13"/>
      <c r="OKW518" s="193"/>
      <c r="OKX518" s="379"/>
      <c r="OKY518" s="379"/>
      <c r="OKZ518" s="379"/>
      <c r="OLA518" s="379"/>
      <c r="OLB518" s="379"/>
      <c r="OLC518" s="13"/>
      <c r="OLD518" s="13"/>
      <c r="OLE518" s="193"/>
      <c r="OLF518" s="379"/>
      <c r="OLG518" s="379"/>
      <c r="OLH518" s="379"/>
      <c r="OLI518" s="379"/>
      <c r="OLJ518" s="379"/>
      <c r="OLK518" s="13"/>
      <c r="OLL518" s="13"/>
      <c r="OLM518" s="193"/>
      <c r="OLN518" s="379"/>
      <c r="OLO518" s="379"/>
      <c r="OLP518" s="379"/>
      <c r="OLQ518" s="379"/>
      <c r="OLR518" s="379"/>
      <c r="OLS518" s="13"/>
      <c r="OLT518" s="13"/>
      <c r="OLU518" s="193"/>
      <c r="OLV518" s="379"/>
      <c r="OLW518" s="379"/>
      <c r="OLX518" s="379"/>
      <c r="OLY518" s="379"/>
      <c r="OLZ518" s="379"/>
      <c r="OMA518" s="13"/>
      <c r="OMB518" s="13"/>
      <c r="OMC518" s="193"/>
      <c r="OMD518" s="379"/>
      <c r="OME518" s="379"/>
      <c r="OMF518" s="379"/>
      <c r="OMG518" s="379"/>
      <c r="OMH518" s="379"/>
      <c r="OMI518" s="13"/>
      <c r="OMJ518" s="13"/>
      <c r="OMK518" s="193"/>
      <c r="OML518" s="379"/>
      <c r="OMM518" s="379"/>
      <c r="OMN518" s="379"/>
      <c r="OMO518" s="379"/>
      <c r="OMP518" s="379"/>
      <c r="OMQ518" s="13"/>
      <c r="OMR518" s="13"/>
      <c r="OMS518" s="193"/>
      <c r="OMT518" s="379"/>
      <c r="OMU518" s="379"/>
      <c r="OMV518" s="379"/>
      <c r="OMW518" s="379"/>
      <c r="OMX518" s="379"/>
      <c r="OMY518" s="13"/>
      <c r="OMZ518" s="13"/>
      <c r="ONA518" s="193"/>
      <c r="ONB518" s="379"/>
      <c r="ONC518" s="379"/>
      <c r="OND518" s="379"/>
      <c r="ONE518" s="379"/>
      <c r="ONF518" s="379"/>
      <c r="ONG518" s="13"/>
      <c r="ONH518" s="13"/>
      <c r="ONI518" s="193"/>
      <c r="ONJ518" s="379"/>
      <c r="ONK518" s="379"/>
      <c r="ONL518" s="379"/>
      <c r="ONM518" s="379"/>
      <c r="ONN518" s="379"/>
      <c r="ONO518" s="13"/>
      <c r="ONP518" s="13"/>
      <c r="ONQ518" s="193"/>
      <c r="ONR518" s="379"/>
      <c r="ONS518" s="379"/>
      <c r="ONT518" s="379"/>
      <c r="ONU518" s="379"/>
      <c r="ONV518" s="379"/>
      <c r="ONW518" s="13"/>
      <c r="ONX518" s="13"/>
      <c r="ONY518" s="193"/>
      <c r="ONZ518" s="379"/>
      <c r="OOA518" s="379"/>
      <c r="OOB518" s="379"/>
      <c r="OOC518" s="379"/>
      <c r="OOD518" s="379"/>
      <c r="OOE518" s="13"/>
      <c r="OOF518" s="13"/>
      <c r="OOG518" s="193"/>
      <c r="OOH518" s="379"/>
      <c r="OOI518" s="379"/>
      <c r="OOJ518" s="379"/>
      <c r="OOK518" s="379"/>
      <c r="OOL518" s="379"/>
      <c r="OOM518" s="13"/>
      <c r="OON518" s="13"/>
      <c r="OOO518" s="193"/>
      <c r="OOP518" s="379"/>
      <c r="OOQ518" s="379"/>
      <c r="OOR518" s="379"/>
      <c r="OOS518" s="379"/>
      <c r="OOT518" s="379"/>
      <c r="OOU518" s="13"/>
      <c r="OOV518" s="13"/>
      <c r="OOW518" s="193"/>
      <c r="OOX518" s="379"/>
      <c r="OOY518" s="379"/>
      <c r="OOZ518" s="379"/>
      <c r="OPA518" s="379"/>
      <c r="OPB518" s="379"/>
      <c r="OPC518" s="13"/>
      <c r="OPD518" s="13"/>
      <c r="OPE518" s="193"/>
      <c r="OPF518" s="379"/>
      <c r="OPG518" s="379"/>
      <c r="OPH518" s="379"/>
      <c r="OPI518" s="379"/>
      <c r="OPJ518" s="379"/>
      <c r="OPK518" s="13"/>
      <c r="OPL518" s="13"/>
      <c r="OPM518" s="193"/>
      <c r="OPN518" s="379"/>
      <c r="OPO518" s="379"/>
      <c r="OPP518" s="379"/>
      <c r="OPQ518" s="379"/>
      <c r="OPR518" s="379"/>
      <c r="OPS518" s="13"/>
      <c r="OPT518" s="13"/>
      <c r="OPU518" s="193"/>
      <c r="OPV518" s="379"/>
      <c r="OPW518" s="379"/>
      <c r="OPX518" s="379"/>
      <c r="OPY518" s="379"/>
      <c r="OPZ518" s="379"/>
      <c r="OQA518" s="13"/>
      <c r="OQB518" s="13"/>
      <c r="OQC518" s="193"/>
      <c r="OQD518" s="379"/>
      <c r="OQE518" s="379"/>
      <c r="OQF518" s="379"/>
      <c r="OQG518" s="379"/>
      <c r="OQH518" s="379"/>
      <c r="OQI518" s="13"/>
      <c r="OQJ518" s="13"/>
      <c r="OQK518" s="193"/>
      <c r="OQL518" s="379"/>
      <c r="OQM518" s="379"/>
      <c r="OQN518" s="379"/>
      <c r="OQO518" s="379"/>
      <c r="OQP518" s="379"/>
      <c r="OQQ518" s="13"/>
      <c r="OQR518" s="13"/>
      <c r="OQS518" s="193"/>
      <c r="OQT518" s="379"/>
      <c r="OQU518" s="379"/>
      <c r="OQV518" s="379"/>
      <c r="OQW518" s="379"/>
      <c r="OQX518" s="379"/>
      <c r="OQY518" s="13"/>
      <c r="OQZ518" s="13"/>
      <c r="ORA518" s="193"/>
      <c r="ORB518" s="379"/>
      <c r="ORC518" s="379"/>
      <c r="ORD518" s="379"/>
      <c r="ORE518" s="379"/>
      <c r="ORF518" s="379"/>
      <c r="ORG518" s="13"/>
      <c r="ORH518" s="13"/>
      <c r="ORI518" s="193"/>
      <c r="ORJ518" s="379"/>
      <c r="ORK518" s="379"/>
      <c r="ORL518" s="379"/>
      <c r="ORM518" s="379"/>
      <c r="ORN518" s="379"/>
      <c r="ORO518" s="13"/>
      <c r="ORP518" s="13"/>
      <c r="ORQ518" s="193"/>
      <c r="ORR518" s="379"/>
      <c r="ORS518" s="379"/>
      <c r="ORT518" s="379"/>
      <c r="ORU518" s="379"/>
      <c r="ORV518" s="379"/>
      <c r="ORW518" s="13"/>
      <c r="ORX518" s="13"/>
      <c r="ORY518" s="193"/>
      <c r="ORZ518" s="379"/>
      <c r="OSA518" s="379"/>
      <c r="OSB518" s="379"/>
      <c r="OSC518" s="379"/>
      <c r="OSD518" s="379"/>
      <c r="OSE518" s="13"/>
      <c r="OSF518" s="13"/>
      <c r="OSG518" s="193"/>
      <c r="OSH518" s="379"/>
      <c r="OSI518" s="379"/>
      <c r="OSJ518" s="379"/>
      <c r="OSK518" s="379"/>
      <c r="OSL518" s="379"/>
      <c r="OSM518" s="13"/>
      <c r="OSN518" s="13"/>
      <c r="OSO518" s="193"/>
      <c r="OSP518" s="379"/>
      <c r="OSQ518" s="379"/>
      <c r="OSR518" s="379"/>
      <c r="OSS518" s="379"/>
      <c r="OST518" s="379"/>
      <c r="OSU518" s="13"/>
      <c r="OSV518" s="13"/>
      <c r="OSW518" s="193"/>
      <c r="OSX518" s="379"/>
      <c r="OSY518" s="379"/>
      <c r="OSZ518" s="379"/>
      <c r="OTA518" s="379"/>
      <c r="OTB518" s="379"/>
      <c r="OTC518" s="13"/>
      <c r="OTD518" s="13"/>
      <c r="OTE518" s="193"/>
      <c r="OTF518" s="379"/>
      <c r="OTG518" s="379"/>
      <c r="OTH518" s="379"/>
      <c r="OTI518" s="379"/>
      <c r="OTJ518" s="379"/>
      <c r="OTK518" s="13"/>
      <c r="OTL518" s="13"/>
      <c r="OTM518" s="193"/>
      <c r="OTN518" s="379"/>
      <c r="OTO518" s="379"/>
      <c r="OTP518" s="379"/>
      <c r="OTQ518" s="379"/>
      <c r="OTR518" s="379"/>
      <c r="OTS518" s="13"/>
      <c r="OTT518" s="13"/>
      <c r="OTU518" s="193"/>
      <c r="OTV518" s="379"/>
      <c r="OTW518" s="379"/>
      <c r="OTX518" s="379"/>
      <c r="OTY518" s="379"/>
      <c r="OTZ518" s="379"/>
      <c r="OUA518" s="13"/>
      <c r="OUB518" s="13"/>
      <c r="OUC518" s="193"/>
      <c r="OUD518" s="379"/>
      <c r="OUE518" s="379"/>
      <c r="OUF518" s="379"/>
      <c r="OUG518" s="379"/>
      <c r="OUH518" s="379"/>
      <c r="OUI518" s="13"/>
      <c r="OUJ518" s="13"/>
      <c r="OUK518" s="193"/>
      <c r="OUL518" s="379"/>
      <c r="OUM518" s="379"/>
      <c r="OUN518" s="379"/>
      <c r="OUO518" s="379"/>
      <c r="OUP518" s="379"/>
      <c r="OUQ518" s="13"/>
      <c r="OUR518" s="13"/>
      <c r="OUS518" s="193"/>
      <c r="OUT518" s="379"/>
      <c r="OUU518" s="379"/>
      <c r="OUV518" s="379"/>
      <c r="OUW518" s="379"/>
      <c r="OUX518" s="379"/>
      <c r="OUY518" s="13"/>
      <c r="OUZ518" s="13"/>
      <c r="OVA518" s="193"/>
      <c r="OVB518" s="379"/>
      <c r="OVC518" s="379"/>
      <c r="OVD518" s="379"/>
      <c r="OVE518" s="379"/>
      <c r="OVF518" s="379"/>
      <c r="OVG518" s="13"/>
      <c r="OVH518" s="13"/>
      <c r="OVI518" s="193"/>
      <c r="OVJ518" s="379"/>
      <c r="OVK518" s="379"/>
      <c r="OVL518" s="379"/>
      <c r="OVM518" s="379"/>
      <c r="OVN518" s="379"/>
      <c r="OVO518" s="13"/>
      <c r="OVP518" s="13"/>
      <c r="OVQ518" s="193"/>
      <c r="OVR518" s="379"/>
      <c r="OVS518" s="379"/>
      <c r="OVT518" s="379"/>
      <c r="OVU518" s="379"/>
      <c r="OVV518" s="379"/>
      <c r="OVW518" s="13"/>
      <c r="OVX518" s="13"/>
      <c r="OVY518" s="193"/>
      <c r="OVZ518" s="379"/>
      <c r="OWA518" s="379"/>
      <c r="OWB518" s="379"/>
      <c r="OWC518" s="379"/>
      <c r="OWD518" s="379"/>
      <c r="OWE518" s="13"/>
      <c r="OWF518" s="13"/>
      <c r="OWG518" s="193"/>
      <c r="OWH518" s="379"/>
      <c r="OWI518" s="379"/>
      <c r="OWJ518" s="379"/>
      <c r="OWK518" s="379"/>
      <c r="OWL518" s="379"/>
      <c r="OWM518" s="13"/>
      <c r="OWN518" s="13"/>
      <c r="OWO518" s="193"/>
      <c r="OWP518" s="379"/>
      <c r="OWQ518" s="379"/>
      <c r="OWR518" s="379"/>
      <c r="OWS518" s="379"/>
      <c r="OWT518" s="379"/>
      <c r="OWU518" s="13"/>
      <c r="OWV518" s="13"/>
      <c r="OWW518" s="193"/>
      <c r="OWX518" s="379"/>
      <c r="OWY518" s="379"/>
      <c r="OWZ518" s="379"/>
      <c r="OXA518" s="379"/>
      <c r="OXB518" s="379"/>
      <c r="OXC518" s="13"/>
      <c r="OXD518" s="13"/>
      <c r="OXE518" s="193"/>
      <c r="OXF518" s="379"/>
      <c r="OXG518" s="379"/>
      <c r="OXH518" s="379"/>
      <c r="OXI518" s="379"/>
      <c r="OXJ518" s="379"/>
      <c r="OXK518" s="13"/>
      <c r="OXL518" s="13"/>
      <c r="OXM518" s="193"/>
      <c r="OXN518" s="379"/>
      <c r="OXO518" s="379"/>
      <c r="OXP518" s="379"/>
      <c r="OXQ518" s="379"/>
      <c r="OXR518" s="379"/>
      <c r="OXS518" s="13"/>
      <c r="OXT518" s="13"/>
      <c r="OXU518" s="193"/>
      <c r="OXV518" s="379"/>
      <c r="OXW518" s="379"/>
      <c r="OXX518" s="379"/>
      <c r="OXY518" s="379"/>
      <c r="OXZ518" s="379"/>
      <c r="OYA518" s="13"/>
      <c r="OYB518" s="13"/>
      <c r="OYC518" s="193"/>
      <c r="OYD518" s="379"/>
      <c r="OYE518" s="379"/>
      <c r="OYF518" s="379"/>
      <c r="OYG518" s="379"/>
      <c r="OYH518" s="379"/>
      <c r="OYI518" s="13"/>
      <c r="OYJ518" s="13"/>
      <c r="OYK518" s="193"/>
      <c r="OYL518" s="379"/>
      <c r="OYM518" s="379"/>
      <c r="OYN518" s="379"/>
      <c r="OYO518" s="379"/>
      <c r="OYP518" s="379"/>
      <c r="OYQ518" s="13"/>
      <c r="OYR518" s="13"/>
      <c r="OYS518" s="193"/>
      <c r="OYT518" s="379"/>
      <c r="OYU518" s="379"/>
      <c r="OYV518" s="379"/>
      <c r="OYW518" s="379"/>
      <c r="OYX518" s="379"/>
      <c r="OYY518" s="13"/>
      <c r="OYZ518" s="13"/>
      <c r="OZA518" s="193"/>
      <c r="OZB518" s="379"/>
      <c r="OZC518" s="379"/>
      <c r="OZD518" s="379"/>
      <c r="OZE518" s="379"/>
      <c r="OZF518" s="379"/>
      <c r="OZG518" s="13"/>
      <c r="OZH518" s="13"/>
      <c r="OZI518" s="193"/>
      <c r="OZJ518" s="379"/>
      <c r="OZK518" s="379"/>
      <c r="OZL518" s="379"/>
      <c r="OZM518" s="379"/>
      <c r="OZN518" s="379"/>
      <c r="OZO518" s="13"/>
      <c r="OZP518" s="13"/>
      <c r="OZQ518" s="193"/>
      <c r="OZR518" s="379"/>
      <c r="OZS518" s="379"/>
      <c r="OZT518" s="379"/>
      <c r="OZU518" s="379"/>
      <c r="OZV518" s="379"/>
      <c r="OZW518" s="13"/>
      <c r="OZX518" s="13"/>
      <c r="OZY518" s="193"/>
      <c r="OZZ518" s="379"/>
      <c r="PAA518" s="379"/>
      <c r="PAB518" s="379"/>
      <c r="PAC518" s="379"/>
      <c r="PAD518" s="379"/>
      <c r="PAE518" s="13"/>
      <c r="PAF518" s="13"/>
      <c r="PAG518" s="193"/>
      <c r="PAH518" s="379"/>
      <c r="PAI518" s="379"/>
      <c r="PAJ518" s="379"/>
      <c r="PAK518" s="379"/>
      <c r="PAL518" s="379"/>
      <c r="PAM518" s="13"/>
      <c r="PAN518" s="13"/>
      <c r="PAO518" s="193"/>
      <c r="PAP518" s="379"/>
      <c r="PAQ518" s="379"/>
      <c r="PAR518" s="379"/>
      <c r="PAS518" s="379"/>
      <c r="PAT518" s="379"/>
      <c r="PAU518" s="13"/>
      <c r="PAV518" s="13"/>
      <c r="PAW518" s="193"/>
      <c r="PAX518" s="379"/>
      <c r="PAY518" s="379"/>
      <c r="PAZ518" s="379"/>
      <c r="PBA518" s="379"/>
      <c r="PBB518" s="379"/>
      <c r="PBC518" s="13"/>
      <c r="PBD518" s="13"/>
      <c r="PBE518" s="193"/>
      <c r="PBF518" s="379"/>
      <c r="PBG518" s="379"/>
      <c r="PBH518" s="379"/>
      <c r="PBI518" s="379"/>
      <c r="PBJ518" s="379"/>
      <c r="PBK518" s="13"/>
      <c r="PBL518" s="13"/>
      <c r="PBM518" s="193"/>
      <c r="PBN518" s="379"/>
      <c r="PBO518" s="379"/>
      <c r="PBP518" s="379"/>
      <c r="PBQ518" s="379"/>
      <c r="PBR518" s="379"/>
      <c r="PBS518" s="13"/>
      <c r="PBT518" s="13"/>
      <c r="PBU518" s="193"/>
      <c r="PBV518" s="379"/>
      <c r="PBW518" s="379"/>
      <c r="PBX518" s="379"/>
      <c r="PBY518" s="379"/>
      <c r="PBZ518" s="379"/>
      <c r="PCA518" s="13"/>
      <c r="PCB518" s="13"/>
      <c r="PCC518" s="193"/>
      <c r="PCD518" s="379"/>
      <c r="PCE518" s="379"/>
      <c r="PCF518" s="379"/>
      <c r="PCG518" s="379"/>
      <c r="PCH518" s="379"/>
      <c r="PCI518" s="13"/>
      <c r="PCJ518" s="13"/>
      <c r="PCK518" s="193"/>
      <c r="PCL518" s="379"/>
      <c r="PCM518" s="379"/>
      <c r="PCN518" s="379"/>
      <c r="PCO518" s="379"/>
      <c r="PCP518" s="379"/>
      <c r="PCQ518" s="13"/>
      <c r="PCR518" s="13"/>
      <c r="PCS518" s="193"/>
      <c r="PCT518" s="379"/>
      <c r="PCU518" s="379"/>
      <c r="PCV518" s="379"/>
      <c r="PCW518" s="379"/>
      <c r="PCX518" s="379"/>
      <c r="PCY518" s="13"/>
      <c r="PCZ518" s="13"/>
      <c r="PDA518" s="193"/>
      <c r="PDB518" s="379"/>
      <c r="PDC518" s="379"/>
      <c r="PDD518" s="379"/>
      <c r="PDE518" s="379"/>
      <c r="PDF518" s="379"/>
      <c r="PDG518" s="13"/>
      <c r="PDH518" s="13"/>
      <c r="PDI518" s="193"/>
      <c r="PDJ518" s="379"/>
      <c r="PDK518" s="379"/>
      <c r="PDL518" s="379"/>
      <c r="PDM518" s="379"/>
      <c r="PDN518" s="379"/>
      <c r="PDO518" s="13"/>
      <c r="PDP518" s="13"/>
      <c r="PDQ518" s="193"/>
      <c r="PDR518" s="379"/>
      <c r="PDS518" s="379"/>
      <c r="PDT518" s="379"/>
      <c r="PDU518" s="379"/>
      <c r="PDV518" s="379"/>
      <c r="PDW518" s="13"/>
      <c r="PDX518" s="13"/>
      <c r="PDY518" s="193"/>
      <c r="PDZ518" s="379"/>
      <c r="PEA518" s="379"/>
      <c r="PEB518" s="379"/>
      <c r="PEC518" s="379"/>
      <c r="PED518" s="379"/>
      <c r="PEE518" s="13"/>
      <c r="PEF518" s="13"/>
      <c r="PEG518" s="193"/>
      <c r="PEH518" s="379"/>
      <c r="PEI518" s="379"/>
      <c r="PEJ518" s="379"/>
      <c r="PEK518" s="379"/>
      <c r="PEL518" s="379"/>
      <c r="PEM518" s="13"/>
      <c r="PEN518" s="13"/>
      <c r="PEO518" s="193"/>
      <c r="PEP518" s="379"/>
      <c r="PEQ518" s="379"/>
      <c r="PER518" s="379"/>
      <c r="PES518" s="379"/>
      <c r="PET518" s="379"/>
      <c r="PEU518" s="13"/>
      <c r="PEV518" s="13"/>
      <c r="PEW518" s="193"/>
      <c r="PEX518" s="379"/>
      <c r="PEY518" s="379"/>
      <c r="PEZ518" s="379"/>
      <c r="PFA518" s="379"/>
      <c r="PFB518" s="379"/>
      <c r="PFC518" s="13"/>
      <c r="PFD518" s="13"/>
      <c r="PFE518" s="193"/>
      <c r="PFF518" s="379"/>
      <c r="PFG518" s="379"/>
      <c r="PFH518" s="379"/>
      <c r="PFI518" s="379"/>
      <c r="PFJ518" s="379"/>
      <c r="PFK518" s="13"/>
      <c r="PFL518" s="13"/>
      <c r="PFM518" s="193"/>
      <c r="PFN518" s="379"/>
      <c r="PFO518" s="379"/>
      <c r="PFP518" s="379"/>
      <c r="PFQ518" s="379"/>
      <c r="PFR518" s="379"/>
      <c r="PFS518" s="13"/>
      <c r="PFT518" s="13"/>
      <c r="PFU518" s="193"/>
      <c r="PFV518" s="379"/>
      <c r="PFW518" s="379"/>
      <c r="PFX518" s="379"/>
      <c r="PFY518" s="379"/>
      <c r="PFZ518" s="379"/>
      <c r="PGA518" s="13"/>
      <c r="PGB518" s="13"/>
      <c r="PGC518" s="193"/>
      <c r="PGD518" s="379"/>
      <c r="PGE518" s="379"/>
      <c r="PGF518" s="379"/>
      <c r="PGG518" s="379"/>
      <c r="PGH518" s="379"/>
      <c r="PGI518" s="13"/>
      <c r="PGJ518" s="13"/>
      <c r="PGK518" s="193"/>
      <c r="PGL518" s="379"/>
      <c r="PGM518" s="379"/>
      <c r="PGN518" s="379"/>
      <c r="PGO518" s="379"/>
      <c r="PGP518" s="379"/>
      <c r="PGQ518" s="13"/>
      <c r="PGR518" s="13"/>
      <c r="PGS518" s="193"/>
      <c r="PGT518" s="379"/>
      <c r="PGU518" s="379"/>
      <c r="PGV518" s="379"/>
      <c r="PGW518" s="379"/>
      <c r="PGX518" s="379"/>
      <c r="PGY518" s="13"/>
      <c r="PGZ518" s="13"/>
      <c r="PHA518" s="193"/>
      <c r="PHB518" s="379"/>
      <c r="PHC518" s="379"/>
      <c r="PHD518" s="379"/>
      <c r="PHE518" s="379"/>
      <c r="PHF518" s="379"/>
      <c r="PHG518" s="13"/>
      <c r="PHH518" s="13"/>
      <c r="PHI518" s="193"/>
      <c r="PHJ518" s="379"/>
      <c r="PHK518" s="379"/>
      <c r="PHL518" s="379"/>
      <c r="PHM518" s="379"/>
      <c r="PHN518" s="379"/>
      <c r="PHO518" s="13"/>
      <c r="PHP518" s="13"/>
      <c r="PHQ518" s="193"/>
      <c r="PHR518" s="379"/>
      <c r="PHS518" s="379"/>
      <c r="PHT518" s="379"/>
      <c r="PHU518" s="379"/>
      <c r="PHV518" s="379"/>
      <c r="PHW518" s="13"/>
      <c r="PHX518" s="13"/>
      <c r="PHY518" s="193"/>
      <c r="PHZ518" s="379"/>
      <c r="PIA518" s="379"/>
      <c r="PIB518" s="379"/>
      <c r="PIC518" s="379"/>
      <c r="PID518" s="379"/>
      <c r="PIE518" s="13"/>
      <c r="PIF518" s="13"/>
      <c r="PIG518" s="193"/>
      <c r="PIH518" s="379"/>
      <c r="PII518" s="379"/>
      <c r="PIJ518" s="379"/>
      <c r="PIK518" s="379"/>
      <c r="PIL518" s="379"/>
      <c r="PIM518" s="13"/>
      <c r="PIN518" s="13"/>
      <c r="PIO518" s="193"/>
      <c r="PIP518" s="379"/>
      <c r="PIQ518" s="379"/>
      <c r="PIR518" s="379"/>
      <c r="PIS518" s="379"/>
      <c r="PIT518" s="379"/>
      <c r="PIU518" s="13"/>
      <c r="PIV518" s="13"/>
      <c r="PIW518" s="193"/>
      <c r="PIX518" s="379"/>
      <c r="PIY518" s="379"/>
      <c r="PIZ518" s="379"/>
      <c r="PJA518" s="379"/>
      <c r="PJB518" s="379"/>
      <c r="PJC518" s="13"/>
      <c r="PJD518" s="13"/>
      <c r="PJE518" s="193"/>
      <c r="PJF518" s="379"/>
      <c r="PJG518" s="379"/>
      <c r="PJH518" s="379"/>
      <c r="PJI518" s="379"/>
      <c r="PJJ518" s="379"/>
      <c r="PJK518" s="13"/>
      <c r="PJL518" s="13"/>
      <c r="PJM518" s="193"/>
      <c r="PJN518" s="379"/>
      <c r="PJO518" s="379"/>
      <c r="PJP518" s="379"/>
      <c r="PJQ518" s="379"/>
      <c r="PJR518" s="379"/>
      <c r="PJS518" s="13"/>
      <c r="PJT518" s="13"/>
      <c r="PJU518" s="193"/>
      <c r="PJV518" s="379"/>
      <c r="PJW518" s="379"/>
      <c r="PJX518" s="379"/>
      <c r="PJY518" s="379"/>
      <c r="PJZ518" s="379"/>
      <c r="PKA518" s="13"/>
      <c r="PKB518" s="13"/>
      <c r="PKC518" s="193"/>
      <c r="PKD518" s="379"/>
      <c r="PKE518" s="379"/>
      <c r="PKF518" s="379"/>
      <c r="PKG518" s="379"/>
      <c r="PKH518" s="379"/>
      <c r="PKI518" s="13"/>
      <c r="PKJ518" s="13"/>
      <c r="PKK518" s="193"/>
      <c r="PKL518" s="379"/>
      <c r="PKM518" s="379"/>
      <c r="PKN518" s="379"/>
      <c r="PKO518" s="379"/>
      <c r="PKP518" s="379"/>
      <c r="PKQ518" s="13"/>
      <c r="PKR518" s="13"/>
      <c r="PKS518" s="193"/>
      <c r="PKT518" s="379"/>
      <c r="PKU518" s="379"/>
      <c r="PKV518" s="379"/>
      <c r="PKW518" s="379"/>
      <c r="PKX518" s="379"/>
      <c r="PKY518" s="13"/>
      <c r="PKZ518" s="13"/>
      <c r="PLA518" s="193"/>
      <c r="PLB518" s="379"/>
      <c r="PLC518" s="379"/>
      <c r="PLD518" s="379"/>
      <c r="PLE518" s="379"/>
      <c r="PLF518" s="379"/>
      <c r="PLG518" s="13"/>
      <c r="PLH518" s="13"/>
      <c r="PLI518" s="193"/>
      <c r="PLJ518" s="379"/>
      <c r="PLK518" s="379"/>
      <c r="PLL518" s="379"/>
      <c r="PLM518" s="379"/>
      <c r="PLN518" s="379"/>
      <c r="PLO518" s="13"/>
      <c r="PLP518" s="13"/>
      <c r="PLQ518" s="193"/>
      <c r="PLR518" s="379"/>
      <c r="PLS518" s="379"/>
      <c r="PLT518" s="379"/>
      <c r="PLU518" s="379"/>
      <c r="PLV518" s="379"/>
      <c r="PLW518" s="13"/>
      <c r="PLX518" s="13"/>
      <c r="PLY518" s="193"/>
      <c r="PLZ518" s="379"/>
      <c r="PMA518" s="379"/>
      <c r="PMB518" s="379"/>
      <c r="PMC518" s="379"/>
      <c r="PMD518" s="379"/>
      <c r="PME518" s="13"/>
      <c r="PMF518" s="13"/>
      <c r="PMG518" s="193"/>
      <c r="PMH518" s="379"/>
      <c r="PMI518" s="379"/>
      <c r="PMJ518" s="379"/>
      <c r="PMK518" s="379"/>
      <c r="PML518" s="379"/>
      <c r="PMM518" s="13"/>
      <c r="PMN518" s="13"/>
      <c r="PMO518" s="193"/>
      <c r="PMP518" s="379"/>
      <c r="PMQ518" s="379"/>
      <c r="PMR518" s="379"/>
      <c r="PMS518" s="379"/>
      <c r="PMT518" s="379"/>
      <c r="PMU518" s="13"/>
      <c r="PMV518" s="13"/>
      <c r="PMW518" s="193"/>
      <c r="PMX518" s="379"/>
      <c r="PMY518" s="379"/>
      <c r="PMZ518" s="379"/>
      <c r="PNA518" s="379"/>
      <c r="PNB518" s="379"/>
      <c r="PNC518" s="13"/>
      <c r="PND518" s="13"/>
      <c r="PNE518" s="193"/>
      <c r="PNF518" s="379"/>
      <c r="PNG518" s="379"/>
      <c r="PNH518" s="379"/>
      <c r="PNI518" s="379"/>
      <c r="PNJ518" s="379"/>
      <c r="PNK518" s="13"/>
      <c r="PNL518" s="13"/>
      <c r="PNM518" s="193"/>
      <c r="PNN518" s="379"/>
      <c r="PNO518" s="379"/>
      <c r="PNP518" s="379"/>
      <c r="PNQ518" s="379"/>
      <c r="PNR518" s="379"/>
      <c r="PNS518" s="13"/>
      <c r="PNT518" s="13"/>
      <c r="PNU518" s="193"/>
      <c r="PNV518" s="379"/>
      <c r="PNW518" s="379"/>
      <c r="PNX518" s="379"/>
      <c r="PNY518" s="379"/>
      <c r="PNZ518" s="379"/>
      <c r="POA518" s="13"/>
      <c r="POB518" s="13"/>
      <c r="POC518" s="193"/>
      <c r="POD518" s="379"/>
      <c r="POE518" s="379"/>
      <c r="POF518" s="379"/>
      <c r="POG518" s="379"/>
      <c r="POH518" s="379"/>
      <c r="POI518" s="13"/>
      <c r="POJ518" s="13"/>
      <c r="POK518" s="193"/>
      <c r="POL518" s="379"/>
      <c r="POM518" s="379"/>
      <c r="PON518" s="379"/>
      <c r="POO518" s="379"/>
      <c r="POP518" s="379"/>
      <c r="POQ518" s="13"/>
      <c r="POR518" s="13"/>
      <c r="POS518" s="193"/>
      <c r="POT518" s="379"/>
      <c r="POU518" s="379"/>
      <c r="POV518" s="379"/>
      <c r="POW518" s="379"/>
      <c r="POX518" s="379"/>
      <c r="POY518" s="13"/>
      <c r="POZ518" s="13"/>
      <c r="PPA518" s="193"/>
      <c r="PPB518" s="379"/>
      <c r="PPC518" s="379"/>
      <c r="PPD518" s="379"/>
      <c r="PPE518" s="379"/>
      <c r="PPF518" s="379"/>
      <c r="PPG518" s="13"/>
      <c r="PPH518" s="13"/>
      <c r="PPI518" s="193"/>
      <c r="PPJ518" s="379"/>
      <c r="PPK518" s="379"/>
      <c r="PPL518" s="379"/>
      <c r="PPM518" s="379"/>
      <c r="PPN518" s="379"/>
      <c r="PPO518" s="13"/>
      <c r="PPP518" s="13"/>
      <c r="PPQ518" s="193"/>
      <c r="PPR518" s="379"/>
      <c r="PPS518" s="379"/>
      <c r="PPT518" s="379"/>
      <c r="PPU518" s="379"/>
      <c r="PPV518" s="379"/>
      <c r="PPW518" s="13"/>
      <c r="PPX518" s="13"/>
      <c r="PPY518" s="193"/>
      <c r="PPZ518" s="379"/>
      <c r="PQA518" s="379"/>
      <c r="PQB518" s="379"/>
      <c r="PQC518" s="379"/>
      <c r="PQD518" s="379"/>
      <c r="PQE518" s="13"/>
      <c r="PQF518" s="13"/>
      <c r="PQG518" s="193"/>
      <c r="PQH518" s="379"/>
      <c r="PQI518" s="379"/>
      <c r="PQJ518" s="379"/>
      <c r="PQK518" s="379"/>
      <c r="PQL518" s="379"/>
      <c r="PQM518" s="13"/>
      <c r="PQN518" s="13"/>
      <c r="PQO518" s="193"/>
      <c r="PQP518" s="379"/>
      <c r="PQQ518" s="379"/>
      <c r="PQR518" s="379"/>
      <c r="PQS518" s="379"/>
      <c r="PQT518" s="379"/>
      <c r="PQU518" s="13"/>
      <c r="PQV518" s="13"/>
      <c r="PQW518" s="193"/>
      <c r="PQX518" s="379"/>
      <c r="PQY518" s="379"/>
      <c r="PQZ518" s="379"/>
      <c r="PRA518" s="379"/>
      <c r="PRB518" s="379"/>
      <c r="PRC518" s="13"/>
      <c r="PRD518" s="13"/>
      <c r="PRE518" s="193"/>
      <c r="PRF518" s="379"/>
      <c r="PRG518" s="379"/>
      <c r="PRH518" s="379"/>
      <c r="PRI518" s="379"/>
      <c r="PRJ518" s="379"/>
      <c r="PRK518" s="13"/>
      <c r="PRL518" s="13"/>
      <c r="PRM518" s="193"/>
      <c r="PRN518" s="379"/>
      <c r="PRO518" s="379"/>
      <c r="PRP518" s="379"/>
      <c r="PRQ518" s="379"/>
      <c r="PRR518" s="379"/>
      <c r="PRS518" s="13"/>
      <c r="PRT518" s="13"/>
      <c r="PRU518" s="193"/>
      <c r="PRV518" s="379"/>
      <c r="PRW518" s="379"/>
      <c r="PRX518" s="379"/>
      <c r="PRY518" s="379"/>
      <c r="PRZ518" s="379"/>
      <c r="PSA518" s="13"/>
      <c r="PSB518" s="13"/>
      <c r="PSC518" s="193"/>
      <c r="PSD518" s="379"/>
      <c r="PSE518" s="379"/>
      <c r="PSF518" s="379"/>
      <c r="PSG518" s="379"/>
      <c r="PSH518" s="379"/>
      <c r="PSI518" s="13"/>
      <c r="PSJ518" s="13"/>
      <c r="PSK518" s="193"/>
      <c r="PSL518" s="379"/>
      <c r="PSM518" s="379"/>
      <c r="PSN518" s="379"/>
      <c r="PSO518" s="379"/>
      <c r="PSP518" s="379"/>
      <c r="PSQ518" s="13"/>
      <c r="PSR518" s="13"/>
      <c r="PSS518" s="193"/>
      <c r="PST518" s="379"/>
      <c r="PSU518" s="379"/>
      <c r="PSV518" s="379"/>
      <c r="PSW518" s="379"/>
      <c r="PSX518" s="379"/>
      <c r="PSY518" s="13"/>
      <c r="PSZ518" s="13"/>
      <c r="PTA518" s="193"/>
      <c r="PTB518" s="379"/>
      <c r="PTC518" s="379"/>
      <c r="PTD518" s="379"/>
      <c r="PTE518" s="379"/>
      <c r="PTF518" s="379"/>
      <c r="PTG518" s="13"/>
      <c r="PTH518" s="13"/>
      <c r="PTI518" s="193"/>
      <c r="PTJ518" s="379"/>
      <c r="PTK518" s="379"/>
      <c r="PTL518" s="379"/>
      <c r="PTM518" s="379"/>
      <c r="PTN518" s="379"/>
      <c r="PTO518" s="13"/>
      <c r="PTP518" s="13"/>
      <c r="PTQ518" s="193"/>
      <c r="PTR518" s="379"/>
      <c r="PTS518" s="379"/>
      <c r="PTT518" s="379"/>
      <c r="PTU518" s="379"/>
      <c r="PTV518" s="379"/>
      <c r="PTW518" s="13"/>
      <c r="PTX518" s="13"/>
      <c r="PTY518" s="193"/>
      <c r="PTZ518" s="379"/>
      <c r="PUA518" s="379"/>
      <c r="PUB518" s="379"/>
      <c r="PUC518" s="379"/>
      <c r="PUD518" s="379"/>
      <c r="PUE518" s="13"/>
      <c r="PUF518" s="13"/>
      <c r="PUG518" s="193"/>
      <c r="PUH518" s="379"/>
      <c r="PUI518" s="379"/>
      <c r="PUJ518" s="379"/>
      <c r="PUK518" s="379"/>
      <c r="PUL518" s="379"/>
      <c r="PUM518" s="13"/>
      <c r="PUN518" s="13"/>
      <c r="PUO518" s="193"/>
      <c r="PUP518" s="379"/>
      <c r="PUQ518" s="379"/>
      <c r="PUR518" s="379"/>
      <c r="PUS518" s="379"/>
      <c r="PUT518" s="379"/>
      <c r="PUU518" s="13"/>
      <c r="PUV518" s="13"/>
      <c r="PUW518" s="193"/>
      <c r="PUX518" s="379"/>
      <c r="PUY518" s="379"/>
      <c r="PUZ518" s="379"/>
      <c r="PVA518" s="379"/>
      <c r="PVB518" s="379"/>
      <c r="PVC518" s="13"/>
      <c r="PVD518" s="13"/>
      <c r="PVE518" s="193"/>
      <c r="PVF518" s="379"/>
      <c r="PVG518" s="379"/>
      <c r="PVH518" s="379"/>
      <c r="PVI518" s="379"/>
      <c r="PVJ518" s="379"/>
      <c r="PVK518" s="13"/>
      <c r="PVL518" s="13"/>
      <c r="PVM518" s="193"/>
      <c r="PVN518" s="379"/>
      <c r="PVO518" s="379"/>
      <c r="PVP518" s="379"/>
      <c r="PVQ518" s="379"/>
      <c r="PVR518" s="379"/>
      <c r="PVS518" s="13"/>
      <c r="PVT518" s="13"/>
      <c r="PVU518" s="193"/>
      <c r="PVV518" s="379"/>
      <c r="PVW518" s="379"/>
      <c r="PVX518" s="379"/>
      <c r="PVY518" s="379"/>
      <c r="PVZ518" s="379"/>
      <c r="PWA518" s="13"/>
      <c r="PWB518" s="13"/>
      <c r="PWC518" s="193"/>
      <c r="PWD518" s="379"/>
      <c r="PWE518" s="379"/>
      <c r="PWF518" s="379"/>
      <c r="PWG518" s="379"/>
      <c r="PWH518" s="379"/>
      <c r="PWI518" s="13"/>
      <c r="PWJ518" s="13"/>
      <c r="PWK518" s="193"/>
      <c r="PWL518" s="379"/>
      <c r="PWM518" s="379"/>
      <c r="PWN518" s="379"/>
      <c r="PWO518" s="379"/>
      <c r="PWP518" s="379"/>
      <c r="PWQ518" s="13"/>
      <c r="PWR518" s="13"/>
      <c r="PWS518" s="193"/>
      <c r="PWT518" s="379"/>
      <c r="PWU518" s="379"/>
      <c r="PWV518" s="379"/>
      <c r="PWW518" s="379"/>
      <c r="PWX518" s="379"/>
      <c r="PWY518" s="13"/>
      <c r="PWZ518" s="13"/>
      <c r="PXA518" s="193"/>
      <c r="PXB518" s="379"/>
      <c r="PXC518" s="379"/>
      <c r="PXD518" s="379"/>
      <c r="PXE518" s="379"/>
      <c r="PXF518" s="379"/>
      <c r="PXG518" s="13"/>
      <c r="PXH518" s="13"/>
      <c r="PXI518" s="193"/>
      <c r="PXJ518" s="379"/>
      <c r="PXK518" s="379"/>
      <c r="PXL518" s="379"/>
      <c r="PXM518" s="379"/>
      <c r="PXN518" s="379"/>
      <c r="PXO518" s="13"/>
      <c r="PXP518" s="13"/>
      <c r="PXQ518" s="193"/>
      <c r="PXR518" s="379"/>
      <c r="PXS518" s="379"/>
      <c r="PXT518" s="379"/>
      <c r="PXU518" s="379"/>
      <c r="PXV518" s="379"/>
      <c r="PXW518" s="13"/>
      <c r="PXX518" s="13"/>
      <c r="PXY518" s="193"/>
      <c r="PXZ518" s="379"/>
      <c r="PYA518" s="379"/>
      <c r="PYB518" s="379"/>
      <c r="PYC518" s="379"/>
      <c r="PYD518" s="379"/>
      <c r="PYE518" s="13"/>
      <c r="PYF518" s="13"/>
      <c r="PYG518" s="193"/>
      <c r="PYH518" s="379"/>
      <c r="PYI518" s="379"/>
      <c r="PYJ518" s="379"/>
      <c r="PYK518" s="379"/>
      <c r="PYL518" s="379"/>
      <c r="PYM518" s="13"/>
      <c r="PYN518" s="13"/>
      <c r="PYO518" s="193"/>
      <c r="PYP518" s="379"/>
      <c r="PYQ518" s="379"/>
      <c r="PYR518" s="379"/>
      <c r="PYS518" s="379"/>
      <c r="PYT518" s="379"/>
      <c r="PYU518" s="13"/>
      <c r="PYV518" s="13"/>
      <c r="PYW518" s="193"/>
      <c r="PYX518" s="379"/>
      <c r="PYY518" s="379"/>
      <c r="PYZ518" s="379"/>
      <c r="PZA518" s="379"/>
      <c r="PZB518" s="379"/>
      <c r="PZC518" s="13"/>
      <c r="PZD518" s="13"/>
      <c r="PZE518" s="193"/>
      <c r="PZF518" s="379"/>
      <c r="PZG518" s="379"/>
      <c r="PZH518" s="379"/>
      <c r="PZI518" s="379"/>
      <c r="PZJ518" s="379"/>
      <c r="PZK518" s="13"/>
      <c r="PZL518" s="13"/>
      <c r="PZM518" s="193"/>
      <c r="PZN518" s="379"/>
      <c r="PZO518" s="379"/>
      <c r="PZP518" s="379"/>
      <c r="PZQ518" s="379"/>
      <c r="PZR518" s="379"/>
      <c r="PZS518" s="13"/>
      <c r="PZT518" s="13"/>
      <c r="PZU518" s="193"/>
      <c r="PZV518" s="379"/>
      <c r="PZW518" s="379"/>
      <c r="PZX518" s="379"/>
      <c r="PZY518" s="379"/>
      <c r="PZZ518" s="379"/>
      <c r="QAA518" s="13"/>
      <c r="QAB518" s="13"/>
      <c r="QAC518" s="193"/>
      <c r="QAD518" s="379"/>
      <c r="QAE518" s="379"/>
      <c r="QAF518" s="379"/>
      <c r="QAG518" s="379"/>
      <c r="QAH518" s="379"/>
      <c r="QAI518" s="13"/>
      <c r="QAJ518" s="13"/>
      <c r="QAK518" s="193"/>
      <c r="QAL518" s="379"/>
      <c r="QAM518" s="379"/>
      <c r="QAN518" s="379"/>
      <c r="QAO518" s="379"/>
      <c r="QAP518" s="379"/>
      <c r="QAQ518" s="13"/>
      <c r="QAR518" s="13"/>
      <c r="QAS518" s="193"/>
      <c r="QAT518" s="379"/>
      <c r="QAU518" s="379"/>
      <c r="QAV518" s="379"/>
      <c r="QAW518" s="379"/>
      <c r="QAX518" s="379"/>
      <c r="QAY518" s="13"/>
      <c r="QAZ518" s="13"/>
      <c r="QBA518" s="193"/>
      <c r="QBB518" s="379"/>
      <c r="QBC518" s="379"/>
      <c r="QBD518" s="379"/>
      <c r="QBE518" s="379"/>
      <c r="QBF518" s="379"/>
      <c r="QBG518" s="13"/>
      <c r="QBH518" s="13"/>
      <c r="QBI518" s="193"/>
      <c r="QBJ518" s="379"/>
      <c r="QBK518" s="379"/>
      <c r="QBL518" s="379"/>
      <c r="QBM518" s="379"/>
      <c r="QBN518" s="379"/>
      <c r="QBO518" s="13"/>
      <c r="QBP518" s="13"/>
      <c r="QBQ518" s="193"/>
      <c r="QBR518" s="379"/>
      <c r="QBS518" s="379"/>
      <c r="QBT518" s="379"/>
      <c r="QBU518" s="379"/>
      <c r="QBV518" s="379"/>
      <c r="QBW518" s="13"/>
      <c r="QBX518" s="13"/>
      <c r="QBY518" s="193"/>
      <c r="QBZ518" s="379"/>
      <c r="QCA518" s="379"/>
      <c r="QCB518" s="379"/>
      <c r="QCC518" s="379"/>
      <c r="QCD518" s="379"/>
      <c r="QCE518" s="13"/>
      <c r="QCF518" s="13"/>
      <c r="QCG518" s="193"/>
      <c r="QCH518" s="379"/>
      <c r="QCI518" s="379"/>
      <c r="QCJ518" s="379"/>
      <c r="QCK518" s="379"/>
      <c r="QCL518" s="379"/>
      <c r="QCM518" s="13"/>
      <c r="QCN518" s="13"/>
      <c r="QCO518" s="193"/>
      <c r="QCP518" s="379"/>
      <c r="QCQ518" s="379"/>
      <c r="QCR518" s="379"/>
      <c r="QCS518" s="379"/>
      <c r="QCT518" s="379"/>
      <c r="QCU518" s="13"/>
      <c r="QCV518" s="13"/>
      <c r="QCW518" s="193"/>
      <c r="QCX518" s="379"/>
      <c r="QCY518" s="379"/>
      <c r="QCZ518" s="379"/>
      <c r="QDA518" s="379"/>
      <c r="QDB518" s="379"/>
      <c r="QDC518" s="13"/>
      <c r="QDD518" s="13"/>
      <c r="QDE518" s="193"/>
      <c r="QDF518" s="379"/>
      <c r="QDG518" s="379"/>
      <c r="QDH518" s="379"/>
      <c r="QDI518" s="379"/>
      <c r="QDJ518" s="379"/>
      <c r="QDK518" s="13"/>
      <c r="QDL518" s="13"/>
      <c r="QDM518" s="193"/>
      <c r="QDN518" s="379"/>
      <c r="QDO518" s="379"/>
      <c r="QDP518" s="379"/>
      <c r="QDQ518" s="379"/>
      <c r="QDR518" s="379"/>
      <c r="QDS518" s="13"/>
      <c r="QDT518" s="13"/>
      <c r="QDU518" s="193"/>
      <c r="QDV518" s="379"/>
      <c r="QDW518" s="379"/>
      <c r="QDX518" s="379"/>
      <c r="QDY518" s="379"/>
      <c r="QDZ518" s="379"/>
      <c r="QEA518" s="13"/>
      <c r="QEB518" s="13"/>
      <c r="QEC518" s="193"/>
      <c r="QED518" s="379"/>
      <c r="QEE518" s="379"/>
      <c r="QEF518" s="379"/>
      <c r="QEG518" s="379"/>
      <c r="QEH518" s="379"/>
      <c r="QEI518" s="13"/>
      <c r="QEJ518" s="13"/>
      <c r="QEK518" s="193"/>
      <c r="QEL518" s="379"/>
      <c r="QEM518" s="379"/>
      <c r="QEN518" s="379"/>
      <c r="QEO518" s="379"/>
      <c r="QEP518" s="379"/>
      <c r="QEQ518" s="13"/>
      <c r="QER518" s="13"/>
      <c r="QES518" s="193"/>
      <c r="QET518" s="379"/>
      <c r="QEU518" s="379"/>
      <c r="QEV518" s="379"/>
      <c r="QEW518" s="379"/>
      <c r="QEX518" s="379"/>
      <c r="QEY518" s="13"/>
      <c r="QEZ518" s="13"/>
      <c r="QFA518" s="193"/>
      <c r="QFB518" s="379"/>
      <c r="QFC518" s="379"/>
      <c r="QFD518" s="379"/>
      <c r="QFE518" s="379"/>
      <c r="QFF518" s="379"/>
      <c r="QFG518" s="13"/>
      <c r="QFH518" s="13"/>
      <c r="QFI518" s="193"/>
      <c r="QFJ518" s="379"/>
      <c r="QFK518" s="379"/>
      <c r="QFL518" s="379"/>
      <c r="QFM518" s="379"/>
      <c r="QFN518" s="379"/>
      <c r="QFO518" s="13"/>
      <c r="QFP518" s="13"/>
      <c r="QFQ518" s="193"/>
      <c r="QFR518" s="379"/>
      <c r="QFS518" s="379"/>
      <c r="QFT518" s="379"/>
      <c r="QFU518" s="379"/>
      <c r="QFV518" s="379"/>
      <c r="QFW518" s="13"/>
      <c r="QFX518" s="13"/>
      <c r="QFY518" s="193"/>
      <c r="QFZ518" s="379"/>
      <c r="QGA518" s="379"/>
      <c r="QGB518" s="379"/>
      <c r="QGC518" s="379"/>
      <c r="QGD518" s="379"/>
      <c r="QGE518" s="13"/>
      <c r="QGF518" s="13"/>
      <c r="QGG518" s="193"/>
      <c r="QGH518" s="379"/>
      <c r="QGI518" s="379"/>
      <c r="QGJ518" s="379"/>
      <c r="QGK518" s="379"/>
      <c r="QGL518" s="379"/>
      <c r="QGM518" s="13"/>
      <c r="QGN518" s="13"/>
      <c r="QGO518" s="193"/>
      <c r="QGP518" s="379"/>
      <c r="QGQ518" s="379"/>
      <c r="QGR518" s="379"/>
      <c r="QGS518" s="379"/>
      <c r="QGT518" s="379"/>
      <c r="QGU518" s="13"/>
      <c r="QGV518" s="13"/>
      <c r="QGW518" s="193"/>
      <c r="QGX518" s="379"/>
      <c r="QGY518" s="379"/>
      <c r="QGZ518" s="379"/>
      <c r="QHA518" s="379"/>
      <c r="QHB518" s="379"/>
      <c r="QHC518" s="13"/>
      <c r="QHD518" s="13"/>
      <c r="QHE518" s="193"/>
      <c r="QHF518" s="379"/>
      <c r="QHG518" s="379"/>
      <c r="QHH518" s="379"/>
      <c r="QHI518" s="379"/>
      <c r="QHJ518" s="379"/>
      <c r="QHK518" s="13"/>
      <c r="QHL518" s="13"/>
      <c r="QHM518" s="193"/>
      <c r="QHN518" s="379"/>
      <c r="QHO518" s="379"/>
      <c r="QHP518" s="379"/>
      <c r="QHQ518" s="379"/>
      <c r="QHR518" s="379"/>
      <c r="QHS518" s="13"/>
      <c r="QHT518" s="13"/>
      <c r="QHU518" s="193"/>
      <c r="QHV518" s="379"/>
      <c r="QHW518" s="379"/>
      <c r="QHX518" s="379"/>
      <c r="QHY518" s="379"/>
      <c r="QHZ518" s="379"/>
      <c r="QIA518" s="13"/>
      <c r="QIB518" s="13"/>
      <c r="QIC518" s="193"/>
      <c r="QID518" s="379"/>
      <c r="QIE518" s="379"/>
      <c r="QIF518" s="379"/>
      <c r="QIG518" s="379"/>
      <c r="QIH518" s="379"/>
      <c r="QII518" s="13"/>
      <c r="QIJ518" s="13"/>
      <c r="QIK518" s="193"/>
      <c r="QIL518" s="379"/>
      <c r="QIM518" s="379"/>
      <c r="QIN518" s="379"/>
      <c r="QIO518" s="379"/>
      <c r="QIP518" s="379"/>
      <c r="QIQ518" s="13"/>
      <c r="QIR518" s="13"/>
      <c r="QIS518" s="193"/>
      <c r="QIT518" s="379"/>
      <c r="QIU518" s="379"/>
      <c r="QIV518" s="379"/>
      <c r="QIW518" s="379"/>
      <c r="QIX518" s="379"/>
      <c r="QIY518" s="13"/>
      <c r="QIZ518" s="13"/>
      <c r="QJA518" s="193"/>
      <c r="QJB518" s="379"/>
      <c r="QJC518" s="379"/>
      <c r="QJD518" s="379"/>
      <c r="QJE518" s="379"/>
      <c r="QJF518" s="379"/>
      <c r="QJG518" s="13"/>
      <c r="QJH518" s="13"/>
      <c r="QJI518" s="193"/>
      <c r="QJJ518" s="379"/>
      <c r="QJK518" s="379"/>
      <c r="QJL518" s="379"/>
      <c r="QJM518" s="379"/>
      <c r="QJN518" s="379"/>
      <c r="QJO518" s="13"/>
      <c r="QJP518" s="13"/>
      <c r="QJQ518" s="193"/>
      <c r="QJR518" s="379"/>
      <c r="QJS518" s="379"/>
      <c r="QJT518" s="379"/>
      <c r="QJU518" s="379"/>
      <c r="QJV518" s="379"/>
      <c r="QJW518" s="13"/>
      <c r="QJX518" s="13"/>
      <c r="QJY518" s="193"/>
      <c r="QJZ518" s="379"/>
      <c r="QKA518" s="379"/>
      <c r="QKB518" s="379"/>
      <c r="QKC518" s="379"/>
      <c r="QKD518" s="379"/>
      <c r="QKE518" s="13"/>
      <c r="QKF518" s="13"/>
      <c r="QKG518" s="193"/>
      <c r="QKH518" s="379"/>
      <c r="QKI518" s="379"/>
      <c r="QKJ518" s="379"/>
      <c r="QKK518" s="379"/>
      <c r="QKL518" s="379"/>
      <c r="QKM518" s="13"/>
      <c r="QKN518" s="13"/>
      <c r="QKO518" s="193"/>
      <c r="QKP518" s="379"/>
      <c r="QKQ518" s="379"/>
      <c r="QKR518" s="379"/>
      <c r="QKS518" s="379"/>
      <c r="QKT518" s="379"/>
      <c r="QKU518" s="13"/>
      <c r="QKV518" s="13"/>
      <c r="QKW518" s="193"/>
      <c r="QKX518" s="379"/>
      <c r="QKY518" s="379"/>
      <c r="QKZ518" s="379"/>
      <c r="QLA518" s="379"/>
      <c r="QLB518" s="379"/>
      <c r="QLC518" s="13"/>
      <c r="QLD518" s="13"/>
      <c r="QLE518" s="193"/>
      <c r="QLF518" s="379"/>
      <c r="QLG518" s="379"/>
      <c r="QLH518" s="379"/>
      <c r="QLI518" s="379"/>
      <c r="QLJ518" s="379"/>
      <c r="QLK518" s="13"/>
      <c r="QLL518" s="13"/>
      <c r="QLM518" s="193"/>
      <c r="QLN518" s="379"/>
      <c r="QLO518" s="379"/>
      <c r="QLP518" s="379"/>
      <c r="QLQ518" s="379"/>
      <c r="QLR518" s="379"/>
      <c r="QLS518" s="13"/>
      <c r="QLT518" s="13"/>
      <c r="QLU518" s="193"/>
      <c r="QLV518" s="379"/>
      <c r="QLW518" s="379"/>
      <c r="QLX518" s="379"/>
      <c r="QLY518" s="379"/>
      <c r="QLZ518" s="379"/>
      <c r="QMA518" s="13"/>
      <c r="QMB518" s="13"/>
      <c r="QMC518" s="193"/>
      <c r="QMD518" s="379"/>
      <c r="QME518" s="379"/>
      <c r="QMF518" s="379"/>
      <c r="QMG518" s="379"/>
      <c r="QMH518" s="379"/>
      <c r="QMI518" s="13"/>
      <c r="QMJ518" s="13"/>
      <c r="QMK518" s="193"/>
      <c r="QML518" s="379"/>
      <c r="QMM518" s="379"/>
      <c r="QMN518" s="379"/>
      <c r="QMO518" s="379"/>
      <c r="QMP518" s="379"/>
      <c r="QMQ518" s="13"/>
      <c r="QMR518" s="13"/>
      <c r="QMS518" s="193"/>
      <c r="QMT518" s="379"/>
      <c r="QMU518" s="379"/>
      <c r="QMV518" s="379"/>
      <c r="QMW518" s="379"/>
      <c r="QMX518" s="379"/>
      <c r="QMY518" s="13"/>
      <c r="QMZ518" s="13"/>
      <c r="QNA518" s="193"/>
      <c r="QNB518" s="379"/>
      <c r="QNC518" s="379"/>
      <c r="QND518" s="379"/>
      <c r="QNE518" s="379"/>
      <c r="QNF518" s="379"/>
      <c r="QNG518" s="13"/>
      <c r="QNH518" s="13"/>
      <c r="QNI518" s="193"/>
      <c r="QNJ518" s="379"/>
      <c r="QNK518" s="379"/>
      <c r="QNL518" s="379"/>
      <c r="QNM518" s="379"/>
      <c r="QNN518" s="379"/>
      <c r="QNO518" s="13"/>
      <c r="QNP518" s="13"/>
      <c r="QNQ518" s="193"/>
      <c r="QNR518" s="379"/>
      <c r="QNS518" s="379"/>
      <c r="QNT518" s="379"/>
      <c r="QNU518" s="379"/>
      <c r="QNV518" s="379"/>
      <c r="QNW518" s="13"/>
      <c r="QNX518" s="13"/>
      <c r="QNY518" s="193"/>
      <c r="QNZ518" s="379"/>
      <c r="QOA518" s="379"/>
      <c r="QOB518" s="379"/>
      <c r="QOC518" s="379"/>
      <c r="QOD518" s="379"/>
      <c r="QOE518" s="13"/>
      <c r="QOF518" s="13"/>
      <c r="QOG518" s="193"/>
      <c r="QOH518" s="379"/>
      <c r="QOI518" s="379"/>
      <c r="QOJ518" s="379"/>
      <c r="QOK518" s="379"/>
      <c r="QOL518" s="379"/>
      <c r="QOM518" s="13"/>
      <c r="QON518" s="13"/>
      <c r="QOO518" s="193"/>
      <c r="QOP518" s="379"/>
      <c r="QOQ518" s="379"/>
      <c r="QOR518" s="379"/>
      <c r="QOS518" s="379"/>
      <c r="QOT518" s="379"/>
      <c r="QOU518" s="13"/>
      <c r="QOV518" s="13"/>
      <c r="QOW518" s="193"/>
      <c r="QOX518" s="379"/>
      <c r="QOY518" s="379"/>
      <c r="QOZ518" s="379"/>
      <c r="QPA518" s="379"/>
      <c r="QPB518" s="379"/>
      <c r="QPC518" s="13"/>
      <c r="QPD518" s="13"/>
      <c r="QPE518" s="193"/>
      <c r="QPF518" s="379"/>
      <c r="QPG518" s="379"/>
      <c r="QPH518" s="379"/>
      <c r="QPI518" s="379"/>
      <c r="QPJ518" s="379"/>
      <c r="QPK518" s="13"/>
      <c r="QPL518" s="13"/>
      <c r="QPM518" s="193"/>
      <c r="QPN518" s="379"/>
      <c r="QPO518" s="379"/>
      <c r="QPP518" s="379"/>
      <c r="QPQ518" s="379"/>
      <c r="QPR518" s="379"/>
      <c r="QPS518" s="13"/>
      <c r="QPT518" s="13"/>
      <c r="QPU518" s="193"/>
      <c r="QPV518" s="379"/>
      <c r="QPW518" s="379"/>
      <c r="QPX518" s="379"/>
      <c r="QPY518" s="379"/>
      <c r="QPZ518" s="379"/>
      <c r="QQA518" s="13"/>
      <c r="QQB518" s="13"/>
      <c r="QQC518" s="193"/>
      <c r="QQD518" s="379"/>
      <c r="QQE518" s="379"/>
      <c r="QQF518" s="379"/>
      <c r="QQG518" s="379"/>
      <c r="QQH518" s="379"/>
      <c r="QQI518" s="13"/>
      <c r="QQJ518" s="13"/>
      <c r="QQK518" s="193"/>
      <c r="QQL518" s="379"/>
      <c r="QQM518" s="379"/>
      <c r="QQN518" s="379"/>
      <c r="QQO518" s="379"/>
      <c r="QQP518" s="379"/>
      <c r="QQQ518" s="13"/>
      <c r="QQR518" s="13"/>
      <c r="QQS518" s="193"/>
      <c r="QQT518" s="379"/>
      <c r="QQU518" s="379"/>
      <c r="QQV518" s="379"/>
      <c r="QQW518" s="379"/>
      <c r="QQX518" s="379"/>
      <c r="QQY518" s="13"/>
      <c r="QQZ518" s="13"/>
      <c r="QRA518" s="193"/>
      <c r="QRB518" s="379"/>
      <c r="QRC518" s="379"/>
      <c r="QRD518" s="379"/>
      <c r="QRE518" s="379"/>
      <c r="QRF518" s="379"/>
      <c r="QRG518" s="13"/>
      <c r="QRH518" s="13"/>
      <c r="QRI518" s="193"/>
      <c r="QRJ518" s="379"/>
      <c r="QRK518" s="379"/>
      <c r="QRL518" s="379"/>
      <c r="QRM518" s="379"/>
      <c r="QRN518" s="379"/>
      <c r="QRO518" s="13"/>
      <c r="QRP518" s="13"/>
      <c r="QRQ518" s="193"/>
      <c r="QRR518" s="379"/>
      <c r="QRS518" s="379"/>
      <c r="QRT518" s="379"/>
      <c r="QRU518" s="379"/>
      <c r="QRV518" s="379"/>
      <c r="QRW518" s="13"/>
      <c r="QRX518" s="13"/>
      <c r="QRY518" s="193"/>
      <c r="QRZ518" s="379"/>
      <c r="QSA518" s="379"/>
      <c r="QSB518" s="379"/>
      <c r="QSC518" s="379"/>
      <c r="QSD518" s="379"/>
      <c r="QSE518" s="13"/>
      <c r="QSF518" s="13"/>
      <c r="QSG518" s="193"/>
      <c r="QSH518" s="379"/>
      <c r="QSI518" s="379"/>
      <c r="QSJ518" s="379"/>
      <c r="QSK518" s="379"/>
      <c r="QSL518" s="379"/>
      <c r="QSM518" s="13"/>
      <c r="QSN518" s="13"/>
      <c r="QSO518" s="193"/>
      <c r="QSP518" s="379"/>
      <c r="QSQ518" s="379"/>
      <c r="QSR518" s="379"/>
      <c r="QSS518" s="379"/>
      <c r="QST518" s="379"/>
      <c r="QSU518" s="13"/>
      <c r="QSV518" s="13"/>
      <c r="QSW518" s="193"/>
      <c r="QSX518" s="379"/>
      <c r="QSY518" s="379"/>
      <c r="QSZ518" s="379"/>
      <c r="QTA518" s="379"/>
      <c r="QTB518" s="379"/>
      <c r="QTC518" s="13"/>
      <c r="QTD518" s="13"/>
      <c r="QTE518" s="193"/>
      <c r="QTF518" s="379"/>
      <c r="QTG518" s="379"/>
      <c r="QTH518" s="379"/>
      <c r="QTI518" s="379"/>
      <c r="QTJ518" s="379"/>
      <c r="QTK518" s="13"/>
      <c r="QTL518" s="13"/>
      <c r="QTM518" s="193"/>
      <c r="QTN518" s="379"/>
      <c r="QTO518" s="379"/>
      <c r="QTP518" s="379"/>
      <c r="QTQ518" s="379"/>
      <c r="QTR518" s="379"/>
      <c r="QTS518" s="13"/>
      <c r="QTT518" s="13"/>
      <c r="QTU518" s="193"/>
      <c r="QTV518" s="379"/>
      <c r="QTW518" s="379"/>
      <c r="QTX518" s="379"/>
      <c r="QTY518" s="379"/>
      <c r="QTZ518" s="379"/>
      <c r="QUA518" s="13"/>
      <c r="QUB518" s="13"/>
      <c r="QUC518" s="193"/>
      <c r="QUD518" s="379"/>
      <c r="QUE518" s="379"/>
      <c r="QUF518" s="379"/>
      <c r="QUG518" s="379"/>
      <c r="QUH518" s="379"/>
      <c r="QUI518" s="13"/>
      <c r="QUJ518" s="13"/>
      <c r="QUK518" s="193"/>
      <c r="QUL518" s="379"/>
      <c r="QUM518" s="379"/>
      <c r="QUN518" s="379"/>
      <c r="QUO518" s="379"/>
      <c r="QUP518" s="379"/>
      <c r="QUQ518" s="13"/>
      <c r="QUR518" s="13"/>
      <c r="QUS518" s="193"/>
      <c r="QUT518" s="379"/>
      <c r="QUU518" s="379"/>
      <c r="QUV518" s="379"/>
      <c r="QUW518" s="379"/>
      <c r="QUX518" s="379"/>
      <c r="QUY518" s="13"/>
      <c r="QUZ518" s="13"/>
      <c r="QVA518" s="193"/>
      <c r="QVB518" s="379"/>
      <c r="QVC518" s="379"/>
      <c r="QVD518" s="379"/>
      <c r="QVE518" s="379"/>
      <c r="QVF518" s="379"/>
      <c r="QVG518" s="13"/>
      <c r="QVH518" s="13"/>
      <c r="QVI518" s="193"/>
      <c r="QVJ518" s="379"/>
      <c r="QVK518" s="379"/>
      <c r="QVL518" s="379"/>
      <c r="QVM518" s="379"/>
      <c r="QVN518" s="379"/>
      <c r="QVO518" s="13"/>
      <c r="QVP518" s="13"/>
      <c r="QVQ518" s="193"/>
      <c r="QVR518" s="379"/>
      <c r="QVS518" s="379"/>
      <c r="QVT518" s="379"/>
      <c r="QVU518" s="379"/>
      <c r="QVV518" s="379"/>
      <c r="QVW518" s="13"/>
      <c r="QVX518" s="13"/>
      <c r="QVY518" s="193"/>
      <c r="QVZ518" s="379"/>
      <c r="QWA518" s="379"/>
      <c r="QWB518" s="379"/>
      <c r="QWC518" s="379"/>
      <c r="QWD518" s="379"/>
      <c r="QWE518" s="13"/>
      <c r="QWF518" s="13"/>
      <c r="QWG518" s="193"/>
      <c r="QWH518" s="379"/>
      <c r="QWI518" s="379"/>
      <c r="QWJ518" s="379"/>
      <c r="QWK518" s="379"/>
      <c r="QWL518" s="379"/>
      <c r="QWM518" s="13"/>
      <c r="QWN518" s="13"/>
      <c r="QWO518" s="193"/>
      <c r="QWP518" s="379"/>
      <c r="QWQ518" s="379"/>
      <c r="QWR518" s="379"/>
      <c r="QWS518" s="379"/>
      <c r="QWT518" s="379"/>
      <c r="QWU518" s="13"/>
      <c r="QWV518" s="13"/>
      <c r="QWW518" s="193"/>
      <c r="QWX518" s="379"/>
      <c r="QWY518" s="379"/>
      <c r="QWZ518" s="379"/>
      <c r="QXA518" s="379"/>
      <c r="QXB518" s="379"/>
      <c r="QXC518" s="13"/>
      <c r="QXD518" s="13"/>
      <c r="QXE518" s="193"/>
      <c r="QXF518" s="379"/>
      <c r="QXG518" s="379"/>
      <c r="QXH518" s="379"/>
      <c r="QXI518" s="379"/>
      <c r="QXJ518" s="379"/>
      <c r="QXK518" s="13"/>
      <c r="QXL518" s="13"/>
      <c r="QXM518" s="193"/>
      <c r="QXN518" s="379"/>
      <c r="QXO518" s="379"/>
      <c r="QXP518" s="379"/>
      <c r="QXQ518" s="379"/>
      <c r="QXR518" s="379"/>
      <c r="QXS518" s="13"/>
      <c r="QXT518" s="13"/>
      <c r="QXU518" s="193"/>
      <c r="QXV518" s="379"/>
      <c r="QXW518" s="379"/>
      <c r="QXX518" s="379"/>
      <c r="QXY518" s="379"/>
      <c r="QXZ518" s="379"/>
      <c r="QYA518" s="13"/>
      <c r="QYB518" s="13"/>
      <c r="QYC518" s="193"/>
      <c r="QYD518" s="379"/>
      <c r="QYE518" s="379"/>
      <c r="QYF518" s="379"/>
      <c r="QYG518" s="379"/>
      <c r="QYH518" s="379"/>
      <c r="QYI518" s="13"/>
      <c r="QYJ518" s="13"/>
      <c r="QYK518" s="193"/>
      <c r="QYL518" s="379"/>
      <c r="QYM518" s="379"/>
      <c r="QYN518" s="379"/>
      <c r="QYO518" s="379"/>
      <c r="QYP518" s="379"/>
      <c r="QYQ518" s="13"/>
      <c r="QYR518" s="13"/>
      <c r="QYS518" s="193"/>
      <c r="QYT518" s="379"/>
      <c r="QYU518" s="379"/>
      <c r="QYV518" s="379"/>
      <c r="QYW518" s="379"/>
      <c r="QYX518" s="379"/>
      <c r="QYY518" s="13"/>
      <c r="QYZ518" s="13"/>
      <c r="QZA518" s="193"/>
      <c r="QZB518" s="379"/>
      <c r="QZC518" s="379"/>
      <c r="QZD518" s="379"/>
      <c r="QZE518" s="379"/>
      <c r="QZF518" s="379"/>
      <c r="QZG518" s="13"/>
      <c r="QZH518" s="13"/>
      <c r="QZI518" s="193"/>
      <c r="QZJ518" s="379"/>
      <c r="QZK518" s="379"/>
      <c r="QZL518" s="379"/>
      <c r="QZM518" s="379"/>
      <c r="QZN518" s="379"/>
      <c r="QZO518" s="13"/>
      <c r="QZP518" s="13"/>
      <c r="QZQ518" s="193"/>
      <c r="QZR518" s="379"/>
      <c r="QZS518" s="379"/>
      <c r="QZT518" s="379"/>
      <c r="QZU518" s="379"/>
      <c r="QZV518" s="379"/>
      <c r="QZW518" s="13"/>
      <c r="QZX518" s="13"/>
      <c r="QZY518" s="193"/>
      <c r="QZZ518" s="379"/>
      <c r="RAA518" s="379"/>
      <c r="RAB518" s="379"/>
      <c r="RAC518" s="379"/>
      <c r="RAD518" s="379"/>
      <c r="RAE518" s="13"/>
      <c r="RAF518" s="13"/>
      <c r="RAG518" s="193"/>
      <c r="RAH518" s="379"/>
      <c r="RAI518" s="379"/>
      <c r="RAJ518" s="379"/>
      <c r="RAK518" s="379"/>
      <c r="RAL518" s="379"/>
      <c r="RAM518" s="13"/>
      <c r="RAN518" s="13"/>
      <c r="RAO518" s="193"/>
      <c r="RAP518" s="379"/>
      <c r="RAQ518" s="379"/>
      <c r="RAR518" s="379"/>
      <c r="RAS518" s="379"/>
      <c r="RAT518" s="379"/>
      <c r="RAU518" s="13"/>
      <c r="RAV518" s="13"/>
      <c r="RAW518" s="193"/>
      <c r="RAX518" s="379"/>
      <c r="RAY518" s="379"/>
      <c r="RAZ518" s="379"/>
      <c r="RBA518" s="379"/>
      <c r="RBB518" s="379"/>
      <c r="RBC518" s="13"/>
      <c r="RBD518" s="13"/>
      <c r="RBE518" s="193"/>
      <c r="RBF518" s="379"/>
      <c r="RBG518" s="379"/>
      <c r="RBH518" s="379"/>
      <c r="RBI518" s="379"/>
      <c r="RBJ518" s="379"/>
      <c r="RBK518" s="13"/>
      <c r="RBL518" s="13"/>
      <c r="RBM518" s="193"/>
      <c r="RBN518" s="379"/>
      <c r="RBO518" s="379"/>
      <c r="RBP518" s="379"/>
      <c r="RBQ518" s="379"/>
      <c r="RBR518" s="379"/>
      <c r="RBS518" s="13"/>
      <c r="RBT518" s="13"/>
      <c r="RBU518" s="193"/>
      <c r="RBV518" s="379"/>
      <c r="RBW518" s="379"/>
      <c r="RBX518" s="379"/>
      <c r="RBY518" s="379"/>
      <c r="RBZ518" s="379"/>
      <c r="RCA518" s="13"/>
      <c r="RCB518" s="13"/>
      <c r="RCC518" s="193"/>
      <c r="RCD518" s="379"/>
      <c r="RCE518" s="379"/>
      <c r="RCF518" s="379"/>
      <c r="RCG518" s="379"/>
      <c r="RCH518" s="379"/>
      <c r="RCI518" s="13"/>
      <c r="RCJ518" s="13"/>
      <c r="RCK518" s="193"/>
      <c r="RCL518" s="379"/>
      <c r="RCM518" s="379"/>
      <c r="RCN518" s="379"/>
      <c r="RCO518" s="379"/>
      <c r="RCP518" s="379"/>
      <c r="RCQ518" s="13"/>
      <c r="RCR518" s="13"/>
      <c r="RCS518" s="193"/>
      <c r="RCT518" s="379"/>
      <c r="RCU518" s="379"/>
      <c r="RCV518" s="379"/>
      <c r="RCW518" s="379"/>
      <c r="RCX518" s="379"/>
      <c r="RCY518" s="13"/>
      <c r="RCZ518" s="13"/>
      <c r="RDA518" s="193"/>
      <c r="RDB518" s="379"/>
      <c r="RDC518" s="379"/>
      <c r="RDD518" s="379"/>
      <c r="RDE518" s="379"/>
      <c r="RDF518" s="379"/>
      <c r="RDG518" s="13"/>
      <c r="RDH518" s="13"/>
      <c r="RDI518" s="193"/>
      <c r="RDJ518" s="379"/>
      <c r="RDK518" s="379"/>
      <c r="RDL518" s="379"/>
      <c r="RDM518" s="379"/>
      <c r="RDN518" s="379"/>
      <c r="RDO518" s="13"/>
      <c r="RDP518" s="13"/>
      <c r="RDQ518" s="193"/>
      <c r="RDR518" s="379"/>
      <c r="RDS518" s="379"/>
      <c r="RDT518" s="379"/>
      <c r="RDU518" s="379"/>
      <c r="RDV518" s="379"/>
      <c r="RDW518" s="13"/>
      <c r="RDX518" s="13"/>
      <c r="RDY518" s="193"/>
      <c r="RDZ518" s="379"/>
      <c r="REA518" s="379"/>
      <c r="REB518" s="379"/>
      <c r="REC518" s="379"/>
      <c r="RED518" s="379"/>
      <c r="REE518" s="13"/>
      <c r="REF518" s="13"/>
      <c r="REG518" s="193"/>
      <c r="REH518" s="379"/>
      <c r="REI518" s="379"/>
      <c r="REJ518" s="379"/>
      <c r="REK518" s="379"/>
      <c r="REL518" s="379"/>
      <c r="REM518" s="13"/>
      <c r="REN518" s="13"/>
      <c r="REO518" s="193"/>
      <c r="REP518" s="379"/>
      <c r="REQ518" s="379"/>
      <c r="RER518" s="379"/>
      <c r="RES518" s="379"/>
      <c r="RET518" s="379"/>
      <c r="REU518" s="13"/>
      <c r="REV518" s="13"/>
      <c r="REW518" s="193"/>
      <c r="REX518" s="379"/>
      <c r="REY518" s="379"/>
      <c r="REZ518" s="379"/>
      <c r="RFA518" s="379"/>
      <c r="RFB518" s="379"/>
      <c r="RFC518" s="13"/>
      <c r="RFD518" s="13"/>
      <c r="RFE518" s="193"/>
      <c r="RFF518" s="379"/>
      <c r="RFG518" s="379"/>
      <c r="RFH518" s="379"/>
      <c r="RFI518" s="379"/>
      <c r="RFJ518" s="379"/>
      <c r="RFK518" s="13"/>
      <c r="RFL518" s="13"/>
      <c r="RFM518" s="193"/>
      <c r="RFN518" s="379"/>
      <c r="RFO518" s="379"/>
      <c r="RFP518" s="379"/>
      <c r="RFQ518" s="379"/>
      <c r="RFR518" s="379"/>
      <c r="RFS518" s="13"/>
      <c r="RFT518" s="13"/>
      <c r="RFU518" s="193"/>
      <c r="RFV518" s="379"/>
      <c r="RFW518" s="379"/>
      <c r="RFX518" s="379"/>
      <c r="RFY518" s="379"/>
      <c r="RFZ518" s="379"/>
      <c r="RGA518" s="13"/>
      <c r="RGB518" s="13"/>
      <c r="RGC518" s="193"/>
      <c r="RGD518" s="379"/>
      <c r="RGE518" s="379"/>
      <c r="RGF518" s="379"/>
      <c r="RGG518" s="379"/>
      <c r="RGH518" s="379"/>
      <c r="RGI518" s="13"/>
      <c r="RGJ518" s="13"/>
      <c r="RGK518" s="193"/>
      <c r="RGL518" s="379"/>
      <c r="RGM518" s="379"/>
      <c r="RGN518" s="379"/>
      <c r="RGO518" s="379"/>
      <c r="RGP518" s="379"/>
      <c r="RGQ518" s="13"/>
      <c r="RGR518" s="13"/>
      <c r="RGS518" s="193"/>
      <c r="RGT518" s="379"/>
      <c r="RGU518" s="379"/>
      <c r="RGV518" s="379"/>
      <c r="RGW518" s="379"/>
      <c r="RGX518" s="379"/>
      <c r="RGY518" s="13"/>
      <c r="RGZ518" s="13"/>
      <c r="RHA518" s="193"/>
      <c r="RHB518" s="379"/>
      <c r="RHC518" s="379"/>
      <c r="RHD518" s="379"/>
      <c r="RHE518" s="379"/>
      <c r="RHF518" s="379"/>
      <c r="RHG518" s="13"/>
      <c r="RHH518" s="13"/>
      <c r="RHI518" s="193"/>
      <c r="RHJ518" s="379"/>
      <c r="RHK518" s="379"/>
      <c r="RHL518" s="379"/>
      <c r="RHM518" s="379"/>
      <c r="RHN518" s="379"/>
      <c r="RHO518" s="13"/>
      <c r="RHP518" s="13"/>
      <c r="RHQ518" s="193"/>
      <c r="RHR518" s="379"/>
      <c r="RHS518" s="379"/>
      <c r="RHT518" s="379"/>
      <c r="RHU518" s="379"/>
      <c r="RHV518" s="379"/>
      <c r="RHW518" s="13"/>
      <c r="RHX518" s="13"/>
      <c r="RHY518" s="193"/>
      <c r="RHZ518" s="379"/>
      <c r="RIA518" s="379"/>
      <c r="RIB518" s="379"/>
      <c r="RIC518" s="379"/>
      <c r="RID518" s="379"/>
      <c r="RIE518" s="13"/>
      <c r="RIF518" s="13"/>
      <c r="RIG518" s="193"/>
      <c r="RIH518" s="379"/>
      <c r="RII518" s="379"/>
      <c r="RIJ518" s="379"/>
      <c r="RIK518" s="379"/>
      <c r="RIL518" s="379"/>
      <c r="RIM518" s="13"/>
      <c r="RIN518" s="13"/>
      <c r="RIO518" s="193"/>
      <c r="RIP518" s="379"/>
      <c r="RIQ518" s="379"/>
      <c r="RIR518" s="379"/>
      <c r="RIS518" s="379"/>
      <c r="RIT518" s="379"/>
      <c r="RIU518" s="13"/>
      <c r="RIV518" s="13"/>
      <c r="RIW518" s="193"/>
      <c r="RIX518" s="379"/>
      <c r="RIY518" s="379"/>
      <c r="RIZ518" s="379"/>
      <c r="RJA518" s="379"/>
      <c r="RJB518" s="379"/>
      <c r="RJC518" s="13"/>
      <c r="RJD518" s="13"/>
      <c r="RJE518" s="193"/>
      <c r="RJF518" s="379"/>
      <c r="RJG518" s="379"/>
      <c r="RJH518" s="379"/>
      <c r="RJI518" s="379"/>
      <c r="RJJ518" s="379"/>
      <c r="RJK518" s="13"/>
      <c r="RJL518" s="13"/>
      <c r="RJM518" s="193"/>
      <c r="RJN518" s="379"/>
      <c r="RJO518" s="379"/>
      <c r="RJP518" s="379"/>
      <c r="RJQ518" s="379"/>
      <c r="RJR518" s="379"/>
      <c r="RJS518" s="13"/>
      <c r="RJT518" s="13"/>
      <c r="RJU518" s="193"/>
      <c r="RJV518" s="379"/>
      <c r="RJW518" s="379"/>
      <c r="RJX518" s="379"/>
      <c r="RJY518" s="379"/>
      <c r="RJZ518" s="379"/>
      <c r="RKA518" s="13"/>
      <c r="RKB518" s="13"/>
      <c r="RKC518" s="193"/>
      <c r="RKD518" s="379"/>
      <c r="RKE518" s="379"/>
      <c r="RKF518" s="379"/>
      <c r="RKG518" s="379"/>
      <c r="RKH518" s="379"/>
      <c r="RKI518" s="13"/>
      <c r="RKJ518" s="13"/>
      <c r="RKK518" s="193"/>
      <c r="RKL518" s="379"/>
      <c r="RKM518" s="379"/>
      <c r="RKN518" s="379"/>
      <c r="RKO518" s="379"/>
      <c r="RKP518" s="379"/>
      <c r="RKQ518" s="13"/>
      <c r="RKR518" s="13"/>
      <c r="RKS518" s="193"/>
      <c r="RKT518" s="379"/>
      <c r="RKU518" s="379"/>
      <c r="RKV518" s="379"/>
      <c r="RKW518" s="379"/>
      <c r="RKX518" s="379"/>
      <c r="RKY518" s="13"/>
      <c r="RKZ518" s="13"/>
      <c r="RLA518" s="193"/>
      <c r="RLB518" s="379"/>
      <c r="RLC518" s="379"/>
      <c r="RLD518" s="379"/>
      <c r="RLE518" s="379"/>
      <c r="RLF518" s="379"/>
      <c r="RLG518" s="13"/>
      <c r="RLH518" s="13"/>
      <c r="RLI518" s="193"/>
      <c r="RLJ518" s="379"/>
      <c r="RLK518" s="379"/>
      <c r="RLL518" s="379"/>
      <c r="RLM518" s="379"/>
      <c r="RLN518" s="379"/>
      <c r="RLO518" s="13"/>
      <c r="RLP518" s="13"/>
      <c r="RLQ518" s="193"/>
      <c r="RLR518" s="379"/>
      <c r="RLS518" s="379"/>
      <c r="RLT518" s="379"/>
      <c r="RLU518" s="379"/>
      <c r="RLV518" s="379"/>
      <c r="RLW518" s="13"/>
      <c r="RLX518" s="13"/>
      <c r="RLY518" s="193"/>
      <c r="RLZ518" s="379"/>
      <c r="RMA518" s="379"/>
      <c r="RMB518" s="379"/>
      <c r="RMC518" s="379"/>
      <c r="RMD518" s="379"/>
      <c r="RME518" s="13"/>
      <c r="RMF518" s="13"/>
      <c r="RMG518" s="193"/>
      <c r="RMH518" s="379"/>
      <c r="RMI518" s="379"/>
      <c r="RMJ518" s="379"/>
      <c r="RMK518" s="379"/>
      <c r="RML518" s="379"/>
      <c r="RMM518" s="13"/>
      <c r="RMN518" s="13"/>
      <c r="RMO518" s="193"/>
      <c r="RMP518" s="379"/>
      <c r="RMQ518" s="379"/>
      <c r="RMR518" s="379"/>
      <c r="RMS518" s="379"/>
      <c r="RMT518" s="379"/>
      <c r="RMU518" s="13"/>
      <c r="RMV518" s="13"/>
      <c r="RMW518" s="193"/>
      <c r="RMX518" s="379"/>
      <c r="RMY518" s="379"/>
      <c r="RMZ518" s="379"/>
      <c r="RNA518" s="379"/>
      <c r="RNB518" s="379"/>
      <c r="RNC518" s="13"/>
      <c r="RND518" s="13"/>
      <c r="RNE518" s="193"/>
      <c r="RNF518" s="379"/>
      <c r="RNG518" s="379"/>
      <c r="RNH518" s="379"/>
      <c r="RNI518" s="379"/>
      <c r="RNJ518" s="379"/>
      <c r="RNK518" s="13"/>
      <c r="RNL518" s="13"/>
      <c r="RNM518" s="193"/>
      <c r="RNN518" s="379"/>
      <c r="RNO518" s="379"/>
      <c r="RNP518" s="379"/>
      <c r="RNQ518" s="379"/>
      <c r="RNR518" s="379"/>
      <c r="RNS518" s="13"/>
      <c r="RNT518" s="13"/>
      <c r="RNU518" s="193"/>
      <c r="RNV518" s="379"/>
      <c r="RNW518" s="379"/>
      <c r="RNX518" s="379"/>
      <c r="RNY518" s="379"/>
      <c r="RNZ518" s="379"/>
      <c r="ROA518" s="13"/>
      <c r="ROB518" s="13"/>
      <c r="ROC518" s="193"/>
      <c r="ROD518" s="379"/>
      <c r="ROE518" s="379"/>
      <c r="ROF518" s="379"/>
      <c r="ROG518" s="379"/>
      <c r="ROH518" s="379"/>
      <c r="ROI518" s="13"/>
      <c r="ROJ518" s="13"/>
      <c r="ROK518" s="193"/>
      <c r="ROL518" s="379"/>
      <c r="ROM518" s="379"/>
      <c r="RON518" s="379"/>
      <c r="ROO518" s="379"/>
      <c r="ROP518" s="379"/>
      <c r="ROQ518" s="13"/>
      <c r="ROR518" s="13"/>
      <c r="ROS518" s="193"/>
      <c r="ROT518" s="379"/>
      <c r="ROU518" s="379"/>
      <c r="ROV518" s="379"/>
      <c r="ROW518" s="379"/>
      <c r="ROX518" s="379"/>
      <c r="ROY518" s="13"/>
      <c r="ROZ518" s="13"/>
      <c r="RPA518" s="193"/>
      <c r="RPB518" s="379"/>
      <c r="RPC518" s="379"/>
      <c r="RPD518" s="379"/>
      <c r="RPE518" s="379"/>
      <c r="RPF518" s="379"/>
      <c r="RPG518" s="13"/>
      <c r="RPH518" s="13"/>
      <c r="RPI518" s="193"/>
      <c r="RPJ518" s="379"/>
      <c r="RPK518" s="379"/>
      <c r="RPL518" s="379"/>
      <c r="RPM518" s="379"/>
      <c r="RPN518" s="379"/>
      <c r="RPO518" s="13"/>
      <c r="RPP518" s="13"/>
      <c r="RPQ518" s="193"/>
      <c r="RPR518" s="379"/>
      <c r="RPS518" s="379"/>
      <c r="RPT518" s="379"/>
      <c r="RPU518" s="379"/>
      <c r="RPV518" s="379"/>
      <c r="RPW518" s="13"/>
      <c r="RPX518" s="13"/>
      <c r="RPY518" s="193"/>
      <c r="RPZ518" s="379"/>
      <c r="RQA518" s="379"/>
      <c r="RQB518" s="379"/>
      <c r="RQC518" s="379"/>
      <c r="RQD518" s="379"/>
      <c r="RQE518" s="13"/>
      <c r="RQF518" s="13"/>
      <c r="RQG518" s="193"/>
      <c r="RQH518" s="379"/>
      <c r="RQI518" s="379"/>
      <c r="RQJ518" s="379"/>
      <c r="RQK518" s="379"/>
      <c r="RQL518" s="379"/>
      <c r="RQM518" s="13"/>
      <c r="RQN518" s="13"/>
      <c r="RQO518" s="193"/>
      <c r="RQP518" s="379"/>
      <c r="RQQ518" s="379"/>
      <c r="RQR518" s="379"/>
      <c r="RQS518" s="379"/>
      <c r="RQT518" s="379"/>
      <c r="RQU518" s="13"/>
      <c r="RQV518" s="13"/>
      <c r="RQW518" s="193"/>
      <c r="RQX518" s="379"/>
      <c r="RQY518" s="379"/>
      <c r="RQZ518" s="379"/>
      <c r="RRA518" s="379"/>
      <c r="RRB518" s="379"/>
      <c r="RRC518" s="13"/>
      <c r="RRD518" s="13"/>
      <c r="RRE518" s="193"/>
      <c r="RRF518" s="379"/>
      <c r="RRG518" s="379"/>
      <c r="RRH518" s="379"/>
      <c r="RRI518" s="379"/>
      <c r="RRJ518" s="379"/>
      <c r="RRK518" s="13"/>
      <c r="RRL518" s="13"/>
      <c r="RRM518" s="193"/>
      <c r="RRN518" s="379"/>
      <c r="RRO518" s="379"/>
      <c r="RRP518" s="379"/>
      <c r="RRQ518" s="379"/>
      <c r="RRR518" s="379"/>
      <c r="RRS518" s="13"/>
      <c r="RRT518" s="13"/>
      <c r="RRU518" s="193"/>
      <c r="RRV518" s="379"/>
      <c r="RRW518" s="379"/>
      <c r="RRX518" s="379"/>
      <c r="RRY518" s="379"/>
      <c r="RRZ518" s="379"/>
      <c r="RSA518" s="13"/>
      <c r="RSB518" s="13"/>
      <c r="RSC518" s="193"/>
      <c r="RSD518" s="379"/>
      <c r="RSE518" s="379"/>
      <c r="RSF518" s="379"/>
      <c r="RSG518" s="379"/>
      <c r="RSH518" s="379"/>
      <c r="RSI518" s="13"/>
      <c r="RSJ518" s="13"/>
      <c r="RSK518" s="193"/>
      <c r="RSL518" s="379"/>
      <c r="RSM518" s="379"/>
      <c r="RSN518" s="379"/>
      <c r="RSO518" s="379"/>
      <c r="RSP518" s="379"/>
      <c r="RSQ518" s="13"/>
      <c r="RSR518" s="13"/>
      <c r="RSS518" s="193"/>
      <c r="RST518" s="379"/>
      <c r="RSU518" s="379"/>
      <c r="RSV518" s="379"/>
      <c r="RSW518" s="379"/>
      <c r="RSX518" s="379"/>
      <c r="RSY518" s="13"/>
      <c r="RSZ518" s="13"/>
      <c r="RTA518" s="193"/>
      <c r="RTB518" s="379"/>
      <c r="RTC518" s="379"/>
      <c r="RTD518" s="379"/>
      <c r="RTE518" s="379"/>
      <c r="RTF518" s="379"/>
      <c r="RTG518" s="13"/>
      <c r="RTH518" s="13"/>
      <c r="RTI518" s="193"/>
      <c r="RTJ518" s="379"/>
      <c r="RTK518" s="379"/>
      <c r="RTL518" s="379"/>
      <c r="RTM518" s="379"/>
      <c r="RTN518" s="379"/>
      <c r="RTO518" s="13"/>
      <c r="RTP518" s="13"/>
      <c r="RTQ518" s="193"/>
      <c r="RTR518" s="379"/>
      <c r="RTS518" s="379"/>
      <c r="RTT518" s="379"/>
      <c r="RTU518" s="379"/>
      <c r="RTV518" s="379"/>
      <c r="RTW518" s="13"/>
      <c r="RTX518" s="13"/>
      <c r="RTY518" s="193"/>
      <c r="RTZ518" s="379"/>
      <c r="RUA518" s="379"/>
      <c r="RUB518" s="379"/>
      <c r="RUC518" s="379"/>
      <c r="RUD518" s="379"/>
      <c r="RUE518" s="13"/>
      <c r="RUF518" s="13"/>
      <c r="RUG518" s="193"/>
      <c r="RUH518" s="379"/>
      <c r="RUI518" s="379"/>
      <c r="RUJ518" s="379"/>
      <c r="RUK518" s="379"/>
      <c r="RUL518" s="379"/>
      <c r="RUM518" s="13"/>
      <c r="RUN518" s="13"/>
      <c r="RUO518" s="193"/>
      <c r="RUP518" s="379"/>
      <c r="RUQ518" s="379"/>
      <c r="RUR518" s="379"/>
      <c r="RUS518" s="379"/>
      <c r="RUT518" s="379"/>
      <c r="RUU518" s="13"/>
      <c r="RUV518" s="13"/>
      <c r="RUW518" s="193"/>
      <c r="RUX518" s="379"/>
      <c r="RUY518" s="379"/>
      <c r="RUZ518" s="379"/>
      <c r="RVA518" s="379"/>
      <c r="RVB518" s="379"/>
      <c r="RVC518" s="13"/>
      <c r="RVD518" s="13"/>
      <c r="RVE518" s="193"/>
      <c r="RVF518" s="379"/>
      <c r="RVG518" s="379"/>
      <c r="RVH518" s="379"/>
      <c r="RVI518" s="379"/>
      <c r="RVJ518" s="379"/>
      <c r="RVK518" s="13"/>
      <c r="RVL518" s="13"/>
      <c r="RVM518" s="193"/>
      <c r="RVN518" s="379"/>
      <c r="RVO518" s="379"/>
      <c r="RVP518" s="379"/>
      <c r="RVQ518" s="379"/>
      <c r="RVR518" s="379"/>
      <c r="RVS518" s="13"/>
      <c r="RVT518" s="13"/>
      <c r="RVU518" s="193"/>
      <c r="RVV518" s="379"/>
      <c r="RVW518" s="379"/>
      <c r="RVX518" s="379"/>
      <c r="RVY518" s="379"/>
      <c r="RVZ518" s="379"/>
      <c r="RWA518" s="13"/>
      <c r="RWB518" s="13"/>
      <c r="RWC518" s="193"/>
      <c r="RWD518" s="379"/>
      <c r="RWE518" s="379"/>
      <c r="RWF518" s="379"/>
      <c r="RWG518" s="379"/>
      <c r="RWH518" s="379"/>
      <c r="RWI518" s="13"/>
      <c r="RWJ518" s="13"/>
      <c r="RWK518" s="193"/>
      <c r="RWL518" s="379"/>
      <c r="RWM518" s="379"/>
      <c r="RWN518" s="379"/>
      <c r="RWO518" s="379"/>
      <c r="RWP518" s="379"/>
      <c r="RWQ518" s="13"/>
      <c r="RWR518" s="13"/>
      <c r="RWS518" s="193"/>
      <c r="RWT518" s="379"/>
      <c r="RWU518" s="379"/>
      <c r="RWV518" s="379"/>
      <c r="RWW518" s="379"/>
      <c r="RWX518" s="379"/>
      <c r="RWY518" s="13"/>
      <c r="RWZ518" s="13"/>
      <c r="RXA518" s="193"/>
      <c r="RXB518" s="379"/>
      <c r="RXC518" s="379"/>
      <c r="RXD518" s="379"/>
      <c r="RXE518" s="379"/>
      <c r="RXF518" s="379"/>
      <c r="RXG518" s="13"/>
      <c r="RXH518" s="13"/>
      <c r="RXI518" s="193"/>
      <c r="RXJ518" s="379"/>
      <c r="RXK518" s="379"/>
      <c r="RXL518" s="379"/>
      <c r="RXM518" s="379"/>
      <c r="RXN518" s="379"/>
      <c r="RXO518" s="13"/>
      <c r="RXP518" s="13"/>
      <c r="RXQ518" s="193"/>
      <c r="RXR518" s="379"/>
      <c r="RXS518" s="379"/>
      <c r="RXT518" s="379"/>
      <c r="RXU518" s="379"/>
      <c r="RXV518" s="379"/>
      <c r="RXW518" s="13"/>
      <c r="RXX518" s="13"/>
      <c r="RXY518" s="193"/>
      <c r="RXZ518" s="379"/>
      <c r="RYA518" s="379"/>
      <c r="RYB518" s="379"/>
      <c r="RYC518" s="379"/>
      <c r="RYD518" s="379"/>
      <c r="RYE518" s="13"/>
      <c r="RYF518" s="13"/>
      <c r="RYG518" s="193"/>
      <c r="RYH518" s="379"/>
      <c r="RYI518" s="379"/>
      <c r="RYJ518" s="379"/>
      <c r="RYK518" s="379"/>
      <c r="RYL518" s="379"/>
      <c r="RYM518" s="13"/>
      <c r="RYN518" s="13"/>
      <c r="RYO518" s="193"/>
      <c r="RYP518" s="379"/>
      <c r="RYQ518" s="379"/>
      <c r="RYR518" s="379"/>
      <c r="RYS518" s="379"/>
      <c r="RYT518" s="379"/>
      <c r="RYU518" s="13"/>
      <c r="RYV518" s="13"/>
      <c r="RYW518" s="193"/>
      <c r="RYX518" s="379"/>
      <c r="RYY518" s="379"/>
      <c r="RYZ518" s="379"/>
      <c r="RZA518" s="379"/>
      <c r="RZB518" s="379"/>
      <c r="RZC518" s="13"/>
      <c r="RZD518" s="13"/>
      <c r="RZE518" s="193"/>
      <c r="RZF518" s="379"/>
      <c r="RZG518" s="379"/>
      <c r="RZH518" s="379"/>
      <c r="RZI518" s="379"/>
      <c r="RZJ518" s="379"/>
      <c r="RZK518" s="13"/>
      <c r="RZL518" s="13"/>
      <c r="RZM518" s="193"/>
      <c r="RZN518" s="379"/>
      <c r="RZO518" s="379"/>
      <c r="RZP518" s="379"/>
      <c r="RZQ518" s="379"/>
      <c r="RZR518" s="379"/>
      <c r="RZS518" s="13"/>
      <c r="RZT518" s="13"/>
      <c r="RZU518" s="193"/>
      <c r="RZV518" s="379"/>
      <c r="RZW518" s="379"/>
      <c r="RZX518" s="379"/>
      <c r="RZY518" s="379"/>
      <c r="RZZ518" s="379"/>
      <c r="SAA518" s="13"/>
      <c r="SAB518" s="13"/>
      <c r="SAC518" s="193"/>
      <c r="SAD518" s="379"/>
      <c r="SAE518" s="379"/>
      <c r="SAF518" s="379"/>
      <c r="SAG518" s="379"/>
      <c r="SAH518" s="379"/>
      <c r="SAI518" s="13"/>
      <c r="SAJ518" s="13"/>
      <c r="SAK518" s="193"/>
      <c r="SAL518" s="379"/>
      <c r="SAM518" s="379"/>
      <c r="SAN518" s="379"/>
      <c r="SAO518" s="379"/>
      <c r="SAP518" s="379"/>
      <c r="SAQ518" s="13"/>
      <c r="SAR518" s="13"/>
      <c r="SAS518" s="193"/>
      <c r="SAT518" s="379"/>
      <c r="SAU518" s="379"/>
      <c r="SAV518" s="379"/>
      <c r="SAW518" s="379"/>
      <c r="SAX518" s="379"/>
      <c r="SAY518" s="13"/>
      <c r="SAZ518" s="13"/>
      <c r="SBA518" s="193"/>
      <c r="SBB518" s="379"/>
      <c r="SBC518" s="379"/>
      <c r="SBD518" s="379"/>
      <c r="SBE518" s="379"/>
      <c r="SBF518" s="379"/>
      <c r="SBG518" s="13"/>
      <c r="SBH518" s="13"/>
      <c r="SBI518" s="193"/>
      <c r="SBJ518" s="379"/>
      <c r="SBK518" s="379"/>
      <c r="SBL518" s="379"/>
      <c r="SBM518" s="379"/>
      <c r="SBN518" s="379"/>
      <c r="SBO518" s="13"/>
      <c r="SBP518" s="13"/>
      <c r="SBQ518" s="193"/>
      <c r="SBR518" s="379"/>
      <c r="SBS518" s="379"/>
      <c r="SBT518" s="379"/>
      <c r="SBU518" s="379"/>
      <c r="SBV518" s="379"/>
      <c r="SBW518" s="13"/>
      <c r="SBX518" s="13"/>
      <c r="SBY518" s="193"/>
      <c r="SBZ518" s="379"/>
      <c r="SCA518" s="379"/>
      <c r="SCB518" s="379"/>
      <c r="SCC518" s="379"/>
      <c r="SCD518" s="379"/>
      <c r="SCE518" s="13"/>
      <c r="SCF518" s="13"/>
      <c r="SCG518" s="193"/>
      <c r="SCH518" s="379"/>
      <c r="SCI518" s="379"/>
      <c r="SCJ518" s="379"/>
      <c r="SCK518" s="379"/>
      <c r="SCL518" s="379"/>
      <c r="SCM518" s="13"/>
      <c r="SCN518" s="13"/>
      <c r="SCO518" s="193"/>
      <c r="SCP518" s="379"/>
      <c r="SCQ518" s="379"/>
      <c r="SCR518" s="379"/>
      <c r="SCS518" s="379"/>
      <c r="SCT518" s="379"/>
      <c r="SCU518" s="13"/>
      <c r="SCV518" s="13"/>
      <c r="SCW518" s="193"/>
      <c r="SCX518" s="379"/>
      <c r="SCY518" s="379"/>
      <c r="SCZ518" s="379"/>
      <c r="SDA518" s="379"/>
      <c r="SDB518" s="379"/>
      <c r="SDC518" s="13"/>
      <c r="SDD518" s="13"/>
      <c r="SDE518" s="193"/>
      <c r="SDF518" s="379"/>
      <c r="SDG518" s="379"/>
      <c r="SDH518" s="379"/>
      <c r="SDI518" s="379"/>
      <c r="SDJ518" s="379"/>
      <c r="SDK518" s="13"/>
      <c r="SDL518" s="13"/>
      <c r="SDM518" s="193"/>
      <c r="SDN518" s="379"/>
      <c r="SDO518" s="379"/>
      <c r="SDP518" s="379"/>
      <c r="SDQ518" s="379"/>
      <c r="SDR518" s="379"/>
      <c r="SDS518" s="13"/>
      <c r="SDT518" s="13"/>
      <c r="SDU518" s="193"/>
      <c r="SDV518" s="379"/>
      <c r="SDW518" s="379"/>
      <c r="SDX518" s="379"/>
      <c r="SDY518" s="379"/>
      <c r="SDZ518" s="379"/>
      <c r="SEA518" s="13"/>
      <c r="SEB518" s="13"/>
      <c r="SEC518" s="193"/>
      <c r="SED518" s="379"/>
      <c r="SEE518" s="379"/>
      <c r="SEF518" s="379"/>
      <c r="SEG518" s="379"/>
      <c r="SEH518" s="379"/>
      <c r="SEI518" s="13"/>
      <c r="SEJ518" s="13"/>
      <c r="SEK518" s="193"/>
      <c r="SEL518" s="379"/>
      <c r="SEM518" s="379"/>
      <c r="SEN518" s="379"/>
      <c r="SEO518" s="379"/>
      <c r="SEP518" s="379"/>
      <c r="SEQ518" s="13"/>
      <c r="SER518" s="13"/>
      <c r="SES518" s="193"/>
      <c r="SET518" s="379"/>
      <c r="SEU518" s="379"/>
      <c r="SEV518" s="379"/>
      <c r="SEW518" s="379"/>
      <c r="SEX518" s="379"/>
      <c r="SEY518" s="13"/>
      <c r="SEZ518" s="13"/>
      <c r="SFA518" s="193"/>
      <c r="SFB518" s="379"/>
      <c r="SFC518" s="379"/>
      <c r="SFD518" s="379"/>
      <c r="SFE518" s="379"/>
      <c r="SFF518" s="379"/>
      <c r="SFG518" s="13"/>
      <c r="SFH518" s="13"/>
      <c r="SFI518" s="193"/>
      <c r="SFJ518" s="379"/>
      <c r="SFK518" s="379"/>
      <c r="SFL518" s="379"/>
      <c r="SFM518" s="379"/>
      <c r="SFN518" s="379"/>
      <c r="SFO518" s="13"/>
      <c r="SFP518" s="13"/>
      <c r="SFQ518" s="193"/>
      <c r="SFR518" s="379"/>
      <c r="SFS518" s="379"/>
      <c r="SFT518" s="379"/>
      <c r="SFU518" s="379"/>
      <c r="SFV518" s="379"/>
      <c r="SFW518" s="13"/>
      <c r="SFX518" s="13"/>
      <c r="SFY518" s="193"/>
      <c r="SFZ518" s="379"/>
      <c r="SGA518" s="379"/>
      <c r="SGB518" s="379"/>
      <c r="SGC518" s="379"/>
      <c r="SGD518" s="379"/>
      <c r="SGE518" s="13"/>
      <c r="SGF518" s="13"/>
      <c r="SGG518" s="193"/>
      <c r="SGH518" s="379"/>
      <c r="SGI518" s="379"/>
      <c r="SGJ518" s="379"/>
      <c r="SGK518" s="379"/>
      <c r="SGL518" s="379"/>
      <c r="SGM518" s="13"/>
      <c r="SGN518" s="13"/>
      <c r="SGO518" s="193"/>
      <c r="SGP518" s="379"/>
      <c r="SGQ518" s="379"/>
      <c r="SGR518" s="379"/>
      <c r="SGS518" s="379"/>
      <c r="SGT518" s="379"/>
      <c r="SGU518" s="13"/>
      <c r="SGV518" s="13"/>
      <c r="SGW518" s="193"/>
      <c r="SGX518" s="379"/>
      <c r="SGY518" s="379"/>
      <c r="SGZ518" s="379"/>
      <c r="SHA518" s="379"/>
      <c r="SHB518" s="379"/>
      <c r="SHC518" s="13"/>
      <c r="SHD518" s="13"/>
      <c r="SHE518" s="193"/>
      <c r="SHF518" s="379"/>
      <c r="SHG518" s="379"/>
      <c r="SHH518" s="379"/>
      <c r="SHI518" s="379"/>
      <c r="SHJ518" s="379"/>
      <c r="SHK518" s="13"/>
      <c r="SHL518" s="13"/>
      <c r="SHM518" s="193"/>
      <c r="SHN518" s="379"/>
      <c r="SHO518" s="379"/>
      <c r="SHP518" s="379"/>
      <c r="SHQ518" s="379"/>
      <c r="SHR518" s="379"/>
      <c r="SHS518" s="13"/>
      <c r="SHT518" s="13"/>
      <c r="SHU518" s="193"/>
      <c r="SHV518" s="379"/>
      <c r="SHW518" s="379"/>
      <c r="SHX518" s="379"/>
      <c r="SHY518" s="379"/>
      <c r="SHZ518" s="379"/>
      <c r="SIA518" s="13"/>
      <c r="SIB518" s="13"/>
      <c r="SIC518" s="193"/>
      <c r="SID518" s="379"/>
      <c r="SIE518" s="379"/>
      <c r="SIF518" s="379"/>
      <c r="SIG518" s="379"/>
      <c r="SIH518" s="379"/>
      <c r="SII518" s="13"/>
      <c r="SIJ518" s="13"/>
      <c r="SIK518" s="193"/>
      <c r="SIL518" s="379"/>
      <c r="SIM518" s="379"/>
      <c r="SIN518" s="379"/>
      <c r="SIO518" s="379"/>
      <c r="SIP518" s="379"/>
      <c r="SIQ518" s="13"/>
      <c r="SIR518" s="13"/>
      <c r="SIS518" s="193"/>
      <c r="SIT518" s="379"/>
      <c r="SIU518" s="379"/>
      <c r="SIV518" s="379"/>
      <c r="SIW518" s="379"/>
      <c r="SIX518" s="379"/>
      <c r="SIY518" s="13"/>
      <c r="SIZ518" s="13"/>
      <c r="SJA518" s="193"/>
      <c r="SJB518" s="379"/>
      <c r="SJC518" s="379"/>
      <c r="SJD518" s="379"/>
      <c r="SJE518" s="379"/>
      <c r="SJF518" s="379"/>
      <c r="SJG518" s="13"/>
      <c r="SJH518" s="13"/>
      <c r="SJI518" s="193"/>
      <c r="SJJ518" s="379"/>
      <c r="SJK518" s="379"/>
      <c r="SJL518" s="379"/>
      <c r="SJM518" s="379"/>
      <c r="SJN518" s="379"/>
      <c r="SJO518" s="13"/>
      <c r="SJP518" s="13"/>
      <c r="SJQ518" s="193"/>
      <c r="SJR518" s="379"/>
      <c r="SJS518" s="379"/>
      <c r="SJT518" s="379"/>
      <c r="SJU518" s="379"/>
      <c r="SJV518" s="379"/>
      <c r="SJW518" s="13"/>
      <c r="SJX518" s="13"/>
      <c r="SJY518" s="193"/>
      <c r="SJZ518" s="379"/>
      <c r="SKA518" s="379"/>
      <c r="SKB518" s="379"/>
      <c r="SKC518" s="379"/>
      <c r="SKD518" s="379"/>
      <c r="SKE518" s="13"/>
      <c r="SKF518" s="13"/>
      <c r="SKG518" s="193"/>
      <c r="SKH518" s="379"/>
      <c r="SKI518" s="379"/>
      <c r="SKJ518" s="379"/>
      <c r="SKK518" s="379"/>
      <c r="SKL518" s="379"/>
      <c r="SKM518" s="13"/>
      <c r="SKN518" s="13"/>
      <c r="SKO518" s="193"/>
      <c r="SKP518" s="379"/>
      <c r="SKQ518" s="379"/>
      <c r="SKR518" s="379"/>
      <c r="SKS518" s="379"/>
      <c r="SKT518" s="379"/>
      <c r="SKU518" s="13"/>
      <c r="SKV518" s="13"/>
      <c r="SKW518" s="193"/>
      <c r="SKX518" s="379"/>
      <c r="SKY518" s="379"/>
      <c r="SKZ518" s="379"/>
      <c r="SLA518" s="379"/>
      <c r="SLB518" s="379"/>
      <c r="SLC518" s="13"/>
      <c r="SLD518" s="13"/>
      <c r="SLE518" s="193"/>
      <c r="SLF518" s="379"/>
      <c r="SLG518" s="379"/>
      <c r="SLH518" s="379"/>
      <c r="SLI518" s="379"/>
      <c r="SLJ518" s="379"/>
      <c r="SLK518" s="13"/>
      <c r="SLL518" s="13"/>
      <c r="SLM518" s="193"/>
      <c r="SLN518" s="379"/>
      <c r="SLO518" s="379"/>
      <c r="SLP518" s="379"/>
      <c r="SLQ518" s="379"/>
      <c r="SLR518" s="379"/>
      <c r="SLS518" s="13"/>
      <c r="SLT518" s="13"/>
      <c r="SLU518" s="193"/>
      <c r="SLV518" s="379"/>
      <c r="SLW518" s="379"/>
      <c r="SLX518" s="379"/>
      <c r="SLY518" s="379"/>
      <c r="SLZ518" s="379"/>
      <c r="SMA518" s="13"/>
      <c r="SMB518" s="13"/>
      <c r="SMC518" s="193"/>
      <c r="SMD518" s="379"/>
      <c r="SME518" s="379"/>
      <c r="SMF518" s="379"/>
      <c r="SMG518" s="379"/>
      <c r="SMH518" s="379"/>
      <c r="SMI518" s="13"/>
      <c r="SMJ518" s="13"/>
      <c r="SMK518" s="193"/>
      <c r="SML518" s="379"/>
      <c r="SMM518" s="379"/>
      <c r="SMN518" s="379"/>
      <c r="SMO518" s="379"/>
      <c r="SMP518" s="379"/>
      <c r="SMQ518" s="13"/>
      <c r="SMR518" s="13"/>
      <c r="SMS518" s="193"/>
      <c r="SMT518" s="379"/>
      <c r="SMU518" s="379"/>
      <c r="SMV518" s="379"/>
      <c r="SMW518" s="379"/>
      <c r="SMX518" s="379"/>
      <c r="SMY518" s="13"/>
      <c r="SMZ518" s="13"/>
      <c r="SNA518" s="193"/>
      <c r="SNB518" s="379"/>
      <c r="SNC518" s="379"/>
      <c r="SND518" s="379"/>
      <c r="SNE518" s="379"/>
      <c r="SNF518" s="379"/>
      <c r="SNG518" s="13"/>
      <c r="SNH518" s="13"/>
      <c r="SNI518" s="193"/>
      <c r="SNJ518" s="379"/>
      <c r="SNK518" s="379"/>
      <c r="SNL518" s="379"/>
      <c r="SNM518" s="379"/>
      <c r="SNN518" s="379"/>
      <c r="SNO518" s="13"/>
      <c r="SNP518" s="13"/>
      <c r="SNQ518" s="193"/>
      <c r="SNR518" s="379"/>
      <c r="SNS518" s="379"/>
      <c r="SNT518" s="379"/>
      <c r="SNU518" s="379"/>
      <c r="SNV518" s="379"/>
      <c r="SNW518" s="13"/>
      <c r="SNX518" s="13"/>
      <c r="SNY518" s="193"/>
      <c r="SNZ518" s="379"/>
      <c r="SOA518" s="379"/>
      <c r="SOB518" s="379"/>
      <c r="SOC518" s="379"/>
      <c r="SOD518" s="379"/>
      <c r="SOE518" s="13"/>
      <c r="SOF518" s="13"/>
      <c r="SOG518" s="193"/>
      <c r="SOH518" s="379"/>
      <c r="SOI518" s="379"/>
      <c r="SOJ518" s="379"/>
      <c r="SOK518" s="379"/>
      <c r="SOL518" s="379"/>
      <c r="SOM518" s="13"/>
      <c r="SON518" s="13"/>
      <c r="SOO518" s="193"/>
      <c r="SOP518" s="379"/>
      <c r="SOQ518" s="379"/>
      <c r="SOR518" s="379"/>
      <c r="SOS518" s="379"/>
      <c r="SOT518" s="379"/>
      <c r="SOU518" s="13"/>
      <c r="SOV518" s="13"/>
      <c r="SOW518" s="193"/>
      <c r="SOX518" s="379"/>
      <c r="SOY518" s="379"/>
      <c r="SOZ518" s="379"/>
      <c r="SPA518" s="379"/>
      <c r="SPB518" s="379"/>
      <c r="SPC518" s="13"/>
      <c r="SPD518" s="13"/>
      <c r="SPE518" s="193"/>
      <c r="SPF518" s="379"/>
      <c r="SPG518" s="379"/>
      <c r="SPH518" s="379"/>
      <c r="SPI518" s="379"/>
      <c r="SPJ518" s="379"/>
      <c r="SPK518" s="13"/>
      <c r="SPL518" s="13"/>
      <c r="SPM518" s="193"/>
      <c r="SPN518" s="379"/>
      <c r="SPO518" s="379"/>
      <c r="SPP518" s="379"/>
      <c r="SPQ518" s="379"/>
      <c r="SPR518" s="379"/>
      <c r="SPS518" s="13"/>
      <c r="SPT518" s="13"/>
      <c r="SPU518" s="193"/>
      <c r="SPV518" s="379"/>
      <c r="SPW518" s="379"/>
      <c r="SPX518" s="379"/>
      <c r="SPY518" s="379"/>
      <c r="SPZ518" s="379"/>
      <c r="SQA518" s="13"/>
      <c r="SQB518" s="13"/>
      <c r="SQC518" s="193"/>
      <c r="SQD518" s="379"/>
      <c r="SQE518" s="379"/>
      <c r="SQF518" s="379"/>
      <c r="SQG518" s="379"/>
      <c r="SQH518" s="379"/>
      <c r="SQI518" s="13"/>
      <c r="SQJ518" s="13"/>
      <c r="SQK518" s="193"/>
      <c r="SQL518" s="379"/>
      <c r="SQM518" s="379"/>
      <c r="SQN518" s="379"/>
      <c r="SQO518" s="379"/>
      <c r="SQP518" s="379"/>
      <c r="SQQ518" s="13"/>
      <c r="SQR518" s="13"/>
      <c r="SQS518" s="193"/>
      <c r="SQT518" s="379"/>
      <c r="SQU518" s="379"/>
      <c r="SQV518" s="379"/>
      <c r="SQW518" s="379"/>
      <c r="SQX518" s="379"/>
      <c r="SQY518" s="13"/>
      <c r="SQZ518" s="13"/>
      <c r="SRA518" s="193"/>
      <c r="SRB518" s="379"/>
      <c r="SRC518" s="379"/>
      <c r="SRD518" s="379"/>
      <c r="SRE518" s="379"/>
      <c r="SRF518" s="379"/>
      <c r="SRG518" s="13"/>
      <c r="SRH518" s="13"/>
      <c r="SRI518" s="193"/>
      <c r="SRJ518" s="379"/>
      <c r="SRK518" s="379"/>
      <c r="SRL518" s="379"/>
      <c r="SRM518" s="379"/>
      <c r="SRN518" s="379"/>
      <c r="SRO518" s="13"/>
      <c r="SRP518" s="13"/>
      <c r="SRQ518" s="193"/>
      <c r="SRR518" s="379"/>
      <c r="SRS518" s="379"/>
      <c r="SRT518" s="379"/>
      <c r="SRU518" s="379"/>
      <c r="SRV518" s="379"/>
      <c r="SRW518" s="13"/>
      <c r="SRX518" s="13"/>
      <c r="SRY518" s="193"/>
      <c r="SRZ518" s="379"/>
      <c r="SSA518" s="379"/>
      <c r="SSB518" s="379"/>
      <c r="SSC518" s="379"/>
      <c r="SSD518" s="379"/>
      <c r="SSE518" s="13"/>
      <c r="SSF518" s="13"/>
      <c r="SSG518" s="193"/>
      <c r="SSH518" s="379"/>
      <c r="SSI518" s="379"/>
      <c r="SSJ518" s="379"/>
      <c r="SSK518" s="379"/>
      <c r="SSL518" s="379"/>
      <c r="SSM518" s="13"/>
      <c r="SSN518" s="13"/>
      <c r="SSO518" s="193"/>
      <c r="SSP518" s="379"/>
      <c r="SSQ518" s="379"/>
      <c r="SSR518" s="379"/>
      <c r="SSS518" s="379"/>
      <c r="SST518" s="379"/>
      <c r="SSU518" s="13"/>
      <c r="SSV518" s="13"/>
      <c r="SSW518" s="193"/>
      <c r="SSX518" s="379"/>
      <c r="SSY518" s="379"/>
      <c r="SSZ518" s="379"/>
      <c r="STA518" s="379"/>
      <c r="STB518" s="379"/>
      <c r="STC518" s="13"/>
      <c r="STD518" s="13"/>
      <c r="STE518" s="193"/>
      <c r="STF518" s="379"/>
      <c r="STG518" s="379"/>
      <c r="STH518" s="379"/>
      <c r="STI518" s="379"/>
      <c r="STJ518" s="379"/>
      <c r="STK518" s="13"/>
      <c r="STL518" s="13"/>
      <c r="STM518" s="193"/>
      <c r="STN518" s="379"/>
      <c r="STO518" s="379"/>
      <c r="STP518" s="379"/>
      <c r="STQ518" s="379"/>
      <c r="STR518" s="379"/>
      <c r="STS518" s="13"/>
      <c r="STT518" s="13"/>
      <c r="STU518" s="193"/>
      <c r="STV518" s="379"/>
      <c r="STW518" s="379"/>
      <c r="STX518" s="379"/>
      <c r="STY518" s="379"/>
      <c r="STZ518" s="379"/>
      <c r="SUA518" s="13"/>
      <c r="SUB518" s="13"/>
      <c r="SUC518" s="193"/>
      <c r="SUD518" s="379"/>
      <c r="SUE518" s="379"/>
      <c r="SUF518" s="379"/>
      <c r="SUG518" s="379"/>
      <c r="SUH518" s="379"/>
      <c r="SUI518" s="13"/>
      <c r="SUJ518" s="13"/>
      <c r="SUK518" s="193"/>
      <c r="SUL518" s="379"/>
      <c r="SUM518" s="379"/>
      <c r="SUN518" s="379"/>
      <c r="SUO518" s="379"/>
      <c r="SUP518" s="379"/>
      <c r="SUQ518" s="13"/>
      <c r="SUR518" s="13"/>
      <c r="SUS518" s="193"/>
      <c r="SUT518" s="379"/>
      <c r="SUU518" s="379"/>
      <c r="SUV518" s="379"/>
      <c r="SUW518" s="379"/>
      <c r="SUX518" s="379"/>
      <c r="SUY518" s="13"/>
      <c r="SUZ518" s="13"/>
      <c r="SVA518" s="193"/>
      <c r="SVB518" s="379"/>
      <c r="SVC518" s="379"/>
      <c r="SVD518" s="379"/>
      <c r="SVE518" s="379"/>
      <c r="SVF518" s="379"/>
      <c r="SVG518" s="13"/>
      <c r="SVH518" s="13"/>
      <c r="SVI518" s="193"/>
      <c r="SVJ518" s="379"/>
      <c r="SVK518" s="379"/>
      <c r="SVL518" s="379"/>
      <c r="SVM518" s="379"/>
      <c r="SVN518" s="379"/>
      <c r="SVO518" s="13"/>
      <c r="SVP518" s="13"/>
      <c r="SVQ518" s="193"/>
      <c r="SVR518" s="379"/>
      <c r="SVS518" s="379"/>
      <c r="SVT518" s="379"/>
      <c r="SVU518" s="379"/>
      <c r="SVV518" s="379"/>
      <c r="SVW518" s="13"/>
      <c r="SVX518" s="13"/>
      <c r="SVY518" s="193"/>
      <c r="SVZ518" s="379"/>
      <c r="SWA518" s="379"/>
      <c r="SWB518" s="379"/>
      <c r="SWC518" s="379"/>
      <c r="SWD518" s="379"/>
      <c r="SWE518" s="13"/>
      <c r="SWF518" s="13"/>
      <c r="SWG518" s="193"/>
      <c r="SWH518" s="379"/>
      <c r="SWI518" s="379"/>
      <c r="SWJ518" s="379"/>
      <c r="SWK518" s="379"/>
      <c r="SWL518" s="379"/>
      <c r="SWM518" s="13"/>
      <c r="SWN518" s="13"/>
      <c r="SWO518" s="193"/>
      <c r="SWP518" s="379"/>
      <c r="SWQ518" s="379"/>
      <c r="SWR518" s="379"/>
      <c r="SWS518" s="379"/>
      <c r="SWT518" s="379"/>
      <c r="SWU518" s="13"/>
      <c r="SWV518" s="13"/>
      <c r="SWW518" s="193"/>
      <c r="SWX518" s="379"/>
      <c r="SWY518" s="379"/>
      <c r="SWZ518" s="379"/>
      <c r="SXA518" s="379"/>
      <c r="SXB518" s="379"/>
      <c r="SXC518" s="13"/>
      <c r="SXD518" s="13"/>
      <c r="SXE518" s="193"/>
      <c r="SXF518" s="379"/>
      <c r="SXG518" s="379"/>
      <c r="SXH518" s="379"/>
      <c r="SXI518" s="379"/>
      <c r="SXJ518" s="379"/>
      <c r="SXK518" s="13"/>
      <c r="SXL518" s="13"/>
      <c r="SXM518" s="193"/>
      <c r="SXN518" s="379"/>
      <c r="SXO518" s="379"/>
      <c r="SXP518" s="379"/>
      <c r="SXQ518" s="379"/>
      <c r="SXR518" s="379"/>
      <c r="SXS518" s="13"/>
      <c r="SXT518" s="13"/>
      <c r="SXU518" s="193"/>
      <c r="SXV518" s="379"/>
      <c r="SXW518" s="379"/>
      <c r="SXX518" s="379"/>
      <c r="SXY518" s="379"/>
      <c r="SXZ518" s="379"/>
      <c r="SYA518" s="13"/>
      <c r="SYB518" s="13"/>
      <c r="SYC518" s="193"/>
      <c r="SYD518" s="379"/>
      <c r="SYE518" s="379"/>
      <c r="SYF518" s="379"/>
      <c r="SYG518" s="379"/>
      <c r="SYH518" s="379"/>
      <c r="SYI518" s="13"/>
      <c r="SYJ518" s="13"/>
      <c r="SYK518" s="193"/>
      <c r="SYL518" s="379"/>
      <c r="SYM518" s="379"/>
      <c r="SYN518" s="379"/>
      <c r="SYO518" s="379"/>
      <c r="SYP518" s="379"/>
      <c r="SYQ518" s="13"/>
      <c r="SYR518" s="13"/>
      <c r="SYS518" s="193"/>
      <c r="SYT518" s="379"/>
      <c r="SYU518" s="379"/>
      <c r="SYV518" s="379"/>
      <c r="SYW518" s="379"/>
      <c r="SYX518" s="379"/>
      <c r="SYY518" s="13"/>
      <c r="SYZ518" s="13"/>
      <c r="SZA518" s="193"/>
      <c r="SZB518" s="379"/>
      <c r="SZC518" s="379"/>
      <c r="SZD518" s="379"/>
      <c r="SZE518" s="379"/>
      <c r="SZF518" s="379"/>
      <c r="SZG518" s="13"/>
      <c r="SZH518" s="13"/>
      <c r="SZI518" s="193"/>
      <c r="SZJ518" s="379"/>
      <c r="SZK518" s="379"/>
      <c r="SZL518" s="379"/>
      <c r="SZM518" s="379"/>
      <c r="SZN518" s="379"/>
      <c r="SZO518" s="13"/>
      <c r="SZP518" s="13"/>
      <c r="SZQ518" s="193"/>
      <c r="SZR518" s="379"/>
      <c r="SZS518" s="379"/>
      <c r="SZT518" s="379"/>
      <c r="SZU518" s="379"/>
      <c r="SZV518" s="379"/>
      <c r="SZW518" s="13"/>
      <c r="SZX518" s="13"/>
      <c r="SZY518" s="193"/>
      <c r="SZZ518" s="379"/>
      <c r="TAA518" s="379"/>
      <c r="TAB518" s="379"/>
      <c r="TAC518" s="379"/>
      <c r="TAD518" s="379"/>
      <c r="TAE518" s="13"/>
      <c r="TAF518" s="13"/>
      <c r="TAG518" s="193"/>
      <c r="TAH518" s="379"/>
      <c r="TAI518" s="379"/>
      <c r="TAJ518" s="379"/>
      <c r="TAK518" s="379"/>
      <c r="TAL518" s="379"/>
      <c r="TAM518" s="13"/>
      <c r="TAN518" s="13"/>
      <c r="TAO518" s="193"/>
      <c r="TAP518" s="379"/>
      <c r="TAQ518" s="379"/>
      <c r="TAR518" s="379"/>
      <c r="TAS518" s="379"/>
      <c r="TAT518" s="379"/>
      <c r="TAU518" s="13"/>
      <c r="TAV518" s="13"/>
      <c r="TAW518" s="193"/>
      <c r="TAX518" s="379"/>
      <c r="TAY518" s="379"/>
      <c r="TAZ518" s="379"/>
      <c r="TBA518" s="379"/>
      <c r="TBB518" s="379"/>
      <c r="TBC518" s="13"/>
      <c r="TBD518" s="13"/>
      <c r="TBE518" s="193"/>
      <c r="TBF518" s="379"/>
      <c r="TBG518" s="379"/>
      <c r="TBH518" s="379"/>
      <c r="TBI518" s="379"/>
      <c r="TBJ518" s="379"/>
      <c r="TBK518" s="13"/>
      <c r="TBL518" s="13"/>
      <c r="TBM518" s="193"/>
      <c r="TBN518" s="379"/>
      <c r="TBO518" s="379"/>
      <c r="TBP518" s="379"/>
      <c r="TBQ518" s="379"/>
      <c r="TBR518" s="379"/>
      <c r="TBS518" s="13"/>
      <c r="TBT518" s="13"/>
      <c r="TBU518" s="193"/>
      <c r="TBV518" s="379"/>
      <c r="TBW518" s="379"/>
      <c r="TBX518" s="379"/>
      <c r="TBY518" s="379"/>
      <c r="TBZ518" s="379"/>
      <c r="TCA518" s="13"/>
      <c r="TCB518" s="13"/>
      <c r="TCC518" s="193"/>
      <c r="TCD518" s="379"/>
      <c r="TCE518" s="379"/>
      <c r="TCF518" s="379"/>
      <c r="TCG518" s="379"/>
      <c r="TCH518" s="379"/>
      <c r="TCI518" s="13"/>
      <c r="TCJ518" s="13"/>
      <c r="TCK518" s="193"/>
      <c r="TCL518" s="379"/>
      <c r="TCM518" s="379"/>
      <c r="TCN518" s="379"/>
      <c r="TCO518" s="379"/>
      <c r="TCP518" s="379"/>
      <c r="TCQ518" s="13"/>
      <c r="TCR518" s="13"/>
      <c r="TCS518" s="193"/>
      <c r="TCT518" s="379"/>
      <c r="TCU518" s="379"/>
      <c r="TCV518" s="379"/>
      <c r="TCW518" s="379"/>
      <c r="TCX518" s="379"/>
      <c r="TCY518" s="13"/>
      <c r="TCZ518" s="13"/>
      <c r="TDA518" s="193"/>
      <c r="TDB518" s="379"/>
      <c r="TDC518" s="379"/>
      <c r="TDD518" s="379"/>
      <c r="TDE518" s="379"/>
      <c r="TDF518" s="379"/>
      <c r="TDG518" s="13"/>
      <c r="TDH518" s="13"/>
      <c r="TDI518" s="193"/>
      <c r="TDJ518" s="379"/>
      <c r="TDK518" s="379"/>
      <c r="TDL518" s="379"/>
      <c r="TDM518" s="379"/>
      <c r="TDN518" s="379"/>
      <c r="TDO518" s="13"/>
      <c r="TDP518" s="13"/>
      <c r="TDQ518" s="193"/>
      <c r="TDR518" s="379"/>
      <c r="TDS518" s="379"/>
      <c r="TDT518" s="379"/>
      <c r="TDU518" s="379"/>
      <c r="TDV518" s="379"/>
      <c r="TDW518" s="13"/>
      <c r="TDX518" s="13"/>
      <c r="TDY518" s="193"/>
      <c r="TDZ518" s="379"/>
      <c r="TEA518" s="379"/>
      <c r="TEB518" s="379"/>
      <c r="TEC518" s="379"/>
      <c r="TED518" s="379"/>
      <c r="TEE518" s="13"/>
      <c r="TEF518" s="13"/>
      <c r="TEG518" s="193"/>
      <c r="TEH518" s="379"/>
      <c r="TEI518" s="379"/>
      <c r="TEJ518" s="379"/>
      <c r="TEK518" s="379"/>
      <c r="TEL518" s="379"/>
      <c r="TEM518" s="13"/>
      <c r="TEN518" s="13"/>
      <c r="TEO518" s="193"/>
      <c r="TEP518" s="379"/>
      <c r="TEQ518" s="379"/>
      <c r="TER518" s="379"/>
      <c r="TES518" s="379"/>
      <c r="TET518" s="379"/>
      <c r="TEU518" s="13"/>
      <c r="TEV518" s="13"/>
      <c r="TEW518" s="193"/>
      <c r="TEX518" s="379"/>
      <c r="TEY518" s="379"/>
      <c r="TEZ518" s="379"/>
      <c r="TFA518" s="379"/>
      <c r="TFB518" s="379"/>
      <c r="TFC518" s="13"/>
      <c r="TFD518" s="13"/>
      <c r="TFE518" s="193"/>
      <c r="TFF518" s="379"/>
      <c r="TFG518" s="379"/>
      <c r="TFH518" s="379"/>
      <c r="TFI518" s="379"/>
      <c r="TFJ518" s="379"/>
      <c r="TFK518" s="13"/>
      <c r="TFL518" s="13"/>
      <c r="TFM518" s="193"/>
      <c r="TFN518" s="379"/>
      <c r="TFO518" s="379"/>
      <c r="TFP518" s="379"/>
      <c r="TFQ518" s="379"/>
      <c r="TFR518" s="379"/>
      <c r="TFS518" s="13"/>
      <c r="TFT518" s="13"/>
      <c r="TFU518" s="193"/>
      <c r="TFV518" s="379"/>
      <c r="TFW518" s="379"/>
      <c r="TFX518" s="379"/>
      <c r="TFY518" s="379"/>
      <c r="TFZ518" s="379"/>
      <c r="TGA518" s="13"/>
      <c r="TGB518" s="13"/>
      <c r="TGC518" s="193"/>
      <c r="TGD518" s="379"/>
      <c r="TGE518" s="379"/>
      <c r="TGF518" s="379"/>
      <c r="TGG518" s="379"/>
      <c r="TGH518" s="379"/>
      <c r="TGI518" s="13"/>
      <c r="TGJ518" s="13"/>
      <c r="TGK518" s="193"/>
      <c r="TGL518" s="379"/>
      <c r="TGM518" s="379"/>
      <c r="TGN518" s="379"/>
      <c r="TGO518" s="379"/>
      <c r="TGP518" s="379"/>
      <c r="TGQ518" s="13"/>
      <c r="TGR518" s="13"/>
      <c r="TGS518" s="193"/>
      <c r="TGT518" s="379"/>
      <c r="TGU518" s="379"/>
      <c r="TGV518" s="379"/>
      <c r="TGW518" s="379"/>
      <c r="TGX518" s="379"/>
      <c r="TGY518" s="13"/>
      <c r="TGZ518" s="13"/>
      <c r="THA518" s="193"/>
      <c r="THB518" s="379"/>
      <c r="THC518" s="379"/>
      <c r="THD518" s="379"/>
      <c r="THE518" s="379"/>
      <c r="THF518" s="379"/>
      <c r="THG518" s="13"/>
      <c r="THH518" s="13"/>
      <c r="THI518" s="193"/>
      <c r="THJ518" s="379"/>
      <c r="THK518" s="379"/>
      <c r="THL518" s="379"/>
      <c r="THM518" s="379"/>
      <c r="THN518" s="379"/>
      <c r="THO518" s="13"/>
      <c r="THP518" s="13"/>
      <c r="THQ518" s="193"/>
      <c r="THR518" s="379"/>
      <c r="THS518" s="379"/>
      <c r="THT518" s="379"/>
      <c r="THU518" s="379"/>
      <c r="THV518" s="379"/>
      <c r="THW518" s="13"/>
      <c r="THX518" s="13"/>
      <c r="THY518" s="193"/>
      <c r="THZ518" s="379"/>
      <c r="TIA518" s="379"/>
      <c r="TIB518" s="379"/>
      <c r="TIC518" s="379"/>
      <c r="TID518" s="379"/>
      <c r="TIE518" s="13"/>
      <c r="TIF518" s="13"/>
      <c r="TIG518" s="193"/>
      <c r="TIH518" s="379"/>
      <c r="TII518" s="379"/>
      <c r="TIJ518" s="379"/>
      <c r="TIK518" s="379"/>
      <c r="TIL518" s="379"/>
      <c r="TIM518" s="13"/>
      <c r="TIN518" s="13"/>
      <c r="TIO518" s="193"/>
      <c r="TIP518" s="379"/>
      <c r="TIQ518" s="379"/>
      <c r="TIR518" s="379"/>
      <c r="TIS518" s="379"/>
      <c r="TIT518" s="379"/>
      <c r="TIU518" s="13"/>
      <c r="TIV518" s="13"/>
      <c r="TIW518" s="193"/>
      <c r="TIX518" s="379"/>
      <c r="TIY518" s="379"/>
      <c r="TIZ518" s="379"/>
      <c r="TJA518" s="379"/>
      <c r="TJB518" s="379"/>
      <c r="TJC518" s="13"/>
      <c r="TJD518" s="13"/>
      <c r="TJE518" s="193"/>
      <c r="TJF518" s="379"/>
      <c r="TJG518" s="379"/>
      <c r="TJH518" s="379"/>
      <c r="TJI518" s="379"/>
      <c r="TJJ518" s="379"/>
      <c r="TJK518" s="13"/>
      <c r="TJL518" s="13"/>
      <c r="TJM518" s="193"/>
      <c r="TJN518" s="379"/>
      <c r="TJO518" s="379"/>
      <c r="TJP518" s="379"/>
      <c r="TJQ518" s="379"/>
      <c r="TJR518" s="379"/>
      <c r="TJS518" s="13"/>
      <c r="TJT518" s="13"/>
      <c r="TJU518" s="193"/>
      <c r="TJV518" s="379"/>
      <c r="TJW518" s="379"/>
      <c r="TJX518" s="379"/>
      <c r="TJY518" s="379"/>
      <c r="TJZ518" s="379"/>
      <c r="TKA518" s="13"/>
      <c r="TKB518" s="13"/>
      <c r="TKC518" s="193"/>
      <c r="TKD518" s="379"/>
      <c r="TKE518" s="379"/>
      <c r="TKF518" s="379"/>
      <c r="TKG518" s="379"/>
      <c r="TKH518" s="379"/>
      <c r="TKI518" s="13"/>
      <c r="TKJ518" s="13"/>
      <c r="TKK518" s="193"/>
      <c r="TKL518" s="379"/>
      <c r="TKM518" s="379"/>
      <c r="TKN518" s="379"/>
      <c r="TKO518" s="379"/>
      <c r="TKP518" s="379"/>
      <c r="TKQ518" s="13"/>
      <c r="TKR518" s="13"/>
      <c r="TKS518" s="193"/>
      <c r="TKT518" s="379"/>
      <c r="TKU518" s="379"/>
      <c r="TKV518" s="379"/>
      <c r="TKW518" s="379"/>
      <c r="TKX518" s="379"/>
      <c r="TKY518" s="13"/>
      <c r="TKZ518" s="13"/>
      <c r="TLA518" s="193"/>
      <c r="TLB518" s="379"/>
      <c r="TLC518" s="379"/>
      <c r="TLD518" s="379"/>
      <c r="TLE518" s="379"/>
      <c r="TLF518" s="379"/>
      <c r="TLG518" s="13"/>
      <c r="TLH518" s="13"/>
      <c r="TLI518" s="193"/>
      <c r="TLJ518" s="379"/>
      <c r="TLK518" s="379"/>
      <c r="TLL518" s="379"/>
      <c r="TLM518" s="379"/>
      <c r="TLN518" s="379"/>
      <c r="TLO518" s="13"/>
      <c r="TLP518" s="13"/>
      <c r="TLQ518" s="193"/>
      <c r="TLR518" s="379"/>
      <c r="TLS518" s="379"/>
      <c r="TLT518" s="379"/>
      <c r="TLU518" s="379"/>
      <c r="TLV518" s="379"/>
      <c r="TLW518" s="13"/>
      <c r="TLX518" s="13"/>
      <c r="TLY518" s="193"/>
      <c r="TLZ518" s="379"/>
      <c r="TMA518" s="379"/>
      <c r="TMB518" s="379"/>
      <c r="TMC518" s="379"/>
      <c r="TMD518" s="379"/>
      <c r="TME518" s="13"/>
      <c r="TMF518" s="13"/>
      <c r="TMG518" s="193"/>
      <c r="TMH518" s="379"/>
      <c r="TMI518" s="379"/>
      <c r="TMJ518" s="379"/>
      <c r="TMK518" s="379"/>
      <c r="TML518" s="379"/>
      <c r="TMM518" s="13"/>
      <c r="TMN518" s="13"/>
      <c r="TMO518" s="193"/>
      <c r="TMP518" s="379"/>
      <c r="TMQ518" s="379"/>
      <c r="TMR518" s="379"/>
      <c r="TMS518" s="379"/>
      <c r="TMT518" s="379"/>
      <c r="TMU518" s="13"/>
      <c r="TMV518" s="13"/>
      <c r="TMW518" s="193"/>
      <c r="TMX518" s="379"/>
      <c r="TMY518" s="379"/>
      <c r="TMZ518" s="379"/>
      <c r="TNA518" s="379"/>
      <c r="TNB518" s="379"/>
      <c r="TNC518" s="13"/>
      <c r="TND518" s="13"/>
      <c r="TNE518" s="193"/>
      <c r="TNF518" s="379"/>
      <c r="TNG518" s="379"/>
      <c r="TNH518" s="379"/>
      <c r="TNI518" s="379"/>
      <c r="TNJ518" s="379"/>
      <c r="TNK518" s="13"/>
      <c r="TNL518" s="13"/>
      <c r="TNM518" s="193"/>
      <c r="TNN518" s="379"/>
      <c r="TNO518" s="379"/>
      <c r="TNP518" s="379"/>
      <c r="TNQ518" s="379"/>
      <c r="TNR518" s="379"/>
      <c r="TNS518" s="13"/>
      <c r="TNT518" s="13"/>
      <c r="TNU518" s="193"/>
      <c r="TNV518" s="379"/>
      <c r="TNW518" s="379"/>
      <c r="TNX518" s="379"/>
      <c r="TNY518" s="379"/>
      <c r="TNZ518" s="379"/>
      <c r="TOA518" s="13"/>
      <c r="TOB518" s="13"/>
      <c r="TOC518" s="193"/>
      <c r="TOD518" s="379"/>
      <c r="TOE518" s="379"/>
      <c r="TOF518" s="379"/>
      <c r="TOG518" s="379"/>
      <c r="TOH518" s="379"/>
      <c r="TOI518" s="13"/>
      <c r="TOJ518" s="13"/>
      <c r="TOK518" s="193"/>
      <c r="TOL518" s="379"/>
      <c r="TOM518" s="379"/>
      <c r="TON518" s="379"/>
      <c r="TOO518" s="379"/>
      <c r="TOP518" s="379"/>
      <c r="TOQ518" s="13"/>
      <c r="TOR518" s="13"/>
      <c r="TOS518" s="193"/>
      <c r="TOT518" s="379"/>
      <c r="TOU518" s="379"/>
      <c r="TOV518" s="379"/>
      <c r="TOW518" s="379"/>
      <c r="TOX518" s="379"/>
      <c r="TOY518" s="13"/>
      <c r="TOZ518" s="13"/>
      <c r="TPA518" s="193"/>
      <c r="TPB518" s="379"/>
      <c r="TPC518" s="379"/>
      <c r="TPD518" s="379"/>
      <c r="TPE518" s="379"/>
      <c r="TPF518" s="379"/>
      <c r="TPG518" s="13"/>
      <c r="TPH518" s="13"/>
      <c r="TPI518" s="193"/>
      <c r="TPJ518" s="379"/>
      <c r="TPK518" s="379"/>
      <c r="TPL518" s="379"/>
      <c r="TPM518" s="379"/>
      <c r="TPN518" s="379"/>
      <c r="TPO518" s="13"/>
      <c r="TPP518" s="13"/>
      <c r="TPQ518" s="193"/>
      <c r="TPR518" s="379"/>
      <c r="TPS518" s="379"/>
      <c r="TPT518" s="379"/>
      <c r="TPU518" s="379"/>
      <c r="TPV518" s="379"/>
      <c r="TPW518" s="13"/>
      <c r="TPX518" s="13"/>
      <c r="TPY518" s="193"/>
      <c r="TPZ518" s="379"/>
      <c r="TQA518" s="379"/>
      <c r="TQB518" s="379"/>
      <c r="TQC518" s="379"/>
      <c r="TQD518" s="379"/>
      <c r="TQE518" s="13"/>
      <c r="TQF518" s="13"/>
      <c r="TQG518" s="193"/>
      <c r="TQH518" s="379"/>
      <c r="TQI518" s="379"/>
      <c r="TQJ518" s="379"/>
      <c r="TQK518" s="379"/>
      <c r="TQL518" s="379"/>
      <c r="TQM518" s="13"/>
      <c r="TQN518" s="13"/>
      <c r="TQO518" s="193"/>
      <c r="TQP518" s="379"/>
      <c r="TQQ518" s="379"/>
      <c r="TQR518" s="379"/>
      <c r="TQS518" s="379"/>
      <c r="TQT518" s="379"/>
      <c r="TQU518" s="13"/>
      <c r="TQV518" s="13"/>
      <c r="TQW518" s="193"/>
      <c r="TQX518" s="379"/>
      <c r="TQY518" s="379"/>
      <c r="TQZ518" s="379"/>
      <c r="TRA518" s="379"/>
      <c r="TRB518" s="379"/>
      <c r="TRC518" s="13"/>
      <c r="TRD518" s="13"/>
      <c r="TRE518" s="193"/>
      <c r="TRF518" s="379"/>
      <c r="TRG518" s="379"/>
      <c r="TRH518" s="379"/>
      <c r="TRI518" s="379"/>
      <c r="TRJ518" s="379"/>
      <c r="TRK518" s="13"/>
      <c r="TRL518" s="13"/>
      <c r="TRM518" s="193"/>
      <c r="TRN518" s="379"/>
      <c r="TRO518" s="379"/>
      <c r="TRP518" s="379"/>
      <c r="TRQ518" s="379"/>
      <c r="TRR518" s="379"/>
      <c r="TRS518" s="13"/>
      <c r="TRT518" s="13"/>
      <c r="TRU518" s="193"/>
      <c r="TRV518" s="379"/>
      <c r="TRW518" s="379"/>
      <c r="TRX518" s="379"/>
      <c r="TRY518" s="379"/>
      <c r="TRZ518" s="379"/>
      <c r="TSA518" s="13"/>
      <c r="TSB518" s="13"/>
      <c r="TSC518" s="193"/>
      <c r="TSD518" s="379"/>
      <c r="TSE518" s="379"/>
      <c r="TSF518" s="379"/>
      <c r="TSG518" s="379"/>
      <c r="TSH518" s="379"/>
      <c r="TSI518" s="13"/>
      <c r="TSJ518" s="13"/>
      <c r="TSK518" s="193"/>
      <c r="TSL518" s="379"/>
      <c r="TSM518" s="379"/>
      <c r="TSN518" s="379"/>
      <c r="TSO518" s="379"/>
      <c r="TSP518" s="379"/>
      <c r="TSQ518" s="13"/>
      <c r="TSR518" s="13"/>
      <c r="TSS518" s="193"/>
      <c r="TST518" s="379"/>
      <c r="TSU518" s="379"/>
      <c r="TSV518" s="379"/>
      <c r="TSW518" s="379"/>
      <c r="TSX518" s="379"/>
      <c r="TSY518" s="13"/>
      <c r="TSZ518" s="13"/>
      <c r="TTA518" s="193"/>
      <c r="TTB518" s="379"/>
      <c r="TTC518" s="379"/>
      <c r="TTD518" s="379"/>
      <c r="TTE518" s="379"/>
      <c r="TTF518" s="379"/>
      <c r="TTG518" s="13"/>
      <c r="TTH518" s="13"/>
      <c r="TTI518" s="193"/>
      <c r="TTJ518" s="379"/>
      <c r="TTK518" s="379"/>
      <c r="TTL518" s="379"/>
      <c r="TTM518" s="379"/>
      <c r="TTN518" s="379"/>
      <c r="TTO518" s="13"/>
      <c r="TTP518" s="13"/>
      <c r="TTQ518" s="193"/>
      <c r="TTR518" s="379"/>
      <c r="TTS518" s="379"/>
      <c r="TTT518" s="379"/>
      <c r="TTU518" s="379"/>
      <c r="TTV518" s="379"/>
      <c r="TTW518" s="13"/>
      <c r="TTX518" s="13"/>
      <c r="TTY518" s="193"/>
      <c r="TTZ518" s="379"/>
      <c r="TUA518" s="379"/>
      <c r="TUB518" s="379"/>
      <c r="TUC518" s="379"/>
      <c r="TUD518" s="379"/>
      <c r="TUE518" s="13"/>
      <c r="TUF518" s="13"/>
      <c r="TUG518" s="193"/>
      <c r="TUH518" s="379"/>
      <c r="TUI518" s="379"/>
      <c r="TUJ518" s="379"/>
      <c r="TUK518" s="379"/>
      <c r="TUL518" s="379"/>
      <c r="TUM518" s="13"/>
      <c r="TUN518" s="13"/>
      <c r="TUO518" s="193"/>
      <c r="TUP518" s="379"/>
      <c r="TUQ518" s="379"/>
      <c r="TUR518" s="379"/>
      <c r="TUS518" s="379"/>
      <c r="TUT518" s="379"/>
      <c r="TUU518" s="13"/>
      <c r="TUV518" s="13"/>
      <c r="TUW518" s="193"/>
      <c r="TUX518" s="379"/>
      <c r="TUY518" s="379"/>
      <c r="TUZ518" s="379"/>
      <c r="TVA518" s="379"/>
      <c r="TVB518" s="379"/>
      <c r="TVC518" s="13"/>
      <c r="TVD518" s="13"/>
      <c r="TVE518" s="193"/>
      <c r="TVF518" s="379"/>
      <c r="TVG518" s="379"/>
      <c r="TVH518" s="379"/>
      <c r="TVI518" s="379"/>
      <c r="TVJ518" s="379"/>
      <c r="TVK518" s="13"/>
      <c r="TVL518" s="13"/>
      <c r="TVM518" s="193"/>
      <c r="TVN518" s="379"/>
      <c r="TVO518" s="379"/>
      <c r="TVP518" s="379"/>
      <c r="TVQ518" s="379"/>
      <c r="TVR518" s="379"/>
      <c r="TVS518" s="13"/>
      <c r="TVT518" s="13"/>
      <c r="TVU518" s="193"/>
      <c r="TVV518" s="379"/>
      <c r="TVW518" s="379"/>
      <c r="TVX518" s="379"/>
      <c r="TVY518" s="379"/>
      <c r="TVZ518" s="379"/>
      <c r="TWA518" s="13"/>
      <c r="TWB518" s="13"/>
      <c r="TWC518" s="193"/>
      <c r="TWD518" s="379"/>
      <c r="TWE518" s="379"/>
      <c r="TWF518" s="379"/>
      <c r="TWG518" s="379"/>
      <c r="TWH518" s="379"/>
      <c r="TWI518" s="13"/>
      <c r="TWJ518" s="13"/>
      <c r="TWK518" s="193"/>
      <c r="TWL518" s="379"/>
      <c r="TWM518" s="379"/>
      <c r="TWN518" s="379"/>
      <c r="TWO518" s="379"/>
      <c r="TWP518" s="379"/>
      <c r="TWQ518" s="13"/>
      <c r="TWR518" s="13"/>
      <c r="TWS518" s="193"/>
      <c r="TWT518" s="379"/>
      <c r="TWU518" s="379"/>
      <c r="TWV518" s="379"/>
      <c r="TWW518" s="379"/>
      <c r="TWX518" s="379"/>
      <c r="TWY518" s="13"/>
      <c r="TWZ518" s="13"/>
      <c r="TXA518" s="193"/>
      <c r="TXB518" s="379"/>
      <c r="TXC518" s="379"/>
      <c r="TXD518" s="379"/>
      <c r="TXE518" s="379"/>
      <c r="TXF518" s="379"/>
      <c r="TXG518" s="13"/>
      <c r="TXH518" s="13"/>
      <c r="TXI518" s="193"/>
      <c r="TXJ518" s="379"/>
      <c r="TXK518" s="379"/>
      <c r="TXL518" s="379"/>
      <c r="TXM518" s="379"/>
      <c r="TXN518" s="379"/>
      <c r="TXO518" s="13"/>
      <c r="TXP518" s="13"/>
      <c r="TXQ518" s="193"/>
      <c r="TXR518" s="379"/>
      <c r="TXS518" s="379"/>
      <c r="TXT518" s="379"/>
      <c r="TXU518" s="379"/>
      <c r="TXV518" s="379"/>
      <c r="TXW518" s="13"/>
      <c r="TXX518" s="13"/>
      <c r="TXY518" s="193"/>
      <c r="TXZ518" s="379"/>
      <c r="TYA518" s="379"/>
      <c r="TYB518" s="379"/>
      <c r="TYC518" s="379"/>
      <c r="TYD518" s="379"/>
      <c r="TYE518" s="13"/>
      <c r="TYF518" s="13"/>
      <c r="TYG518" s="193"/>
      <c r="TYH518" s="379"/>
      <c r="TYI518" s="379"/>
      <c r="TYJ518" s="379"/>
      <c r="TYK518" s="379"/>
      <c r="TYL518" s="379"/>
      <c r="TYM518" s="13"/>
      <c r="TYN518" s="13"/>
      <c r="TYO518" s="193"/>
      <c r="TYP518" s="379"/>
      <c r="TYQ518" s="379"/>
      <c r="TYR518" s="379"/>
      <c r="TYS518" s="379"/>
      <c r="TYT518" s="379"/>
      <c r="TYU518" s="13"/>
      <c r="TYV518" s="13"/>
      <c r="TYW518" s="193"/>
      <c r="TYX518" s="379"/>
      <c r="TYY518" s="379"/>
      <c r="TYZ518" s="379"/>
      <c r="TZA518" s="379"/>
      <c r="TZB518" s="379"/>
      <c r="TZC518" s="13"/>
      <c r="TZD518" s="13"/>
      <c r="TZE518" s="193"/>
      <c r="TZF518" s="379"/>
      <c r="TZG518" s="379"/>
      <c r="TZH518" s="379"/>
      <c r="TZI518" s="379"/>
      <c r="TZJ518" s="379"/>
      <c r="TZK518" s="13"/>
      <c r="TZL518" s="13"/>
      <c r="TZM518" s="193"/>
      <c r="TZN518" s="379"/>
      <c r="TZO518" s="379"/>
      <c r="TZP518" s="379"/>
      <c r="TZQ518" s="379"/>
      <c r="TZR518" s="379"/>
      <c r="TZS518" s="13"/>
      <c r="TZT518" s="13"/>
      <c r="TZU518" s="193"/>
      <c r="TZV518" s="379"/>
      <c r="TZW518" s="379"/>
      <c r="TZX518" s="379"/>
      <c r="TZY518" s="379"/>
      <c r="TZZ518" s="379"/>
      <c r="UAA518" s="13"/>
      <c r="UAB518" s="13"/>
      <c r="UAC518" s="193"/>
      <c r="UAD518" s="379"/>
      <c r="UAE518" s="379"/>
      <c r="UAF518" s="379"/>
      <c r="UAG518" s="379"/>
      <c r="UAH518" s="379"/>
      <c r="UAI518" s="13"/>
      <c r="UAJ518" s="13"/>
      <c r="UAK518" s="193"/>
      <c r="UAL518" s="379"/>
      <c r="UAM518" s="379"/>
      <c r="UAN518" s="379"/>
      <c r="UAO518" s="379"/>
      <c r="UAP518" s="379"/>
      <c r="UAQ518" s="13"/>
      <c r="UAR518" s="13"/>
      <c r="UAS518" s="193"/>
      <c r="UAT518" s="379"/>
      <c r="UAU518" s="379"/>
      <c r="UAV518" s="379"/>
      <c r="UAW518" s="379"/>
      <c r="UAX518" s="379"/>
      <c r="UAY518" s="13"/>
      <c r="UAZ518" s="13"/>
      <c r="UBA518" s="193"/>
      <c r="UBB518" s="379"/>
      <c r="UBC518" s="379"/>
      <c r="UBD518" s="379"/>
      <c r="UBE518" s="379"/>
      <c r="UBF518" s="379"/>
      <c r="UBG518" s="13"/>
      <c r="UBH518" s="13"/>
      <c r="UBI518" s="193"/>
      <c r="UBJ518" s="379"/>
      <c r="UBK518" s="379"/>
      <c r="UBL518" s="379"/>
      <c r="UBM518" s="379"/>
      <c r="UBN518" s="379"/>
      <c r="UBO518" s="13"/>
      <c r="UBP518" s="13"/>
      <c r="UBQ518" s="193"/>
      <c r="UBR518" s="379"/>
      <c r="UBS518" s="379"/>
      <c r="UBT518" s="379"/>
      <c r="UBU518" s="379"/>
      <c r="UBV518" s="379"/>
      <c r="UBW518" s="13"/>
      <c r="UBX518" s="13"/>
      <c r="UBY518" s="193"/>
      <c r="UBZ518" s="379"/>
      <c r="UCA518" s="379"/>
      <c r="UCB518" s="379"/>
      <c r="UCC518" s="379"/>
      <c r="UCD518" s="379"/>
      <c r="UCE518" s="13"/>
      <c r="UCF518" s="13"/>
      <c r="UCG518" s="193"/>
      <c r="UCH518" s="379"/>
      <c r="UCI518" s="379"/>
      <c r="UCJ518" s="379"/>
      <c r="UCK518" s="379"/>
      <c r="UCL518" s="379"/>
      <c r="UCM518" s="13"/>
      <c r="UCN518" s="13"/>
      <c r="UCO518" s="193"/>
      <c r="UCP518" s="379"/>
      <c r="UCQ518" s="379"/>
      <c r="UCR518" s="379"/>
      <c r="UCS518" s="379"/>
      <c r="UCT518" s="379"/>
      <c r="UCU518" s="13"/>
      <c r="UCV518" s="13"/>
      <c r="UCW518" s="193"/>
      <c r="UCX518" s="379"/>
      <c r="UCY518" s="379"/>
      <c r="UCZ518" s="379"/>
      <c r="UDA518" s="379"/>
      <c r="UDB518" s="379"/>
      <c r="UDC518" s="13"/>
      <c r="UDD518" s="13"/>
      <c r="UDE518" s="193"/>
      <c r="UDF518" s="379"/>
      <c r="UDG518" s="379"/>
      <c r="UDH518" s="379"/>
      <c r="UDI518" s="379"/>
      <c r="UDJ518" s="379"/>
      <c r="UDK518" s="13"/>
      <c r="UDL518" s="13"/>
      <c r="UDM518" s="193"/>
      <c r="UDN518" s="379"/>
      <c r="UDO518" s="379"/>
      <c r="UDP518" s="379"/>
      <c r="UDQ518" s="379"/>
      <c r="UDR518" s="379"/>
      <c r="UDS518" s="13"/>
      <c r="UDT518" s="13"/>
      <c r="UDU518" s="193"/>
      <c r="UDV518" s="379"/>
      <c r="UDW518" s="379"/>
      <c r="UDX518" s="379"/>
      <c r="UDY518" s="379"/>
      <c r="UDZ518" s="379"/>
      <c r="UEA518" s="13"/>
      <c r="UEB518" s="13"/>
      <c r="UEC518" s="193"/>
      <c r="UED518" s="379"/>
      <c r="UEE518" s="379"/>
      <c r="UEF518" s="379"/>
      <c r="UEG518" s="379"/>
      <c r="UEH518" s="379"/>
      <c r="UEI518" s="13"/>
      <c r="UEJ518" s="13"/>
      <c r="UEK518" s="193"/>
      <c r="UEL518" s="379"/>
      <c r="UEM518" s="379"/>
      <c r="UEN518" s="379"/>
      <c r="UEO518" s="379"/>
      <c r="UEP518" s="379"/>
      <c r="UEQ518" s="13"/>
      <c r="UER518" s="13"/>
      <c r="UES518" s="193"/>
      <c r="UET518" s="379"/>
      <c r="UEU518" s="379"/>
      <c r="UEV518" s="379"/>
      <c r="UEW518" s="379"/>
      <c r="UEX518" s="379"/>
      <c r="UEY518" s="13"/>
      <c r="UEZ518" s="13"/>
      <c r="UFA518" s="193"/>
      <c r="UFB518" s="379"/>
      <c r="UFC518" s="379"/>
      <c r="UFD518" s="379"/>
      <c r="UFE518" s="379"/>
      <c r="UFF518" s="379"/>
      <c r="UFG518" s="13"/>
      <c r="UFH518" s="13"/>
      <c r="UFI518" s="193"/>
      <c r="UFJ518" s="379"/>
      <c r="UFK518" s="379"/>
      <c r="UFL518" s="379"/>
      <c r="UFM518" s="379"/>
      <c r="UFN518" s="379"/>
      <c r="UFO518" s="13"/>
      <c r="UFP518" s="13"/>
      <c r="UFQ518" s="193"/>
      <c r="UFR518" s="379"/>
      <c r="UFS518" s="379"/>
      <c r="UFT518" s="379"/>
      <c r="UFU518" s="379"/>
      <c r="UFV518" s="379"/>
      <c r="UFW518" s="13"/>
      <c r="UFX518" s="13"/>
      <c r="UFY518" s="193"/>
      <c r="UFZ518" s="379"/>
      <c r="UGA518" s="379"/>
      <c r="UGB518" s="379"/>
      <c r="UGC518" s="379"/>
      <c r="UGD518" s="379"/>
      <c r="UGE518" s="13"/>
      <c r="UGF518" s="13"/>
      <c r="UGG518" s="193"/>
      <c r="UGH518" s="379"/>
      <c r="UGI518" s="379"/>
      <c r="UGJ518" s="379"/>
      <c r="UGK518" s="379"/>
      <c r="UGL518" s="379"/>
      <c r="UGM518" s="13"/>
      <c r="UGN518" s="13"/>
      <c r="UGO518" s="193"/>
      <c r="UGP518" s="379"/>
      <c r="UGQ518" s="379"/>
      <c r="UGR518" s="379"/>
      <c r="UGS518" s="379"/>
      <c r="UGT518" s="379"/>
      <c r="UGU518" s="13"/>
      <c r="UGV518" s="13"/>
      <c r="UGW518" s="193"/>
      <c r="UGX518" s="379"/>
      <c r="UGY518" s="379"/>
      <c r="UGZ518" s="379"/>
      <c r="UHA518" s="379"/>
      <c r="UHB518" s="379"/>
      <c r="UHC518" s="13"/>
      <c r="UHD518" s="13"/>
      <c r="UHE518" s="193"/>
      <c r="UHF518" s="379"/>
      <c r="UHG518" s="379"/>
      <c r="UHH518" s="379"/>
      <c r="UHI518" s="379"/>
      <c r="UHJ518" s="379"/>
      <c r="UHK518" s="13"/>
      <c r="UHL518" s="13"/>
      <c r="UHM518" s="193"/>
      <c r="UHN518" s="379"/>
      <c r="UHO518" s="379"/>
      <c r="UHP518" s="379"/>
      <c r="UHQ518" s="379"/>
      <c r="UHR518" s="379"/>
      <c r="UHS518" s="13"/>
      <c r="UHT518" s="13"/>
      <c r="UHU518" s="193"/>
      <c r="UHV518" s="379"/>
      <c r="UHW518" s="379"/>
      <c r="UHX518" s="379"/>
      <c r="UHY518" s="379"/>
      <c r="UHZ518" s="379"/>
      <c r="UIA518" s="13"/>
      <c r="UIB518" s="13"/>
      <c r="UIC518" s="193"/>
      <c r="UID518" s="379"/>
      <c r="UIE518" s="379"/>
      <c r="UIF518" s="379"/>
      <c r="UIG518" s="379"/>
      <c r="UIH518" s="379"/>
      <c r="UII518" s="13"/>
      <c r="UIJ518" s="13"/>
      <c r="UIK518" s="193"/>
      <c r="UIL518" s="379"/>
      <c r="UIM518" s="379"/>
      <c r="UIN518" s="379"/>
      <c r="UIO518" s="379"/>
      <c r="UIP518" s="379"/>
      <c r="UIQ518" s="13"/>
      <c r="UIR518" s="13"/>
      <c r="UIS518" s="193"/>
      <c r="UIT518" s="379"/>
      <c r="UIU518" s="379"/>
      <c r="UIV518" s="379"/>
      <c r="UIW518" s="379"/>
      <c r="UIX518" s="379"/>
      <c r="UIY518" s="13"/>
      <c r="UIZ518" s="13"/>
      <c r="UJA518" s="193"/>
      <c r="UJB518" s="379"/>
      <c r="UJC518" s="379"/>
      <c r="UJD518" s="379"/>
      <c r="UJE518" s="379"/>
      <c r="UJF518" s="379"/>
      <c r="UJG518" s="13"/>
      <c r="UJH518" s="13"/>
      <c r="UJI518" s="193"/>
      <c r="UJJ518" s="379"/>
      <c r="UJK518" s="379"/>
      <c r="UJL518" s="379"/>
      <c r="UJM518" s="379"/>
      <c r="UJN518" s="379"/>
      <c r="UJO518" s="13"/>
      <c r="UJP518" s="13"/>
      <c r="UJQ518" s="193"/>
      <c r="UJR518" s="379"/>
      <c r="UJS518" s="379"/>
      <c r="UJT518" s="379"/>
      <c r="UJU518" s="379"/>
      <c r="UJV518" s="379"/>
      <c r="UJW518" s="13"/>
      <c r="UJX518" s="13"/>
      <c r="UJY518" s="193"/>
      <c r="UJZ518" s="379"/>
      <c r="UKA518" s="379"/>
      <c r="UKB518" s="379"/>
      <c r="UKC518" s="379"/>
      <c r="UKD518" s="379"/>
      <c r="UKE518" s="13"/>
      <c r="UKF518" s="13"/>
      <c r="UKG518" s="193"/>
      <c r="UKH518" s="379"/>
      <c r="UKI518" s="379"/>
      <c r="UKJ518" s="379"/>
      <c r="UKK518" s="379"/>
      <c r="UKL518" s="379"/>
      <c r="UKM518" s="13"/>
      <c r="UKN518" s="13"/>
      <c r="UKO518" s="193"/>
      <c r="UKP518" s="379"/>
      <c r="UKQ518" s="379"/>
      <c r="UKR518" s="379"/>
      <c r="UKS518" s="379"/>
      <c r="UKT518" s="379"/>
      <c r="UKU518" s="13"/>
      <c r="UKV518" s="13"/>
      <c r="UKW518" s="193"/>
      <c r="UKX518" s="379"/>
      <c r="UKY518" s="379"/>
      <c r="UKZ518" s="379"/>
      <c r="ULA518" s="379"/>
      <c r="ULB518" s="379"/>
      <c r="ULC518" s="13"/>
      <c r="ULD518" s="13"/>
      <c r="ULE518" s="193"/>
      <c r="ULF518" s="379"/>
      <c r="ULG518" s="379"/>
      <c r="ULH518" s="379"/>
      <c r="ULI518" s="379"/>
      <c r="ULJ518" s="379"/>
      <c r="ULK518" s="13"/>
      <c r="ULL518" s="13"/>
      <c r="ULM518" s="193"/>
      <c r="ULN518" s="379"/>
      <c r="ULO518" s="379"/>
      <c r="ULP518" s="379"/>
      <c r="ULQ518" s="379"/>
      <c r="ULR518" s="379"/>
      <c r="ULS518" s="13"/>
      <c r="ULT518" s="13"/>
      <c r="ULU518" s="193"/>
      <c r="ULV518" s="379"/>
      <c r="ULW518" s="379"/>
      <c r="ULX518" s="379"/>
      <c r="ULY518" s="379"/>
      <c r="ULZ518" s="379"/>
      <c r="UMA518" s="13"/>
      <c r="UMB518" s="13"/>
      <c r="UMC518" s="193"/>
      <c r="UMD518" s="379"/>
      <c r="UME518" s="379"/>
      <c r="UMF518" s="379"/>
      <c r="UMG518" s="379"/>
      <c r="UMH518" s="379"/>
      <c r="UMI518" s="13"/>
      <c r="UMJ518" s="13"/>
      <c r="UMK518" s="193"/>
      <c r="UML518" s="379"/>
      <c r="UMM518" s="379"/>
      <c r="UMN518" s="379"/>
      <c r="UMO518" s="379"/>
      <c r="UMP518" s="379"/>
      <c r="UMQ518" s="13"/>
      <c r="UMR518" s="13"/>
      <c r="UMS518" s="193"/>
      <c r="UMT518" s="379"/>
      <c r="UMU518" s="379"/>
      <c r="UMV518" s="379"/>
      <c r="UMW518" s="379"/>
      <c r="UMX518" s="379"/>
      <c r="UMY518" s="13"/>
      <c r="UMZ518" s="13"/>
      <c r="UNA518" s="193"/>
      <c r="UNB518" s="379"/>
      <c r="UNC518" s="379"/>
      <c r="UND518" s="379"/>
      <c r="UNE518" s="379"/>
      <c r="UNF518" s="379"/>
      <c r="UNG518" s="13"/>
      <c r="UNH518" s="13"/>
      <c r="UNI518" s="193"/>
      <c r="UNJ518" s="379"/>
      <c r="UNK518" s="379"/>
      <c r="UNL518" s="379"/>
      <c r="UNM518" s="379"/>
      <c r="UNN518" s="379"/>
      <c r="UNO518" s="13"/>
      <c r="UNP518" s="13"/>
      <c r="UNQ518" s="193"/>
      <c r="UNR518" s="379"/>
      <c r="UNS518" s="379"/>
      <c r="UNT518" s="379"/>
      <c r="UNU518" s="379"/>
      <c r="UNV518" s="379"/>
      <c r="UNW518" s="13"/>
      <c r="UNX518" s="13"/>
      <c r="UNY518" s="193"/>
      <c r="UNZ518" s="379"/>
      <c r="UOA518" s="379"/>
      <c r="UOB518" s="379"/>
      <c r="UOC518" s="379"/>
      <c r="UOD518" s="379"/>
      <c r="UOE518" s="13"/>
      <c r="UOF518" s="13"/>
      <c r="UOG518" s="193"/>
      <c r="UOH518" s="379"/>
      <c r="UOI518" s="379"/>
      <c r="UOJ518" s="379"/>
      <c r="UOK518" s="379"/>
      <c r="UOL518" s="379"/>
      <c r="UOM518" s="13"/>
      <c r="UON518" s="13"/>
      <c r="UOO518" s="193"/>
      <c r="UOP518" s="379"/>
      <c r="UOQ518" s="379"/>
      <c r="UOR518" s="379"/>
      <c r="UOS518" s="379"/>
      <c r="UOT518" s="379"/>
      <c r="UOU518" s="13"/>
      <c r="UOV518" s="13"/>
      <c r="UOW518" s="193"/>
      <c r="UOX518" s="379"/>
      <c r="UOY518" s="379"/>
      <c r="UOZ518" s="379"/>
      <c r="UPA518" s="379"/>
      <c r="UPB518" s="379"/>
      <c r="UPC518" s="13"/>
      <c r="UPD518" s="13"/>
      <c r="UPE518" s="193"/>
      <c r="UPF518" s="379"/>
      <c r="UPG518" s="379"/>
      <c r="UPH518" s="379"/>
      <c r="UPI518" s="379"/>
      <c r="UPJ518" s="379"/>
      <c r="UPK518" s="13"/>
      <c r="UPL518" s="13"/>
      <c r="UPM518" s="193"/>
      <c r="UPN518" s="379"/>
      <c r="UPO518" s="379"/>
      <c r="UPP518" s="379"/>
      <c r="UPQ518" s="379"/>
      <c r="UPR518" s="379"/>
      <c r="UPS518" s="13"/>
      <c r="UPT518" s="13"/>
      <c r="UPU518" s="193"/>
      <c r="UPV518" s="379"/>
      <c r="UPW518" s="379"/>
      <c r="UPX518" s="379"/>
      <c r="UPY518" s="379"/>
      <c r="UPZ518" s="379"/>
      <c r="UQA518" s="13"/>
      <c r="UQB518" s="13"/>
      <c r="UQC518" s="193"/>
      <c r="UQD518" s="379"/>
      <c r="UQE518" s="379"/>
      <c r="UQF518" s="379"/>
      <c r="UQG518" s="379"/>
      <c r="UQH518" s="379"/>
      <c r="UQI518" s="13"/>
      <c r="UQJ518" s="13"/>
      <c r="UQK518" s="193"/>
      <c r="UQL518" s="379"/>
      <c r="UQM518" s="379"/>
      <c r="UQN518" s="379"/>
      <c r="UQO518" s="379"/>
      <c r="UQP518" s="379"/>
      <c r="UQQ518" s="13"/>
      <c r="UQR518" s="13"/>
      <c r="UQS518" s="193"/>
      <c r="UQT518" s="379"/>
      <c r="UQU518" s="379"/>
      <c r="UQV518" s="379"/>
      <c r="UQW518" s="379"/>
      <c r="UQX518" s="379"/>
      <c r="UQY518" s="13"/>
      <c r="UQZ518" s="13"/>
      <c r="URA518" s="193"/>
      <c r="URB518" s="379"/>
      <c r="URC518" s="379"/>
      <c r="URD518" s="379"/>
      <c r="URE518" s="379"/>
      <c r="URF518" s="379"/>
      <c r="URG518" s="13"/>
      <c r="URH518" s="13"/>
      <c r="URI518" s="193"/>
      <c r="URJ518" s="379"/>
      <c r="URK518" s="379"/>
      <c r="URL518" s="379"/>
      <c r="URM518" s="379"/>
      <c r="URN518" s="379"/>
      <c r="URO518" s="13"/>
      <c r="URP518" s="13"/>
      <c r="URQ518" s="193"/>
      <c r="URR518" s="379"/>
      <c r="URS518" s="379"/>
      <c r="URT518" s="379"/>
      <c r="URU518" s="379"/>
      <c r="URV518" s="379"/>
      <c r="URW518" s="13"/>
      <c r="URX518" s="13"/>
      <c r="URY518" s="193"/>
      <c r="URZ518" s="379"/>
      <c r="USA518" s="379"/>
      <c r="USB518" s="379"/>
      <c r="USC518" s="379"/>
      <c r="USD518" s="379"/>
      <c r="USE518" s="13"/>
      <c r="USF518" s="13"/>
      <c r="USG518" s="193"/>
      <c r="USH518" s="379"/>
      <c r="USI518" s="379"/>
      <c r="USJ518" s="379"/>
      <c r="USK518" s="379"/>
      <c r="USL518" s="379"/>
      <c r="USM518" s="13"/>
      <c r="USN518" s="13"/>
      <c r="USO518" s="193"/>
      <c r="USP518" s="379"/>
      <c r="USQ518" s="379"/>
      <c r="USR518" s="379"/>
      <c r="USS518" s="379"/>
      <c r="UST518" s="379"/>
      <c r="USU518" s="13"/>
      <c r="USV518" s="13"/>
      <c r="USW518" s="193"/>
      <c r="USX518" s="379"/>
      <c r="USY518" s="379"/>
      <c r="USZ518" s="379"/>
      <c r="UTA518" s="379"/>
      <c r="UTB518" s="379"/>
      <c r="UTC518" s="13"/>
      <c r="UTD518" s="13"/>
      <c r="UTE518" s="193"/>
      <c r="UTF518" s="379"/>
      <c r="UTG518" s="379"/>
      <c r="UTH518" s="379"/>
      <c r="UTI518" s="379"/>
      <c r="UTJ518" s="379"/>
      <c r="UTK518" s="13"/>
      <c r="UTL518" s="13"/>
      <c r="UTM518" s="193"/>
      <c r="UTN518" s="379"/>
      <c r="UTO518" s="379"/>
      <c r="UTP518" s="379"/>
      <c r="UTQ518" s="379"/>
      <c r="UTR518" s="379"/>
      <c r="UTS518" s="13"/>
      <c r="UTT518" s="13"/>
      <c r="UTU518" s="193"/>
      <c r="UTV518" s="379"/>
      <c r="UTW518" s="379"/>
      <c r="UTX518" s="379"/>
      <c r="UTY518" s="379"/>
      <c r="UTZ518" s="379"/>
      <c r="UUA518" s="13"/>
      <c r="UUB518" s="13"/>
      <c r="UUC518" s="193"/>
      <c r="UUD518" s="379"/>
      <c r="UUE518" s="379"/>
      <c r="UUF518" s="379"/>
      <c r="UUG518" s="379"/>
      <c r="UUH518" s="379"/>
      <c r="UUI518" s="13"/>
      <c r="UUJ518" s="13"/>
      <c r="UUK518" s="193"/>
      <c r="UUL518" s="379"/>
      <c r="UUM518" s="379"/>
      <c r="UUN518" s="379"/>
      <c r="UUO518" s="379"/>
      <c r="UUP518" s="379"/>
      <c r="UUQ518" s="13"/>
      <c r="UUR518" s="13"/>
      <c r="UUS518" s="193"/>
      <c r="UUT518" s="379"/>
      <c r="UUU518" s="379"/>
      <c r="UUV518" s="379"/>
      <c r="UUW518" s="379"/>
      <c r="UUX518" s="379"/>
      <c r="UUY518" s="13"/>
      <c r="UUZ518" s="13"/>
      <c r="UVA518" s="193"/>
      <c r="UVB518" s="379"/>
      <c r="UVC518" s="379"/>
      <c r="UVD518" s="379"/>
      <c r="UVE518" s="379"/>
      <c r="UVF518" s="379"/>
      <c r="UVG518" s="13"/>
      <c r="UVH518" s="13"/>
      <c r="UVI518" s="193"/>
      <c r="UVJ518" s="379"/>
      <c r="UVK518" s="379"/>
      <c r="UVL518" s="379"/>
      <c r="UVM518" s="379"/>
      <c r="UVN518" s="379"/>
      <c r="UVO518" s="13"/>
      <c r="UVP518" s="13"/>
      <c r="UVQ518" s="193"/>
      <c r="UVR518" s="379"/>
      <c r="UVS518" s="379"/>
      <c r="UVT518" s="379"/>
      <c r="UVU518" s="379"/>
      <c r="UVV518" s="379"/>
      <c r="UVW518" s="13"/>
      <c r="UVX518" s="13"/>
      <c r="UVY518" s="193"/>
      <c r="UVZ518" s="379"/>
      <c r="UWA518" s="379"/>
      <c r="UWB518" s="379"/>
      <c r="UWC518" s="379"/>
      <c r="UWD518" s="379"/>
      <c r="UWE518" s="13"/>
      <c r="UWF518" s="13"/>
      <c r="UWG518" s="193"/>
      <c r="UWH518" s="379"/>
      <c r="UWI518" s="379"/>
      <c r="UWJ518" s="379"/>
      <c r="UWK518" s="379"/>
      <c r="UWL518" s="379"/>
      <c r="UWM518" s="13"/>
      <c r="UWN518" s="13"/>
      <c r="UWO518" s="193"/>
      <c r="UWP518" s="379"/>
      <c r="UWQ518" s="379"/>
      <c r="UWR518" s="379"/>
      <c r="UWS518" s="379"/>
      <c r="UWT518" s="379"/>
      <c r="UWU518" s="13"/>
      <c r="UWV518" s="13"/>
      <c r="UWW518" s="193"/>
      <c r="UWX518" s="379"/>
      <c r="UWY518" s="379"/>
      <c r="UWZ518" s="379"/>
      <c r="UXA518" s="379"/>
      <c r="UXB518" s="379"/>
      <c r="UXC518" s="13"/>
      <c r="UXD518" s="13"/>
      <c r="UXE518" s="193"/>
      <c r="UXF518" s="379"/>
      <c r="UXG518" s="379"/>
      <c r="UXH518" s="379"/>
      <c r="UXI518" s="379"/>
      <c r="UXJ518" s="379"/>
      <c r="UXK518" s="13"/>
      <c r="UXL518" s="13"/>
      <c r="UXM518" s="193"/>
      <c r="UXN518" s="379"/>
      <c r="UXO518" s="379"/>
      <c r="UXP518" s="379"/>
      <c r="UXQ518" s="379"/>
      <c r="UXR518" s="379"/>
      <c r="UXS518" s="13"/>
      <c r="UXT518" s="13"/>
      <c r="UXU518" s="193"/>
      <c r="UXV518" s="379"/>
      <c r="UXW518" s="379"/>
      <c r="UXX518" s="379"/>
      <c r="UXY518" s="379"/>
      <c r="UXZ518" s="379"/>
      <c r="UYA518" s="13"/>
      <c r="UYB518" s="13"/>
      <c r="UYC518" s="193"/>
      <c r="UYD518" s="379"/>
      <c r="UYE518" s="379"/>
      <c r="UYF518" s="379"/>
      <c r="UYG518" s="379"/>
      <c r="UYH518" s="379"/>
      <c r="UYI518" s="13"/>
      <c r="UYJ518" s="13"/>
      <c r="UYK518" s="193"/>
      <c r="UYL518" s="379"/>
      <c r="UYM518" s="379"/>
      <c r="UYN518" s="379"/>
      <c r="UYO518" s="379"/>
      <c r="UYP518" s="379"/>
      <c r="UYQ518" s="13"/>
      <c r="UYR518" s="13"/>
      <c r="UYS518" s="193"/>
      <c r="UYT518" s="379"/>
      <c r="UYU518" s="379"/>
      <c r="UYV518" s="379"/>
      <c r="UYW518" s="379"/>
      <c r="UYX518" s="379"/>
      <c r="UYY518" s="13"/>
      <c r="UYZ518" s="13"/>
      <c r="UZA518" s="193"/>
      <c r="UZB518" s="379"/>
      <c r="UZC518" s="379"/>
      <c r="UZD518" s="379"/>
      <c r="UZE518" s="379"/>
      <c r="UZF518" s="379"/>
      <c r="UZG518" s="13"/>
      <c r="UZH518" s="13"/>
      <c r="UZI518" s="193"/>
      <c r="UZJ518" s="379"/>
      <c r="UZK518" s="379"/>
      <c r="UZL518" s="379"/>
      <c r="UZM518" s="379"/>
      <c r="UZN518" s="379"/>
      <c r="UZO518" s="13"/>
      <c r="UZP518" s="13"/>
      <c r="UZQ518" s="193"/>
      <c r="UZR518" s="379"/>
      <c r="UZS518" s="379"/>
      <c r="UZT518" s="379"/>
      <c r="UZU518" s="379"/>
      <c r="UZV518" s="379"/>
      <c r="UZW518" s="13"/>
      <c r="UZX518" s="13"/>
      <c r="UZY518" s="193"/>
      <c r="UZZ518" s="379"/>
      <c r="VAA518" s="379"/>
      <c r="VAB518" s="379"/>
      <c r="VAC518" s="379"/>
      <c r="VAD518" s="379"/>
      <c r="VAE518" s="13"/>
      <c r="VAF518" s="13"/>
      <c r="VAG518" s="193"/>
      <c r="VAH518" s="379"/>
      <c r="VAI518" s="379"/>
      <c r="VAJ518" s="379"/>
      <c r="VAK518" s="379"/>
      <c r="VAL518" s="379"/>
      <c r="VAM518" s="13"/>
      <c r="VAN518" s="13"/>
      <c r="VAO518" s="193"/>
      <c r="VAP518" s="379"/>
      <c r="VAQ518" s="379"/>
      <c r="VAR518" s="379"/>
      <c r="VAS518" s="379"/>
      <c r="VAT518" s="379"/>
      <c r="VAU518" s="13"/>
      <c r="VAV518" s="13"/>
      <c r="VAW518" s="193"/>
      <c r="VAX518" s="379"/>
      <c r="VAY518" s="379"/>
      <c r="VAZ518" s="379"/>
      <c r="VBA518" s="379"/>
      <c r="VBB518" s="379"/>
      <c r="VBC518" s="13"/>
      <c r="VBD518" s="13"/>
      <c r="VBE518" s="193"/>
      <c r="VBF518" s="379"/>
      <c r="VBG518" s="379"/>
      <c r="VBH518" s="379"/>
      <c r="VBI518" s="379"/>
      <c r="VBJ518" s="379"/>
      <c r="VBK518" s="13"/>
      <c r="VBL518" s="13"/>
      <c r="VBM518" s="193"/>
      <c r="VBN518" s="379"/>
      <c r="VBO518" s="379"/>
      <c r="VBP518" s="379"/>
      <c r="VBQ518" s="379"/>
      <c r="VBR518" s="379"/>
      <c r="VBS518" s="13"/>
      <c r="VBT518" s="13"/>
      <c r="VBU518" s="193"/>
      <c r="VBV518" s="379"/>
      <c r="VBW518" s="379"/>
      <c r="VBX518" s="379"/>
      <c r="VBY518" s="379"/>
      <c r="VBZ518" s="379"/>
      <c r="VCA518" s="13"/>
      <c r="VCB518" s="13"/>
      <c r="VCC518" s="193"/>
      <c r="VCD518" s="379"/>
      <c r="VCE518" s="379"/>
      <c r="VCF518" s="379"/>
      <c r="VCG518" s="379"/>
      <c r="VCH518" s="379"/>
      <c r="VCI518" s="13"/>
      <c r="VCJ518" s="13"/>
      <c r="VCK518" s="193"/>
      <c r="VCL518" s="379"/>
      <c r="VCM518" s="379"/>
      <c r="VCN518" s="379"/>
      <c r="VCO518" s="379"/>
      <c r="VCP518" s="379"/>
      <c r="VCQ518" s="13"/>
      <c r="VCR518" s="13"/>
      <c r="VCS518" s="193"/>
      <c r="VCT518" s="379"/>
      <c r="VCU518" s="379"/>
      <c r="VCV518" s="379"/>
      <c r="VCW518" s="379"/>
      <c r="VCX518" s="379"/>
      <c r="VCY518" s="13"/>
      <c r="VCZ518" s="13"/>
      <c r="VDA518" s="193"/>
      <c r="VDB518" s="379"/>
      <c r="VDC518" s="379"/>
      <c r="VDD518" s="379"/>
      <c r="VDE518" s="379"/>
      <c r="VDF518" s="379"/>
      <c r="VDG518" s="13"/>
      <c r="VDH518" s="13"/>
      <c r="VDI518" s="193"/>
      <c r="VDJ518" s="379"/>
      <c r="VDK518" s="379"/>
      <c r="VDL518" s="379"/>
      <c r="VDM518" s="379"/>
      <c r="VDN518" s="379"/>
      <c r="VDO518" s="13"/>
      <c r="VDP518" s="13"/>
      <c r="VDQ518" s="193"/>
      <c r="VDR518" s="379"/>
      <c r="VDS518" s="379"/>
      <c r="VDT518" s="379"/>
      <c r="VDU518" s="379"/>
      <c r="VDV518" s="379"/>
      <c r="VDW518" s="13"/>
      <c r="VDX518" s="13"/>
      <c r="VDY518" s="193"/>
      <c r="VDZ518" s="379"/>
      <c r="VEA518" s="379"/>
      <c r="VEB518" s="379"/>
      <c r="VEC518" s="379"/>
      <c r="VED518" s="379"/>
      <c r="VEE518" s="13"/>
      <c r="VEF518" s="13"/>
      <c r="VEG518" s="193"/>
      <c r="VEH518" s="379"/>
      <c r="VEI518" s="379"/>
      <c r="VEJ518" s="379"/>
      <c r="VEK518" s="379"/>
      <c r="VEL518" s="379"/>
      <c r="VEM518" s="13"/>
      <c r="VEN518" s="13"/>
      <c r="VEO518" s="193"/>
      <c r="VEP518" s="379"/>
      <c r="VEQ518" s="379"/>
      <c r="VER518" s="379"/>
      <c r="VES518" s="379"/>
      <c r="VET518" s="379"/>
      <c r="VEU518" s="13"/>
      <c r="VEV518" s="13"/>
      <c r="VEW518" s="193"/>
      <c r="VEX518" s="379"/>
      <c r="VEY518" s="379"/>
      <c r="VEZ518" s="379"/>
      <c r="VFA518" s="379"/>
      <c r="VFB518" s="379"/>
      <c r="VFC518" s="13"/>
      <c r="VFD518" s="13"/>
      <c r="VFE518" s="193"/>
      <c r="VFF518" s="379"/>
      <c r="VFG518" s="379"/>
      <c r="VFH518" s="379"/>
      <c r="VFI518" s="379"/>
      <c r="VFJ518" s="379"/>
      <c r="VFK518" s="13"/>
      <c r="VFL518" s="13"/>
      <c r="VFM518" s="193"/>
      <c r="VFN518" s="379"/>
      <c r="VFO518" s="379"/>
      <c r="VFP518" s="379"/>
      <c r="VFQ518" s="379"/>
      <c r="VFR518" s="379"/>
      <c r="VFS518" s="13"/>
      <c r="VFT518" s="13"/>
      <c r="VFU518" s="193"/>
      <c r="VFV518" s="379"/>
      <c r="VFW518" s="379"/>
      <c r="VFX518" s="379"/>
      <c r="VFY518" s="379"/>
      <c r="VFZ518" s="379"/>
      <c r="VGA518" s="13"/>
      <c r="VGB518" s="13"/>
      <c r="VGC518" s="193"/>
      <c r="VGD518" s="379"/>
      <c r="VGE518" s="379"/>
      <c r="VGF518" s="379"/>
      <c r="VGG518" s="379"/>
      <c r="VGH518" s="379"/>
      <c r="VGI518" s="13"/>
      <c r="VGJ518" s="13"/>
      <c r="VGK518" s="193"/>
      <c r="VGL518" s="379"/>
      <c r="VGM518" s="379"/>
      <c r="VGN518" s="379"/>
      <c r="VGO518" s="379"/>
      <c r="VGP518" s="379"/>
      <c r="VGQ518" s="13"/>
      <c r="VGR518" s="13"/>
      <c r="VGS518" s="193"/>
      <c r="VGT518" s="379"/>
      <c r="VGU518" s="379"/>
      <c r="VGV518" s="379"/>
      <c r="VGW518" s="379"/>
      <c r="VGX518" s="379"/>
      <c r="VGY518" s="13"/>
      <c r="VGZ518" s="13"/>
      <c r="VHA518" s="193"/>
      <c r="VHB518" s="379"/>
      <c r="VHC518" s="379"/>
      <c r="VHD518" s="379"/>
      <c r="VHE518" s="379"/>
      <c r="VHF518" s="379"/>
      <c r="VHG518" s="13"/>
      <c r="VHH518" s="13"/>
      <c r="VHI518" s="193"/>
      <c r="VHJ518" s="379"/>
      <c r="VHK518" s="379"/>
      <c r="VHL518" s="379"/>
      <c r="VHM518" s="379"/>
      <c r="VHN518" s="379"/>
      <c r="VHO518" s="13"/>
      <c r="VHP518" s="13"/>
      <c r="VHQ518" s="193"/>
      <c r="VHR518" s="379"/>
      <c r="VHS518" s="379"/>
      <c r="VHT518" s="379"/>
      <c r="VHU518" s="379"/>
      <c r="VHV518" s="379"/>
      <c r="VHW518" s="13"/>
      <c r="VHX518" s="13"/>
      <c r="VHY518" s="193"/>
      <c r="VHZ518" s="379"/>
      <c r="VIA518" s="379"/>
      <c r="VIB518" s="379"/>
      <c r="VIC518" s="379"/>
      <c r="VID518" s="379"/>
      <c r="VIE518" s="13"/>
      <c r="VIF518" s="13"/>
      <c r="VIG518" s="193"/>
      <c r="VIH518" s="379"/>
      <c r="VII518" s="379"/>
      <c r="VIJ518" s="379"/>
      <c r="VIK518" s="379"/>
      <c r="VIL518" s="379"/>
      <c r="VIM518" s="13"/>
      <c r="VIN518" s="13"/>
      <c r="VIO518" s="193"/>
      <c r="VIP518" s="379"/>
      <c r="VIQ518" s="379"/>
      <c r="VIR518" s="379"/>
      <c r="VIS518" s="379"/>
      <c r="VIT518" s="379"/>
      <c r="VIU518" s="13"/>
      <c r="VIV518" s="13"/>
      <c r="VIW518" s="193"/>
      <c r="VIX518" s="379"/>
      <c r="VIY518" s="379"/>
      <c r="VIZ518" s="379"/>
      <c r="VJA518" s="379"/>
      <c r="VJB518" s="379"/>
      <c r="VJC518" s="13"/>
      <c r="VJD518" s="13"/>
      <c r="VJE518" s="193"/>
      <c r="VJF518" s="379"/>
      <c r="VJG518" s="379"/>
      <c r="VJH518" s="379"/>
      <c r="VJI518" s="379"/>
      <c r="VJJ518" s="379"/>
      <c r="VJK518" s="13"/>
      <c r="VJL518" s="13"/>
      <c r="VJM518" s="193"/>
      <c r="VJN518" s="379"/>
      <c r="VJO518" s="379"/>
      <c r="VJP518" s="379"/>
      <c r="VJQ518" s="379"/>
      <c r="VJR518" s="379"/>
      <c r="VJS518" s="13"/>
      <c r="VJT518" s="13"/>
      <c r="VJU518" s="193"/>
      <c r="VJV518" s="379"/>
      <c r="VJW518" s="379"/>
      <c r="VJX518" s="379"/>
      <c r="VJY518" s="379"/>
      <c r="VJZ518" s="379"/>
      <c r="VKA518" s="13"/>
      <c r="VKB518" s="13"/>
      <c r="VKC518" s="193"/>
      <c r="VKD518" s="379"/>
      <c r="VKE518" s="379"/>
      <c r="VKF518" s="379"/>
      <c r="VKG518" s="379"/>
      <c r="VKH518" s="379"/>
      <c r="VKI518" s="13"/>
      <c r="VKJ518" s="13"/>
      <c r="VKK518" s="193"/>
      <c r="VKL518" s="379"/>
      <c r="VKM518" s="379"/>
      <c r="VKN518" s="379"/>
      <c r="VKO518" s="379"/>
      <c r="VKP518" s="379"/>
      <c r="VKQ518" s="13"/>
      <c r="VKR518" s="13"/>
      <c r="VKS518" s="193"/>
      <c r="VKT518" s="379"/>
      <c r="VKU518" s="379"/>
      <c r="VKV518" s="379"/>
      <c r="VKW518" s="379"/>
      <c r="VKX518" s="379"/>
      <c r="VKY518" s="13"/>
      <c r="VKZ518" s="13"/>
      <c r="VLA518" s="193"/>
      <c r="VLB518" s="379"/>
      <c r="VLC518" s="379"/>
      <c r="VLD518" s="379"/>
      <c r="VLE518" s="379"/>
      <c r="VLF518" s="379"/>
      <c r="VLG518" s="13"/>
      <c r="VLH518" s="13"/>
      <c r="VLI518" s="193"/>
      <c r="VLJ518" s="379"/>
      <c r="VLK518" s="379"/>
      <c r="VLL518" s="379"/>
      <c r="VLM518" s="379"/>
      <c r="VLN518" s="379"/>
      <c r="VLO518" s="13"/>
      <c r="VLP518" s="13"/>
      <c r="VLQ518" s="193"/>
      <c r="VLR518" s="379"/>
      <c r="VLS518" s="379"/>
      <c r="VLT518" s="379"/>
      <c r="VLU518" s="379"/>
      <c r="VLV518" s="379"/>
      <c r="VLW518" s="13"/>
      <c r="VLX518" s="13"/>
      <c r="VLY518" s="193"/>
      <c r="VLZ518" s="379"/>
      <c r="VMA518" s="379"/>
      <c r="VMB518" s="379"/>
      <c r="VMC518" s="379"/>
      <c r="VMD518" s="379"/>
      <c r="VME518" s="13"/>
      <c r="VMF518" s="13"/>
      <c r="VMG518" s="193"/>
      <c r="VMH518" s="379"/>
      <c r="VMI518" s="379"/>
      <c r="VMJ518" s="379"/>
      <c r="VMK518" s="379"/>
      <c r="VML518" s="379"/>
      <c r="VMM518" s="13"/>
      <c r="VMN518" s="13"/>
      <c r="VMO518" s="193"/>
      <c r="VMP518" s="379"/>
      <c r="VMQ518" s="379"/>
      <c r="VMR518" s="379"/>
      <c r="VMS518" s="379"/>
      <c r="VMT518" s="379"/>
      <c r="VMU518" s="13"/>
      <c r="VMV518" s="13"/>
      <c r="VMW518" s="193"/>
      <c r="VMX518" s="379"/>
      <c r="VMY518" s="379"/>
      <c r="VMZ518" s="379"/>
      <c r="VNA518" s="379"/>
      <c r="VNB518" s="379"/>
      <c r="VNC518" s="13"/>
      <c r="VND518" s="13"/>
      <c r="VNE518" s="193"/>
      <c r="VNF518" s="379"/>
      <c r="VNG518" s="379"/>
      <c r="VNH518" s="379"/>
      <c r="VNI518" s="379"/>
      <c r="VNJ518" s="379"/>
      <c r="VNK518" s="13"/>
      <c r="VNL518" s="13"/>
      <c r="VNM518" s="193"/>
      <c r="VNN518" s="379"/>
      <c r="VNO518" s="379"/>
      <c r="VNP518" s="379"/>
      <c r="VNQ518" s="379"/>
      <c r="VNR518" s="379"/>
      <c r="VNS518" s="13"/>
      <c r="VNT518" s="13"/>
      <c r="VNU518" s="193"/>
      <c r="VNV518" s="379"/>
      <c r="VNW518" s="379"/>
      <c r="VNX518" s="379"/>
      <c r="VNY518" s="379"/>
      <c r="VNZ518" s="379"/>
      <c r="VOA518" s="13"/>
      <c r="VOB518" s="13"/>
      <c r="VOC518" s="193"/>
      <c r="VOD518" s="379"/>
      <c r="VOE518" s="379"/>
      <c r="VOF518" s="379"/>
      <c r="VOG518" s="379"/>
      <c r="VOH518" s="379"/>
      <c r="VOI518" s="13"/>
      <c r="VOJ518" s="13"/>
      <c r="VOK518" s="193"/>
      <c r="VOL518" s="379"/>
      <c r="VOM518" s="379"/>
      <c r="VON518" s="379"/>
      <c r="VOO518" s="379"/>
      <c r="VOP518" s="379"/>
      <c r="VOQ518" s="13"/>
      <c r="VOR518" s="13"/>
      <c r="VOS518" s="193"/>
      <c r="VOT518" s="379"/>
      <c r="VOU518" s="379"/>
      <c r="VOV518" s="379"/>
      <c r="VOW518" s="379"/>
      <c r="VOX518" s="379"/>
      <c r="VOY518" s="13"/>
      <c r="VOZ518" s="13"/>
      <c r="VPA518" s="193"/>
      <c r="VPB518" s="379"/>
      <c r="VPC518" s="379"/>
      <c r="VPD518" s="379"/>
      <c r="VPE518" s="379"/>
      <c r="VPF518" s="379"/>
      <c r="VPG518" s="13"/>
      <c r="VPH518" s="13"/>
      <c r="VPI518" s="193"/>
      <c r="VPJ518" s="379"/>
      <c r="VPK518" s="379"/>
      <c r="VPL518" s="379"/>
      <c r="VPM518" s="379"/>
      <c r="VPN518" s="379"/>
      <c r="VPO518" s="13"/>
      <c r="VPP518" s="13"/>
      <c r="VPQ518" s="193"/>
      <c r="VPR518" s="379"/>
      <c r="VPS518" s="379"/>
      <c r="VPT518" s="379"/>
      <c r="VPU518" s="379"/>
      <c r="VPV518" s="379"/>
      <c r="VPW518" s="13"/>
      <c r="VPX518" s="13"/>
      <c r="VPY518" s="193"/>
      <c r="VPZ518" s="379"/>
      <c r="VQA518" s="379"/>
      <c r="VQB518" s="379"/>
      <c r="VQC518" s="379"/>
      <c r="VQD518" s="379"/>
      <c r="VQE518" s="13"/>
      <c r="VQF518" s="13"/>
      <c r="VQG518" s="193"/>
      <c r="VQH518" s="379"/>
      <c r="VQI518" s="379"/>
      <c r="VQJ518" s="379"/>
      <c r="VQK518" s="379"/>
      <c r="VQL518" s="379"/>
      <c r="VQM518" s="13"/>
      <c r="VQN518" s="13"/>
      <c r="VQO518" s="193"/>
      <c r="VQP518" s="379"/>
      <c r="VQQ518" s="379"/>
      <c r="VQR518" s="379"/>
      <c r="VQS518" s="379"/>
      <c r="VQT518" s="379"/>
      <c r="VQU518" s="13"/>
      <c r="VQV518" s="13"/>
      <c r="VQW518" s="193"/>
      <c r="VQX518" s="379"/>
      <c r="VQY518" s="379"/>
      <c r="VQZ518" s="379"/>
      <c r="VRA518" s="379"/>
      <c r="VRB518" s="379"/>
      <c r="VRC518" s="13"/>
      <c r="VRD518" s="13"/>
      <c r="VRE518" s="193"/>
      <c r="VRF518" s="379"/>
      <c r="VRG518" s="379"/>
      <c r="VRH518" s="379"/>
      <c r="VRI518" s="379"/>
      <c r="VRJ518" s="379"/>
      <c r="VRK518" s="13"/>
      <c r="VRL518" s="13"/>
      <c r="VRM518" s="193"/>
      <c r="VRN518" s="379"/>
      <c r="VRO518" s="379"/>
      <c r="VRP518" s="379"/>
      <c r="VRQ518" s="379"/>
      <c r="VRR518" s="379"/>
      <c r="VRS518" s="13"/>
      <c r="VRT518" s="13"/>
      <c r="VRU518" s="193"/>
      <c r="VRV518" s="379"/>
      <c r="VRW518" s="379"/>
      <c r="VRX518" s="379"/>
      <c r="VRY518" s="379"/>
      <c r="VRZ518" s="379"/>
      <c r="VSA518" s="13"/>
      <c r="VSB518" s="13"/>
      <c r="VSC518" s="193"/>
      <c r="VSD518" s="379"/>
      <c r="VSE518" s="379"/>
      <c r="VSF518" s="379"/>
      <c r="VSG518" s="379"/>
      <c r="VSH518" s="379"/>
      <c r="VSI518" s="13"/>
      <c r="VSJ518" s="13"/>
      <c r="VSK518" s="193"/>
      <c r="VSL518" s="379"/>
      <c r="VSM518" s="379"/>
      <c r="VSN518" s="379"/>
      <c r="VSO518" s="379"/>
      <c r="VSP518" s="379"/>
      <c r="VSQ518" s="13"/>
      <c r="VSR518" s="13"/>
      <c r="VSS518" s="193"/>
      <c r="VST518" s="379"/>
      <c r="VSU518" s="379"/>
      <c r="VSV518" s="379"/>
      <c r="VSW518" s="379"/>
      <c r="VSX518" s="379"/>
      <c r="VSY518" s="13"/>
      <c r="VSZ518" s="13"/>
      <c r="VTA518" s="193"/>
      <c r="VTB518" s="379"/>
      <c r="VTC518" s="379"/>
      <c r="VTD518" s="379"/>
      <c r="VTE518" s="379"/>
      <c r="VTF518" s="379"/>
      <c r="VTG518" s="13"/>
      <c r="VTH518" s="13"/>
      <c r="VTI518" s="193"/>
      <c r="VTJ518" s="379"/>
      <c r="VTK518" s="379"/>
      <c r="VTL518" s="379"/>
      <c r="VTM518" s="379"/>
      <c r="VTN518" s="379"/>
      <c r="VTO518" s="13"/>
      <c r="VTP518" s="13"/>
      <c r="VTQ518" s="193"/>
      <c r="VTR518" s="379"/>
      <c r="VTS518" s="379"/>
      <c r="VTT518" s="379"/>
      <c r="VTU518" s="379"/>
      <c r="VTV518" s="379"/>
      <c r="VTW518" s="13"/>
      <c r="VTX518" s="13"/>
      <c r="VTY518" s="193"/>
      <c r="VTZ518" s="379"/>
      <c r="VUA518" s="379"/>
      <c r="VUB518" s="379"/>
      <c r="VUC518" s="379"/>
      <c r="VUD518" s="379"/>
      <c r="VUE518" s="13"/>
      <c r="VUF518" s="13"/>
      <c r="VUG518" s="193"/>
      <c r="VUH518" s="379"/>
      <c r="VUI518" s="379"/>
      <c r="VUJ518" s="379"/>
      <c r="VUK518" s="379"/>
      <c r="VUL518" s="379"/>
      <c r="VUM518" s="13"/>
      <c r="VUN518" s="13"/>
      <c r="VUO518" s="193"/>
      <c r="VUP518" s="379"/>
      <c r="VUQ518" s="379"/>
      <c r="VUR518" s="379"/>
      <c r="VUS518" s="379"/>
      <c r="VUT518" s="379"/>
      <c r="VUU518" s="13"/>
      <c r="VUV518" s="13"/>
      <c r="VUW518" s="193"/>
      <c r="VUX518" s="379"/>
      <c r="VUY518" s="379"/>
      <c r="VUZ518" s="379"/>
      <c r="VVA518" s="379"/>
      <c r="VVB518" s="379"/>
      <c r="VVC518" s="13"/>
      <c r="VVD518" s="13"/>
      <c r="VVE518" s="193"/>
      <c r="VVF518" s="379"/>
      <c r="VVG518" s="379"/>
      <c r="VVH518" s="379"/>
      <c r="VVI518" s="379"/>
      <c r="VVJ518" s="379"/>
      <c r="VVK518" s="13"/>
      <c r="VVL518" s="13"/>
      <c r="VVM518" s="193"/>
      <c r="VVN518" s="379"/>
      <c r="VVO518" s="379"/>
      <c r="VVP518" s="379"/>
      <c r="VVQ518" s="379"/>
      <c r="VVR518" s="379"/>
      <c r="VVS518" s="13"/>
      <c r="VVT518" s="13"/>
      <c r="VVU518" s="193"/>
      <c r="VVV518" s="379"/>
      <c r="VVW518" s="379"/>
      <c r="VVX518" s="379"/>
      <c r="VVY518" s="379"/>
      <c r="VVZ518" s="379"/>
      <c r="VWA518" s="13"/>
      <c r="VWB518" s="13"/>
      <c r="VWC518" s="193"/>
      <c r="VWD518" s="379"/>
      <c r="VWE518" s="379"/>
      <c r="VWF518" s="379"/>
      <c r="VWG518" s="379"/>
      <c r="VWH518" s="379"/>
      <c r="VWI518" s="13"/>
      <c r="VWJ518" s="13"/>
      <c r="VWK518" s="193"/>
      <c r="VWL518" s="379"/>
      <c r="VWM518" s="379"/>
      <c r="VWN518" s="379"/>
      <c r="VWO518" s="379"/>
      <c r="VWP518" s="379"/>
      <c r="VWQ518" s="13"/>
      <c r="VWR518" s="13"/>
      <c r="VWS518" s="193"/>
      <c r="VWT518" s="379"/>
      <c r="VWU518" s="379"/>
      <c r="VWV518" s="379"/>
      <c r="VWW518" s="379"/>
      <c r="VWX518" s="379"/>
      <c r="VWY518" s="13"/>
      <c r="VWZ518" s="13"/>
      <c r="VXA518" s="193"/>
      <c r="VXB518" s="379"/>
      <c r="VXC518" s="379"/>
      <c r="VXD518" s="379"/>
      <c r="VXE518" s="379"/>
      <c r="VXF518" s="379"/>
      <c r="VXG518" s="13"/>
      <c r="VXH518" s="13"/>
      <c r="VXI518" s="193"/>
      <c r="VXJ518" s="379"/>
      <c r="VXK518" s="379"/>
      <c r="VXL518" s="379"/>
      <c r="VXM518" s="379"/>
      <c r="VXN518" s="379"/>
      <c r="VXO518" s="13"/>
      <c r="VXP518" s="13"/>
      <c r="VXQ518" s="193"/>
      <c r="VXR518" s="379"/>
      <c r="VXS518" s="379"/>
      <c r="VXT518" s="379"/>
      <c r="VXU518" s="379"/>
      <c r="VXV518" s="379"/>
      <c r="VXW518" s="13"/>
      <c r="VXX518" s="13"/>
      <c r="VXY518" s="193"/>
      <c r="VXZ518" s="379"/>
      <c r="VYA518" s="379"/>
      <c r="VYB518" s="379"/>
      <c r="VYC518" s="379"/>
      <c r="VYD518" s="379"/>
      <c r="VYE518" s="13"/>
      <c r="VYF518" s="13"/>
      <c r="VYG518" s="193"/>
      <c r="VYH518" s="379"/>
      <c r="VYI518" s="379"/>
      <c r="VYJ518" s="379"/>
      <c r="VYK518" s="379"/>
      <c r="VYL518" s="379"/>
      <c r="VYM518" s="13"/>
      <c r="VYN518" s="13"/>
      <c r="VYO518" s="193"/>
      <c r="VYP518" s="379"/>
      <c r="VYQ518" s="379"/>
      <c r="VYR518" s="379"/>
      <c r="VYS518" s="379"/>
      <c r="VYT518" s="379"/>
      <c r="VYU518" s="13"/>
      <c r="VYV518" s="13"/>
      <c r="VYW518" s="193"/>
      <c r="VYX518" s="379"/>
      <c r="VYY518" s="379"/>
      <c r="VYZ518" s="379"/>
      <c r="VZA518" s="379"/>
      <c r="VZB518" s="379"/>
      <c r="VZC518" s="13"/>
      <c r="VZD518" s="13"/>
      <c r="VZE518" s="193"/>
      <c r="VZF518" s="379"/>
      <c r="VZG518" s="379"/>
      <c r="VZH518" s="379"/>
      <c r="VZI518" s="379"/>
      <c r="VZJ518" s="379"/>
      <c r="VZK518" s="13"/>
      <c r="VZL518" s="13"/>
      <c r="VZM518" s="193"/>
      <c r="VZN518" s="379"/>
      <c r="VZO518" s="379"/>
      <c r="VZP518" s="379"/>
      <c r="VZQ518" s="379"/>
      <c r="VZR518" s="379"/>
      <c r="VZS518" s="13"/>
      <c r="VZT518" s="13"/>
      <c r="VZU518" s="193"/>
      <c r="VZV518" s="379"/>
      <c r="VZW518" s="379"/>
      <c r="VZX518" s="379"/>
      <c r="VZY518" s="379"/>
      <c r="VZZ518" s="379"/>
      <c r="WAA518" s="13"/>
      <c r="WAB518" s="13"/>
      <c r="WAC518" s="193"/>
      <c r="WAD518" s="379"/>
      <c r="WAE518" s="379"/>
      <c r="WAF518" s="379"/>
      <c r="WAG518" s="379"/>
      <c r="WAH518" s="379"/>
      <c r="WAI518" s="13"/>
      <c r="WAJ518" s="13"/>
      <c r="WAK518" s="193"/>
      <c r="WAL518" s="379"/>
      <c r="WAM518" s="379"/>
      <c r="WAN518" s="379"/>
      <c r="WAO518" s="379"/>
      <c r="WAP518" s="379"/>
      <c r="WAQ518" s="13"/>
      <c r="WAR518" s="13"/>
      <c r="WAS518" s="193"/>
      <c r="WAT518" s="379"/>
      <c r="WAU518" s="379"/>
      <c r="WAV518" s="379"/>
      <c r="WAW518" s="379"/>
      <c r="WAX518" s="379"/>
      <c r="WAY518" s="13"/>
      <c r="WAZ518" s="13"/>
      <c r="WBA518" s="193"/>
      <c r="WBB518" s="379"/>
      <c r="WBC518" s="379"/>
      <c r="WBD518" s="379"/>
      <c r="WBE518" s="379"/>
      <c r="WBF518" s="379"/>
      <c r="WBG518" s="13"/>
      <c r="WBH518" s="13"/>
      <c r="WBI518" s="193"/>
      <c r="WBJ518" s="379"/>
      <c r="WBK518" s="379"/>
      <c r="WBL518" s="379"/>
      <c r="WBM518" s="379"/>
      <c r="WBN518" s="379"/>
      <c r="WBO518" s="13"/>
      <c r="WBP518" s="13"/>
      <c r="WBQ518" s="193"/>
      <c r="WBR518" s="379"/>
      <c r="WBS518" s="379"/>
      <c r="WBT518" s="379"/>
      <c r="WBU518" s="379"/>
      <c r="WBV518" s="379"/>
      <c r="WBW518" s="13"/>
      <c r="WBX518" s="13"/>
      <c r="WBY518" s="193"/>
      <c r="WBZ518" s="379"/>
      <c r="WCA518" s="379"/>
      <c r="WCB518" s="379"/>
      <c r="WCC518" s="379"/>
      <c r="WCD518" s="379"/>
      <c r="WCE518" s="13"/>
      <c r="WCF518" s="13"/>
      <c r="WCG518" s="193"/>
      <c r="WCH518" s="379"/>
      <c r="WCI518" s="379"/>
      <c r="WCJ518" s="379"/>
      <c r="WCK518" s="379"/>
      <c r="WCL518" s="379"/>
      <c r="WCM518" s="13"/>
      <c r="WCN518" s="13"/>
      <c r="WCO518" s="193"/>
      <c r="WCP518" s="379"/>
      <c r="WCQ518" s="379"/>
      <c r="WCR518" s="379"/>
      <c r="WCS518" s="379"/>
      <c r="WCT518" s="379"/>
      <c r="WCU518" s="13"/>
      <c r="WCV518" s="13"/>
      <c r="WCW518" s="193"/>
      <c r="WCX518" s="379"/>
      <c r="WCY518" s="379"/>
      <c r="WCZ518" s="379"/>
      <c r="WDA518" s="379"/>
      <c r="WDB518" s="379"/>
      <c r="WDC518" s="13"/>
      <c r="WDD518" s="13"/>
      <c r="WDE518" s="193"/>
      <c r="WDF518" s="379"/>
      <c r="WDG518" s="379"/>
      <c r="WDH518" s="379"/>
      <c r="WDI518" s="379"/>
      <c r="WDJ518" s="379"/>
      <c r="WDK518" s="13"/>
      <c r="WDL518" s="13"/>
      <c r="WDM518" s="193"/>
      <c r="WDN518" s="379"/>
      <c r="WDO518" s="379"/>
      <c r="WDP518" s="379"/>
      <c r="WDQ518" s="379"/>
      <c r="WDR518" s="379"/>
      <c r="WDS518" s="13"/>
      <c r="WDT518" s="13"/>
      <c r="WDU518" s="193"/>
      <c r="WDV518" s="379"/>
      <c r="WDW518" s="379"/>
      <c r="WDX518" s="379"/>
      <c r="WDY518" s="379"/>
      <c r="WDZ518" s="379"/>
      <c r="WEA518" s="13"/>
      <c r="WEB518" s="13"/>
      <c r="WEC518" s="193"/>
      <c r="WED518" s="379"/>
      <c r="WEE518" s="379"/>
      <c r="WEF518" s="379"/>
      <c r="WEG518" s="379"/>
      <c r="WEH518" s="379"/>
      <c r="WEI518" s="13"/>
      <c r="WEJ518" s="13"/>
      <c r="WEK518" s="193"/>
      <c r="WEL518" s="379"/>
      <c r="WEM518" s="379"/>
      <c r="WEN518" s="379"/>
      <c r="WEO518" s="379"/>
      <c r="WEP518" s="379"/>
      <c r="WEQ518" s="13"/>
      <c r="WER518" s="13"/>
      <c r="WES518" s="193"/>
      <c r="WET518" s="379"/>
      <c r="WEU518" s="379"/>
      <c r="WEV518" s="379"/>
      <c r="WEW518" s="379"/>
      <c r="WEX518" s="379"/>
      <c r="WEY518" s="13"/>
      <c r="WEZ518" s="13"/>
      <c r="WFA518" s="193"/>
      <c r="WFB518" s="379"/>
      <c r="WFC518" s="379"/>
      <c r="WFD518" s="379"/>
      <c r="WFE518" s="379"/>
      <c r="WFF518" s="379"/>
      <c r="WFG518" s="13"/>
      <c r="WFH518" s="13"/>
      <c r="WFI518" s="193"/>
      <c r="WFJ518" s="379"/>
      <c r="WFK518" s="379"/>
      <c r="WFL518" s="379"/>
      <c r="WFM518" s="379"/>
      <c r="WFN518" s="379"/>
      <c r="WFO518" s="13"/>
      <c r="WFP518" s="13"/>
      <c r="WFQ518" s="193"/>
      <c r="WFR518" s="379"/>
      <c r="WFS518" s="379"/>
      <c r="WFT518" s="379"/>
      <c r="WFU518" s="379"/>
      <c r="WFV518" s="379"/>
      <c r="WFW518" s="13"/>
      <c r="WFX518" s="13"/>
      <c r="WFY518" s="193"/>
      <c r="WFZ518" s="379"/>
      <c r="WGA518" s="379"/>
      <c r="WGB518" s="379"/>
      <c r="WGC518" s="379"/>
      <c r="WGD518" s="379"/>
      <c r="WGE518" s="13"/>
      <c r="WGF518" s="13"/>
      <c r="WGG518" s="193"/>
      <c r="WGH518" s="379"/>
      <c r="WGI518" s="379"/>
      <c r="WGJ518" s="379"/>
      <c r="WGK518" s="379"/>
      <c r="WGL518" s="379"/>
      <c r="WGM518" s="13"/>
      <c r="WGN518" s="13"/>
      <c r="WGO518" s="193"/>
      <c r="WGP518" s="379"/>
      <c r="WGQ518" s="379"/>
      <c r="WGR518" s="379"/>
      <c r="WGS518" s="379"/>
      <c r="WGT518" s="379"/>
      <c r="WGU518" s="13"/>
      <c r="WGV518" s="13"/>
      <c r="WGW518" s="193"/>
      <c r="WGX518" s="379"/>
      <c r="WGY518" s="379"/>
      <c r="WGZ518" s="379"/>
      <c r="WHA518" s="379"/>
      <c r="WHB518" s="379"/>
      <c r="WHC518" s="13"/>
      <c r="WHD518" s="13"/>
      <c r="WHE518" s="193"/>
      <c r="WHF518" s="379"/>
      <c r="WHG518" s="379"/>
      <c r="WHH518" s="379"/>
      <c r="WHI518" s="379"/>
      <c r="WHJ518" s="379"/>
      <c r="WHK518" s="13"/>
      <c r="WHL518" s="13"/>
      <c r="WHM518" s="193"/>
      <c r="WHN518" s="379"/>
      <c r="WHO518" s="379"/>
      <c r="WHP518" s="379"/>
      <c r="WHQ518" s="379"/>
      <c r="WHR518" s="379"/>
      <c r="WHS518" s="13"/>
      <c r="WHT518" s="13"/>
      <c r="WHU518" s="193"/>
      <c r="WHV518" s="379"/>
      <c r="WHW518" s="379"/>
      <c r="WHX518" s="379"/>
      <c r="WHY518" s="379"/>
      <c r="WHZ518" s="379"/>
      <c r="WIA518" s="13"/>
      <c r="WIB518" s="13"/>
      <c r="WIC518" s="193"/>
      <c r="WID518" s="379"/>
      <c r="WIE518" s="379"/>
      <c r="WIF518" s="379"/>
      <c r="WIG518" s="379"/>
      <c r="WIH518" s="379"/>
      <c r="WII518" s="13"/>
      <c r="WIJ518" s="13"/>
      <c r="WIK518" s="193"/>
      <c r="WIL518" s="379"/>
      <c r="WIM518" s="379"/>
      <c r="WIN518" s="379"/>
      <c r="WIO518" s="379"/>
      <c r="WIP518" s="379"/>
      <c r="WIQ518" s="13"/>
      <c r="WIR518" s="13"/>
      <c r="WIS518" s="193"/>
      <c r="WIT518" s="379"/>
      <c r="WIU518" s="379"/>
      <c r="WIV518" s="379"/>
      <c r="WIW518" s="379"/>
      <c r="WIX518" s="379"/>
      <c r="WIY518" s="13"/>
      <c r="WIZ518" s="13"/>
      <c r="WJA518" s="193"/>
      <c r="WJB518" s="379"/>
      <c r="WJC518" s="379"/>
      <c r="WJD518" s="379"/>
      <c r="WJE518" s="379"/>
      <c r="WJF518" s="379"/>
      <c r="WJG518" s="13"/>
      <c r="WJH518" s="13"/>
      <c r="WJI518" s="193"/>
      <c r="WJJ518" s="379"/>
      <c r="WJK518" s="379"/>
      <c r="WJL518" s="379"/>
      <c r="WJM518" s="379"/>
      <c r="WJN518" s="379"/>
      <c r="WJO518" s="13"/>
      <c r="WJP518" s="13"/>
      <c r="WJQ518" s="193"/>
      <c r="WJR518" s="379"/>
      <c r="WJS518" s="379"/>
      <c r="WJT518" s="379"/>
      <c r="WJU518" s="379"/>
      <c r="WJV518" s="379"/>
      <c r="WJW518" s="13"/>
      <c r="WJX518" s="13"/>
      <c r="WJY518" s="193"/>
      <c r="WJZ518" s="379"/>
      <c r="WKA518" s="379"/>
      <c r="WKB518" s="379"/>
      <c r="WKC518" s="379"/>
      <c r="WKD518" s="379"/>
      <c r="WKE518" s="13"/>
      <c r="WKF518" s="13"/>
      <c r="WKG518" s="193"/>
      <c r="WKH518" s="379"/>
      <c r="WKI518" s="379"/>
      <c r="WKJ518" s="379"/>
      <c r="WKK518" s="379"/>
      <c r="WKL518" s="379"/>
      <c r="WKM518" s="13"/>
      <c r="WKN518" s="13"/>
      <c r="WKO518" s="193"/>
      <c r="WKP518" s="379"/>
      <c r="WKQ518" s="379"/>
      <c r="WKR518" s="379"/>
      <c r="WKS518" s="379"/>
      <c r="WKT518" s="379"/>
      <c r="WKU518" s="13"/>
      <c r="WKV518" s="13"/>
      <c r="WKW518" s="193"/>
      <c r="WKX518" s="379"/>
      <c r="WKY518" s="379"/>
      <c r="WKZ518" s="379"/>
      <c r="WLA518" s="379"/>
      <c r="WLB518" s="379"/>
      <c r="WLC518" s="13"/>
      <c r="WLD518" s="13"/>
      <c r="WLE518" s="193"/>
      <c r="WLF518" s="379"/>
      <c r="WLG518" s="379"/>
      <c r="WLH518" s="379"/>
      <c r="WLI518" s="379"/>
      <c r="WLJ518" s="379"/>
      <c r="WLK518" s="13"/>
      <c r="WLL518" s="13"/>
      <c r="WLM518" s="193"/>
      <c r="WLN518" s="379"/>
      <c r="WLO518" s="379"/>
      <c r="WLP518" s="379"/>
      <c r="WLQ518" s="379"/>
      <c r="WLR518" s="379"/>
      <c r="WLS518" s="13"/>
      <c r="WLT518" s="13"/>
      <c r="WLU518" s="193"/>
      <c r="WLV518" s="379"/>
      <c r="WLW518" s="379"/>
      <c r="WLX518" s="379"/>
      <c r="WLY518" s="379"/>
      <c r="WLZ518" s="379"/>
      <c r="WMA518" s="13"/>
      <c r="WMB518" s="13"/>
      <c r="WMC518" s="193"/>
      <c r="WMD518" s="379"/>
      <c r="WME518" s="379"/>
      <c r="WMF518" s="379"/>
      <c r="WMG518" s="379"/>
      <c r="WMH518" s="379"/>
      <c r="WMI518" s="13"/>
      <c r="WMJ518" s="13"/>
      <c r="WMK518" s="193"/>
      <c r="WML518" s="379"/>
      <c r="WMM518" s="379"/>
      <c r="WMN518" s="379"/>
      <c r="WMO518" s="379"/>
      <c r="WMP518" s="379"/>
      <c r="WMQ518" s="13"/>
      <c r="WMR518" s="13"/>
      <c r="WMS518" s="193"/>
      <c r="WMT518" s="379"/>
      <c r="WMU518" s="379"/>
      <c r="WMV518" s="379"/>
      <c r="WMW518" s="379"/>
      <c r="WMX518" s="379"/>
      <c r="WMY518" s="13"/>
      <c r="WMZ518" s="13"/>
      <c r="WNA518" s="193"/>
      <c r="WNB518" s="379"/>
      <c r="WNC518" s="379"/>
      <c r="WND518" s="379"/>
      <c r="WNE518" s="379"/>
      <c r="WNF518" s="379"/>
      <c r="WNG518" s="13"/>
      <c r="WNH518" s="13"/>
      <c r="WNI518" s="193"/>
      <c r="WNJ518" s="379"/>
      <c r="WNK518" s="379"/>
      <c r="WNL518" s="379"/>
      <c r="WNM518" s="379"/>
      <c r="WNN518" s="379"/>
      <c r="WNO518" s="13"/>
      <c r="WNP518" s="13"/>
      <c r="WNQ518" s="193"/>
      <c r="WNR518" s="379"/>
      <c r="WNS518" s="379"/>
      <c r="WNT518" s="379"/>
      <c r="WNU518" s="379"/>
      <c r="WNV518" s="379"/>
      <c r="WNW518" s="13"/>
      <c r="WNX518" s="13"/>
      <c r="WNY518" s="193"/>
      <c r="WNZ518" s="379"/>
      <c r="WOA518" s="379"/>
      <c r="WOB518" s="379"/>
      <c r="WOC518" s="379"/>
      <c r="WOD518" s="379"/>
      <c r="WOE518" s="13"/>
      <c r="WOF518" s="13"/>
      <c r="WOG518" s="193"/>
      <c r="WOH518" s="379"/>
      <c r="WOI518" s="379"/>
      <c r="WOJ518" s="379"/>
      <c r="WOK518" s="379"/>
      <c r="WOL518" s="379"/>
      <c r="WOM518" s="13"/>
      <c r="WON518" s="13"/>
      <c r="WOO518" s="193"/>
      <c r="WOP518" s="379"/>
      <c r="WOQ518" s="379"/>
      <c r="WOR518" s="379"/>
      <c r="WOS518" s="379"/>
      <c r="WOT518" s="379"/>
      <c r="WOU518" s="13"/>
      <c r="WOV518" s="13"/>
      <c r="WOW518" s="193"/>
      <c r="WOX518" s="379"/>
      <c r="WOY518" s="379"/>
      <c r="WOZ518" s="379"/>
      <c r="WPA518" s="379"/>
      <c r="WPB518" s="379"/>
      <c r="WPC518" s="13"/>
      <c r="WPD518" s="13"/>
      <c r="WPE518" s="193"/>
      <c r="WPF518" s="379"/>
      <c r="WPG518" s="379"/>
      <c r="WPH518" s="379"/>
      <c r="WPI518" s="379"/>
      <c r="WPJ518" s="379"/>
      <c r="WPK518" s="13"/>
      <c r="WPL518" s="13"/>
      <c r="WPM518" s="193"/>
      <c r="WPN518" s="379"/>
      <c r="WPO518" s="379"/>
      <c r="WPP518" s="379"/>
      <c r="WPQ518" s="379"/>
      <c r="WPR518" s="379"/>
      <c r="WPS518" s="13"/>
      <c r="WPT518" s="13"/>
      <c r="WPU518" s="193"/>
      <c r="WPV518" s="379"/>
      <c r="WPW518" s="379"/>
      <c r="WPX518" s="379"/>
      <c r="WPY518" s="379"/>
      <c r="WPZ518" s="379"/>
      <c r="WQA518" s="13"/>
      <c r="WQB518" s="13"/>
      <c r="WQC518" s="193"/>
      <c r="WQD518" s="379"/>
      <c r="WQE518" s="379"/>
      <c r="WQF518" s="379"/>
      <c r="WQG518" s="379"/>
      <c r="WQH518" s="379"/>
      <c r="WQI518" s="13"/>
      <c r="WQJ518" s="13"/>
      <c r="WQK518" s="193"/>
      <c r="WQL518" s="379"/>
      <c r="WQM518" s="379"/>
      <c r="WQN518" s="379"/>
      <c r="WQO518" s="379"/>
      <c r="WQP518" s="379"/>
      <c r="WQQ518" s="13"/>
      <c r="WQR518" s="13"/>
      <c r="WQS518" s="193"/>
      <c r="WQT518" s="379"/>
      <c r="WQU518" s="379"/>
      <c r="WQV518" s="379"/>
      <c r="WQW518" s="379"/>
      <c r="WQX518" s="379"/>
      <c r="WQY518" s="13"/>
      <c r="WQZ518" s="13"/>
      <c r="WRA518" s="193"/>
      <c r="WRB518" s="379"/>
      <c r="WRC518" s="379"/>
      <c r="WRD518" s="379"/>
      <c r="WRE518" s="379"/>
      <c r="WRF518" s="379"/>
      <c r="WRG518" s="13"/>
      <c r="WRH518" s="13"/>
      <c r="WRI518" s="193"/>
      <c r="WRJ518" s="379"/>
      <c r="WRK518" s="379"/>
      <c r="WRL518" s="379"/>
      <c r="WRM518" s="379"/>
      <c r="WRN518" s="379"/>
      <c r="WRO518" s="13"/>
      <c r="WRP518" s="13"/>
      <c r="WRQ518" s="193"/>
      <c r="WRR518" s="379"/>
      <c r="WRS518" s="379"/>
      <c r="WRT518" s="379"/>
      <c r="WRU518" s="379"/>
      <c r="WRV518" s="379"/>
      <c r="WRW518" s="13"/>
      <c r="WRX518" s="13"/>
      <c r="WRY518" s="193"/>
      <c r="WRZ518" s="379"/>
      <c r="WSA518" s="379"/>
      <c r="WSB518" s="379"/>
      <c r="WSC518" s="379"/>
      <c r="WSD518" s="379"/>
      <c r="WSE518" s="13"/>
      <c r="WSF518" s="13"/>
      <c r="WSG518" s="193"/>
      <c r="WSH518" s="379"/>
      <c r="WSI518" s="379"/>
      <c r="WSJ518" s="379"/>
      <c r="WSK518" s="379"/>
      <c r="WSL518" s="379"/>
      <c r="WSM518" s="13"/>
      <c r="WSN518" s="13"/>
      <c r="WSO518" s="193"/>
      <c r="WSP518" s="379"/>
      <c r="WSQ518" s="379"/>
      <c r="WSR518" s="379"/>
      <c r="WSS518" s="379"/>
      <c r="WST518" s="379"/>
      <c r="WSU518" s="13"/>
      <c r="WSV518" s="13"/>
      <c r="WSW518" s="193"/>
      <c r="WSX518" s="379"/>
      <c r="WSY518" s="379"/>
      <c r="WSZ518" s="379"/>
      <c r="WTA518" s="379"/>
      <c r="WTB518" s="379"/>
      <c r="WTC518" s="13"/>
      <c r="WTD518" s="13"/>
      <c r="WTE518" s="193"/>
      <c r="WTF518" s="379"/>
      <c r="WTG518" s="379"/>
      <c r="WTH518" s="379"/>
      <c r="WTI518" s="379"/>
      <c r="WTJ518" s="379"/>
      <c r="WTK518" s="13"/>
      <c r="WTL518" s="13"/>
      <c r="WTM518" s="193"/>
      <c r="WTN518" s="379"/>
      <c r="WTO518" s="379"/>
      <c r="WTP518" s="379"/>
      <c r="WTQ518" s="379"/>
      <c r="WTR518" s="379"/>
      <c r="WTS518" s="13"/>
      <c r="WTT518" s="13"/>
      <c r="WTU518" s="193"/>
      <c r="WTV518" s="379"/>
      <c r="WTW518" s="379"/>
      <c r="WTX518" s="379"/>
      <c r="WTY518" s="379"/>
      <c r="WTZ518" s="379"/>
      <c r="WUA518" s="13"/>
      <c r="WUB518" s="13"/>
      <c r="WUC518" s="193"/>
      <c r="WUD518" s="379"/>
      <c r="WUE518" s="379"/>
      <c r="WUF518" s="379"/>
      <c r="WUG518" s="379"/>
      <c r="WUH518" s="379"/>
      <c r="WUI518" s="13"/>
      <c r="WUJ518" s="13"/>
      <c r="WUK518" s="193"/>
      <c r="WUL518" s="379"/>
      <c r="WUM518" s="379"/>
      <c r="WUN518" s="379"/>
      <c r="WUO518" s="379"/>
      <c r="WUP518" s="379"/>
      <c r="WUQ518" s="13"/>
      <c r="WUR518" s="13"/>
      <c r="WUS518" s="193"/>
      <c r="WUT518" s="379"/>
      <c r="WUU518" s="379"/>
      <c r="WUV518" s="379"/>
      <c r="WUW518" s="379"/>
      <c r="WUX518" s="379"/>
      <c r="WUY518" s="13"/>
      <c r="WUZ518" s="13"/>
      <c r="WVA518" s="193"/>
      <c r="WVB518" s="379"/>
      <c r="WVC518" s="379"/>
      <c r="WVD518" s="379"/>
      <c r="WVE518" s="379"/>
      <c r="WVF518" s="379"/>
      <c r="WVG518" s="13"/>
      <c r="WVH518" s="13"/>
      <c r="WVI518" s="193"/>
      <c r="WVJ518" s="379"/>
      <c r="WVK518" s="379"/>
      <c r="WVL518" s="379"/>
      <c r="WVM518" s="379"/>
      <c r="WVN518" s="379"/>
      <c r="WVO518" s="13"/>
      <c r="WVP518" s="13"/>
      <c r="WVQ518" s="193"/>
      <c r="WVR518" s="379"/>
      <c r="WVS518" s="379"/>
      <c r="WVT518" s="379"/>
      <c r="WVU518" s="379"/>
      <c r="WVV518" s="379"/>
      <c r="WVW518" s="13"/>
      <c r="WVX518" s="13"/>
      <c r="WVY518" s="193"/>
      <c r="WVZ518" s="379"/>
      <c r="WWA518" s="379"/>
      <c r="WWB518" s="379"/>
      <c r="WWC518" s="379"/>
      <c r="WWD518" s="379"/>
      <c r="WWE518" s="13"/>
      <c r="WWF518" s="13"/>
      <c r="WWG518" s="193"/>
      <c r="WWH518" s="379"/>
      <c r="WWI518" s="379"/>
      <c r="WWJ518" s="379"/>
      <c r="WWK518" s="379"/>
      <c r="WWL518" s="379"/>
      <c r="WWM518" s="13"/>
      <c r="WWN518" s="13"/>
      <c r="WWO518" s="193"/>
      <c r="WWP518" s="379"/>
      <c r="WWQ518" s="379"/>
      <c r="WWR518" s="379"/>
      <c r="WWS518" s="379"/>
      <c r="WWT518" s="379"/>
      <c r="WWU518" s="13"/>
      <c r="WWV518" s="13"/>
      <c r="WWW518" s="193"/>
      <c r="WWX518" s="379"/>
      <c r="WWY518" s="379"/>
      <c r="WWZ518" s="379"/>
      <c r="WXA518" s="379"/>
      <c r="WXB518" s="379"/>
      <c r="WXC518" s="13"/>
      <c r="WXD518" s="13"/>
      <c r="WXE518" s="193"/>
      <c r="WXF518" s="379"/>
      <c r="WXG518" s="379"/>
      <c r="WXH518" s="379"/>
      <c r="WXI518" s="379"/>
      <c r="WXJ518" s="379"/>
      <c r="WXK518" s="13"/>
      <c r="WXL518" s="13"/>
      <c r="WXM518" s="193"/>
      <c r="WXN518" s="379"/>
      <c r="WXO518" s="379"/>
      <c r="WXP518" s="379"/>
      <c r="WXQ518" s="379"/>
      <c r="WXR518" s="379"/>
      <c r="WXS518" s="13"/>
      <c r="WXT518" s="13"/>
      <c r="WXU518" s="193"/>
      <c r="WXV518" s="379"/>
      <c r="WXW518" s="379"/>
      <c r="WXX518" s="379"/>
      <c r="WXY518" s="379"/>
      <c r="WXZ518" s="379"/>
      <c r="WYA518" s="13"/>
      <c r="WYB518" s="13"/>
      <c r="WYC518" s="193"/>
      <c r="WYD518" s="379"/>
      <c r="WYE518" s="379"/>
      <c r="WYF518" s="379"/>
      <c r="WYG518" s="379"/>
      <c r="WYH518" s="379"/>
      <c r="WYI518" s="13"/>
      <c r="WYJ518" s="13"/>
      <c r="WYK518" s="193"/>
      <c r="WYL518" s="379"/>
      <c r="WYM518" s="379"/>
      <c r="WYN518" s="379"/>
      <c r="WYO518" s="379"/>
      <c r="WYP518" s="379"/>
      <c r="WYQ518" s="13"/>
      <c r="WYR518" s="13"/>
      <c r="WYS518" s="193"/>
      <c r="WYT518" s="379"/>
      <c r="WYU518" s="379"/>
      <c r="WYV518" s="379"/>
      <c r="WYW518" s="379"/>
      <c r="WYX518" s="379"/>
      <c r="WYY518" s="13"/>
      <c r="WYZ518" s="13"/>
      <c r="WZA518" s="193"/>
      <c r="WZB518" s="379"/>
      <c r="WZC518" s="379"/>
      <c r="WZD518" s="379"/>
      <c r="WZE518" s="379"/>
      <c r="WZF518" s="379"/>
      <c r="WZG518" s="13"/>
      <c r="WZH518" s="13"/>
      <c r="WZI518" s="193"/>
      <c r="WZJ518" s="379"/>
      <c r="WZK518" s="379"/>
      <c r="WZL518" s="379"/>
      <c r="WZM518" s="379"/>
      <c r="WZN518" s="379"/>
      <c r="WZO518" s="13"/>
      <c r="WZP518" s="13"/>
      <c r="WZQ518" s="193"/>
      <c r="WZR518" s="379"/>
      <c r="WZS518" s="379"/>
      <c r="WZT518" s="379"/>
      <c r="WZU518" s="379"/>
      <c r="WZV518" s="379"/>
      <c r="WZW518" s="13"/>
      <c r="WZX518" s="13"/>
      <c r="WZY518" s="193"/>
      <c r="WZZ518" s="379"/>
      <c r="XAA518" s="379"/>
      <c r="XAB518" s="379"/>
      <c r="XAC518" s="379"/>
      <c r="XAD518" s="379"/>
      <c r="XAE518" s="13"/>
      <c r="XAF518" s="13"/>
      <c r="XAG518" s="193"/>
      <c r="XAH518" s="379"/>
      <c r="XAI518" s="379"/>
      <c r="XAJ518" s="379"/>
      <c r="XAK518" s="379"/>
      <c r="XAL518" s="379"/>
      <c r="XAM518" s="13"/>
      <c r="XAN518" s="13"/>
      <c r="XAO518" s="193"/>
      <c r="XAP518" s="379"/>
      <c r="XAQ518" s="379"/>
      <c r="XAR518" s="379"/>
      <c r="XAS518" s="379"/>
      <c r="XAT518" s="379"/>
      <c r="XAU518" s="13"/>
      <c r="XAV518" s="13"/>
      <c r="XAW518" s="193"/>
      <c r="XAX518" s="379"/>
      <c r="XAY518" s="379"/>
      <c r="XAZ518" s="379"/>
      <c r="XBA518" s="379"/>
      <c r="XBB518" s="379"/>
      <c r="XBC518" s="13"/>
      <c r="XBD518" s="13"/>
      <c r="XBE518" s="193"/>
      <c r="XBF518" s="379"/>
      <c r="XBG518" s="379"/>
      <c r="XBH518" s="379"/>
      <c r="XBI518" s="379"/>
      <c r="XBJ518" s="379"/>
      <c r="XBK518" s="13"/>
      <c r="XBL518" s="13"/>
      <c r="XBM518" s="193"/>
      <c r="XBN518" s="379"/>
      <c r="XBO518" s="379"/>
      <c r="XBP518" s="379"/>
      <c r="XBQ518" s="379"/>
      <c r="XBR518" s="379"/>
      <c r="XBS518" s="13"/>
      <c r="XBT518" s="13"/>
      <c r="XBU518" s="193"/>
      <c r="XBV518" s="379"/>
      <c r="XBW518" s="379"/>
      <c r="XBX518" s="379"/>
      <c r="XBY518" s="379"/>
      <c r="XBZ518" s="379"/>
      <c r="XCA518" s="13"/>
      <c r="XCB518" s="13"/>
      <c r="XCC518" s="193"/>
      <c r="XCD518" s="379"/>
      <c r="XCE518" s="379"/>
      <c r="XCF518" s="379"/>
      <c r="XCG518" s="379"/>
      <c r="XCH518" s="379"/>
      <c r="XCI518" s="13"/>
      <c r="XCJ518" s="13"/>
      <c r="XCK518" s="193"/>
      <c r="XCL518" s="379"/>
      <c r="XCM518" s="379"/>
      <c r="XCN518" s="379"/>
      <c r="XCO518" s="379"/>
      <c r="XCP518" s="379"/>
      <c r="XCQ518" s="13"/>
      <c r="XCR518" s="13"/>
      <c r="XCS518" s="193"/>
      <c r="XCT518" s="379"/>
      <c r="XCU518" s="379"/>
      <c r="XCV518" s="379"/>
      <c r="XCW518" s="379"/>
      <c r="XCX518" s="379"/>
      <c r="XCY518" s="13"/>
      <c r="XCZ518" s="13"/>
      <c r="XDA518" s="193"/>
      <c r="XDB518" s="379"/>
      <c r="XDC518" s="379"/>
      <c r="XDD518" s="379"/>
      <c r="XDE518" s="379"/>
      <c r="XDF518" s="379"/>
      <c r="XDG518" s="13"/>
      <c r="XDH518" s="13"/>
      <c r="XDI518" s="193"/>
      <c r="XDJ518" s="379"/>
      <c r="XDK518" s="379"/>
      <c r="XDL518" s="379"/>
      <c r="XDM518" s="379"/>
      <c r="XDN518" s="379"/>
      <c r="XDO518" s="13"/>
      <c r="XDP518" s="13"/>
      <c r="XDQ518" s="193"/>
      <c r="XDR518" s="379"/>
      <c r="XDS518" s="379"/>
      <c r="XDT518" s="379"/>
      <c r="XDU518" s="379"/>
      <c r="XDV518" s="379"/>
      <c r="XDW518" s="13"/>
      <c r="XDX518" s="13"/>
      <c r="XDY518" s="193"/>
      <c r="XDZ518" s="379"/>
      <c r="XEA518" s="379"/>
      <c r="XEB518" s="379"/>
      <c r="XEC518" s="379"/>
      <c r="XED518" s="379"/>
      <c r="XEE518" s="13"/>
      <c r="XEF518" s="13"/>
      <c r="XEG518" s="193"/>
      <c r="XEH518" s="379"/>
      <c r="XEI518" s="379"/>
      <c r="XEJ518" s="379"/>
      <c r="XEK518" s="379"/>
      <c r="XEL518" s="379"/>
      <c r="XEM518" s="13"/>
      <c r="XEN518" s="13"/>
      <c r="XEO518" s="193"/>
      <c r="XEP518" s="379"/>
      <c r="XEQ518" s="379"/>
      <c r="XER518" s="379"/>
      <c r="XES518" s="379"/>
      <c r="XET518" s="379"/>
      <c r="XEU518" s="13"/>
      <c r="XEV518" s="13"/>
      <c r="XEW518" s="193"/>
      <c r="XEX518" s="379"/>
      <c r="XEY518" s="379"/>
      <c r="XEZ518" s="379"/>
      <c r="XFA518" s="379"/>
      <c r="XFB518" s="379"/>
      <c r="XFC518" s="13"/>
      <c r="XFD518" s="13"/>
    </row>
    <row r="519" spans="1:16384" s="640" customFormat="1" ht="18" customHeight="1" x14ac:dyDescent="0.3">
      <c r="A519" s="2314"/>
      <c r="B519" s="1718"/>
      <c r="C519" s="1718"/>
      <c r="D519" s="1718"/>
      <c r="E519" s="1718"/>
      <c r="F519" s="385" t="s">
        <v>13</v>
      </c>
      <c r="G519" s="69">
        <f t="shared" ref="G519:G520" si="266">SUM(H519:L519)</f>
        <v>16974</v>
      </c>
      <c r="H519" s="69">
        <v>16974</v>
      </c>
      <c r="I519" s="69"/>
      <c r="J519" s="69"/>
      <c r="K519" s="69"/>
      <c r="L519" s="69"/>
      <c r="M519" s="677"/>
      <c r="N519" s="609"/>
      <c r="O519" s="69"/>
      <c r="P519" s="1117" t="s">
        <v>1575</v>
      </c>
      <c r="Q519" s="193"/>
      <c r="R519" s="379"/>
      <c r="S519" s="379"/>
      <c r="T519" s="379"/>
      <c r="U519" s="379"/>
      <c r="V519" s="379"/>
      <c r="W519" s="1172">
        <v>1</v>
      </c>
      <c r="X519" s="13"/>
      <c r="Y519" s="193"/>
      <c r="Z519" s="379"/>
      <c r="AA519" s="379"/>
      <c r="AB519" s="379"/>
      <c r="AC519" s="379"/>
      <c r="AD519" s="379"/>
      <c r="AE519" s="13"/>
      <c r="AF519" s="13"/>
      <c r="AG519" s="193"/>
      <c r="AH519" s="379"/>
      <c r="AI519" s="379"/>
      <c r="AJ519" s="379"/>
      <c r="AK519" s="379"/>
      <c r="AL519" s="379"/>
      <c r="AM519" s="13"/>
      <c r="AN519" s="13"/>
      <c r="AO519" s="193"/>
      <c r="AP519" s="379"/>
      <c r="AQ519" s="379"/>
      <c r="AR519" s="379"/>
      <c r="AS519" s="379"/>
      <c r="AT519" s="379"/>
      <c r="AU519" s="13"/>
      <c r="AV519" s="13"/>
      <c r="AW519" s="193"/>
      <c r="AX519" s="379"/>
      <c r="AY519" s="379"/>
      <c r="AZ519" s="379"/>
      <c r="BA519" s="379"/>
      <c r="BB519" s="379"/>
      <c r="BC519" s="13"/>
      <c r="BD519" s="13"/>
      <c r="BE519" s="193"/>
      <c r="BF519" s="379"/>
      <c r="BG519" s="379"/>
      <c r="BH519" s="379"/>
      <c r="BI519" s="379"/>
      <c r="BJ519" s="379"/>
      <c r="BK519" s="13"/>
      <c r="BL519" s="13"/>
      <c r="BM519" s="193"/>
      <c r="BN519" s="379"/>
      <c r="BO519" s="379"/>
      <c r="BP519" s="379"/>
      <c r="BQ519" s="379"/>
      <c r="BR519" s="379"/>
      <c r="BS519" s="13"/>
      <c r="BT519" s="13"/>
      <c r="BU519" s="193"/>
      <c r="BV519" s="379"/>
      <c r="BW519" s="379"/>
      <c r="BX519" s="379"/>
      <c r="BY519" s="379"/>
      <c r="BZ519" s="379"/>
      <c r="CA519" s="13"/>
      <c r="CB519" s="13"/>
      <c r="CC519" s="193"/>
      <c r="CD519" s="379"/>
      <c r="CE519" s="379"/>
      <c r="CF519" s="379"/>
      <c r="CG519" s="379"/>
      <c r="CH519" s="379"/>
      <c r="CI519" s="13"/>
      <c r="CJ519" s="13"/>
      <c r="CK519" s="193"/>
      <c r="CL519" s="379"/>
      <c r="CM519" s="379"/>
      <c r="CN519" s="379"/>
      <c r="CO519" s="379"/>
      <c r="CP519" s="379"/>
      <c r="CQ519" s="13"/>
      <c r="CR519" s="13"/>
      <c r="CS519" s="193"/>
      <c r="CT519" s="379"/>
      <c r="CU519" s="379"/>
      <c r="CV519" s="379"/>
      <c r="CW519" s="379"/>
      <c r="CX519" s="379"/>
      <c r="CY519" s="13"/>
      <c r="CZ519" s="13"/>
      <c r="DA519" s="193"/>
      <c r="DB519" s="379"/>
      <c r="DC519" s="379"/>
      <c r="DD519" s="379"/>
      <c r="DE519" s="379"/>
      <c r="DF519" s="379"/>
      <c r="DG519" s="13"/>
      <c r="DH519" s="13"/>
      <c r="DI519" s="193"/>
      <c r="DJ519" s="379"/>
      <c r="DK519" s="379"/>
      <c r="DL519" s="379"/>
      <c r="DM519" s="379"/>
      <c r="DN519" s="379"/>
      <c r="DO519" s="13"/>
      <c r="DP519" s="13"/>
      <c r="DQ519" s="193"/>
      <c r="DR519" s="379"/>
      <c r="DS519" s="379"/>
      <c r="DT519" s="379"/>
      <c r="DU519" s="379"/>
      <c r="DV519" s="379"/>
      <c r="DW519" s="13"/>
      <c r="DX519" s="13"/>
      <c r="DY519" s="193"/>
      <c r="DZ519" s="379"/>
      <c r="EA519" s="379"/>
      <c r="EB519" s="379"/>
      <c r="EC519" s="379"/>
      <c r="ED519" s="379"/>
      <c r="EE519" s="13"/>
      <c r="EF519" s="13"/>
      <c r="EG519" s="193"/>
      <c r="EH519" s="379"/>
      <c r="EI519" s="379"/>
      <c r="EJ519" s="379"/>
      <c r="EK519" s="379"/>
      <c r="EL519" s="379"/>
      <c r="EM519" s="13"/>
      <c r="EN519" s="13"/>
      <c r="EO519" s="193"/>
      <c r="EP519" s="379"/>
      <c r="EQ519" s="379"/>
      <c r="ER519" s="379"/>
      <c r="ES519" s="379"/>
      <c r="ET519" s="379"/>
      <c r="EU519" s="13"/>
      <c r="EV519" s="13"/>
      <c r="EW519" s="193"/>
      <c r="EX519" s="379"/>
      <c r="EY519" s="379"/>
      <c r="EZ519" s="379"/>
      <c r="FA519" s="379"/>
      <c r="FB519" s="379"/>
      <c r="FC519" s="13"/>
      <c r="FD519" s="13"/>
      <c r="FE519" s="193"/>
      <c r="FF519" s="379"/>
      <c r="FG519" s="379"/>
      <c r="FH519" s="379"/>
      <c r="FI519" s="379"/>
      <c r="FJ519" s="379"/>
      <c r="FK519" s="13"/>
      <c r="FL519" s="13"/>
      <c r="FM519" s="193"/>
      <c r="FN519" s="379"/>
      <c r="FO519" s="379"/>
      <c r="FP519" s="379"/>
      <c r="FQ519" s="379"/>
      <c r="FR519" s="379"/>
      <c r="FS519" s="13"/>
      <c r="FT519" s="13"/>
      <c r="FU519" s="193"/>
      <c r="FV519" s="379"/>
      <c r="FW519" s="379"/>
      <c r="FX519" s="379"/>
      <c r="FY519" s="379"/>
      <c r="FZ519" s="379"/>
      <c r="GA519" s="13"/>
      <c r="GB519" s="13"/>
      <c r="GC519" s="193"/>
      <c r="GD519" s="379"/>
      <c r="GE519" s="379"/>
      <c r="GF519" s="379"/>
      <c r="GG519" s="379"/>
      <c r="GH519" s="379"/>
      <c r="GI519" s="13"/>
      <c r="GJ519" s="13"/>
      <c r="GK519" s="193"/>
      <c r="GL519" s="379"/>
      <c r="GM519" s="379"/>
      <c r="GN519" s="379"/>
      <c r="GO519" s="379"/>
      <c r="GP519" s="379"/>
      <c r="GQ519" s="13"/>
      <c r="GR519" s="13"/>
      <c r="GS519" s="193"/>
      <c r="GT519" s="379"/>
      <c r="GU519" s="379"/>
      <c r="GV519" s="379"/>
      <c r="GW519" s="379"/>
      <c r="GX519" s="379"/>
      <c r="GY519" s="13"/>
      <c r="GZ519" s="13"/>
      <c r="HA519" s="193"/>
      <c r="HB519" s="379"/>
      <c r="HC519" s="379"/>
      <c r="HD519" s="379"/>
      <c r="HE519" s="379"/>
      <c r="HF519" s="379"/>
      <c r="HG519" s="13"/>
      <c r="HH519" s="13"/>
      <c r="HI519" s="193"/>
      <c r="HJ519" s="379"/>
      <c r="HK519" s="379"/>
      <c r="HL519" s="379"/>
      <c r="HM519" s="379"/>
      <c r="HN519" s="379"/>
      <c r="HO519" s="13"/>
      <c r="HP519" s="13"/>
      <c r="HQ519" s="193"/>
      <c r="HR519" s="379"/>
      <c r="HS519" s="379"/>
      <c r="HT519" s="379"/>
      <c r="HU519" s="379"/>
      <c r="HV519" s="379"/>
      <c r="HW519" s="13"/>
      <c r="HX519" s="13"/>
      <c r="HY519" s="193"/>
      <c r="HZ519" s="379"/>
      <c r="IA519" s="379"/>
      <c r="IB519" s="379"/>
      <c r="IC519" s="379"/>
      <c r="ID519" s="379"/>
      <c r="IE519" s="13"/>
      <c r="IF519" s="13"/>
      <c r="IG519" s="193"/>
      <c r="IH519" s="379"/>
      <c r="II519" s="379"/>
      <c r="IJ519" s="379"/>
      <c r="IK519" s="379"/>
      <c r="IL519" s="379"/>
      <c r="IM519" s="13"/>
      <c r="IN519" s="13"/>
      <c r="IO519" s="193"/>
      <c r="IP519" s="379"/>
      <c r="IQ519" s="379"/>
      <c r="IR519" s="379"/>
      <c r="IS519" s="379"/>
      <c r="IT519" s="379"/>
      <c r="IU519" s="13"/>
      <c r="IV519" s="13"/>
      <c r="IW519" s="193"/>
      <c r="IX519" s="379"/>
      <c r="IY519" s="379"/>
      <c r="IZ519" s="379"/>
      <c r="JA519" s="379"/>
      <c r="JB519" s="379"/>
      <c r="JC519" s="13"/>
      <c r="JD519" s="13"/>
      <c r="JE519" s="193"/>
      <c r="JF519" s="379"/>
      <c r="JG519" s="379"/>
      <c r="JH519" s="379"/>
      <c r="JI519" s="379"/>
      <c r="JJ519" s="379"/>
      <c r="JK519" s="13"/>
      <c r="JL519" s="13"/>
      <c r="JM519" s="193"/>
      <c r="JN519" s="379"/>
      <c r="JO519" s="379"/>
      <c r="JP519" s="379"/>
      <c r="JQ519" s="379"/>
      <c r="JR519" s="379"/>
      <c r="JS519" s="13"/>
      <c r="JT519" s="13"/>
      <c r="JU519" s="193"/>
      <c r="JV519" s="379"/>
      <c r="JW519" s="379"/>
      <c r="JX519" s="379"/>
      <c r="JY519" s="379"/>
      <c r="JZ519" s="379"/>
      <c r="KA519" s="13"/>
      <c r="KB519" s="13"/>
      <c r="KC519" s="193"/>
      <c r="KD519" s="379"/>
      <c r="KE519" s="379"/>
      <c r="KF519" s="379"/>
      <c r="KG519" s="379"/>
      <c r="KH519" s="379"/>
      <c r="KI519" s="13"/>
      <c r="KJ519" s="13"/>
      <c r="KK519" s="193"/>
      <c r="KL519" s="379"/>
      <c r="KM519" s="379"/>
      <c r="KN519" s="379"/>
      <c r="KO519" s="379"/>
      <c r="KP519" s="379"/>
      <c r="KQ519" s="13"/>
      <c r="KR519" s="13"/>
      <c r="KS519" s="193"/>
      <c r="KT519" s="379"/>
      <c r="KU519" s="379"/>
      <c r="KV519" s="379"/>
      <c r="KW519" s="379"/>
      <c r="KX519" s="379"/>
      <c r="KY519" s="13"/>
      <c r="KZ519" s="13"/>
      <c r="LA519" s="193"/>
      <c r="LB519" s="379"/>
      <c r="LC519" s="379"/>
      <c r="LD519" s="379"/>
      <c r="LE519" s="379"/>
      <c r="LF519" s="379"/>
      <c r="LG519" s="13"/>
      <c r="LH519" s="13"/>
      <c r="LI519" s="193"/>
      <c r="LJ519" s="379"/>
      <c r="LK519" s="379"/>
      <c r="LL519" s="379"/>
      <c r="LM519" s="379"/>
      <c r="LN519" s="379"/>
      <c r="LO519" s="13"/>
      <c r="LP519" s="13"/>
      <c r="LQ519" s="193"/>
      <c r="LR519" s="379"/>
      <c r="LS519" s="379"/>
      <c r="LT519" s="379"/>
      <c r="LU519" s="379"/>
      <c r="LV519" s="379"/>
      <c r="LW519" s="13"/>
      <c r="LX519" s="13"/>
      <c r="LY519" s="193"/>
      <c r="LZ519" s="379"/>
      <c r="MA519" s="379"/>
      <c r="MB519" s="379"/>
      <c r="MC519" s="379"/>
      <c r="MD519" s="379"/>
      <c r="ME519" s="13"/>
      <c r="MF519" s="13"/>
      <c r="MG519" s="193"/>
      <c r="MH519" s="379"/>
      <c r="MI519" s="379"/>
      <c r="MJ519" s="379"/>
      <c r="MK519" s="379"/>
      <c r="ML519" s="379"/>
      <c r="MM519" s="13"/>
      <c r="MN519" s="13"/>
      <c r="MO519" s="193"/>
      <c r="MP519" s="379"/>
      <c r="MQ519" s="379"/>
      <c r="MR519" s="379"/>
      <c r="MS519" s="379"/>
      <c r="MT519" s="379"/>
      <c r="MU519" s="13"/>
      <c r="MV519" s="13"/>
      <c r="MW519" s="193"/>
      <c r="MX519" s="379"/>
      <c r="MY519" s="379"/>
      <c r="MZ519" s="379"/>
      <c r="NA519" s="379"/>
      <c r="NB519" s="379"/>
      <c r="NC519" s="13"/>
      <c r="ND519" s="13"/>
      <c r="NE519" s="193"/>
      <c r="NF519" s="379"/>
      <c r="NG519" s="379"/>
      <c r="NH519" s="379"/>
      <c r="NI519" s="379"/>
      <c r="NJ519" s="379"/>
      <c r="NK519" s="13"/>
      <c r="NL519" s="13"/>
      <c r="NM519" s="193"/>
      <c r="NN519" s="379"/>
      <c r="NO519" s="379"/>
      <c r="NP519" s="379"/>
      <c r="NQ519" s="379"/>
      <c r="NR519" s="379"/>
      <c r="NS519" s="13"/>
      <c r="NT519" s="13"/>
      <c r="NU519" s="193"/>
      <c r="NV519" s="379"/>
      <c r="NW519" s="379"/>
      <c r="NX519" s="379"/>
      <c r="NY519" s="379"/>
      <c r="NZ519" s="379"/>
      <c r="OA519" s="13"/>
      <c r="OB519" s="13"/>
      <c r="OC519" s="193"/>
      <c r="OD519" s="379"/>
      <c r="OE519" s="379"/>
      <c r="OF519" s="379"/>
      <c r="OG519" s="379"/>
      <c r="OH519" s="379"/>
      <c r="OI519" s="13"/>
      <c r="OJ519" s="13"/>
      <c r="OK519" s="193"/>
      <c r="OL519" s="379"/>
      <c r="OM519" s="379"/>
      <c r="ON519" s="379"/>
      <c r="OO519" s="379"/>
      <c r="OP519" s="379"/>
      <c r="OQ519" s="13"/>
      <c r="OR519" s="13"/>
      <c r="OS519" s="193"/>
      <c r="OT519" s="379"/>
      <c r="OU519" s="379"/>
      <c r="OV519" s="379"/>
      <c r="OW519" s="379"/>
      <c r="OX519" s="379"/>
      <c r="OY519" s="13"/>
      <c r="OZ519" s="13"/>
      <c r="PA519" s="193"/>
      <c r="PB519" s="379"/>
      <c r="PC519" s="379"/>
      <c r="PD519" s="379"/>
      <c r="PE519" s="379"/>
      <c r="PF519" s="379"/>
      <c r="PG519" s="13"/>
      <c r="PH519" s="13"/>
      <c r="PI519" s="193"/>
      <c r="PJ519" s="379"/>
      <c r="PK519" s="379"/>
      <c r="PL519" s="379"/>
      <c r="PM519" s="379"/>
      <c r="PN519" s="379"/>
      <c r="PO519" s="13"/>
      <c r="PP519" s="13"/>
      <c r="PQ519" s="193"/>
      <c r="PR519" s="379"/>
      <c r="PS519" s="379"/>
      <c r="PT519" s="379"/>
      <c r="PU519" s="379"/>
      <c r="PV519" s="379"/>
      <c r="PW519" s="13"/>
      <c r="PX519" s="13"/>
      <c r="PY519" s="193"/>
      <c r="PZ519" s="379"/>
      <c r="QA519" s="379"/>
      <c r="QB519" s="379"/>
      <c r="QC519" s="379"/>
      <c r="QD519" s="379"/>
      <c r="QE519" s="13"/>
      <c r="QF519" s="13"/>
      <c r="QG519" s="193"/>
      <c r="QH519" s="379"/>
      <c r="QI519" s="379"/>
      <c r="QJ519" s="379"/>
      <c r="QK519" s="379"/>
      <c r="QL519" s="379"/>
      <c r="QM519" s="13"/>
      <c r="QN519" s="13"/>
      <c r="QO519" s="193"/>
      <c r="QP519" s="379"/>
      <c r="QQ519" s="379"/>
      <c r="QR519" s="379"/>
      <c r="QS519" s="379"/>
      <c r="QT519" s="379"/>
      <c r="QU519" s="13"/>
      <c r="QV519" s="13"/>
      <c r="QW519" s="193"/>
      <c r="QX519" s="379"/>
      <c r="QY519" s="379"/>
      <c r="QZ519" s="379"/>
      <c r="RA519" s="379"/>
      <c r="RB519" s="379"/>
      <c r="RC519" s="13"/>
      <c r="RD519" s="13"/>
      <c r="RE519" s="193"/>
      <c r="RF519" s="379"/>
      <c r="RG519" s="379"/>
      <c r="RH519" s="379"/>
      <c r="RI519" s="379"/>
      <c r="RJ519" s="379"/>
      <c r="RK519" s="13"/>
      <c r="RL519" s="13"/>
      <c r="RM519" s="193"/>
      <c r="RN519" s="379"/>
      <c r="RO519" s="379"/>
      <c r="RP519" s="379"/>
      <c r="RQ519" s="379"/>
      <c r="RR519" s="379"/>
      <c r="RS519" s="13"/>
      <c r="RT519" s="13"/>
      <c r="RU519" s="193"/>
      <c r="RV519" s="379"/>
      <c r="RW519" s="379"/>
      <c r="RX519" s="379"/>
      <c r="RY519" s="379"/>
      <c r="RZ519" s="379"/>
      <c r="SA519" s="13"/>
      <c r="SB519" s="13"/>
      <c r="SC519" s="193"/>
      <c r="SD519" s="379"/>
      <c r="SE519" s="379"/>
      <c r="SF519" s="379"/>
      <c r="SG519" s="379"/>
      <c r="SH519" s="379"/>
      <c r="SI519" s="13"/>
      <c r="SJ519" s="13"/>
      <c r="SK519" s="193"/>
      <c r="SL519" s="379"/>
      <c r="SM519" s="379"/>
      <c r="SN519" s="379"/>
      <c r="SO519" s="379"/>
      <c r="SP519" s="379"/>
      <c r="SQ519" s="13"/>
      <c r="SR519" s="13"/>
      <c r="SS519" s="193"/>
      <c r="ST519" s="379"/>
      <c r="SU519" s="379"/>
      <c r="SV519" s="379"/>
      <c r="SW519" s="379"/>
      <c r="SX519" s="379"/>
      <c r="SY519" s="13"/>
      <c r="SZ519" s="13"/>
      <c r="TA519" s="193"/>
      <c r="TB519" s="379"/>
      <c r="TC519" s="379"/>
      <c r="TD519" s="379"/>
      <c r="TE519" s="379"/>
      <c r="TF519" s="379"/>
      <c r="TG519" s="13"/>
      <c r="TH519" s="13"/>
      <c r="TI519" s="193"/>
      <c r="TJ519" s="379"/>
      <c r="TK519" s="379"/>
      <c r="TL519" s="379"/>
      <c r="TM519" s="379"/>
      <c r="TN519" s="379"/>
      <c r="TO519" s="13"/>
      <c r="TP519" s="13"/>
      <c r="TQ519" s="193"/>
      <c r="TR519" s="379"/>
      <c r="TS519" s="379"/>
      <c r="TT519" s="379"/>
      <c r="TU519" s="379"/>
      <c r="TV519" s="379"/>
      <c r="TW519" s="13"/>
      <c r="TX519" s="13"/>
      <c r="TY519" s="193"/>
      <c r="TZ519" s="379"/>
      <c r="UA519" s="379"/>
      <c r="UB519" s="379"/>
      <c r="UC519" s="379"/>
      <c r="UD519" s="379"/>
      <c r="UE519" s="13"/>
      <c r="UF519" s="13"/>
      <c r="UG519" s="193"/>
      <c r="UH519" s="379"/>
      <c r="UI519" s="379"/>
      <c r="UJ519" s="379"/>
      <c r="UK519" s="379"/>
      <c r="UL519" s="379"/>
      <c r="UM519" s="13"/>
      <c r="UN519" s="13"/>
      <c r="UO519" s="193"/>
      <c r="UP519" s="379"/>
      <c r="UQ519" s="379"/>
      <c r="UR519" s="379"/>
      <c r="US519" s="379"/>
      <c r="UT519" s="379"/>
      <c r="UU519" s="13"/>
      <c r="UV519" s="13"/>
      <c r="UW519" s="193"/>
      <c r="UX519" s="379"/>
      <c r="UY519" s="379"/>
      <c r="UZ519" s="379"/>
      <c r="VA519" s="379"/>
      <c r="VB519" s="379"/>
      <c r="VC519" s="13"/>
      <c r="VD519" s="13"/>
      <c r="VE519" s="193"/>
      <c r="VF519" s="379"/>
      <c r="VG519" s="379"/>
      <c r="VH519" s="379"/>
      <c r="VI519" s="379"/>
      <c r="VJ519" s="379"/>
      <c r="VK519" s="13"/>
      <c r="VL519" s="13"/>
      <c r="VM519" s="193"/>
      <c r="VN519" s="379"/>
      <c r="VO519" s="379"/>
      <c r="VP519" s="379"/>
      <c r="VQ519" s="379"/>
      <c r="VR519" s="379"/>
      <c r="VS519" s="13"/>
      <c r="VT519" s="13"/>
      <c r="VU519" s="193"/>
      <c r="VV519" s="379"/>
      <c r="VW519" s="379"/>
      <c r="VX519" s="379"/>
      <c r="VY519" s="379"/>
      <c r="VZ519" s="379"/>
      <c r="WA519" s="13"/>
      <c r="WB519" s="13"/>
      <c r="WC519" s="193"/>
      <c r="WD519" s="379"/>
      <c r="WE519" s="379"/>
      <c r="WF519" s="379"/>
      <c r="WG519" s="379"/>
      <c r="WH519" s="379"/>
      <c r="WI519" s="13"/>
      <c r="WJ519" s="13"/>
      <c r="WK519" s="193"/>
      <c r="WL519" s="379"/>
      <c r="WM519" s="379"/>
      <c r="WN519" s="379"/>
      <c r="WO519" s="379"/>
      <c r="WP519" s="379"/>
      <c r="WQ519" s="13"/>
      <c r="WR519" s="13"/>
      <c r="WS519" s="193"/>
      <c r="WT519" s="379"/>
      <c r="WU519" s="379"/>
      <c r="WV519" s="379"/>
      <c r="WW519" s="379"/>
      <c r="WX519" s="379"/>
      <c r="WY519" s="13"/>
      <c r="WZ519" s="13"/>
      <c r="XA519" s="193"/>
      <c r="XB519" s="379"/>
      <c r="XC519" s="379"/>
      <c r="XD519" s="379"/>
      <c r="XE519" s="379"/>
      <c r="XF519" s="379"/>
      <c r="XG519" s="13"/>
      <c r="XH519" s="13"/>
      <c r="XI519" s="193"/>
      <c r="XJ519" s="379"/>
      <c r="XK519" s="379"/>
      <c r="XL519" s="379"/>
      <c r="XM519" s="379"/>
      <c r="XN519" s="379"/>
      <c r="XO519" s="13"/>
      <c r="XP519" s="13"/>
      <c r="XQ519" s="193"/>
      <c r="XR519" s="379"/>
      <c r="XS519" s="379"/>
      <c r="XT519" s="379"/>
      <c r="XU519" s="379"/>
      <c r="XV519" s="379"/>
      <c r="XW519" s="13"/>
      <c r="XX519" s="13"/>
      <c r="XY519" s="193"/>
      <c r="XZ519" s="379"/>
      <c r="YA519" s="379"/>
      <c r="YB519" s="379"/>
      <c r="YC519" s="379"/>
      <c r="YD519" s="379"/>
      <c r="YE519" s="13"/>
      <c r="YF519" s="13"/>
      <c r="YG519" s="193"/>
      <c r="YH519" s="379"/>
      <c r="YI519" s="379"/>
      <c r="YJ519" s="379"/>
      <c r="YK519" s="379"/>
      <c r="YL519" s="379"/>
      <c r="YM519" s="13"/>
      <c r="YN519" s="13"/>
      <c r="YO519" s="193"/>
      <c r="YP519" s="379"/>
      <c r="YQ519" s="379"/>
      <c r="YR519" s="379"/>
      <c r="YS519" s="379"/>
      <c r="YT519" s="379"/>
      <c r="YU519" s="13"/>
      <c r="YV519" s="13"/>
      <c r="YW519" s="193"/>
      <c r="YX519" s="379"/>
      <c r="YY519" s="379"/>
      <c r="YZ519" s="379"/>
      <c r="ZA519" s="379"/>
      <c r="ZB519" s="379"/>
      <c r="ZC519" s="13"/>
      <c r="ZD519" s="13"/>
      <c r="ZE519" s="193"/>
      <c r="ZF519" s="379"/>
      <c r="ZG519" s="379"/>
      <c r="ZH519" s="379"/>
      <c r="ZI519" s="379"/>
      <c r="ZJ519" s="379"/>
      <c r="ZK519" s="13"/>
      <c r="ZL519" s="13"/>
      <c r="ZM519" s="193"/>
      <c r="ZN519" s="379"/>
      <c r="ZO519" s="379"/>
      <c r="ZP519" s="379"/>
      <c r="ZQ519" s="379"/>
      <c r="ZR519" s="379"/>
      <c r="ZS519" s="13"/>
      <c r="ZT519" s="13"/>
      <c r="ZU519" s="193"/>
      <c r="ZV519" s="379"/>
      <c r="ZW519" s="379"/>
      <c r="ZX519" s="379"/>
      <c r="ZY519" s="379"/>
      <c r="ZZ519" s="379"/>
      <c r="AAA519" s="13"/>
      <c r="AAB519" s="13"/>
      <c r="AAC519" s="193"/>
      <c r="AAD519" s="379"/>
      <c r="AAE519" s="379"/>
      <c r="AAF519" s="379"/>
      <c r="AAG519" s="379"/>
      <c r="AAH519" s="379"/>
      <c r="AAI519" s="13"/>
      <c r="AAJ519" s="13"/>
      <c r="AAK519" s="193"/>
      <c r="AAL519" s="379"/>
      <c r="AAM519" s="379"/>
      <c r="AAN519" s="379"/>
      <c r="AAO519" s="379"/>
      <c r="AAP519" s="379"/>
      <c r="AAQ519" s="13"/>
      <c r="AAR519" s="13"/>
      <c r="AAS519" s="193"/>
      <c r="AAT519" s="379"/>
      <c r="AAU519" s="379"/>
      <c r="AAV519" s="379"/>
      <c r="AAW519" s="379"/>
      <c r="AAX519" s="379"/>
      <c r="AAY519" s="13"/>
      <c r="AAZ519" s="13"/>
      <c r="ABA519" s="193"/>
      <c r="ABB519" s="379"/>
      <c r="ABC519" s="379"/>
      <c r="ABD519" s="379"/>
      <c r="ABE519" s="379"/>
      <c r="ABF519" s="379"/>
      <c r="ABG519" s="13"/>
      <c r="ABH519" s="13"/>
      <c r="ABI519" s="193"/>
      <c r="ABJ519" s="379"/>
      <c r="ABK519" s="379"/>
      <c r="ABL519" s="379"/>
      <c r="ABM519" s="379"/>
      <c r="ABN519" s="379"/>
      <c r="ABO519" s="13"/>
      <c r="ABP519" s="13"/>
      <c r="ABQ519" s="193"/>
      <c r="ABR519" s="379"/>
      <c r="ABS519" s="379"/>
      <c r="ABT519" s="379"/>
      <c r="ABU519" s="379"/>
      <c r="ABV519" s="379"/>
      <c r="ABW519" s="13"/>
      <c r="ABX519" s="13"/>
      <c r="ABY519" s="193"/>
      <c r="ABZ519" s="379"/>
      <c r="ACA519" s="379"/>
      <c r="ACB519" s="379"/>
      <c r="ACC519" s="379"/>
      <c r="ACD519" s="379"/>
      <c r="ACE519" s="13"/>
      <c r="ACF519" s="13"/>
      <c r="ACG519" s="193"/>
      <c r="ACH519" s="379"/>
      <c r="ACI519" s="379"/>
      <c r="ACJ519" s="379"/>
      <c r="ACK519" s="379"/>
      <c r="ACL519" s="379"/>
      <c r="ACM519" s="13"/>
      <c r="ACN519" s="13"/>
      <c r="ACO519" s="193"/>
      <c r="ACP519" s="379"/>
      <c r="ACQ519" s="379"/>
      <c r="ACR519" s="379"/>
      <c r="ACS519" s="379"/>
      <c r="ACT519" s="379"/>
      <c r="ACU519" s="13"/>
      <c r="ACV519" s="13"/>
      <c r="ACW519" s="193"/>
      <c r="ACX519" s="379"/>
      <c r="ACY519" s="379"/>
      <c r="ACZ519" s="379"/>
      <c r="ADA519" s="379"/>
      <c r="ADB519" s="379"/>
      <c r="ADC519" s="13"/>
      <c r="ADD519" s="13"/>
      <c r="ADE519" s="193"/>
      <c r="ADF519" s="379"/>
      <c r="ADG519" s="379"/>
      <c r="ADH519" s="379"/>
      <c r="ADI519" s="379"/>
      <c r="ADJ519" s="379"/>
      <c r="ADK519" s="13"/>
      <c r="ADL519" s="13"/>
      <c r="ADM519" s="193"/>
      <c r="ADN519" s="379"/>
      <c r="ADO519" s="379"/>
      <c r="ADP519" s="379"/>
      <c r="ADQ519" s="379"/>
      <c r="ADR519" s="379"/>
      <c r="ADS519" s="13"/>
      <c r="ADT519" s="13"/>
      <c r="ADU519" s="193"/>
      <c r="ADV519" s="379"/>
      <c r="ADW519" s="379"/>
      <c r="ADX519" s="379"/>
      <c r="ADY519" s="379"/>
      <c r="ADZ519" s="379"/>
      <c r="AEA519" s="13"/>
      <c r="AEB519" s="13"/>
      <c r="AEC519" s="193"/>
      <c r="AED519" s="379"/>
      <c r="AEE519" s="379"/>
      <c r="AEF519" s="379"/>
      <c r="AEG519" s="379"/>
      <c r="AEH519" s="379"/>
      <c r="AEI519" s="13"/>
      <c r="AEJ519" s="13"/>
      <c r="AEK519" s="193"/>
      <c r="AEL519" s="379"/>
      <c r="AEM519" s="379"/>
      <c r="AEN519" s="379"/>
      <c r="AEO519" s="379"/>
      <c r="AEP519" s="379"/>
      <c r="AEQ519" s="13"/>
      <c r="AER519" s="13"/>
      <c r="AES519" s="193"/>
      <c r="AET519" s="379"/>
      <c r="AEU519" s="379"/>
      <c r="AEV519" s="379"/>
      <c r="AEW519" s="379"/>
      <c r="AEX519" s="379"/>
      <c r="AEY519" s="13"/>
      <c r="AEZ519" s="13"/>
      <c r="AFA519" s="193"/>
      <c r="AFB519" s="379"/>
      <c r="AFC519" s="379"/>
      <c r="AFD519" s="379"/>
      <c r="AFE519" s="379"/>
      <c r="AFF519" s="379"/>
      <c r="AFG519" s="13"/>
      <c r="AFH519" s="13"/>
      <c r="AFI519" s="193"/>
      <c r="AFJ519" s="379"/>
      <c r="AFK519" s="379"/>
      <c r="AFL519" s="379"/>
      <c r="AFM519" s="379"/>
      <c r="AFN519" s="379"/>
      <c r="AFO519" s="13"/>
      <c r="AFP519" s="13"/>
      <c r="AFQ519" s="193"/>
      <c r="AFR519" s="379"/>
      <c r="AFS519" s="379"/>
      <c r="AFT519" s="379"/>
      <c r="AFU519" s="379"/>
      <c r="AFV519" s="379"/>
      <c r="AFW519" s="13"/>
      <c r="AFX519" s="13"/>
      <c r="AFY519" s="193"/>
      <c r="AFZ519" s="379"/>
      <c r="AGA519" s="379"/>
      <c r="AGB519" s="379"/>
      <c r="AGC519" s="379"/>
      <c r="AGD519" s="379"/>
      <c r="AGE519" s="13"/>
      <c r="AGF519" s="13"/>
      <c r="AGG519" s="193"/>
      <c r="AGH519" s="379"/>
      <c r="AGI519" s="379"/>
      <c r="AGJ519" s="379"/>
      <c r="AGK519" s="379"/>
      <c r="AGL519" s="379"/>
      <c r="AGM519" s="13"/>
      <c r="AGN519" s="13"/>
      <c r="AGO519" s="193"/>
      <c r="AGP519" s="379"/>
      <c r="AGQ519" s="379"/>
      <c r="AGR519" s="379"/>
      <c r="AGS519" s="379"/>
      <c r="AGT519" s="379"/>
      <c r="AGU519" s="13"/>
      <c r="AGV519" s="13"/>
      <c r="AGW519" s="193"/>
      <c r="AGX519" s="379"/>
      <c r="AGY519" s="379"/>
      <c r="AGZ519" s="379"/>
      <c r="AHA519" s="379"/>
      <c r="AHB519" s="379"/>
      <c r="AHC519" s="13"/>
      <c r="AHD519" s="13"/>
      <c r="AHE519" s="193"/>
      <c r="AHF519" s="379"/>
      <c r="AHG519" s="379"/>
      <c r="AHH519" s="379"/>
      <c r="AHI519" s="379"/>
      <c r="AHJ519" s="379"/>
      <c r="AHK519" s="13"/>
      <c r="AHL519" s="13"/>
      <c r="AHM519" s="193"/>
      <c r="AHN519" s="379"/>
      <c r="AHO519" s="379"/>
      <c r="AHP519" s="379"/>
      <c r="AHQ519" s="379"/>
      <c r="AHR519" s="379"/>
      <c r="AHS519" s="13"/>
      <c r="AHT519" s="13"/>
      <c r="AHU519" s="193"/>
      <c r="AHV519" s="379"/>
      <c r="AHW519" s="379"/>
      <c r="AHX519" s="379"/>
      <c r="AHY519" s="379"/>
      <c r="AHZ519" s="379"/>
      <c r="AIA519" s="13"/>
      <c r="AIB519" s="13"/>
      <c r="AIC519" s="193"/>
      <c r="AID519" s="379"/>
      <c r="AIE519" s="379"/>
      <c r="AIF519" s="379"/>
      <c r="AIG519" s="379"/>
      <c r="AIH519" s="379"/>
      <c r="AII519" s="13"/>
      <c r="AIJ519" s="13"/>
      <c r="AIK519" s="193"/>
      <c r="AIL519" s="379"/>
      <c r="AIM519" s="379"/>
      <c r="AIN519" s="379"/>
      <c r="AIO519" s="379"/>
      <c r="AIP519" s="379"/>
      <c r="AIQ519" s="13"/>
      <c r="AIR519" s="13"/>
      <c r="AIS519" s="193"/>
      <c r="AIT519" s="379"/>
      <c r="AIU519" s="379"/>
      <c r="AIV519" s="379"/>
      <c r="AIW519" s="379"/>
      <c r="AIX519" s="379"/>
      <c r="AIY519" s="13"/>
      <c r="AIZ519" s="13"/>
      <c r="AJA519" s="193"/>
      <c r="AJB519" s="379"/>
      <c r="AJC519" s="379"/>
      <c r="AJD519" s="379"/>
      <c r="AJE519" s="379"/>
      <c r="AJF519" s="379"/>
      <c r="AJG519" s="13"/>
      <c r="AJH519" s="13"/>
      <c r="AJI519" s="193"/>
      <c r="AJJ519" s="379"/>
      <c r="AJK519" s="379"/>
      <c r="AJL519" s="379"/>
      <c r="AJM519" s="379"/>
      <c r="AJN519" s="379"/>
      <c r="AJO519" s="13"/>
      <c r="AJP519" s="13"/>
      <c r="AJQ519" s="193"/>
      <c r="AJR519" s="379"/>
      <c r="AJS519" s="379"/>
      <c r="AJT519" s="379"/>
      <c r="AJU519" s="379"/>
      <c r="AJV519" s="379"/>
      <c r="AJW519" s="13"/>
      <c r="AJX519" s="13"/>
      <c r="AJY519" s="193"/>
      <c r="AJZ519" s="379"/>
      <c r="AKA519" s="379"/>
      <c r="AKB519" s="379"/>
      <c r="AKC519" s="379"/>
      <c r="AKD519" s="379"/>
      <c r="AKE519" s="13"/>
      <c r="AKF519" s="13"/>
      <c r="AKG519" s="193"/>
      <c r="AKH519" s="379"/>
      <c r="AKI519" s="379"/>
      <c r="AKJ519" s="379"/>
      <c r="AKK519" s="379"/>
      <c r="AKL519" s="379"/>
      <c r="AKM519" s="13"/>
      <c r="AKN519" s="13"/>
      <c r="AKO519" s="193"/>
      <c r="AKP519" s="379"/>
      <c r="AKQ519" s="379"/>
      <c r="AKR519" s="379"/>
      <c r="AKS519" s="379"/>
      <c r="AKT519" s="379"/>
      <c r="AKU519" s="13"/>
      <c r="AKV519" s="13"/>
      <c r="AKW519" s="193"/>
      <c r="AKX519" s="379"/>
      <c r="AKY519" s="379"/>
      <c r="AKZ519" s="379"/>
      <c r="ALA519" s="379"/>
      <c r="ALB519" s="379"/>
      <c r="ALC519" s="13"/>
      <c r="ALD519" s="13"/>
      <c r="ALE519" s="193"/>
      <c r="ALF519" s="379"/>
      <c r="ALG519" s="379"/>
      <c r="ALH519" s="379"/>
      <c r="ALI519" s="379"/>
      <c r="ALJ519" s="379"/>
      <c r="ALK519" s="13"/>
      <c r="ALL519" s="13"/>
      <c r="ALM519" s="193"/>
      <c r="ALN519" s="379"/>
      <c r="ALO519" s="379"/>
      <c r="ALP519" s="379"/>
      <c r="ALQ519" s="379"/>
      <c r="ALR519" s="379"/>
      <c r="ALS519" s="13"/>
      <c r="ALT519" s="13"/>
      <c r="ALU519" s="193"/>
      <c r="ALV519" s="379"/>
      <c r="ALW519" s="379"/>
      <c r="ALX519" s="379"/>
      <c r="ALY519" s="379"/>
      <c r="ALZ519" s="379"/>
      <c r="AMA519" s="13"/>
      <c r="AMB519" s="13"/>
      <c r="AMC519" s="193"/>
      <c r="AMD519" s="379"/>
      <c r="AME519" s="379"/>
      <c r="AMF519" s="379"/>
      <c r="AMG519" s="379"/>
      <c r="AMH519" s="379"/>
      <c r="AMI519" s="13"/>
      <c r="AMJ519" s="13"/>
      <c r="AMK519" s="193"/>
      <c r="AML519" s="379"/>
      <c r="AMM519" s="379"/>
      <c r="AMN519" s="379"/>
      <c r="AMO519" s="379"/>
      <c r="AMP519" s="379"/>
      <c r="AMQ519" s="13"/>
      <c r="AMR519" s="13"/>
      <c r="AMS519" s="193"/>
      <c r="AMT519" s="379"/>
      <c r="AMU519" s="379"/>
      <c r="AMV519" s="379"/>
      <c r="AMW519" s="379"/>
      <c r="AMX519" s="379"/>
      <c r="AMY519" s="13"/>
      <c r="AMZ519" s="13"/>
      <c r="ANA519" s="193"/>
      <c r="ANB519" s="379"/>
      <c r="ANC519" s="379"/>
      <c r="AND519" s="379"/>
      <c r="ANE519" s="379"/>
      <c r="ANF519" s="379"/>
      <c r="ANG519" s="13"/>
      <c r="ANH519" s="13"/>
      <c r="ANI519" s="193"/>
      <c r="ANJ519" s="379"/>
      <c r="ANK519" s="379"/>
      <c r="ANL519" s="379"/>
      <c r="ANM519" s="379"/>
      <c r="ANN519" s="379"/>
      <c r="ANO519" s="13"/>
      <c r="ANP519" s="13"/>
      <c r="ANQ519" s="193"/>
      <c r="ANR519" s="379"/>
      <c r="ANS519" s="379"/>
      <c r="ANT519" s="379"/>
      <c r="ANU519" s="379"/>
      <c r="ANV519" s="379"/>
      <c r="ANW519" s="13"/>
      <c r="ANX519" s="13"/>
      <c r="ANY519" s="193"/>
      <c r="ANZ519" s="379"/>
      <c r="AOA519" s="379"/>
      <c r="AOB519" s="379"/>
      <c r="AOC519" s="379"/>
      <c r="AOD519" s="379"/>
      <c r="AOE519" s="13"/>
      <c r="AOF519" s="13"/>
      <c r="AOG519" s="193"/>
      <c r="AOH519" s="379"/>
      <c r="AOI519" s="379"/>
      <c r="AOJ519" s="379"/>
      <c r="AOK519" s="379"/>
      <c r="AOL519" s="379"/>
      <c r="AOM519" s="13"/>
      <c r="AON519" s="13"/>
      <c r="AOO519" s="193"/>
      <c r="AOP519" s="379"/>
      <c r="AOQ519" s="379"/>
      <c r="AOR519" s="379"/>
      <c r="AOS519" s="379"/>
      <c r="AOT519" s="379"/>
      <c r="AOU519" s="13"/>
      <c r="AOV519" s="13"/>
      <c r="AOW519" s="193"/>
      <c r="AOX519" s="379"/>
      <c r="AOY519" s="379"/>
      <c r="AOZ519" s="379"/>
      <c r="APA519" s="379"/>
      <c r="APB519" s="379"/>
      <c r="APC519" s="13"/>
      <c r="APD519" s="13"/>
      <c r="APE519" s="193"/>
      <c r="APF519" s="379"/>
      <c r="APG519" s="379"/>
      <c r="APH519" s="379"/>
      <c r="API519" s="379"/>
      <c r="APJ519" s="379"/>
      <c r="APK519" s="13"/>
      <c r="APL519" s="13"/>
      <c r="APM519" s="193"/>
      <c r="APN519" s="379"/>
      <c r="APO519" s="379"/>
      <c r="APP519" s="379"/>
      <c r="APQ519" s="379"/>
      <c r="APR519" s="379"/>
      <c r="APS519" s="13"/>
      <c r="APT519" s="13"/>
      <c r="APU519" s="193"/>
      <c r="APV519" s="379"/>
      <c r="APW519" s="379"/>
      <c r="APX519" s="379"/>
      <c r="APY519" s="379"/>
      <c r="APZ519" s="379"/>
      <c r="AQA519" s="13"/>
      <c r="AQB519" s="13"/>
      <c r="AQC519" s="193"/>
      <c r="AQD519" s="379"/>
      <c r="AQE519" s="379"/>
      <c r="AQF519" s="379"/>
      <c r="AQG519" s="379"/>
      <c r="AQH519" s="379"/>
      <c r="AQI519" s="13"/>
      <c r="AQJ519" s="13"/>
      <c r="AQK519" s="193"/>
      <c r="AQL519" s="379"/>
      <c r="AQM519" s="379"/>
      <c r="AQN519" s="379"/>
      <c r="AQO519" s="379"/>
      <c r="AQP519" s="379"/>
      <c r="AQQ519" s="13"/>
      <c r="AQR519" s="13"/>
      <c r="AQS519" s="193"/>
      <c r="AQT519" s="379"/>
      <c r="AQU519" s="379"/>
      <c r="AQV519" s="379"/>
      <c r="AQW519" s="379"/>
      <c r="AQX519" s="379"/>
      <c r="AQY519" s="13"/>
      <c r="AQZ519" s="13"/>
      <c r="ARA519" s="193"/>
      <c r="ARB519" s="379"/>
      <c r="ARC519" s="379"/>
      <c r="ARD519" s="379"/>
      <c r="ARE519" s="379"/>
      <c r="ARF519" s="379"/>
      <c r="ARG519" s="13"/>
      <c r="ARH519" s="13"/>
      <c r="ARI519" s="193"/>
      <c r="ARJ519" s="379"/>
      <c r="ARK519" s="379"/>
      <c r="ARL519" s="379"/>
      <c r="ARM519" s="379"/>
      <c r="ARN519" s="379"/>
      <c r="ARO519" s="13"/>
      <c r="ARP519" s="13"/>
      <c r="ARQ519" s="193"/>
      <c r="ARR519" s="379"/>
      <c r="ARS519" s="379"/>
      <c r="ART519" s="379"/>
      <c r="ARU519" s="379"/>
      <c r="ARV519" s="379"/>
      <c r="ARW519" s="13"/>
      <c r="ARX519" s="13"/>
      <c r="ARY519" s="193"/>
      <c r="ARZ519" s="379"/>
      <c r="ASA519" s="379"/>
      <c r="ASB519" s="379"/>
      <c r="ASC519" s="379"/>
      <c r="ASD519" s="379"/>
      <c r="ASE519" s="13"/>
      <c r="ASF519" s="13"/>
      <c r="ASG519" s="193"/>
      <c r="ASH519" s="379"/>
      <c r="ASI519" s="379"/>
      <c r="ASJ519" s="379"/>
      <c r="ASK519" s="379"/>
      <c r="ASL519" s="379"/>
      <c r="ASM519" s="13"/>
      <c r="ASN519" s="13"/>
      <c r="ASO519" s="193"/>
      <c r="ASP519" s="379"/>
      <c r="ASQ519" s="379"/>
      <c r="ASR519" s="379"/>
      <c r="ASS519" s="379"/>
      <c r="AST519" s="379"/>
      <c r="ASU519" s="13"/>
      <c r="ASV519" s="13"/>
      <c r="ASW519" s="193"/>
      <c r="ASX519" s="379"/>
      <c r="ASY519" s="379"/>
      <c r="ASZ519" s="379"/>
      <c r="ATA519" s="379"/>
      <c r="ATB519" s="379"/>
      <c r="ATC519" s="13"/>
      <c r="ATD519" s="13"/>
      <c r="ATE519" s="193"/>
      <c r="ATF519" s="379"/>
      <c r="ATG519" s="379"/>
      <c r="ATH519" s="379"/>
      <c r="ATI519" s="379"/>
      <c r="ATJ519" s="379"/>
      <c r="ATK519" s="13"/>
      <c r="ATL519" s="13"/>
      <c r="ATM519" s="193"/>
      <c r="ATN519" s="379"/>
      <c r="ATO519" s="379"/>
      <c r="ATP519" s="379"/>
      <c r="ATQ519" s="379"/>
      <c r="ATR519" s="379"/>
      <c r="ATS519" s="13"/>
      <c r="ATT519" s="13"/>
      <c r="ATU519" s="193"/>
      <c r="ATV519" s="379"/>
      <c r="ATW519" s="379"/>
      <c r="ATX519" s="379"/>
      <c r="ATY519" s="379"/>
      <c r="ATZ519" s="379"/>
      <c r="AUA519" s="13"/>
      <c r="AUB519" s="13"/>
      <c r="AUC519" s="193"/>
      <c r="AUD519" s="379"/>
      <c r="AUE519" s="379"/>
      <c r="AUF519" s="379"/>
      <c r="AUG519" s="379"/>
      <c r="AUH519" s="379"/>
      <c r="AUI519" s="13"/>
      <c r="AUJ519" s="13"/>
      <c r="AUK519" s="193"/>
      <c r="AUL519" s="379"/>
      <c r="AUM519" s="379"/>
      <c r="AUN519" s="379"/>
      <c r="AUO519" s="379"/>
      <c r="AUP519" s="379"/>
      <c r="AUQ519" s="13"/>
      <c r="AUR519" s="13"/>
      <c r="AUS519" s="193"/>
      <c r="AUT519" s="379"/>
      <c r="AUU519" s="379"/>
      <c r="AUV519" s="379"/>
      <c r="AUW519" s="379"/>
      <c r="AUX519" s="379"/>
      <c r="AUY519" s="13"/>
      <c r="AUZ519" s="13"/>
      <c r="AVA519" s="193"/>
      <c r="AVB519" s="379"/>
      <c r="AVC519" s="379"/>
      <c r="AVD519" s="379"/>
      <c r="AVE519" s="379"/>
      <c r="AVF519" s="379"/>
      <c r="AVG519" s="13"/>
      <c r="AVH519" s="13"/>
      <c r="AVI519" s="193"/>
      <c r="AVJ519" s="379"/>
      <c r="AVK519" s="379"/>
      <c r="AVL519" s="379"/>
      <c r="AVM519" s="379"/>
      <c r="AVN519" s="379"/>
      <c r="AVO519" s="13"/>
      <c r="AVP519" s="13"/>
      <c r="AVQ519" s="193"/>
      <c r="AVR519" s="379"/>
      <c r="AVS519" s="379"/>
      <c r="AVT519" s="379"/>
      <c r="AVU519" s="379"/>
      <c r="AVV519" s="379"/>
      <c r="AVW519" s="13"/>
      <c r="AVX519" s="13"/>
      <c r="AVY519" s="193"/>
      <c r="AVZ519" s="379"/>
      <c r="AWA519" s="379"/>
      <c r="AWB519" s="379"/>
      <c r="AWC519" s="379"/>
      <c r="AWD519" s="379"/>
      <c r="AWE519" s="13"/>
      <c r="AWF519" s="13"/>
      <c r="AWG519" s="193"/>
      <c r="AWH519" s="379"/>
      <c r="AWI519" s="379"/>
      <c r="AWJ519" s="379"/>
      <c r="AWK519" s="379"/>
      <c r="AWL519" s="379"/>
      <c r="AWM519" s="13"/>
      <c r="AWN519" s="13"/>
      <c r="AWO519" s="193"/>
      <c r="AWP519" s="379"/>
      <c r="AWQ519" s="379"/>
      <c r="AWR519" s="379"/>
      <c r="AWS519" s="379"/>
      <c r="AWT519" s="379"/>
      <c r="AWU519" s="13"/>
      <c r="AWV519" s="13"/>
      <c r="AWW519" s="193"/>
      <c r="AWX519" s="379"/>
      <c r="AWY519" s="379"/>
      <c r="AWZ519" s="379"/>
      <c r="AXA519" s="379"/>
      <c r="AXB519" s="379"/>
      <c r="AXC519" s="13"/>
      <c r="AXD519" s="13"/>
      <c r="AXE519" s="193"/>
      <c r="AXF519" s="379"/>
      <c r="AXG519" s="379"/>
      <c r="AXH519" s="379"/>
      <c r="AXI519" s="379"/>
      <c r="AXJ519" s="379"/>
      <c r="AXK519" s="13"/>
      <c r="AXL519" s="13"/>
      <c r="AXM519" s="193"/>
      <c r="AXN519" s="379"/>
      <c r="AXO519" s="379"/>
      <c r="AXP519" s="379"/>
      <c r="AXQ519" s="379"/>
      <c r="AXR519" s="379"/>
      <c r="AXS519" s="13"/>
      <c r="AXT519" s="13"/>
      <c r="AXU519" s="193"/>
      <c r="AXV519" s="379"/>
      <c r="AXW519" s="379"/>
      <c r="AXX519" s="379"/>
      <c r="AXY519" s="379"/>
      <c r="AXZ519" s="379"/>
      <c r="AYA519" s="13"/>
      <c r="AYB519" s="13"/>
      <c r="AYC519" s="193"/>
      <c r="AYD519" s="379"/>
      <c r="AYE519" s="379"/>
      <c r="AYF519" s="379"/>
      <c r="AYG519" s="379"/>
      <c r="AYH519" s="379"/>
      <c r="AYI519" s="13"/>
      <c r="AYJ519" s="13"/>
      <c r="AYK519" s="193"/>
      <c r="AYL519" s="379"/>
      <c r="AYM519" s="379"/>
      <c r="AYN519" s="379"/>
      <c r="AYO519" s="379"/>
      <c r="AYP519" s="379"/>
      <c r="AYQ519" s="13"/>
      <c r="AYR519" s="13"/>
      <c r="AYS519" s="193"/>
      <c r="AYT519" s="379"/>
      <c r="AYU519" s="379"/>
      <c r="AYV519" s="379"/>
      <c r="AYW519" s="379"/>
      <c r="AYX519" s="379"/>
      <c r="AYY519" s="13"/>
      <c r="AYZ519" s="13"/>
      <c r="AZA519" s="193"/>
      <c r="AZB519" s="379"/>
      <c r="AZC519" s="379"/>
      <c r="AZD519" s="379"/>
      <c r="AZE519" s="379"/>
      <c r="AZF519" s="379"/>
      <c r="AZG519" s="13"/>
      <c r="AZH519" s="13"/>
      <c r="AZI519" s="193"/>
      <c r="AZJ519" s="379"/>
      <c r="AZK519" s="379"/>
      <c r="AZL519" s="379"/>
      <c r="AZM519" s="379"/>
      <c r="AZN519" s="379"/>
      <c r="AZO519" s="13"/>
      <c r="AZP519" s="13"/>
      <c r="AZQ519" s="193"/>
      <c r="AZR519" s="379"/>
      <c r="AZS519" s="379"/>
      <c r="AZT519" s="379"/>
      <c r="AZU519" s="379"/>
      <c r="AZV519" s="379"/>
      <c r="AZW519" s="13"/>
      <c r="AZX519" s="13"/>
      <c r="AZY519" s="193"/>
      <c r="AZZ519" s="379"/>
      <c r="BAA519" s="379"/>
      <c r="BAB519" s="379"/>
      <c r="BAC519" s="379"/>
      <c r="BAD519" s="379"/>
      <c r="BAE519" s="13"/>
      <c r="BAF519" s="13"/>
      <c r="BAG519" s="193"/>
      <c r="BAH519" s="379"/>
      <c r="BAI519" s="379"/>
      <c r="BAJ519" s="379"/>
      <c r="BAK519" s="379"/>
      <c r="BAL519" s="379"/>
      <c r="BAM519" s="13"/>
      <c r="BAN519" s="13"/>
      <c r="BAO519" s="193"/>
      <c r="BAP519" s="379"/>
      <c r="BAQ519" s="379"/>
      <c r="BAR519" s="379"/>
      <c r="BAS519" s="379"/>
      <c r="BAT519" s="379"/>
      <c r="BAU519" s="13"/>
      <c r="BAV519" s="13"/>
      <c r="BAW519" s="193"/>
      <c r="BAX519" s="379"/>
      <c r="BAY519" s="379"/>
      <c r="BAZ519" s="379"/>
      <c r="BBA519" s="379"/>
      <c r="BBB519" s="379"/>
      <c r="BBC519" s="13"/>
      <c r="BBD519" s="13"/>
      <c r="BBE519" s="193"/>
      <c r="BBF519" s="379"/>
      <c r="BBG519" s="379"/>
      <c r="BBH519" s="379"/>
      <c r="BBI519" s="379"/>
      <c r="BBJ519" s="379"/>
      <c r="BBK519" s="13"/>
      <c r="BBL519" s="13"/>
      <c r="BBM519" s="193"/>
      <c r="BBN519" s="379"/>
      <c r="BBO519" s="379"/>
      <c r="BBP519" s="379"/>
      <c r="BBQ519" s="379"/>
      <c r="BBR519" s="379"/>
      <c r="BBS519" s="13"/>
      <c r="BBT519" s="13"/>
      <c r="BBU519" s="193"/>
      <c r="BBV519" s="379"/>
      <c r="BBW519" s="379"/>
      <c r="BBX519" s="379"/>
      <c r="BBY519" s="379"/>
      <c r="BBZ519" s="379"/>
      <c r="BCA519" s="13"/>
      <c r="BCB519" s="13"/>
      <c r="BCC519" s="193"/>
      <c r="BCD519" s="379"/>
      <c r="BCE519" s="379"/>
      <c r="BCF519" s="379"/>
      <c r="BCG519" s="379"/>
      <c r="BCH519" s="379"/>
      <c r="BCI519" s="13"/>
      <c r="BCJ519" s="13"/>
      <c r="BCK519" s="193"/>
      <c r="BCL519" s="379"/>
      <c r="BCM519" s="379"/>
      <c r="BCN519" s="379"/>
      <c r="BCO519" s="379"/>
      <c r="BCP519" s="379"/>
      <c r="BCQ519" s="13"/>
      <c r="BCR519" s="13"/>
      <c r="BCS519" s="193"/>
      <c r="BCT519" s="379"/>
      <c r="BCU519" s="379"/>
      <c r="BCV519" s="379"/>
      <c r="BCW519" s="379"/>
      <c r="BCX519" s="379"/>
      <c r="BCY519" s="13"/>
      <c r="BCZ519" s="13"/>
      <c r="BDA519" s="193"/>
      <c r="BDB519" s="379"/>
      <c r="BDC519" s="379"/>
      <c r="BDD519" s="379"/>
      <c r="BDE519" s="379"/>
      <c r="BDF519" s="379"/>
      <c r="BDG519" s="13"/>
      <c r="BDH519" s="13"/>
      <c r="BDI519" s="193"/>
      <c r="BDJ519" s="379"/>
      <c r="BDK519" s="379"/>
      <c r="BDL519" s="379"/>
      <c r="BDM519" s="379"/>
      <c r="BDN519" s="379"/>
      <c r="BDO519" s="13"/>
      <c r="BDP519" s="13"/>
      <c r="BDQ519" s="193"/>
      <c r="BDR519" s="379"/>
      <c r="BDS519" s="379"/>
      <c r="BDT519" s="379"/>
      <c r="BDU519" s="379"/>
      <c r="BDV519" s="379"/>
      <c r="BDW519" s="13"/>
      <c r="BDX519" s="13"/>
      <c r="BDY519" s="193"/>
      <c r="BDZ519" s="379"/>
      <c r="BEA519" s="379"/>
      <c r="BEB519" s="379"/>
      <c r="BEC519" s="379"/>
      <c r="BED519" s="379"/>
      <c r="BEE519" s="13"/>
      <c r="BEF519" s="13"/>
      <c r="BEG519" s="193"/>
      <c r="BEH519" s="379"/>
      <c r="BEI519" s="379"/>
      <c r="BEJ519" s="379"/>
      <c r="BEK519" s="379"/>
      <c r="BEL519" s="379"/>
      <c r="BEM519" s="13"/>
      <c r="BEN519" s="13"/>
      <c r="BEO519" s="193"/>
      <c r="BEP519" s="379"/>
      <c r="BEQ519" s="379"/>
      <c r="BER519" s="379"/>
      <c r="BES519" s="379"/>
      <c r="BET519" s="379"/>
      <c r="BEU519" s="13"/>
      <c r="BEV519" s="13"/>
      <c r="BEW519" s="193"/>
      <c r="BEX519" s="379"/>
      <c r="BEY519" s="379"/>
      <c r="BEZ519" s="379"/>
      <c r="BFA519" s="379"/>
      <c r="BFB519" s="379"/>
      <c r="BFC519" s="13"/>
      <c r="BFD519" s="13"/>
      <c r="BFE519" s="193"/>
      <c r="BFF519" s="379"/>
      <c r="BFG519" s="379"/>
      <c r="BFH519" s="379"/>
      <c r="BFI519" s="379"/>
      <c r="BFJ519" s="379"/>
      <c r="BFK519" s="13"/>
      <c r="BFL519" s="13"/>
      <c r="BFM519" s="193"/>
      <c r="BFN519" s="379"/>
      <c r="BFO519" s="379"/>
      <c r="BFP519" s="379"/>
      <c r="BFQ519" s="379"/>
      <c r="BFR519" s="379"/>
      <c r="BFS519" s="13"/>
      <c r="BFT519" s="13"/>
      <c r="BFU519" s="193"/>
      <c r="BFV519" s="379"/>
      <c r="BFW519" s="379"/>
      <c r="BFX519" s="379"/>
      <c r="BFY519" s="379"/>
      <c r="BFZ519" s="379"/>
      <c r="BGA519" s="13"/>
      <c r="BGB519" s="13"/>
      <c r="BGC519" s="193"/>
      <c r="BGD519" s="379"/>
      <c r="BGE519" s="379"/>
      <c r="BGF519" s="379"/>
      <c r="BGG519" s="379"/>
      <c r="BGH519" s="379"/>
      <c r="BGI519" s="13"/>
      <c r="BGJ519" s="13"/>
      <c r="BGK519" s="193"/>
      <c r="BGL519" s="379"/>
      <c r="BGM519" s="379"/>
      <c r="BGN519" s="379"/>
      <c r="BGO519" s="379"/>
      <c r="BGP519" s="379"/>
      <c r="BGQ519" s="13"/>
      <c r="BGR519" s="13"/>
      <c r="BGS519" s="193"/>
      <c r="BGT519" s="379"/>
      <c r="BGU519" s="379"/>
      <c r="BGV519" s="379"/>
      <c r="BGW519" s="379"/>
      <c r="BGX519" s="379"/>
      <c r="BGY519" s="13"/>
      <c r="BGZ519" s="13"/>
      <c r="BHA519" s="193"/>
      <c r="BHB519" s="379"/>
      <c r="BHC519" s="379"/>
      <c r="BHD519" s="379"/>
      <c r="BHE519" s="379"/>
      <c r="BHF519" s="379"/>
      <c r="BHG519" s="13"/>
      <c r="BHH519" s="13"/>
      <c r="BHI519" s="193"/>
      <c r="BHJ519" s="379"/>
      <c r="BHK519" s="379"/>
      <c r="BHL519" s="379"/>
      <c r="BHM519" s="379"/>
      <c r="BHN519" s="379"/>
      <c r="BHO519" s="13"/>
      <c r="BHP519" s="13"/>
      <c r="BHQ519" s="193"/>
      <c r="BHR519" s="379"/>
      <c r="BHS519" s="379"/>
      <c r="BHT519" s="379"/>
      <c r="BHU519" s="379"/>
      <c r="BHV519" s="379"/>
      <c r="BHW519" s="13"/>
      <c r="BHX519" s="13"/>
      <c r="BHY519" s="193"/>
      <c r="BHZ519" s="379"/>
      <c r="BIA519" s="379"/>
      <c r="BIB519" s="379"/>
      <c r="BIC519" s="379"/>
      <c r="BID519" s="379"/>
      <c r="BIE519" s="13"/>
      <c r="BIF519" s="13"/>
      <c r="BIG519" s="193"/>
      <c r="BIH519" s="379"/>
      <c r="BII519" s="379"/>
      <c r="BIJ519" s="379"/>
      <c r="BIK519" s="379"/>
      <c r="BIL519" s="379"/>
      <c r="BIM519" s="13"/>
      <c r="BIN519" s="13"/>
      <c r="BIO519" s="193"/>
      <c r="BIP519" s="379"/>
      <c r="BIQ519" s="379"/>
      <c r="BIR519" s="379"/>
      <c r="BIS519" s="379"/>
      <c r="BIT519" s="379"/>
      <c r="BIU519" s="13"/>
      <c r="BIV519" s="13"/>
      <c r="BIW519" s="193"/>
      <c r="BIX519" s="379"/>
      <c r="BIY519" s="379"/>
      <c r="BIZ519" s="379"/>
      <c r="BJA519" s="379"/>
      <c r="BJB519" s="379"/>
      <c r="BJC519" s="13"/>
      <c r="BJD519" s="13"/>
      <c r="BJE519" s="193"/>
      <c r="BJF519" s="379"/>
      <c r="BJG519" s="379"/>
      <c r="BJH519" s="379"/>
      <c r="BJI519" s="379"/>
      <c r="BJJ519" s="379"/>
      <c r="BJK519" s="13"/>
      <c r="BJL519" s="13"/>
      <c r="BJM519" s="193"/>
      <c r="BJN519" s="379"/>
      <c r="BJO519" s="379"/>
      <c r="BJP519" s="379"/>
      <c r="BJQ519" s="379"/>
      <c r="BJR519" s="379"/>
      <c r="BJS519" s="13"/>
      <c r="BJT519" s="13"/>
      <c r="BJU519" s="193"/>
      <c r="BJV519" s="379"/>
      <c r="BJW519" s="379"/>
      <c r="BJX519" s="379"/>
      <c r="BJY519" s="379"/>
      <c r="BJZ519" s="379"/>
      <c r="BKA519" s="13"/>
      <c r="BKB519" s="13"/>
      <c r="BKC519" s="193"/>
      <c r="BKD519" s="379"/>
      <c r="BKE519" s="379"/>
      <c r="BKF519" s="379"/>
      <c r="BKG519" s="379"/>
      <c r="BKH519" s="379"/>
      <c r="BKI519" s="13"/>
      <c r="BKJ519" s="13"/>
      <c r="BKK519" s="193"/>
      <c r="BKL519" s="379"/>
      <c r="BKM519" s="379"/>
      <c r="BKN519" s="379"/>
      <c r="BKO519" s="379"/>
      <c r="BKP519" s="379"/>
      <c r="BKQ519" s="13"/>
      <c r="BKR519" s="13"/>
      <c r="BKS519" s="193"/>
      <c r="BKT519" s="379"/>
      <c r="BKU519" s="379"/>
      <c r="BKV519" s="379"/>
      <c r="BKW519" s="379"/>
      <c r="BKX519" s="379"/>
      <c r="BKY519" s="13"/>
      <c r="BKZ519" s="13"/>
      <c r="BLA519" s="193"/>
      <c r="BLB519" s="379"/>
      <c r="BLC519" s="379"/>
      <c r="BLD519" s="379"/>
      <c r="BLE519" s="379"/>
      <c r="BLF519" s="379"/>
      <c r="BLG519" s="13"/>
      <c r="BLH519" s="13"/>
      <c r="BLI519" s="193"/>
      <c r="BLJ519" s="379"/>
      <c r="BLK519" s="379"/>
      <c r="BLL519" s="379"/>
      <c r="BLM519" s="379"/>
      <c r="BLN519" s="379"/>
      <c r="BLO519" s="13"/>
      <c r="BLP519" s="13"/>
      <c r="BLQ519" s="193"/>
      <c r="BLR519" s="379"/>
      <c r="BLS519" s="379"/>
      <c r="BLT519" s="379"/>
      <c r="BLU519" s="379"/>
      <c r="BLV519" s="379"/>
      <c r="BLW519" s="13"/>
      <c r="BLX519" s="13"/>
      <c r="BLY519" s="193"/>
      <c r="BLZ519" s="379"/>
      <c r="BMA519" s="379"/>
      <c r="BMB519" s="379"/>
      <c r="BMC519" s="379"/>
      <c r="BMD519" s="379"/>
      <c r="BME519" s="13"/>
      <c r="BMF519" s="13"/>
      <c r="BMG519" s="193"/>
      <c r="BMH519" s="379"/>
      <c r="BMI519" s="379"/>
      <c r="BMJ519" s="379"/>
      <c r="BMK519" s="379"/>
      <c r="BML519" s="379"/>
      <c r="BMM519" s="13"/>
      <c r="BMN519" s="13"/>
      <c r="BMO519" s="193"/>
      <c r="BMP519" s="379"/>
      <c r="BMQ519" s="379"/>
      <c r="BMR519" s="379"/>
      <c r="BMS519" s="379"/>
      <c r="BMT519" s="379"/>
      <c r="BMU519" s="13"/>
      <c r="BMV519" s="13"/>
      <c r="BMW519" s="193"/>
      <c r="BMX519" s="379"/>
      <c r="BMY519" s="379"/>
      <c r="BMZ519" s="379"/>
      <c r="BNA519" s="379"/>
      <c r="BNB519" s="379"/>
      <c r="BNC519" s="13"/>
      <c r="BND519" s="13"/>
      <c r="BNE519" s="193"/>
      <c r="BNF519" s="379"/>
      <c r="BNG519" s="379"/>
      <c r="BNH519" s="379"/>
      <c r="BNI519" s="379"/>
      <c r="BNJ519" s="379"/>
      <c r="BNK519" s="13"/>
      <c r="BNL519" s="13"/>
      <c r="BNM519" s="193"/>
      <c r="BNN519" s="379"/>
      <c r="BNO519" s="379"/>
      <c r="BNP519" s="379"/>
      <c r="BNQ519" s="379"/>
      <c r="BNR519" s="379"/>
      <c r="BNS519" s="13"/>
      <c r="BNT519" s="13"/>
      <c r="BNU519" s="193"/>
      <c r="BNV519" s="379"/>
      <c r="BNW519" s="379"/>
      <c r="BNX519" s="379"/>
      <c r="BNY519" s="379"/>
      <c r="BNZ519" s="379"/>
      <c r="BOA519" s="13"/>
      <c r="BOB519" s="13"/>
      <c r="BOC519" s="193"/>
      <c r="BOD519" s="379"/>
      <c r="BOE519" s="379"/>
      <c r="BOF519" s="379"/>
      <c r="BOG519" s="379"/>
      <c r="BOH519" s="379"/>
      <c r="BOI519" s="13"/>
      <c r="BOJ519" s="13"/>
      <c r="BOK519" s="193"/>
      <c r="BOL519" s="379"/>
      <c r="BOM519" s="379"/>
      <c r="BON519" s="379"/>
      <c r="BOO519" s="379"/>
      <c r="BOP519" s="379"/>
      <c r="BOQ519" s="13"/>
      <c r="BOR519" s="13"/>
      <c r="BOS519" s="193"/>
      <c r="BOT519" s="379"/>
      <c r="BOU519" s="379"/>
      <c r="BOV519" s="379"/>
      <c r="BOW519" s="379"/>
      <c r="BOX519" s="379"/>
      <c r="BOY519" s="13"/>
      <c r="BOZ519" s="13"/>
      <c r="BPA519" s="193"/>
      <c r="BPB519" s="379"/>
      <c r="BPC519" s="379"/>
      <c r="BPD519" s="379"/>
      <c r="BPE519" s="379"/>
      <c r="BPF519" s="379"/>
      <c r="BPG519" s="13"/>
      <c r="BPH519" s="13"/>
      <c r="BPI519" s="193"/>
      <c r="BPJ519" s="379"/>
      <c r="BPK519" s="379"/>
      <c r="BPL519" s="379"/>
      <c r="BPM519" s="379"/>
      <c r="BPN519" s="379"/>
      <c r="BPO519" s="13"/>
      <c r="BPP519" s="13"/>
      <c r="BPQ519" s="193"/>
      <c r="BPR519" s="379"/>
      <c r="BPS519" s="379"/>
      <c r="BPT519" s="379"/>
      <c r="BPU519" s="379"/>
      <c r="BPV519" s="379"/>
      <c r="BPW519" s="13"/>
      <c r="BPX519" s="13"/>
      <c r="BPY519" s="193"/>
      <c r="BPZ519" s="379"/>
      <c r="BQA519" s="379"/>
      <c r="BQB519" s="379"/>
      <c r="BQC519" s="379"/>
      <c r="BQD519" s="379"/>
      <c r="BQE519" s="13"/>
      <c r="BQF519" s="13"/>
      <c r="BQG519" s="193"/>
      <c r="BQH519" s="379"/>
      <c r="BQI519" s="379"/>
      <c r="BQJ519" s="379"/>
      <c r="BQK519" s="379"/>
      <c r="BQL519" s="379"/>
      <c r="BQM519" s="13"/>
      <c r="BQN519" s="13"/>
      <c r="BQO519" s="193"/>
      <c r="BQP519" s="379"/>
      <c r="BQQ519" s="379"/>
      <c r="BQR519" s="379"/>
      <c r="BQS519" s="379"/>
      <c r="BQT519" s="379"/>
      <c r="BQU519" s="13"/>
      <c r="BQV519" s="13"/>
      <c r="BQW519" s="193"/>
      <c r="BQX519" s="379"/>
      <c r="BQY519" s="379"/>
      <c r="BQZ519" s="379"/>
      <c r="BRA519" s="379"/>
      <c r="BRB519" s="379"/>
      <c r="BRC519" s="13"/>
      <c r="BRD519" s="13"/>
      <c r="BRE519" s="193"/>
      <c r="BRF519" s="379"/>
      <c r="BRG519" s="379"/>
      <c r="BRH519" s="379"/>
      <c r="BRI519" s="379"/>
      <c r="BRJ519" s="379"/>
      <c r="BRK519" s="13"/>
      <c r="BRL519" s="13"/>
      <c r="BRM519" s="193"/>
      <c r="BRN519" s="379"/>
      <c r="BRO519" s="379"/>
      <c r="BRP519" s="379"/>
      <c r="BRQ519" s="379"/>
      <c r="BRR519" s="379"/>
      <c r="BRS519" s="13"/>
      <c r="BRT519" s="13"/>
      <c r="BRU519" s="193"/>
      <c r="BRV519" s="379"/>
      <c r="BRW519" s="379"/>
      <c r="BRX519" s="379"/>
      <c r="BRY519" s="379"/>
      <c r="BRZ519" s="379"/>
      <c r="BSA519" s="13"/>
      <c r="BSB519" s="13"/>
      <c r="BSC519" s="193"/>
      <c r="BSD519" s="379"/>
      <c r="BSE519" s="379"/>
      <c r="BSF519" s="379"/>
      <c r="BSG519" s="379"/>
      <c r="BSH519" s="379"/>
      <c r="BSI519" s="13"/>
      <c r="BSJ519" s="13"/>
      <c r="BSK519" s="193"/>
      <c r="BSL519" s="379"/>
      <c r="BSM519" s="379"/>
      <c r="BSN519" s="379"/>
      <c r="BSO519" s="379"/>
      <c r="BSP519" s="379"/>
      <c r="BSQ519" s="13"/>
      <c r="BSR519" s="13"/>
      <c r="BSS519" s="193"/>
      <c r="BST519" s="379"/>
      <c r="BSU519" s="379"/>
      <c r="BSV519" s="379"/>
      <c r="BSW519" s="379"/>
      <c r="BSX519" s="379"/>
      <c r="BSY519" s="13"/>
      <c r="BSZ519" s="13"/>
      <c r="BTA519" s="193"/>
      <c r="BTB519" s="379"/>
      <c r="BTC519" s="379"/>
      <c r="BTD519" s="379"/>
      <c r="BTE519" s="379"/>
      <c r="BTF519" s="379"/>
      <c r="BTG519" s="13"/>
      <c r="BTH519" s="13"/>
      <c r="BTI519" s="193"/>
      <c r="BTJ519" s="379"/>
      <c r="BTK519" s="379"/>
      <c r="BTL519" s="379"/>
      <c r="BTM519" s="379"/>
      <c r="BTN519" s="379"/>
      <c r="BTO519" s="13"/>
      <c r="BTP519" s="13"/>
      <c r="BTQ519" s="193"/>
      <c r="BTR519" s="379"/>
      <c r="BTS519" s="379"/>
      <c r="BTT519" s="379"/>
      <c r="BTU519" s="379"/>
      <c r="BTV519" s="379"/>
      <c r="BTW519" s="13"/>
      <c r="BTX519" s="13"/>
      <c r="BTY519" s="193"/>
      <c r="BTZ519" s="379"/>
      <c r="BUA519" s="379"/>
      <c r="BUB519" s="379"/>
      <c r="BUC519" s="379"/>
      <c r="BUD519" s="379"/>
      <c r="BUE519" s="13"/>
      <c r="BUF519" s="13"/>
      <c r="BUG519" s="193"/>
      <c r="BUH519" s="379"/>
      <c r="BUI519" s="379"/>
      <c r="BUJ519" s="379"/>
      <c r="BUK519" s="379"/>
      <c r="BUL519" s="379"/>
      <c r="BUM519" s="13"/>
      <c r="BUN519" s="13"/>
      <c r="BUO519" s="193"/>
      <c r="BUP519" s="379"/>
      <c r="BUQ519" s="379"/>
      <c r="BUR519" s="379"/>
      <c r="BUS519" s="379"/>
      <c r="BUT519" s="379"/>
      <c r="BUU519" s="13"/>
      <c r="BUV519" s="13"/>
      <c r="BUW519" s="193"/>
      <c r="BUX519" s="379"/>
      <c r="BUY519" s="379"/>
      <c r="BUZ519" s="379"/>
      <c r="BVA519" s="379"/>
      <c r="BVB519" s="379"/>
      <c r="BVC519" s="13"/>
      <c r="BVD519" s="13"/>
      <c r="BVE519" s="193"/>
      <c r="BVF519" s="379"/>
      <c r="BVG519" s="379"/>
      <c r="BVH519" s="379"/>
      <c r="BVI519" s="379"/>
      <c r="BVJ519" s="379"/>
      <c r="BVK519" s="13"/>
      <c r="BVL519" s="13"/>
      <c r="BVM519" s="193"/>
      <c r="BVN519" s="379"/>
      <c r="BVO519" s="379"/>
      <c r="BVP519" s="379"/>
      <c r="BVQ519" s="379"/>
      <c r="BVR519" s="379"/>
      <c r="BVS519" s="13"/>
      <c r="BVT519" s="13"/>
      <c r="BVU519" s="193"/>
      <c r="BVV519" s="379"/>
      <c r="BVW519" s="379"/>
      <c r="BVX519" s="379"/>
      <c r="BVY519" s="379"/>
      <c r="BVZ519" s="379"/>
      <c r="BWA519" s="13"/>
      <c r="BWB519" s="13"/>
      <c r="BWC519" s="193"/>
      <c r="BWD519" s="379"/>
      <c r="BWE519" s="379"/>
      <c r="BWF519" s="379"/>
      <c r="BWG519" s="379"/>
      <c r="BWH519" s="379"/>
      <c r="BWI519" s="13"/>
      <c r="BWJ519" s="13"/>
      <c r="BWK519" s="193"/>
      <c r="BWL519" s="379"/>
      <c r="BWM519" s="379"/>
      <c r="BWN519" s="379"/>
      <c r="BWO519" s="379"/>
      <c r="BWP519" s="379"/>
      <c r="BWQ519" s="13"/>
      <c r="BWR519" s="13"/>
      <c r="BWS519" s="193"/>
      <c r="BWT519" s="379"/>
      <c r="BWU519" s="379"/>
      <c r="BWV519" s="379"/>
      <c r="BWW519" s="379"/>
      <c r="BWX519" s="379"/>
      <c r="BWY519" s="13"/>
      <c r="BWZ519" s="13"/>
      <c r="BXA519" s="193"/>
      <c r="BXB519" s="379"/>
      <c r="BXC519" s="379"/>
      <c r="BXD519" s="379"/>
      <c r="BXE519" s="379"/>
      <c r="BXF519" s="379"/>
      <c r="BXG519" s="13"/>
      <c r="BXH519" s="13"/>
      <c r="BXI519" s="193"/>
      <c r="BXJ519" s="379"/>
      <c r="BXK519" s="379"/>
      <c r="BXL519" s="379"/>
      <c r="BXM519" s="379"/>
      <c r="BXN519" s="379"/>
      <c r="BXO519" s="13"/>
      <c r="BXP519" s="13"/>
      <c r="BXQ519" s="193"/>
      <c r="BXR519" s="379"/>
      <c r="BXS519" s="379"/>
      <c r="BXT519" s="379"/>
      <c r="BXU519" s="379"/>
      <c r="BXV519" s="379"/>
      <c r="BXW519" s="13"/>
      <c r="BXX519" s="13"/>
      <c r="BXY519" s="193"/>
      <c r="BXZ519" s="379"/>
      <c r="BYA519" s="379"/>
      <c r="BYB519" s="379"/>
      <c r="BYC519" s="379"/>
      <c r="BYD519" s="379"/>
      <c r="BYE519" s="13"/>
      <c r="BYF519" s="13"/>
      <c r="BYG519" s="193"/>
      <c r="BYH519" s="379"/>
      <c r="BYI519" s="379"/>
      <c r="BYJ519" s="379"/>
      <c r="BYK519" s="379"/>
      <c r="BYL519" s="379"/>
      <c r="BYM519" s="13"/>
      <c r="BYN519" s="13"/>
      <c r="BYO519" s="193"/>
      <c r="BYP519" s="379"/>
      <c r="BYQ519" s="379"/>
      <c r="BYR519" s="379"/>
      <c r="BYS519" s="379"/>
      <c r="BYT519" s="379"/>
      <c r="BYU519" s="13"/>
      <c r="BYV519" s="13"/>
      <c r="BYW519" s="193"/>
      <c r="BYX519" s="379"/>
      <c r="BYY519" s="379"/>
      <c r="BYZ519" s="379"/>
      <c r="BZA519" s="379"/>
      <c r="BZB519" s="379"/>
      <c r="BZC519" s="13"/>
      <c r="BZD519" s="13"/>
      <c r="BZE519" s="193"/>
      <c r="BZF519" s="379"/>
      <c r="BZG519" s="379"/>
      <c r="BZH519" s="379"/>
      <c r="BZI519" s="379"/>
      <c r="BZJ519" s="379"/>
      <c r="BZK519" s="13"/>
      <c r="BZL519" s="13"/>
      <c r="BZM519" s="193"/>
      <c r="BZN519" s="379"/>
      <c r="BZO519" s="379"/>
      <c r="BZP519" s="379"/>
      <c r="BZQ519" s="379"/>
      <c r="BZR519" s="379"/>
      <c r="BZS519" s="13"/>
      <c r="BZT519" s="13"/>
      <c r="BZU519" s="193"/>
      <c r="BZV519" s="379"/>
      <c r="BZW519" s="379"/>
      <c r="BZX519" s="379"/>
      <c r="BZY519" s="379"/>
      <c r="BZZ519" s="379"/>
      <c r="CAA519" s="13"/>
      <c r="CAB519" s="13"/>
      <c r="CAC519" s="193"/>
      <c r="CAD519" s="379"/>
      <c r="CAE519" s="379"/>
      <c r="CAF519" s="379"/>
      <c r="CAG519" s="379"/>
      <c r="CAH519" s="379"/>
      <c r="CAI519" s="13"/>
      <c r="CAJ519" s="13"/>
      <c r="CAK519" s="193"/>
      <c r="CAL519" s="379"/>
      <c r="CAM519" s="379"/>
      <c r="CAN519" s="379"/>
      <c r="CAO519" s="379"/>
      <c r="CAP519" s="379"/>
      <c r="CAQ519" s="13"/>
      <c r="CAR519" s="13"/>
      <c r="CAS519" s="193"/>
      <c r="CAT519" s="379"/>
      <c r="CAU519" s="379"/>
      <c r="CAV519" s="379"/>
      <c r="CAW519" s="379"/>
      <c r="CAX519" s="379"/>
      <c r="CAY519" s="13"/>
      <c r="CAZ519" s="13"/>
      <c r="CBA519" s="193"/>
      <c r="CBB519" s="379"/>
      <c r="CBC519" s="379"/>
      <c r="CBD519" s="379"/>
      <c r="CBE519" s="379"/>
      <c r="CBF519" s="379"/>
      <c r="CBG519" s="13"/>
      <c r="CBH519" s="13"/>
      <c r="CBI519" s="193"/>
      <c r="CBJ519" s="379"/>
      <c r="CBK519" s="379"/>
      <c r="CBL519" s="379"/>
      <c r="CBM519" s="379"/>
      <c r="CBN519" s="379"/>
      <c r="CBO519" s="13"/>
      <c r="CBP519" s="13"/>
      <c r="CBQ519" s="193"/>
      <c r="CBR519" s="379"/>
      <c r="CBS519" s="379"/>
      <c r="CBT519" s="379"/>
      <c r="CBU519" s="379"/>
      <c r="CBV519" s="379"/>
      <c r="CBW519" s="13"/>
      <c r="CBX519" s="13"/>
      <c r="CBY519" s="193"/>
      <c r="CBZ519" s="379"/>
      <c r="CCA519" s="379"/>
      <c r="CCB519" s="379"/>
      <c r="CCC519" s="379"/>
      <c r="CCD519" s="379"/>
      <c r="CCE519" s="13"/>
      <c r="CCF519" s="13"/>
      <c r="CCG519" s="193"/>
      <c r="CCH519" s="379"/>
      <c r="CCI519" s="379"/>
      <c r="CCJ519" s="379"/>
      <c r="CCK519" s="379"/>
      <c r="CCL519" s="379"/>
      <c r="CCM519" s="13"/>
      <c r="CCN519" s="13"/>
      <c r="CCO519" s="193"/>
      <c r="CCP519" s="379"/>
      <c r="CCQ519" s="379"/>
      <c r="CCR519" s="379"/>
      <c r="CCS519" s="379"/>
      <c r="CCT519" s="379"/>
      <c r="CCU519" s="13"/>
      <c r="CCV519" s="13"/>
      <c r="CCW519" s="193"/>
      <c r="CCX519" s="379"/>
      <c r="CCY519" s="379"/>
      <c r="CCZ519" s="379"/>
      <c r="CDA519" s="379"/>
      <c r="CDB519" s="379"/>
      <c r="CDC519" s="13"/>
      <c r="CDD519" s="13"/>
      <c r="CDE519" s="193"/>
      <c r="CDF519" s="379"/>
      <c r="CDG519" s="379"/>
      <c r="CDH519" s="379"/>
      <c r="CDI519" s="379"/>
      <c r="CDJ519" s="379"/>
      <c r="CDK519" s="13"/>
      <c r="CDL519" s="13"/>
      <c r="CDM519" s="193"/>
      <c r="CDN519" s="379"/>
      <c r="CDO519" s="379"/>
      <c r="CDP519" s="379"/>
      <c r="CDQ519" s="379"/>
      <c r="CDR519" s="379"/>
      <c r="CDS519" s="13"/>
      <c r="CDT519" s="13"/>
      <c r="CDU519" s="193"/>
      <c r="CDV519" s="379"/>
      <c r="CDW519" s="379"/>
      <c r="CDX519" s="379"/>
      <c r="CDY519" s="379"/>
      <c r="CDZ519" s="379"/>
      <c r="CEA519" s="13"/>
      <c r="CEB519" s="13"/>
      <c r="CEC519" s="193"/>
      <c r="CED519" s="379"/>
      <c r="CEE519" s="379"/>
      <c r="CEF519" s="379"/>
      <c r="CEG519" s="379"/>
      <c r="CEH519" s="379"/>
      <c r="CEI519" s="13"/>
      <c r="CEJ519" s="13"/>
      <c r="CEK519" s="193"/>
      <c r="CEL519" s="379"/>
      <c r="CEM519" s="379"/>
      <c r="CEN519" s="379"/>
      <c r="CEO519" s="379"/>
      <c r="CEP519" s="379"/>
      <c r="CEQ519" s="13"/>
      <c r="CER519" s="13"/>
      <c r="CES519" s="193"/>
      <c r="CET519" s="379"/>
      <c r="CEU519" s="379"/>
      <c r="CEV519" s="379"/>
      <c r="CEW519" s="379"/>
      <c r="CEX519" s="379"/>
      <c r="CEY519" s="13"/>
      <c r="CEZ519" s="13"/>
      <c r="CFA519" s="193"/>
      <c r="CFB519" s="379"/>
      <c r="CFC519" s="379"/>
      <c r="CFD519" s="379"/>
      <c r="CFE519" s="379"/>
      <c r="CFF519" s="379"/>
      <c r="CFG519" s="13"/>
      <c r="CFH519" s="13"/>
      <c r="CFI519" s="193"/>
      <c r="CFJ519" s="379"/>
      <c r="CFK519" s="379"/>
      <c r="CFL519" s="379"/>
      <c r="CFM519" s="379"/>
      <c r="CFN519" s="379"/>
      <c r="CFO519" s="13"/>
      <c r="CFP519" s="13"/>
      <c r="CFQ519" s="193"/>
      <c r="CFR519" s="379"/>
      <c r="CFS519" s="379"/>
      <c r="CFT519" s="379"/>
      <c r="CFU519" s="379"/>
      <c r="CFV519" s="379"/>
      <c r="CFW519" s="13"/>
      <c r="CFX519" s="13"/>
      <c r="CFY519" s="193"/>
      <c r="CFZ519" s="379"/>
      <c r="CGA519" s="379"/>
      <c r="CGB519" s="379"/>
      <c r="CGC519" s="379"/>
      <c r="CGD519" s="379"/>
      <c r="CGE519" s="13"/>
      <c r="CGF519" s="13"/>
      <c r="CGG519" s="193"/>
      <c r="CGH519" s="379"/>
      <c r="CGI519" s="379"/>
      <c r="CGJ519" s="379"/>
      <c r="CGK519" s="379"/>
      <c r="CGL519" s="379"/>
      <c r="CGM519" s="13"/>
      <c r="CGN519" s="13"/>
      <c r="CGO519" s="193"/>
      <c r="CGP519" s="379"/>
      <c r="CGQ519" s="379"/>
      <c r="CGR519" s="379"/>
      <c r="CGS519" s="379"/>
      <c r="CGT519" s="379"/>
      <c r="CGU519" s="13"/>
      <c r="CGV519" s="13"/>
      <c r="CGW519" s="193"/>
      <c r="CGX519" s="379"/>
      <c r="CGY519" s="379"/>
      <c r="CGZ519" s="379"/>
      <c r="CHA519" s="379"/>
      <c r="CHB519" s="379"/>
      <c r="CHC519" s="13"/>
      <c r="CHD519" s="13"/>
      <c r="CHE519" s="193"/>
      <c r="CHF519" s="379"/>
      <c r="CHG519" s="379"/>
      <c r="CHH519" s="379"/>
      <c r="CHI519" s="379"/>
      <c r="CHJ519" s="379"/>
      <c r="CHK519" s="13"/>
      <c r="CHL519" s="13"/>
      <c r="CHM519" s="193"/>
      <c r="CHN519" s="379"/>
      <c r="CHO519" s="379"/>
      <c r="CHP519" s="379"/>
      <c r="CHQ519" s="379"/>
      <c r="CHR519" s="379"/>
      <c r="CHS519" s="13"/>
      <c r="CHT519" s="13"/>
      <c r="CHU519" s="193"/>
      <c r="CHV519" s="379"/>
      <c r="CHW519" s="379"/>
      <c r="CHX519" s="379"/>
      <c r="CHY519" s="379"/>
      <c r="CHZ519" s="379"/>
      <c r="CIA519" s="13"/>
      <c r="CIB519" s="13"/>
      <c r="CIC519" s="193"/>
      <c r="CID519" s="379"/>
      <c r="CIE519" s="379"/>
      <c r="CIF519" s="379"/>
      <c r="CIG519" s="379"/>
      <c r="CIH519" s="379"/>
      <c r="CII519" s="13"/>
      <c r="CIJ519" s="13"/>
      <c r="CIK519" s="193"/>
      <c r="CIL519" s="379"/>
      <c r="CIM519" s="379"/>
      <c r="CIN519" s="379"/>
      <c r="CIO519" s="379"/>
      <c r="CIP519" s="379"/>
      <c r="CIQ519" s="13"/>
      <c r="CIR519" s="13"/>
      <c r="CIS519" s="193"/>
      <c r="CIT519" s="379"/>
      <c r="CIU519" s="379"/>
      <c r="CIV519" s="379"/>
      <c r="CIW519" s="379"/>
      <c r="CIX519" s="379"/>
      <c r="CIY519" s="13"/>
      <c r="CIZ519" s="13"/>
      <c r="CJA519" s="193"/>
      <c r="CJB519" s="379"/>
      <c r="CJC519" s="379"/>
      <c r="CJD519" s="379"/>
      <c r="CJE519" s="379"/>
      <c r="CJF519" s="379"/>
      <c r="CJG519" s="13"/>
      <c r="CJH519" s="13"/>
      <c r="CJI519" s="193"/>
      <c r="CJJ519" s="379"/>
      <c r="CJK519" s="379"/>
      <c r="CJL519" s="379"/>
      <c r="CJM519" s="379"/>
      <c r="CJN519" s="379"/>
      <c r="CJO519" s="13"/>
      <c r="CJP519" s="13"/>
      <c r="CJQ519" s="193"/>
      <c r="CJR519" s="379"/>
      <c r="CJS519" s="379"/>
      <c r="CJT519" s="379"/>
      <c r="CJU519" s="379"/>
      <c r="CJV519" s="379"/>
      <c r="CJW519" s="13"/>
      <c r="CJX519" s="13"/>
      <c r="CJY519" s="193"/>
      <c r="CJZ519" s="379"/>
      <c r="CKA519" s="379"/>
      <c r="CKB519" s="379"/>
      <c r="CKC519" s="379"/>
      <c r="CKD519" s="379"/>
      <c r="CKE519" s="13"/>
      <c r="CKF519" s="13"/>
      <c r="CKG519" s="193"/>
      <c r="CKH519" s="379"/>
      <c r="CKI519" s="379"/>
      <c r="CKJ519" s="379"/>
      <c r="CKK519" s="379"/>
      <c r="CKL519" s="379"/>
      <c r="CKM519" s="13"/>
      <c r="CKN519" s="13"/>
      <c r="CKO519" s="193"/>
      <c r="CKP519" s="379"/>
      <c r="CKQ519" s="379"/>
      <c r="CKR519" s="379"/>
      <c r="CKS519" s="379"/>
      <c r="CKT519" s="379"/>
      <c r="CKU519" s="13"/>
      <c r="CKV519" s="13"/>
      <c r="CKW519" s="193"/>
      <c r="CKX519" s="379"/>
      <c r="CKY519" s="379"/>
      <c r="CKZ519" s="379"/>
      <c r="CLA519" s="379"/>
      <c r="CLB519" s="379"/>
      <c r="CLC519" s="13"/>
      <c r="CLD519" s="13"/>
      <c r="CLE519" s="193"/>
      <c r="CLF519" s="379"/>
      <c r="CLG519" s="379"/>
      <c r="CLH519" s="379"/>
      <c r="CLI519" s="379"/>
      <c r="CLJ519" s="379"/>
      <c r="CLK519" s="13"/>
      <c r="CLL519" s="13"/>
      <c r="CLM519" s="193"/>
      <c r="CLN519" s="379"/>
      <c r="CLO519" s="379"/>
      <c r="CLP519" s="379"/>
      <c r="CLQ519" s="379"/>
      <c r="CLR519" s="379"/>
      <c r="CLS519" s="13"/>
      <c r="CLT519" s="13"/>
      <c r="CLU519" s="193"/>
      <c r="CLV519" s="379"/>
      <c r="CLW519" s="379"/>
      <c r="CLX519" s="379"/>
      <c r="CLY519" s="379"/>
      <c r="CLZ519" s="379"/>
      <c r="CMA519" s="13"/>
      <c r="CMB519" s="13"/>
      <c r="CMC519" s="193"/>
      <c r="CMD519" s="379"/>
      <c r="CME519" s="379"/>
      <c r="CMF519" s="379"/>
      <c r="CMG519" s="379"/>
      <c r="CMH519" s="379"/>
      <c r="CMI519" s="13"/>
      <c r="CMJ519" s="13"/>
      <c r="CMK519" s="193"/>
      <c r="CML519" s="379"/>
      <c r="CMM519" s="379"/>
      <c r="CMN519" s="379"/>
      <c r="CMO519" s="379"/>
      <c r="CMP519" s="379"/>
      <c r="CMQ519" s="13"/>
      <c r="CMR519" s="13"/>
      <c r="CMS519" s="193"/>
      <c r="CMT519" s="379"/>
      <c r="CMU519" s="379"/>
      <c r="CMV519" s="379"/>
      <c r="CMW519" s="379"/>
      <c r="CMX519" s="379"/>
      <c r="CMY519" s="13"/>
      <c r="CMZ519" s="13"/>
      <c r="CNA519" s="193"/>
      <c r="CNB519" s="379"/>
      <c r="CNC519" s="379"/>
      <c r="CND519" s="379"/>
      <c r="CNE519" s="379"/>
      <c r="CNF519" s="379"/>
      <c r="CNG519" s="13"/>
      <c r="CNH519" s="13"/>
      <c r="CNI519" s="193"/>
      <c r="CNJ519" s="379"/>
      <c r="CNK519" s="379"/>
      <c r="CNL519" s="379"/>
      <c r="CNM519" s="379"/>
      <c r="CNN519" s="379"/>
      <c r="CNO519" s="13"/>
      <c r="CNP519" s="13"/>
      <c r="CNQ519" s="193"/>
      <c r="CNR519" s="379"/>
      <c r="CNS519" s="379"/>
      <c r="CNT519" s="379"/>
      <c r="CNU519" s="379"/>
      <c r="CNV519" s="379"/>
      <c r="CNW519" s="13"/>
      <c r="CNX519" s="13"/>
      <c r="CNY519" s="193"/>
      <c r="CNZ519" s="379"/>
      <c r="COA519" s="379"/>
      <c r="COB519" s="379"/>
      <c r="COC519" s="379"/>
      <c r="COD519" s="379"/>
      <c r="COE519" s="13"/>
      <c r="COF519" s="13"/>
      <c r="COG519" s="193"/>
      <c r="COH519" s="379"/>
      <c r="COI519" s="379"/>
      <c r="COJ519" s="379"/>
      <c r="COK519" s="379"/>
      <c r="COL519" s="379"/>
      <c r="COM519" s="13"/>
      <c r="CON519" s="13"/>
      <c r="COO519" s="193"/>
      <c r="COP519" s="379"/>
      <c r="COQ519" s="379"/>
      <c r="COR519" s="379"/>
      <c r="COS519" s="379"/>
      <c r="COT519" s="379"/>
      <c r="COU519" s="13"/>
      <c r="COV519" s="13"/>
      <c r="COW519" s="193"/>
      <c r="COX519" s="379"/>
      <c r="COY519" s="379"/>
      <c r="COZ519" s="379"/>
      <c r="CPA519" s="379"/>
      <c r="CPB519" s="379"/>
      <c r="CPC519" s="13"/>
      <c r="CPD519" s="13"/>
      <c r="CPE519" s="193"/>
      <c r="CPF519" s="379"/>
      <c r="CPG519" s="379"/>
      <c r="CPH519" s="379"/>
      <c r="CPI519" s="379"/>
      <c r="CPJ519" s="379"/>
      <c r="CPK519" s="13"/>
      <c r="CPL519" s="13"/>
      <c r="CPM519" s="193"/>
      <c r="CPN519" s="379"/>
      <c r="CPO519" s="379"/>
      <c r="CPP519" s="379"/>
      <c r="CPQ519" s="379"/>
      <c r="CPR519" s="379"/>
      <c r="CPS519" s="13"/>
      <c r="CPT519" s="13"/>
      <c r="CPU519" s="193"/>
      <c r="CPV519" s="379"/>
      <c r="CPW519" s="379"/>
      <c r="CPX519" s="379"/>
      <c r="CPY519" s="379"/>
      <c r="CPZ519" s="379"/>
      <c r="CQA519" s="13"/>
      <c r="CQB519" s="13"/>
      <c r="CQC519" s="193"/>
      <c r="CQD519" s="379"/>
      <c r="CQE519" s="379"/>
      <c r="CQF519" s="379"/>
      <c r="CQG519" s="379"/>
      <c r="CQH519" s="379"/>
      <c r="CQI519" s="13"/>
      <c r="CQJ519" s="13"/>
      <c r="CQK519" s="193"/>
      <c r="CQL519" s="379"/>
      <c r="CQM519" s="379"/>
      <c r="CQN519" s="379"/>
      <c r="CQO519" s="379"/>
      <c r="CQP519" s="379"/>
      <c r="CQQ519" s="13"/>
      <c r="CQR519" s="13"/>
      <c r="CQS519" s="193"/>
      <c r="CQT519" s="379"/>
      <c r="CQU519" s="379"/>
      <c r="CQV519" s="379"/>
      <c r="CQW519" s="379"/>
      <c r="CQX519" s="379"/>
      <c r="CQY519" s="13"/>
      <c r="CQZ519" s="13"/>
      <c r="CRA519" s="193"/>
      <c r="CRB519" s="379"/>
      <c r="CRC519" s="379"/>
      <c r="CRD519" s="379"/>
      <c r="CRE519" s="379"/>
      <c r="CRF519" s="379"/>
      <c r="CRG519" s="13"/>
      <c r="CRH519" s="13"/>
      <c r="CRI519" s="193"/>
      <c r="CRJ519" s="379"/>
      <c r="CRK519" s="379"/>
      <c r="CRL519" s="379"/>
      <c r="CRM519" s="379"/>
      <c r="CRN519" s="379"/>
      <c r="CRO519" s="13"/>
      <c r="CRP519" s="13"/>
      <c r="CRQ519" s="193"/>
      <c r="CRR519" s="379"/>
      <c r="CRS519" s="379"/>
      <c r="CRT519" s="379"/>
      <c r="CRU519" s="379"/>
      <c r="CRV519" s="379"/>
      <c r="CRW519" s="13"/>
      <c r="CRX519" s="13"/>
      <c r="CRY519" s="193"/>
      <c r="CRZ519" s="379"/>
      <c r="CSA519" s="379"/>
      <c r="CSB519" s="379"/>
      <c r="CSC519" s="379"/>
      <c r="CSD519" s="379"/>
      <c r="CSE519" s="13"/>
      <c r="CSF519" s="13"/>
      <c r="CSG519" s="193"/>
      <c r="CSH519" s="379"/>
      <c r="CSI519" s="379"/>
      <c r="CSJ519" s="379"/>
      <c r="CSK519" s="379"/>
      <c r="CSL519" s="379"/>
      <c r="CSM519" s="13"/>
      <c r="CSN519" s="13"/>
      <c r="CSO519" s="193"/>
      <c r="CSP519" s="379"/>
      <c r="CSQ519" s="379"/>
      <c r="CSR519" s="379"/>
      <c r="CSS519" s="379"/>
      <c r="CST519" s="379"/>
      <c r="CSU519" s="13"/>
      <c r="CSV519" s="13"/>
      <c r="CSW519" s="193"/>
      <c r="CSX519" s="379"/>
      <c r="CSY519" s="379"/>
      <c r="CSZ519" s="379"/>
      <c r="CTA519" s="379"/>
      <c r="CTB519" s="379"/>
      <c r="CTC519" s="13"/>
      <c r="CTD519" s="13"/>
      <c r="CTE519" s="193"/>
      <c r="CTF519" s="379"/>
      <c r="CTG519" s="379"/>
      <c r="CTH519" s="379"/>
      <c r="CTI519" s="379"/>
      <c r="CTJ519" s="379"/>
      <c r="CTK519" s="13"/>
      <c r="CTL519" s="13"/>
      <c r="CTM519" s="193"/>
      <c r="CTN519" s="379"/>
      <c r="CTO519" s="379"/>
      <c r="CTP519" s="379"/>
      <c r="CTQ519" s="379"/>
      <c r="CTR519" s="379"/>
      <c r="CTS519" s="13"/>
      <c r="CTT519" s="13"/>
      <c r="CTU519" s="193"/>
      <c r="CTV519" s="379"/>
      <c r="CTW519" s="379"/>
      <c r="CTX519" s="379"/>
      <c r="CTY519" s="379"/>
      <c r="CTZ519" s="379"/>
      <c r="CUA519" s="13"/>
      <c r="CUB519" s="13"/>
      <c r="CUC519" s="193"/>
      <c r="CUD519" s="379"/>
      <c r="CUE519" s="379"/>
      <c r="CUF519" s="379"/>
      <c r="CUG519" s="379"/>
      <c r="CUH519" s="379"/>
      <c r="CUI519" s="13"/>
      <c r="CUJ519" s="13"/>
      <c r="CUK519" s="193"/>
      <c r="CUL519" s="379"/>
      <c r="CUM519" s="379"/>
      <c r="CUN519" s="379"/>
      <c r="CUO519" s="379"/>
      <c r="CUP519" s="379"/>
      <c r="CUQ519" s="13"/>
      <c r="CUR519" s="13"/>
      <c r="CUS519" s="193"/>
      <c r="CUT519" s="379"/>
      <c r="CUU519" s="379"/>
      <c r="CUV519" s="379"/>
      <c r="CUW519" s="379"/>
      <c r="CUX519" s="379"/>
      <c r="CUY519" s="13"/>
      <c r="CUZ519" s="13"/>
      <c r="CVA519" s="193"/>
      <c r="CVB519" s="379"/>
      <c r="CVC519" s="379"/>
      <c r="CVD519" s="379"/>
      <c r="CVE519" s="379"/>
      <c r="CVF519" s="379"/>
      <c r="CVG519" s="13"/>
      <c r="CVH519" s="13"/>
      <c r="CVI519" s="193"/>
      <c r="CVJ519" s="379"/>
      <c r="CVK519" s="379"/>
      <c r="CVL519" s="379"/>
      <c r="CVM519" s="379"/>
      <c r="CVN519" s="379"/>
      <c r="CVO519" s="13"/>
      <c r="CVP519" s="13"/>
      <c r="CVQ519" s="193"/>
      <c r="CVR519" s="379"/>
      <c r="CVS519" s="379"/>
      <c r="CVT519" s="379"/>
      <c r="CVU519" s="379"/>
      <c r="CVV519" s="379"/>
      <c r="CVW519" s="13"/>
      <c r="CVX519" s="13"/>
      <c r="CVY519" s="193"/>
      <c r="CVZ519" s="379"/>
      <c r="CWA519" s="379"/>
      <c r="CWB519" s="379"/>
      <c r="CWC519" s="379"/>
      <c r="CWD519" s="379"/>
      <c r="CWE519" s="13"/>
      <c r="CWF519" s="13"/>
      <c r="CWG519" s="193"/>
      <c r="CWH519" s="379"/>
      <c r="CWI519" s="379"/>
      <c r="CWJ519" s="379"/>
      <c r="CWK519" s="379"/>
      <c r="CWL519" s="379"/>
      <c r="CWM519" s="13"/>
      <c r="CWN519" s="13"/>
      <c r="CWO519" s="193"/>
      <c r="CWP519" s="379"/>
      <c r="CWQ519" s="379"/>
      <c r="CWR519" s="379"/>
      <c r="CWS519" s="379"/>
      <c r="CWT519" s="379"/>
      <c r="CWU519" s="13"/>
      <c r="CWV519" s="13"/>
      <c r="CWW519" s="193"/>
      <c r="CWX519" s="379"/>
      <c r="CWY519" s="379"/>
      <c r="CWZ519" s="379"/>
      <c r="CXA519" s="379"/>
      <c r="CXB519" s="379"/>
      <c r="CXC519" s="13"/>
      <c r="CXD519" s="13"/>
      <c r="CXE519" s="193"/>
      <c r="CXF519" s="379"/>
      <c r="CXG519" s="379"/>
      <c r="CXH519" s="379"/>
      <c r="CXI519" s="379"/>
      <c r="CXJ519" s="379"/>
      <c r="CXK519" s="13"/>
      <c r="CXL519" s="13"/>
      <c r="CXM519" s="193"/>
      <c r="CXN519" s="379"/>
      <c r="CXO519" s="379"/>
      <c r="CXP519" s="379"/>
      <c r="CXQ519" s="379"/>
      <c r="CXR519" s="379"/>
      <c r="CXS519" s="13"/>
      <c r="CXT519" s="13"/>
      <c r="CXU519" s="193"/>
      <c r="CXV519" s="379"/>
      <c r="CXW519" s="379"/>
      <c r="CXX519" s="379"/>
      <c r="CXY519" s="379"/>
      <c r="CXZ519" s="379"/>
      <c r="CYA519" s="13"/>
      <c r="CYB519" s="13"/>
      <c r="CYC519" s="193"/>
      <c r="CYD519" s="379"/>
      <c r="CYE519" s="379"/>
      <c r="CYF519" s="379"/>
      <c r="CYG519" s="379"/>
      <c r="CYH519" s="379"/>
      <c r="CYI519" s="13"/>
      <c r="CYJ519" s="13"/>
      <c r="CYK519" s="193"/>
      <c r="CYL519" s="379"/>
      <c r="CYM519" s="379"/>
      <c r="CYN519" s="379"/>
      <c r="CYO519" s="379"/>
      <c r="CYP519" s="379"/>
      <c r="CYQ519" s="13"/>
      <c r="CYR519" s="13"/>
      <c r="CYS519" s="193"/>
      <c r="CYT519" s="379"/>
      <c r="CYU519" s="379"/>
      <c r="CYV519" s="379"/>
      <c r="CYW519" s="379"/>
      <c r="CYX519" s="379"/>
      <c r="CYY519" s="13"/>
      <c r="CYZ519" s="13"/>
      <c r="CZA519" s="193"/>
      <c r="CZB519" s="379"/>
      <c r="CZC519" s="379"/>
      <c r="CZD519" s="379"/>
      <c r="CZE519" s="379"/>
      <c r="CZF519" s="379"/>
      <c r="CZG519" s="13"/>
      <c r="CZH519" s="13"/>
      <c r="CZI519" s="193"/>
      <c r="CZJ519" s="379"/>
      <c r="CZK519" s="379"/>
      <c r="CZL519" s="379"/>
      <c r="CZM519" s="379"/>
      <c r="CZN519" s="379"/>
      <c r="CZO519" s="13"/>
      <c r="CZP519" s="13"/>
      <c r="CZQ519" s="193"/>
      <c r="CZR519" s="379"/>
      <c r="CZS519" s="379"/>
      <c r="CZT519" s="379"/>
      <c r="CZU519" s="379"/>
      <c r="CZV519" s="379"/>
      <c r="CZW519" s="13"/>
      <c r="CZX519" s="13"/>
      <c r="CZY519" s="193"/>
      <c r="CZZ519" s="379"/>
      <c r="DAA519" s="379"/>
      <c r="DAB519" s="379"/>
      <c r="DAC519" s="379"/>
      <c r="DAD519" s="379"/>
      <c r="DAE519" s="13"/>
      <c r="DAF519" s="13"/>
      <c r="DAG519" s="193"/>
      <c r="DAH519" s="379"/>
      <c r="DAI519" s="379"/>
      <c r="DAJ519" s="379"/>
      <c r="DAK519" s="379"/>
      <c r="DAL519" s="379"/>
      <c r="DAM519" s="13"/>
      <c r="DAN519" s="13"/>
      <c r="DAO519" s="193"/>
      <c r="DAP519" s="379"/>
      <c r="DAQ519" s="379"/>
      <c r="DAR519" s="379"/>
      <c r="DAS519" s="379"/>
      <c r="DAT519" s="379"/>
      <c r="DAU519" s="13"/>
      <c r="DAV519" s="13"/>
      <c r="DAW519" s="193"/>
      <c r="DAX519" s="379"/>
      <c r="DAY519" s="379"/>
      <c r="DAZ519" s="379"/>
      <c r="DBA519" s="379"/>
      <c r="DBB519" s="379"/>
      <c r="DBC519" s="13"/>
      <c r="DBD519" s="13"/>
      <c r="DBE519" s="193"/>
      <c r="DBF519" s="379"/>
      <c r="DBG519" s="379"/>
      <c r="DBH519" s="379"/>
      <c r="DBI519" s="379"/>
      <c r="DBJ519" s="379"/>
      <c r="DBK519" s="13"/>
      <c r="DBL519" s="13"/>
      <c r="DBM519" s="193"/>
      <c r="DBN519" s="379"/>
      <c r="DBO519" s="379"/>
      <c r="DBP519" s="379"/>
      <c r="DBQ519" s="379"/>
      <c r="DBR519" s="379"/>
      <c r="DBS519" s="13"/>
      <c r="DBT519" s="13"/>
      <c r="DBU519" s="193"/>
      <c r="DBV519" s="379"/>
      <c r="DBW519" s="379"/>
      <c r="DBX519" s="379"/>
      <c r="DBY519" s="379"/>
      <c r="DBZ519" s="379"/>
      <c r="DCA519" s="13"/>
      <c r="DCB519" s="13"/>
      <c r="DCC519" s="193"/>
      <c r="DCD519" s="379"/>
      <c r="DCE519" s="379"/>
      <c r="DCF519" s="379"/>
      <c r="DCG519" s="379"/>
      <c r="DCH519" s="379"/>
      <c r="DCI519" s="13"/>
      <c r="DCJ519" s="13"/>
      <c r="DCK519" s="193"/>
      <c r="DCL519" s="379"/>
      <c r="DCM519" s="379"/>
      <c r="DCN519" s="379"/>
      <c r="DCO519" s="379"/>
      <c r="DCP519" s="379"/>
      <c r="DCQ519" s="13"/>
      <c r="DCR519" s="13"/>
      <c r="DCS519" s="193"/>
      <c r="DCT519" s="379"/>
      <c r="DCU519" s="379"/>
      <c r="DCV519" s="379"/>
      <c r="DCW519" s="379"/>
      <c r="DCX519" s="379"/>
      <c r="DCY519" s="13"/>
      <c r="DCZ519" s="13"/>
      <c r="DDA519" s="193"/>
      <c r="DDB519" s="379"/>
      <c r="DDC519" s="379"/>
      <c r="DDD519" s="379"/>
      <c r="DDE519" s="379"/>
      <c r="DDF519" s="379"/>
      <c r="DDG519" s="13"/>
      <c r="DDH519" s="13"/>
      <c r="DDI519" s="193"/>
      <c r="DDJ519" s="379"/>
      <c r="DDK519" s="379"/>
      <c r="DDL519" s="379"/>
      <c r="DDM519" s="379"/>
      <c r="DDN519" s="379"/>
      <c r="DDO519" s="13"/>
      <c r="DDP519" s="13"/>
      <c r="DDQ519" s="193"/>
      <c r="DDR519" s="379"/>
      <c r="DDS519" s="379"/>
      <c r="DDT519" s="379"/>
      <c r="DDU519" s="379"/>
      <c r="DDV519" s="379"/>
      <c r="DDW519" s="13"/>
      <c r="DDX519" s="13"/>
      <c r="DDY519" s="193"/>
      <c r="DDZ519" s="379"/>
      <c r="DEA519" s="379"/>
      <c r="DEB519" s="379"/>
      <c r="DEC519" s="379"/>
      <c r="DED519" s="379"/>
      <c r="DEE519" s="13"/>
      <c r="DEF519" s="13"/>
      <c r="DEG519" s="193"/>
      <c r="DEH519" s="379"/>
      <c r="DEI519" s="379"/>
      <c r="DEJ519" s="379"/>
      <c r="DEK519" s="379"/>
      <c r="DEL519" s="379"/>
      <c r="DEM519" s="13"/>
      <c r="DEN519" s="13"/>
      <c r="DEO519" s="193"/>
      <c r="DEP519" s="379"/>
      <c r="DEQ519" s="379"/>
      <c r="DER519" s="379"/>
      <c r="DES519" s="379"/>
      <c r="DET519" s="379"/>
      <c r="DEU519" s="13"/>
      <c r="DEV519" s="13"/>
      <c r="DEW519" s="193"/>
      <c r="DEX519" s="379"/>
      <c r="DEY519" s="379"/>
      <c r="DEZ519" s="379"/>
      <c r="DFA519" s="379"/>
      <c r="DFB519" s="379"/>
      <c r="DFC519" s="13"/>
      <c r="DFD519" s="13"/>
      <c r="DFE519" s="193"/>
      <c r="DFF519" s="379"/>
      <c r="DFG519" s="379"/>
      <c r="DFH519" s="379"/>
      <c r="DFI519" s="379"/>
      <c r="DFJ519" s="379"/>
      <c r="DFK519" s="13"/>
      <c r="DFL519" s="13"/>
      <c r="DFM519" s="193"/>
      <c r="DFN519" s="379"/>
      <c r="DFO519" s="379"/>
      <c r="DFP519" s="379"/>
      <c r="DFQ519" s="379"/>
      <c r="DFR519" s="379"/>
      <c r="DFS519" s="13"/>
      <c r="DFT519" s="13"/>
      <c r="DFU519" s="193"/>
      <c r="DFV519" s="379"/>
      <c r="DFW519" s="379"/>
      <c r="DFX519" s="379"/>
      <c r="DFY519" s="379"/>
      <c r="DFZ519" s="379"/>
      <c r="DGA519" s="13"/>
      <c r="DGB519" s="13"/>
      <c r="DGC519" s="193"/>
      <c r="DGD519" s="379"/>
      <c r="DGE519" s="379"/>
      <c r="DGF519" s="379"/>
      <c r="DGG519" s="379"/>
      <c r="DGH519" s="379"/>
      <c r="DGI519" s="13"/>
      <c r="DGJ519" s="13"/>
      <c r="DGK519" s="193"/>
      <c r="DGL519" s="379"/>
      <c r="DGM519" s="379"/>
      <c r="DGN519" s="379"/>
      <c r="DGO519" s="379"/>
      <c r="DGP519" s="379"/>
      <c r="DGQ519" s="13"/>
      <c r="DGR519" s="13"/>
      <c r="DGS519" s="193"/>
      <c r="DGT519" s="379"/>
      <c r="DGU519" s="379"/>
      <c r="DGV519" s="379"/>
      <c r="DGW519" s="379"/>
      <c r="DGX519" s="379"/>
      <c r="DGY519" s="13"/>
      <c r="DGZ519" s="13"/>
      <c r="DHA519" s="193"/>
      <c r="DHB519" s="379"/>
      <c r="DHC519" s="379"/>
      <c r="DHD519" s="379"/>
      <c r="DHE519" s="379"/>
      <c r="DHF519" s="379"/>
      <c r="DHG519" s="13"/>
      <c r="DHH519" s="13"/>
      <c r="DHI519" s="193"/>
      <c r="DHJ519" s="379"/>
      <c r="DHK519" s="379"/>
      <c r="DHL519" s="379"/>
      <c r="DHM519" s="379"/>
      <c r="DHN519" s="379"/>
      <c r="DHO519" s="13"/>
      <c r="DHP519" s="13"/>
      <c r="DHQ519" s="193"/>
      <c r="DHR519" s="379"/>
      <c r="DHS519" s="379"/>
      <c r="DHT519" s="379"/>
      <c r="DHU519" s="379"/>
      <c r="DHV519" s="379"/>
      <c r="DHW519" s="13"/>
      <c r="DHX519" s="13"/>
      <c r="DHY519" s="193"/>
      <c r="DHZ519" s="379"/>
      <c r="DIA519" s="379"/>
      <c r="DIB519" s="379"/>
      <c r="DIC519" s="379"/>
      <c r="DID519" s="379"/>
      <c r="DIE519" s="13"/>
      <c r="DIF519" s="13"/>
      <c r="DIG519" s="193"/>
      <c r="DIH519" s="379"/>
      <c r="DII519" s="379"/>
      <c r="DIJ519" s="379"/>
      <c r="DIK519" s="379"/>
      <c r="DIL519" s="379"/>
      <c r="DIM519" s="13"/>
      <c r="DIN519" s="13"/>
      <c r="DIO519" s="193"/>
      <c r="DIP519" s="379"/>
      <c r="DIQ519" s="379"/>
      <c r="DIR519" s="379"/>
      <c r="DIS519" s="379"/>
      <c r="DIT519" s="379"/>
      <c r="DIU519" s="13"/>
      <c r="DIV519" s="13"/>
      <c r="DIW519" s="193"/>
      <c r="DIX519" s="379"/>
      <c r="DIY519" s="379"/>
      <c r="DIZ519" s="379"/>
      <c r="DJA519" s="379"/>
      <c r="DJB519" s="379"/>
      <c r="DJC519" s="13"/>
      <c r="DJD519" s="13"/>
      <c r="DJE519" s="193"/>
      <c r="DJF519" s="379"/>
      <c r="DJG519" s="379"/>
      <c r="DJH519" s="379"/>
      <c r="DJI519" s="379"/>
      <c r="DJJ519" s="379"/>
      <c r="DJK519" s="13"/>
      <c r="DJL519" s="13"/>
      <c r="DJM519" s="193"/>
      <c r="DJN519" s="379"/>
      <c r="DJO519" s="379"/>
      <c r="DJP519" s="379"/>
      <c r="DJQ519" s="379"/>
      <c r="DJR519" s="379"/>
      <c r="DJS519" s="13"/>
      <c r="DJT519" s="13"/>
      <c r="DJU519" s="193"/>
      <c r="DJV519" s="379"/>
      <c r="DJW519" s="379"/>
      <c r="DJX519" s="379"/>
      <c r="DJY519" s="379"/>
      <c r="DJZ519" s="379"/>
      <c r="DKA519" s="13"/>
      <c r="DKB519" s="13"/>
      <c r="DKC519" s="193"/>
      <c r="DKD519" s="379"/>
      <c r="DKE519" s="379"/>
      <c r="DKF519" s="379"/>
      <c r="DKG519" s="379"/>
      <c r="DKH519" s="379"/>
      <c r="DKI519" s="13"/>
      <c r="DKJ519" s="13"/>
      <c r="DKK519" s="193"/>
      <c r="DKL519" s="379"/>
      <c r="DKM519" s="379"/>
      <c r="DKN519" s="379"/>
      <c r="DKO519" s="379"/>
      <c r="DKP519" s="379"/>
      <c r="DKQ519" s="13"/>
      <c r="DKR519" s="13"/>
      <c r="DKS519" s="193"/>
      <c r="DKT519" s="379"/>
      <c r="DKU519" s="379"/>
      <c r="DKV519" s="379"/>
      <c r="DKW519" s="379"/>
      <c r="DKX519" s="379"/>
      <c r="DKY519" s="13"/>
      <c r="DKZ519" s="13"/>
      <c r="DLA519" s="193"/>
      <c r="DLB519" s="379"/>
      <c r="DLC519" s="379"/>
      <c r="DLD519" s="379"/>
      <c r="DLE519" s="379"/>
      <c r="DLF519" s="379"/>
      <c r="DLG519" s="13"/>
      <c r="DLH519" s="13"/>
      <c r="DLI519" s="193"/>
      <c r="DLJ519" s="379"/>
      <c r="DLK519" s="379"/>
      <c r="DLL519" s="379"/>
      <c r="DLM519" s="379"/>
      <c r="DLN519" s="379"/>
      <c r="DLO519" s="13"/>
      <c r="DLP519" s="13"/>
      <c r="DLQ519" s="193"/>
      <c r="DLR519" s="379"/>
      <c r="DLS519" s="379"/>
      <c r="DLT519" s="379"/>
      <c r="DLU519" s="379"/>
      <c r="DLV519" s="379"/>
      <c r="DLW519" s="13"/>
      <c r="DLX519" s="13"/>
      <c r="DLY519" s="193"/>
      <c r="DLZ519" s="379"/>
      <c r="DMA519" s="379"/>
      <c r="DMB519" s="379"/>
      <c r="DMC519" s="379"/>
      <c r="DMD519" s="379"/>
      <c r="DME519" s="13"/>
      <c r="DMF519" s="13"/>
      <c r="DMG519" s="193"/>
      <c r="DMH519" s="379"/>
      <c r="DMI519" s="379"/>
      <c r="DMJ519" s="379"/>
      <c r="DMK519" s="379"/>
      <c r="DML519" s="379"/>
      <c r="DMM519" s="13"/>
      <c r="DMN519" s="13"/>
      <c r="DMO519" s="193"/>
      <c r="DMP519" s="379"/>
      <c r="DMQ519" s="379"/>
      <c r="DMR519" s="379"/>
      <c r="DMS519" s="379"/>
      <c r="DMT519" s="379"/>
      <c r="DMU519" s="13"/>
      <c r="DMV519" s="13"/>
      <c r="DMW519" s="193"/>
      <c r="DMX519" s="379"/>
      <c r="DMY519" s="379"/>
      <c r="DMZ519" s="379"/>
      <c r="DNA519" s="379"/>
      <c r="DNB519" s="379"/>
      <c r="DNC519" s="13"/>
      <c r="DND519" s="13"/>
      <c r="DNE519" s="193"/>
      <c r="DNF519" s="379"/>
      <c r="DNG519" s="379"/>
      <c r="DNH519" s="379"/>
      <c r="DNI519" s="379"/>
      <c r="DNJ519" s="379"/>
      <c r="DNK519" s="13"/>
      <c r="DNL519" s="13"/>
      <c r="DNM519" s="193"/>
      <c r="DNN519" s="379"/>
      <c r="DNO519" s="379"/>
      <c r="DNP519" s="379"/>
      <c r="DNQ519" s="379"/>
      <c r="DNR519" s="379"/>
      <c r="DNS519" s="13"/>
      <c r="DNT519" s="13"/>
      <c r="DNU519" s="193"/>
      <c r="DNV519" s="379"/>
      <c r="DNW519" s="379"/>
      <c r="DNX519" s="379"/>
      <c r="DNY519" s="379"/>
      <c r="DNZ519" s="379"/>
      <c r="DOA519" s="13"/>
      <c r="DOB519" s="13"/>
      <c r="DOC519" s="193"/>
      <c r="DOD519" s="379"/>
      <c r="DOE519" s="379"/>
      <c r="DOF519" s="379"/>
      <c r="DOG519" s="379"/>
      <c r="DOH519" s="379"/>
      <c r="DOI519" s="13"/>
      <c r="DOJ519" s="13"/>
      <c r="DOK519" s="193"/>
      <c r="DOL519" s="379"/>
      <c r="DOM519" s="379"/>
      <c r="DON519" s="379"/>
      <c r="DOO519" s="379"/>
      <c r="DOP519" s="379"/>
      <c r="DOQ519" s="13"/>
      <c r="DOR519" s="13"/>
      <c r="DOS519" s="193"/>
      <c r="DOT519" s="379"/>
      <c r="DOU519" s="379"/>
      <c r="DOV519" s="379"/>
      <c r="DOW519" s="379"/>
      <c r="DOX519" s="379"/>
      <c r="DOY519" s="13"/>
      <c r="DOZ519" s="13"/>
      <c r="DPA519" s="193"/>
      <c r="DPB519" s="379"/>
      <c r="DPC519" s="379"/>
      <c r="DPD519" s="379"/>
      <c r="DPE519" s="379"/>
      <c r="DPF519" s="379"/>
      <c r="DPG519" s="13"/>
      <c r="DPH519" s="13"/>
      <c r="DPI519" s="193"/>
      <c r="DPJ519" s="379"/>
      <c r="DPK519" s="379"/>
      <c r="DPL519" s="379"/>
      <c r="DPM519" s="379"/>
      <c r="DPN519" s="379"/>
      <c r="DPO519" s="13"/>
      <c r="DPP519" s="13"/>
      <c r="DPQ519" s="193"/>
      <c r="DPR519" s="379"/>
      <c r="DPS519" s="379"/>
      <c r="DPT519" s="379"/>
      <c r="DPU519" s="379"/>
      <c r="DPV519" s="379"/>
      <c r="DPW519" s="13"/>
      <c r="DPX519" s="13"/>
      <c r="DPY519" s="193"/>
      <c r="DPZ519" s="379"/>
      <c r="DQA519" s="379"/>
      <c r="DQB519" s="379"/>
      <c r="DQC519" s="379"/>
      <c r="DQD519" s="379"/>
      <c r="DQE519" s="13"/>
      <c r="DQF519" s="13"/>
      <c r="DQG519" s="193"/>
      <c r="DQH519" s="379"/>
      <c r="DQI519" s="379"/>
      <c r="DQJ519" s="379"/>
      <c r="DQK519" s="379"/>
      <c r="DQL519" s="379"/>
      <c r="DQM519" s="13"/>
      <c r="DQN519" s="13"/>
      <c r="DQO519" s="193"/>
      <c r="DQP519" s="379"/>
      <c r="DQQ519" s="379"/>
      <c r="DQR519" s="379"/>
      <c r="DQS519" s="379"/>
      <c r="DQT519" s="379"/>
      <c r="DQU519" s="13"/>
      <c r="DQV519" s="13"/>
      <c r="DQW519" s="193"/>
      <c r="DQX519" s="379"/>
      <c r="DQY519" s="379"/>
      <c r="DQZ519" s="379"/>
      <c r="DRA519" s="379"/>
      <c r="DRB519" s="379"/>
      <c r="DRC519" s="13"/>
      <c r="DRD519" s="13"/>
      <c r="DRE519" s="193"/>
      <c r="DRF519" s="379"/>
      <c r="DRG519" s="379"/>
      <c r="DRH519" s="379"/>
      <c r="DRI519" s="379"/>
      <c r="DRJ519" s="379"/>
      <c r="DRK519" s="13"/>
      <c r="DRL519" s="13"/>
      <c r="DRM519" s="193"/>
      <c r="DRN519" s="379"/>
      <c r="DRO519" s="379"/>
      <c r="DRP519" s="379"/>
      <c r="DRQ519" s="379"/>
      <c r="DRR519" s="379"/>
      <c r="DRS519" s="13"/>
      <c r="DRT519" s="13"/>
      <c r="DRU519" s="193"/>
      <c r="DRV519" s="379"/>
      <c r="DRW519" s="379"/>
      <c r="DRX519" s="379"/>
      <c r="DRY519" s="379"/>
      <c r="DRZ519" s="379"/>
      <c r="DSA519" s="13"/>
      <c r="DSB519" s="13"/>
      <c r="DSC519" s="193"/>
      <c r="DSD519" s="379"/>
      <c r="DSE519" s="379"/>
      <c r="DSF519" s="379"/>
      <c r="DSG519" s="379"/>
      <c r="DSH519" s="379"/>
      <c r="DSI519" s="13"/>
      <c r="DSJ519" s="13"/>
      <c r="DSK519" s="193"/>
      <c r="DSL519" s="379"/>
      <c r="DSM519" s="379"/>
      <c r="DSN519" s="379"/>
      <c r="DSO519" s="379"/>
      <c r="DSP519" s="379"/>
      <c r="DSQ519" s="13"/>
      <c r="DSR519" s="13"/>
      <c r="DSS519" s="193"/>
      <c r="DST519" s="379"/>
      <c r="DSU519" s="379"/>
      <c r="DSV519" s="379"/>
      <c r="DSW519" s="379"/>
      <c r="DSX519" s="379"/>
      <c r="DSY519" s="13"/>
      <c r="DSZ519" s="13"/>
      <c r="DTA519" s="193"/>
      <c r="DTB519" s="379"/>
      <c r="DTC519" s="379"/>
      <c r="DTD519" s="379"/>
      <c r="DTE519" s="379"/>
      <c r="DTF519" s="379"/>
      <c r="DTG519" s="13"/>
      <c r="DTH519" s="13"/>
      <c r="DTI519" s="193"/>
      <c r="DTJ519" s="379"/>
      <c r="DTK519" s="379"/>
      <c r="DTL519" s="379"/>
      <c r="DTM519" s="379"/>
      <c r="DTN519" s="379"/>
      <c r="DTO519" s="13"/>
      <c r="DTP519" s="13"/>
      <c r="DTQ519" s="193"/>
      <c r="DTR519" s="379"/>
      <c r="DTS519" s="379"/>
      <c r="DTT519" s="379"/>
      <c r="DTU519" s="379"/>
      <c r="DTV519" s="379"/>
      <c r="DTW519" s="13"/>
      <c r="DTX519" s="13"/>
      <c r="DTY519" s="193"/>
      <c r="DTZ519" s="379"/>
      <c r="DUA519" s="379"/>
      <c r="DUB519" s="379"/>
      <c r="DUC519" s="379"/>
      <c r="DUD519" s="379"/>
      <c r="DUE519" s="13"/>
      <c r="DUF519" s="13"/>
      <c r="DUG519" s="193"/>
      <c r="DUH519" s="379"/>
      <c r="DUI519" s="379"/>
      <c r="DUJ519" s="379"/>
      <c r="DUK519" s="379"/>
      <c r="DUL519" s="379"/>
      <c r="DUM519" s="13"/>
      <c r="DUN519" s="13"/>
      <c r="DUO519" s="193"/>
      <c r="DUP519" s="379"/>
      <c r="DUQ519" s="379"/>
      <c r="DUR519" s="379"/>
      <c r="DUS519" s="379"/>
      <c r="DUT519" s="379"/>
      <c r="DUU519" s="13"/>
      <c r="DUV519" s="13"/>
      <c r="DUW519" s="193"/>
      <c r="DUX519" s="379"/>
      <c r="DUY519" s="379"/>
      <c r="DUZ519" s="379"/>
      <c r="DVA519" s="379"/>
      <c r="DVB519" s="379"/>
      <c r="DVC519" s="13"/>
      <c r="DVD519" s="13"/>
      <c r="DVE519" s="193"/>
      <c r="DVF519" s="379"/>
      <c r="DVG519" s="379"/>
      <c r="DVH519" s="379"/>
      <c r="DVI519" s="379"/>
      <c r="DVJ519" s="379"/>
      <c r="DVK519" s="13"/>
      <c r="DVL519" s="13"/>
      <c r="DVM519" s="193"/>
      <c r="DVN519" s="379"/>
      <c r="DVO519" s="379"/>
      <c r="DVP519" s="379"/>
      <c r="DVQ519" s="379"/>
      <c r="DVR519" s="379"/>
      <c r="DVS519" s="13"/>
      <c r="DVT519" s="13"/>
      <c r="DVU519" s="193"/>
      <c r="DVV519" s="379"/>
      <c r="DVW519" s="379"/>
      <c r="DVX519" s="379"/>
      <c r="DVY519" s="379"/>
      <c r="DVZ519" s="379"/>
      <c r="DWA519" s="13"/>
      <c r="DWB519" s="13"/>
      <c r="DWC519" s="193"/>
      <c r="DWD519" s="379"/>
      <c r="DWE519" s="379"/>
      <c r="DWF519" s="379"/>
      <c r="DWG519" s="379"/>
      <c r="DWH519" s="379"/>
      <c r="DWI519" s="13"/>
      <c r="DWJ519" s="13"/>
      <c r="DWK519" s="193"/>
      <c r="DWL519" s="379"/>
      <c r="DWM519" s="379"/>
      <c r="DWN519" s="379"/>
      <c r="DWO519" s="379"/>
      <c r="DWP519" s="379"/>
      <c r="DWQ519" s="13"/>
      <c r="DWR519" s="13"/>
      <c r="DWS519" s="193"/>
      <c r="DWT519" s="379"/>
      <c r="DWU519" s="379"/>
      <c r="DWV519" s="379"/>
      <c r="DWW519" s="379"/>
      <c r="DWX519" s="379"/>
      <c r="DWY519" s="13"/>
      <c r="DWZ519" s="13"/>
      <c r="DXA519" s="193"/>
      <c r="DXB519" s="379"/>
      <c r="DXC519" s="379"/>
      <c r="DXD519" s="379"/>
      <c r="DXE519" s="379"/>
      <c r="DXF519" s="379"/>
      <c r="DXG519" s="13"/>
      <c r="DXH519" s="13"/>
      <c r="DXI519" s="193"/>
      <c r="DXJ519" s="379"/>
      <c r="DXK519" s="379"/>
      <c r="DXL519" s="379"/>
      <c r="DXM519" s="379"/>
      <c r="DXN519" s="379"/>
      <c r="DXO519" s="13"/>
      <c r="DXP519" s="13"/>
      <c r="DXQ519" s="193"/>
      <c r="DXR519" s="379"/>
      <c r="DXS519" s="379"/>
      <c r="DXT519" s="379"/>
      <c r="DXU519" s="379"/>
      <c r="DXV519" s="379"/>
      <c r="DXW519" s="13"/>
      <c r="DXX519" s="13"/>
      <c r="DXY519" s="193"/>
      <c r="DXZ519" s="379"/>
      <c r="DYA519" s="379"/>
      <c r="DYB519" s="379"/>
      <c r="DYC519" s="379"/>
      <c r="DYD519" s="379"/>
      <c r="DYE519" s="13"/>
      <c r="DYF519" s="13"/>
      <c r="DYG519" s="193"/>
      <c r="DYH519" s="379"/>
      <c r="DYI519" s="379"/>
      <c r="DYJ519" s="379"/>
      <c r="DYK519" s="379"/>
      <c r="DYL519" s="379"/>
      <c r="DYM519" s="13"/>
      <c r="DYN519" s="13"/>
      <c r="DYO519" s="193"/>
      <c r="DYP519" s="379"/>
      <c r="DYQ519" s="379"/>
      <c r="DYR519" s="379"/>
      <c r="DYS519" s="379"/>
      <c r="DYT519" s="379"/>
      <c r="DYU519" s="13"/>
      <c r="DYV519" s="13"/>
      <c r="DYW519" s="193"/>
      <c r="DYX519" s="379"/>
      <c r="DYY519" s="379"/>
      <c r="DYZ519" s="379"/>
      <c r="DZA519" s="379"/>
      <c r="DZB519" s="379"/>
      <c r="DZC519" s="13"/>
      <c r="DZD519" s="13"/>
      <c r="DZE519" s="193"/>
      <c r="DZF519" s="379"/>
      <c r="DZG519" s="379"/>
      <c r="DZH519" s="379"/>
      <c r="DZI519" s="379"/>
      <c r="DZJ519" s="379"/>
      <c r="DZK519" s="13"/>
      <c r="DZL519" s="13"/>
      <c r="DZM519" s="193"/>
      <c r="DZN519" s="379"/>
      <c r="DZO519" s="379"/>
      <c r="DZP519" s="379"/>
      <c r="DZQ519" s="379"/>
      <c r="DZR519" s="379"/>
      <c r="DZS519" s="13"/>
      <c r="DZT519" s="13"/>
      <c r="DZU519" s="193"/>
      <c r="DZV519" s="379"/>
      <c r="DZW519" s="379"/>
      <c r="DZX519" s="379"/>
      <c r="DZY519" s="379"/>
      <c r="DZZ519" s="379"/>
      <c r="EAA519" s="13"/>
      <c r="EAB519" s="13"/>
      <c r="EAC519" s="193"/>
      <c r="EAD519" s="379"/>
      <c r="EAE519" s="379"/>
      <c r="EAF519" s="379"/>
      <c r="EAG519" s="379"/>
      <c r="EAH519" s="379"/>
      <c r="EAI519" s="13"/>
      <c r="EAJ519" s="13"/>
      <c r="EAK519" s="193"/>
      <c r="EAL519" s="379"/>
      <c r="EAM519" s="379"/>
      <c r="EAN519" s="379"/>
      <c r="EAO519" s="379"/>
      <c r="EAP519" s="379"/>
      <c r="EAQ519" s="13"/>
      <c r="EAR519" s="13"/>
      <c r="EAS519" s="193"/>
      <c r="EAT519" s="379"/>
      <c r="EAU519" s="379"/>
      <c r="EAV519" s="379"/>
      <c r="EAW519" s="379"/>
      <c r="EAX519" s="379"/>
      <c r="EAY519" s="13"/>
      <c r="EAZ519" s="13"/>
      <c r="EBA519" s="193"/>
      <c r="EBB519" s="379"/>
      <c r="EBC519" s="379"/>
      <c r="EBD519" s="379"/>
      <c r="EBE519" s="379"/>
      <c r="EBF519" s="379"/>
      <c r="EBG519" s="13"/>
      <c r="EBH519" s="13"/>
      <c r="EBI519" s="193"/>
      <c r="EBJ519" s="379"/>
      <c r="EBK519" s="379"/>
      <c r="EBL519" s="379"/>
      <c r="EBM519" s="379"/>
      <c r="EBN519" s="379"/>
      <c r="EBO519" s="13"/>
      <c r="EBP519" s="13"/>
      <c r="EBQ519" s="193"/>
      <c r="EBR519" s="379"/>
      <c r="EBS519" s="379"/>
      <c r="EBT519" s="379"/>
      <c r="EBU519" s="379"/>
      <c r="EBV519" s="379"/>
      <c r="EBW519" s="13"/>
      <c r="EBX519" s="13"/>
      <c r="EBY519" s="193"/>
      <c r="EBZ519" s="379"/>
      <c r="ECA519" s="379"/>
      <c r="ECB519" s="379"/>
      <c r="ECC519" s="379"/>
      <c r="ECD519" s="379"/>
      <c r="ECE519" s="13"/>
      <c r="ECF519" s="13"/>
      <c r="ECG519" s="193"/>
      <c r="ECH519" s="379"/>
      <c r="ECI519" s="379"/>
      <c r="ECJ519" s="379"/>
      <c r="ECK519" s="379"/>
      <c r="ECL519" s="379"/>
      <c r="ECM519" s="13"/>
      <c r="ECN519" s="13"/>
      <c r="ECO519" s="193"/>
      <c r="ECP519" s="379"/>
      <c r="ECQ519" s="379"/>
      <c r="ECR519" s="379"/>
      <c r="ECS519" s="379"/>
      <c r="ECT519" s="379"/>
      <c r="ECU519" s="13"/>
      <c r="ECV519" s="13"/>
      <c r="ECW519" s="193"/>
      <c r="ECX519" s="379"/>
      <c r="ECY519" s="379"/>
      <c r="ECZ519" s="379"/>
      <c r="EDA519" s="379"/>
      <c r="EDB519" s="379"/>
      <c r="EDC519" s="13"/>
      <c r="EDD519" s="13"/>
      <c r="EDE519" s="193"/>
      <c r="EDF519" s="379"/>
      <c r="EDG519" s="379"/>
      <c r="EDH519" s="379"/>
      <c r="EDI519" s="379"/>
      <c r="EDJ519" s="379"/>
      <c r="EDK519" s="13"/>
      <c r="EDL519" s="13"/>
      <c r="EDM519" s="193"/>
      <c r="EDN519" s="379"/>
      <c r="EDO519" s="379"/>
      <c r="EDP519" s="379"/>
      <c r="EDQ519" s="379"/>
      <c r="EDR519" s="379"/>
      <c r="EDS519" s="13"/>
      <c r="EDT519" s="13"/>
      <c r="EDU519" s="193"/>
      <c r="EDV519" s="379"/>
      <c r="EDW519" s="379"/>
      <c r="EDX519" s="379"/>
      <c r="EDY519" s="379"/>
      <c r="EDZ519" s="379"/>
      <c r="EEA519" s="13"/>
      <c r="EEB519" s="13"/>
      <c r="EEC519" s="193"/>
      <c r="EED519" s="379"/>
      <c r="EEE519" s="379"/>
      <c r="EEF519" s="379"/>
      <c r="EEG519" s="379"/>
      <c r="EEH519" s="379"/>
      <c r="EEI519" s="13"/>
      <c r="EEJ519" s="13"/>
      <c r="EEK519" s="193"/>
      <c r="EEL519" s="379"/>
      <c r="EEM519" s="379"/>
      <c r="EEN519" s="379"/>
      <c r="EEO519" s="379"/>
      <c r="EEP519" s="379"/>
      <c r="EEQ519" s="13"/>
      <c r="EER519" s="13"/>
      <c r="EES519" s="193"/>
      <c r="EET519" s="379"/>
      <c r="EEU519" s="379"/>
      <c r="EEV519" s="379"/>
      <c r="EEW519" s="379"/>
      <c r="EEX519" s="379"/>
      <c r="EEY519" s="13"/>
      <c r="EEZ519" s="13"/>
      <c r="EFA519" s="193"/>
      <c r="EFB519" s="379"/>
      <c r="EFC519" s="379"/>
      <c r="EFD519" s="379"/>
      <c r="EFE519" s="379"/>
      <c r="EFF519" s="379"/>
      <c r="EFG519" s="13"/>
      <c r="EFH519" s="13"/>
      <c r="EFI519" s="193"/>
      <c r="EFJ519" s="379"/>
      <c r="EFK519" s="379"/>
      <c r="EFL519" s="379"/>
      <c r="EFM519" s="379"/>
      <c r="EFN519" s="379"/>
      <c r="EFO519" s="13"/>
      <c r="EFP519" s="13"/>
      <c r="EFQ519" s="193"/>
      <c r="EFR519" s="379"/>
      <c r="EFS519" s="379"/>
      <c r="EFT519" s="379"/>
      <c r="EFU519" s="379"/>
      <c r="EFV519" s="379"/>
      <c r="EFW519" s="13"/>
      <c r="EFX519" s="13"/>
      <c r="EFY519" s="193"/>
      <c r="EFZ519" s="379"/>
      <c r="EGA519" s="379"/>
      <c r="EGB519" s="379"/>
      <c r="EGC519" s="379"/>
      <c r="EGD519" s="379"/>
      <c r="EGE519" s="13"/>
      <c r="EGF519" s="13"/>
      <c r="EGG519" s="193"/>
      <c r="EGH519" s="379"/>
      <c r="EGI519" s="379"/>
      <c r="EGJ519" s="379"/>
      <c r="EGK519" s="379"/>
      <c r="EGL519" s="379"/>
      <c r="EGM519" s="13"/>
      <c r="EGN519" s="13"/>
      <c r="EGO519" s="193"/>
      <c r="EGP519" s="379"/>
      <c r="EGQ519" s="379"/>
      <c r="EGR519" s="379"/>
      <c r="EGS519" s="379"/>
      <c r="EGT519" s="379"/>
      <c r="EGU519" s="13"/>
      <c r="EGV519" s="13"/>
      <c r="EGW519" s="193"/>
      <c r="EGX519" s="379"/>
      <c r="EGY519" s="379"/>
      <c r="EGZ519" s="379"/>
      <c r="EHA519" s="379"/>
      <c r="EHB519" s="379"/>
      <c r="EHC519" s="13"/>
      <c r="EHD519" s="13"/>
      <c r="EHE519" s="193"/>
      <c r="EHF519" s="379"/>
      <c r="EHG519" s="379"/>
      <c r="EHH519" s="379"/>
      <c r="EHI519" s="379"/>
      <c r="EHJ519" s="379"/>
      <c r="EHK519" s="13"/>
      <c r="EHL519" s="13"/>
      <c r="EHM519" s="193"/>
      <c r="EHN519" s="379"/>
      <c r="EHO519" s="379"/>
      <c r="EHP519" s="379"/>
      <c r="EHQ519" s="379"/>
      <c r="EHR519" s="379"/>
      <c r="EHS519" s="13"/>
      <c r="EHT519" s="13"/>
      <c r="EHU519" s="193"/>
      <c r="EHV519" s="379"/>
      <c r="EHW519" s="379"/>
      <c r="EHX519" s="379"/>
      <c r="EHY519" s="379"/>
      <c r="EHZ519" s="379"/>
      <c r="EIA519" s="13"/>
      <c r="EIB519" s="13"/>
      <c r="EIC519" s="193"/>
      <c r="EID519" s="379"/>
      <c r="EIE519" s="379"/>
      <c r="EIF519" s="379"/>
      <c r="EIG519" s="379"/>
      <c r="EIH519" s="379"/>
      <c r="EII519" s="13"/>
      <c r="EIJ519" s="13"/>
      <c r="EIK519" s="193"/>
      <c r="EIL519" s="379"/>
      <c r="EIM519" s="379"/>
      <c r="EIN519" s="379"/>
      <c r="EIO519" s="379"/>
      <c r="EIP519" s="379"/>
      <c r="EIQ519" s="13"/>
      <c r="EIR519" s="13"/>
      <c r="EIS519" s="193"/>
      <c r="EIT519" s="379"/>
      <c r="EIU519" s="379"/>
      <c r="EIV519" s="379"/>
      <c r="EIW519" s="379"/>
      <c r="EIX519" s="379"/>
      <c r="EIY519" s="13"/>
      <c r="EIZ519" s="13"/>
      <c r="EJA519" s="193"/>
      <c r="EJB519" s="379"/>
      <c r="EJC519" s="379"/>
      <c r="EJD519" s="379"/>
      <c r="EJE519" s="379"/>
      <c r="EJF519" s="379"/>
      <c r="EJG519" s="13"/>
      <c r="EJH519" s="13"/>
      <c r="EJI519" s="193"/>
      <c r="EJJ519" s="379"/>
      <c r="EJK519" s="379"/>
      <c r="EJL519" s="379"/>
      <c r="EJM519" s="379"/>
      <c r="EJN519" s="379"/>
      <c r="EJO519" s="13"/>
      <c r="EJP519" s="13"/>
      <c r="EJQ519" s="193"/>
      <c r="EJR519" s="379"/>
      <c r="EJS519" s="379"/>
      <c r="EJT519" s="379"/>
      <c r="EJU519" s="379"/>
      <c r="EJV519" s="379"/>
      <c r="EJW519" s="13"/>
      <c r="EJX519" s="13"/>
      <c r="EJY519" s="193"/>
      <c r="EJZ519" s="379"/>
      <c r="EKA519" s="379"/>
      <c r="EKB519" s="379"/>
      <c r="EKC519" s="379"/>
      <c r="EKD519" s="379"/>
      <c r="EKE519" s="13"/>
      <c r="EKF519" s="13"/>
      <c r="EKG519" s="193"/>
      <c r="EKH519" s="379"/>
      <c r="EKI519" s="379"/>
      <c r="EKJ519" s="379"/>
      <c r="EKK519" s="379"/>
      <c r="EKL519" s="379"/>
      <c r="EKM519" s="13"/>
      <c r="EKN519" s="13"/>
      <c r="EKO519" s="193"/>
      <c r="EKP519" s="379"/>
      <c r="EKQ519" s="379"/>
      <c r="EKR519" s="379"/>
      <c r="EKS519" s="379"/>
      <c r="EKT519" s="379"/>
      <c r="EKU519" s="13"/>
      <c r="EKV519" s="13"/>
      <c r="EKW519" s="193"/>
      <c r="EKX519" s="379"/>
      <c r="EKY519" s="379"/>
      <c r="EKZ519" s="379"/>
      <c r="ELA519" s="379"/>
      <c r="ELB519" s="379"/>
      <c r="ELC519" s="13"/>
      <c r="ELD519" s="13"/>
      <c r="ELE519" s="193"/>
      <c r="ELF519" s="379"/>
      <c r="ELG519" s="379"/>
      <c r="ELH519" s="379"/>
      <c r="ELI519" s="379"/>
      <c r="ELJ519" s="379"/>
      <c r="ELK519" s="13"/>
      <c r="ELL519" s="13"/>
      <c r="ELM519" s="193"/>
      <c r="ELN519" s="379"/>
      <c r="ELO519" s="379"/>
      <c r="ELP519" s="379"/>
      <c r="ELQ519" s="379"/>
      <c r="ELR519" s="379"/>
      <c r="ELS519" s="13"/>
      <c r="ELT519" s="13"/>
      <c r="ELU519" s="193"/>
      <c r="ELV519" s="379"/>
      <c r="ELW519" s="379"/>
      <c r="ELX519" s="379"/>
      <c r="ELY519" s="379"/>
      <c r="ELZ519" s="379"/>
      <c r="EMA519" s="13"/>
      <c r="EMB519" s="13"/>
      <c r="EMC519" s="193"/>
      <c r="EMD519" s="379"/>
      <c r="EME519" s="379"/>
      <c r="EMF519" s="379"/>
      <c r="EMG519" s="379"/>
      <c r="EMH519" s="379"/>
      <c r="EMI519" s="13"/>
      <c r="EMJ519" s="13"/>
      <c r="EMK519" s="193"/>
      <c r="EML519" s="379"/>
      <c r="EMM519" s="379"/>
      <c r="EMN519" s="379"/>
      <c r="EMO519" s="379"/>
      <c r="EMP519" s="379"/>
      <c r="EMQ519" s="13"/>
      <c r="EMR519" s="13"/>
      <c r="EMS519" s="193"/>
      <c r="EMT519" s="379"/>
      <c r="EMU519" s="379"/>
      <c r="EMV519" s="379"/>
      <c r="EMW519" s="379"/>
      <c r="EMX519" s="379"/>
      <c r="EMY519" s="13"/>
      <c r="EMZ519" s="13"/>
      <c r="ENA519" s="193"/>
      <c r="ENB519" s="379"/>
      <c r="ENC519" s="379"/>
      <c r="END519" s="379"/>
      <c r="ENE519" s="379"/>
      <c r="ENF519" s="379"/>
      <c r="ENG519" s="13"/>
      <c r="ENH519" s="13"/>
      <c r="ENI519" s="193"/>
      <c r="ENJ519" s="379"/>
      <c r="ENK519" s="379"/>
      <c r="ENL519" s="379"/>
      <c r="ENM519" s="379"/>
      <c r="ENN519" s="379"/>
      <c r="ENO519" s="13"/>
      <c r="ENP519" s="13"/>
      <c r="ENQ519" s="193"/>
      <c r="ENR519" s="379"/>
      <c r="ENS519" s="379"/>
      <c r="ENT519" s="379"/>
      <c r="ENU519" s="379"/>
      <c r="ENV519" s="379"/>
      <c r="ENW519" s="13"/>
      <c r="ENX519" s="13"/>
      <c r="ENY519" s="193"/>
      <c r="ENZ519" s="379"/>
      <c r="EOA519" s="379"/>
      <c r="EOB519" s="379"/>
      <c r="EOC519" s="379"/>
      <c r="EOD519" s="379"/>
      <c r="EOE519" s="13"/>
      <c r="EOF519" s="13"/>
      <c r="EOG519" s="193"/>
      <c r="EOH519" s="379"/>
      <c r="EOI519" s="379"/>
      <c r="EOJ519" s="379"/>
      <c r="EOK519" s="379"/>
      <c r="EOL519" s="379"/>
      <c r="EOM519" s="13"/>
      <c r="EON519" s="13"/>
      <c r="EOO519" s="193"/>
      <c r="EOP519" s="379"/>
      <c r="EOQ519" s="379"/>
      <c r="EOR519" s="379"/>
      <c r="EOS519" s="379"/>
      <c r="EOT519" s="379"/>
      <c r="EOU519" s="13"/>
      <c r="EOV519" s="13"/>
      <c r="EOW519" s="193"/>
      <c r="EOX519" s="379"/>
      <c r="EOY519" s="379"/>
      <c r="EOZ519" s="379"/>
      <c r="EPA519" s="379"/>
      <c r="EPB519" s="379"/>
      <c r="EPC519" s="13"/>
      <c r="EPD519" s="13"/>
      <c r="EPE519" s="193"/>
      <c r="EPF519" s="379"/>
      <c r="EPG519" s="379"/>
      <c r="EPH519" s="379"/>
      <c r="EPI519" s="379"/>
      <c r="EPJ519" s="379"/>
      <c r="EPK519" s="13"/>
      <c r="EPL519" s="13"/>
      <c r="EPM519" s="193"/>
      <c r="EPN519" s="379"/>
      <c r="EPO519" s="379"/>
      <c r="EPP519" s="379"/>
      <c r="EPQ519" s="379"/>
      <c r="EPR519" s="379"/>
      <c r="EPS519" s="13"/>
      <c r="EPT519" s="13"/>
      <c r="EPU519" s="193"/>
      <c r="EPV519" s="379"/>
      <c r="EPW519" s="379"/>
      <c r="EPX519" s="379"/>
      <c r="EPY519" s="379"/>
      <c r="EPZ519" s="379"/>
      <c r="EQA519" s="13"/>
      <c r="EQB519" s="13"/>
      <c r="EQC519" s="193"/>
      <c r="EQD519" s="379"/>
      <c r="EQE519" s="379"/>
      <c r="EQF519" s="379"/>
      <c r="EQG519" s="379"/>
      <c r="EQH519" s="379"/>
      <c r="EQI519" s="13"/>
      <c r="EQJ519" s="13"/>
      <c r="EQK519" s="193"/>
      <c r="EQL519" s="379"/>
      <c r="EQM519" s="379"/>
      <c r="EQN519" s="379"/>
      <c r="EQO519" s="379"/>
      <c r="EQP519" s="379"/>
      <c r="EQQ519" s="13"/>
      <c r="EQR519" s="13"/>
      <c r="EQS519" s="193"/>
      <c r="EQT519" s="379"/>
      <c r="EQU519" s="379"/>
      <c r="EQV519" s="379"/>
      <c r="EQW519" s="379"/>
      <c r="EQX519" s="379"/>
      <c r="EQY519" s="13"/>
      <c r="EQZ519" s="13"/>
      <c r="ERA519" s="193"/>
      <c r="ERB519" s="379"/>
      <c r="ERC519" s="379"/>
      <c r="ERD519" s="379"/>
      <c r="ERE519" s="379"/>
      <c r="ERF519" s="379"/>
      <c r="ERG519" s="13"/>
      <c r="ERH519" s="13"/>
      <c r="ERI519" s="193"/>
      <c r="ERJ519" s="379"/>
      <c r="ERK519" s="379"/>
      <c r="ERL519" s="379"/>
      <c r="ERM519" s="379"/>
      <c r="ERN519" s="379"/>
      <c r="ERO519" s="13"/>
      <c r="ERP519" s="13"/>
      <c r="ERQ519" s="193"/>
      <c r="ERR519" s="379"/>
      <c r="ERS519" s="379"/>
      <c r="ERT519" s="379"/>
      <c r="ERU519" s="379"/>
      <c r="ERV519" s="379"/>
      <c r="ERW519" s="13"/>
      <c r="ERX519" s="13"/>
      <c r="ERY519" s="193"/>
      <c r="ERZ519" s="379"/>
      <c r="ESA519" s="379"/>
      <c r="ESB519" s="379"/>
      <c r="ESC519" s="379"/>
      <c r="ESD519" s="379"/>
      <c r="ESE519" s="13"/>
      <c r="ESF519" s="13"/>
      <c r="ESG519" s="193"/>
      <c r="ESH519" s="379"/>
      <c r="ESI519" s="379"/>
      <c r="ESJ519" s="379"/>
      <c r="ESK519" s="379"/>
      <c r="ESL519" s="379"/>
      <c r="ESM519" s="13"/>
      <c r="ESN519" s="13"/>
      <c r="ESO519" s="193"/>
      <c r="ESP519" s="379"/>
      <c r="ESQ519" s="379"/>
      <c r="ESR519" s="379"/>
      <c r="ESS519" s="379"/>
      <c r="EST519" s="379"/>
      <c r="ESU519" s="13"/>
      <c r="ESV519" s="13"/>
      <c r="ESW519" s="193"/>
      <c r="ESX519" s="379"/>
      <c r="ESY519" s="379"/>
      <c r="ESZ519" s="379"/>
      <c r="ETA519" s="379"/>
      <c r="ETB519" s="379"/>
      <c r="ETC519" s="13"/>
      <c r="ETD519" s="13"/>
      <c r="ETE519" s="193"/>
      <c r="ETF519" s="379"/>
      <c r="ETG519" s="379"/>
      <c r="ETH519" s="379"/>
      <c r="ETI519" s="379"/>
      <c r="ETJ519" s="379"/>
      <c r="ETK519" s="13"/>
      <c r="ETL519" s="13"/>
      <c r="ETM519" s="193"/>
      <c r="ETN519" s="379"/>
      <c r="ETO519" s="379"/>
      <c r="ETP519" s="379"/>
      <c r="ETQ519" s="379"/>
      <c r="ETR519" s="379"/>
      <c r="ETS519" s="13"/>
      <c r="ETT519" s="13"/>
      <c r="ETU519" s="193"/>
      <c r="ETV519" s="379"/>
      <c r="ETW519" s="379"/>
      <c r="ETX519" s="379"/>
      <c r="ETY519" s="379"/>
      <c r="ETZ519" s="379"/>
      <c r="EUA519" s="13"/>
      <c r="EUB519" s="13"/>
      <c r="EUC519" s="193"/>
      <c r="EUD519" s="379"/>
      <c r="EUE519" s="379"/>
      <c r="EUF519" s="379"/>
      <c r="EUG519" s="379"/>
      <c r="EUH519" s="379"/>
      <c r="EUI519" s="13"/>
      <c r="EUJ519" s="13"/>
      <c r="EUK519" s="193"/>
      <c r="EUL519" s="379"/>
      <c r="EUM519" s="379"/>
      <c r="EUN519" s="379"/>
      <c r="EUO519" s="379"/>
      <c r="EUP519" s="379"/>
      <c r="EUQ519" s="13"/>
      <c r="EUR519" s="13"/>
      <c r="EUS519" s="193"/>
      <c r="EUT519" s="379"/>
      <c r="EUU519" s="379"/>
      <c r="EUV519" s="379"/>
      <c r="EUW519" s="379"/>
      <c r="EUX519" s="379"/>
      <c r="EUY519" s="13"/>
      <c r="EUZ519" s="13"/>
      <c r="EVA519" s="193"/>
      <c r="EVB519" s="379"/>
      <c r="EVC519" s="379"/>
      <c r="EVD519" s="379"/>
      <c r="EVE519" s="379"/>
      <c r="EVF519" s="379"/>
      <c r="EVG519" s="13"/>
      <c r="EVH519" s="13"/>
      <c r="EVI519" s="193"/>
      <c r="EVJ519" s="379"/>
      <c r="EVK519" s="379"/>
      <c r="EVL519" s="379"/>
      <c r="EVM519" s="379"/>
      <c r="EVN519" s="379"/>
      <c r="EVO519" s="13"/>
      <c r="EVP519" s="13"/>
      <c r="EVQ519" s="193"/>
      <c r="EVR519" s="379"/>
      <c r="EVS519" s="379"/>
      <c r="EVT519" s="379"/>
      <c r="EVU519" s="379"/>
      <c r="EVV519" s="379"/>
      <c r="EVW519" s="13"/>
      <c r="EVX519" s="13"/>
      <c r="EVY519" s="193"/>
      <c r="EVZ519" s="379"/>
      <c r="EWA519" s="379"/>
      <c r="EWB519" s="379"/>
      <c r="EWC519" s="379"/>
      <c r="EWD519" s="379"/>
      <c r="EWE519" s="13"/>
      <c r="EWF519" s="13"/>
      <c r="EWG519" s="193"/>
      <c r="EWH519" s="379"/>
      <c r="EWI519" s="379"/>
      <c r="EWJ519" s="379"/>
      <c r="EWK519" s="379"/>
      <c r="EWL519" s="379"/>
      <c r="EWM519" s="13"/>
      <c r="EWN519" s="13"/>
      <c r="EWO519" s="193"/>
      <c r="EWP519" s="379"/>
      <c r="EWQ519" s="379"/>
      <c r="EWR519" s="379"/>
      <c r="EWS519" s="379"/>
      <c r="EWT519" s="379"/>
      <c r="EWU519" s="13"/>
      <c r="EWV519" s="13"/>
      <c r="EWW519" s="193"/>
      <c r="EWX519" s="379"/>
      <c r="EWY519" s="379"/>
      <c r="EWZ519" s="379"/>
      <c r="EXA519" s="379"/>
      <c r="EXB519" s="379"/>
      <c r="EXC519" s="13"/>
      <c r="EXD519" s="13"/>
      <c r="EXE519" s="193"/>
      <c r="EXF519" s="379"/>
      <c r="EXG519" s="379"/>
      <c r="EXH519" s="379"/>
      <c r="EXI519" s="379"/>
      <c r="EXJ519" s="379"/>
      <c r="EXK519" s="13"/>
      <c r="EXL519" s="13"/>
      <c r="EXM519" s="193"/>
      <c r="EXN519" s="379"/>
      <c r="EXO519" s="379"/>
      <c r="EXP519" s="379"/>
      <c r="EXQ519" s="379"/>
      <c r="EXR519" s="379"/>
      <c r="EXS519" s="13"/>
      <c r="EXT519" s="13"/>
      <c r="EXU519" s="193"/>
      <c r="EXV519" s="379"/>
      <c r="EXW519" s="379"/>
      <c r="EXX519" s="379"/>
      <c r="EXY519" s="379"/>
      <c r="EXZ519" s="379"/>
      <c r="EYA519" s="13"/>
      <c r="EYB519" s="13"/>
      <c r="EYC519" s="193"/>
      <c r="EYD519" s="379"/>
      <c r="EYE519" s="379"/>
      <c r="EYF519" s="379"/>
      <c r="EYG519" s="379"/>
      <c r="EYH519" s="379"/>
      <c r="EYI519" s="13"/>
      <c r="EYJ519" s="13"/>
      <c r="EYK519" s="193"/>
      <c r="EYL519" s="379"/>
      <c r="EYM519" s="379"/>
      <c r="EYN519" s="379"/>
      <c r="EYO519" s="379"/>
      <c r="EYP519" s="379"/>
      <c r="EYQ519" s="13"/>
      <c r="EYR519" s="13"/>
      <c r="EYS519" s="193"/>
      <c r="EYT519" s="379"/>
      <c r="EYU519" s="379"/>
      <c r="EYV519" s="379"/>
      <c r="EYW519" s="379"/>
      <c r="EYX519" s="379"/>
      <c r="EYY519" s="13"/>
      <c r="EYZ519" s="13"/>
      <c r="EZA519" s="193"/>
      <c r="EZB519" s="379"/>
      <c r="EZC519" s="379"/>
      <c r="EZD519" s="379"/>
      <c r="EZE519" s="379"/>
      <c r="EZF519" s="379"/>
      <c r="EZG519" s="13"/>
      <c r="EZH519" s="13"/>
      <c r="EZI519" s="193"/>
      <c r="EZJ519" s="379"/>
      <c r="EZK519" s="379"/>
      <c r="EZL519" s="379"/>
      <c r="EZM519" s="379"/>
      <c r="EZN519" s="379"/>
      <c r="EZO519" s="13"/>
      <c r="EZP519" s="13"/>
      <c r="EZQ519" s="193"/>
      <c r="EZR519" s="379"/>
      <c r="EZS519" s="379"/>
      <c r="EZT519" s="379"/>
      <c r="EZU519" s="379"/>
      <c r="EZV519" s="379"/>
      <c r="EZW519" s="13"/>
      <c r="EZX519" s="13"/>
      <c r="EZY519" s="193"/>
      <c r="EZZ519" s="379"/>
      <c r="FAA519" s="379"/>
      <c r="FAB519" s="379"/>
      <c r="FAC519" s="379"/>
      <c r="FAD519" s="379"/>
      <c r="FAE519" s="13"/>
      <c r="FAF519" s="13"/>
      <c r="FAG519" s="193"/>
      <c r="FAH519" s="379"/>
      <c r="FAI519" s="379"/>
      <c r="FAJ519" s="379"/>
      <c r="FAK519" s="379"/>
      <c r="FAL519" s="379"/>
      <c r="FAM519" s="13"/>
      <c r="FAN519" s="13"/>
      <c r="FAO519" s="193"/>
      <c r="FAP519" s="379"/>
      <c r="FAQ519" s="379"/>
      <c r="FAR519" s="379"/>
      <c r="FAS519" s="379"/>
      <c r="FAT519" s="379"/>
      <c r="FAU519" s="13"/>
      <c r="FAV519" s="13"/>
      <c r="FAW519" s="193"/>
      <c r="FAX519" s="379"/>
      <c r="FAY519" s="379"/>
      <c r="FAZ519" s="379"/>
      <c r="FBA519" s="379"/>
      <c r="FBB519" s="379"/>
      <c r="FBC519" s="13"/>
      <c r="FBD519" s="13"/>
      <c r="FBE519" s="193"/>
      <c r="FBF519" s="379"/>
      <c r="FBG519" s="379"/>
      <c r="FBH519" s="379"/>
      <c r="FBI519" s="379"/>
      <c r="FBJ519" s="379"/>
      <c r="FBK519" s="13"/>
      <c r="FBL519" s="13"/>
      <c r="FBM519" s="193"/>
      <c r="FBN519" s="379"/>
      <c r="FBO519" s="379"/>
      <c r="FBP519" s="379"/>
      <c r="FBQ519" s="379"/>
      <c r="FBR519" s="379"/>
      <c r="FBS519" s="13"/>
      <c r="FBT519" s="13"/>
      <c r="FBU519" s="193"/>
      <c r="FBV519" s="379"/>
      <c r="FBW519" s="379"/>
      <c r="FBX519" s="379"/>
      <c r="FBY519" s="379"/>
      <c r="FBZ519" s="379"/>
      <c r="FCA519" s="13"/>
      <c r="FCB519" s="13"/>
      <c r="FCC519" s="193"/>
      <c r="FCD519" s="379"/>
      <c r="FCE519" s="379"/>
      <c r="FCF519" s="379"/>
      <c r="FCG519" s="379"/>
      <c r="FCH519" s="379"/>
      <c r="FCI519" s="13"/>
      <c r="FCJ519" s="13"/>
      <c r="FCK519" s="193"/>
      <c r="FCL519" s="379"/>
      <c r="FCM519" s="379"/>
      <c r="FCN519" s="379"/>
      <c r="FCO519" s="379"/>
      <c r="FCP519" s="379"/>
      <c r="FCQ519" s="13"/>
      <c r="FCR519" s="13"/>
      <c r="FCS519" s="193"/>
      <c r="FCT519" s="379"/>
      <c r="FCU519" s="379"/>
      <c r="FCV519" s="379"/>
      <c r="FCW519" s="379"/>
      <c r="FCX519" s="379"/>
      <c r="FCY519" s="13"/>
      <c r="FCZ519" s="13"/>
      <c r="FDA519" s="193"/>
      <c r="FDB519" s="379"/>
      <c r="FDC519" s="379"/>
      <c r="FDD519" s="379"/>
      <c r="FDE519" s="379"/>
      <c r="FDF519" s="379"/>
      <c r="FDG519" s="13"/>
      <c r="FDH519" s="13"/>
      <c r="FDI519" s="193"/>
      <c r="FDJ519" s="379"/>
      <c r="FDK519" s="379"/>
      <c r="FDL519" s="379"/>
      <c r="FDM519" s="379"/>
      <c r="FDN519" s="379"/>
      <c r="FDO519" s="13"/>
      <c r="FDP519" s="13"/>
      <c r="FDQ519" s="193"/>
      <c r="FDR519" s="379"/>
      <c r="FDS519" s="379"/>
      <c r="FDT519" s="379"/>
      <c r="FDU519" s="379"/>
      <c r="FDV519" s="379"/>
      <c r="FDW519" s="13"/>
      <c r="FDX519" s="13"/>
      <c r="FDY519" s="193"/>
      <c r="FDZ519" s="379"/>
      <c r="FEA519" s="379"/>
      <c r="FEB519" s="379"/>
      <c r="FEC519" s="379"/>
      <c r="FED519" s="379"/>
      <c r="FEE519" s="13"/>
      <c r="FEF519" s="13"/>
      <c r="FEG519" s="193"/>
      <c r="FEH519" s="379"/>
      <c r="FEI519" s="379"/>
      <c r="FEJ519" s="379"/>
      <c r="FEK519" s="379"/>
      <c r="FEL519" s="379"/>
      <c r="FEM519" s="13"/>
      <c r="FEN519" s="13"/>
      <c r="FEO519" s="193"/>
      <c r="FEP519" s="379"/>
      <c r="FEQ519" s="379"/>
      <c r="FER519" s="379"/>
      <c r="FES519" s="379"/>
      <c r="FET519" s="379"/>
      <c r="FEU519" s="13"/>
      <c r="FEV519" s="13"/>
      <c r="FEW519" s="193"/>
      <c r="FEX519" s="379"/>
      <c r="FEY519" s="379"/>
      <c r="FEZ519" s="379"/>
      <c r="FFA519" s="379"/>
      <c r="FFB519" s="379"/>
      <c r="FFC519" s="13"/>
      <c r="FFD519" s="13"/>
      <c r="FFE519" s="193"/>
      <c r="FFF519" s="379"/>
      <c r="FFG519" s="379"/>
      <c r="FFH519" s="379"/>
      <c r="FFI519" s="379"/>
      <c r="FFJ519" s="379"/>
      <c r="FFK519" s="13"/>
      <c r="FFL519" s="13"/>
      <c r="FFM519" s="193"/>
      <c r="FFN519" s="379"/>
      <c r="FFO519" s="379"/>
      <c r="FFP519" s="379"/>
      <c r="FFQ519" s="379"/>
      <c r="FFR519" s="379"/>
      <c r="FFS519" s="13"/>
      <c r="FFT519" s="13"/>
      <c r="FFU519" s="193"/>
      <c r="FFV519" s="379"/>
      <c r="FFW519" s="379"/>
      <c r="FFX519" s="379"/>
      <c r="FFY519" s="379"/>
      <c r="FFZ519" s="379"/>
      <c r="FGA519" s="13"/>
      <c r="FGB519" s="13"/>
      <c r="FGC519" s="193"/>
      <c r="FGD519" s="379"/>
      <c r="FGE519" s="379"/>
      <c r="FGF519" s="379"/>
      <c r="FGG519" s="379"/>
      <c r="FGH519" s="379"/>
      <c r="FGI519" s="13"/>
      <c r="FGJ519" s="13"/>
      <c r="FGK519" s="193"/>
      <c r="FGL519" s="379"/>
      <c r="FGM519" s="379"/>
      <c r="FGN519" s="379"/>
      <c r="FGO519" s="379"/>
      <c r="FGP519" s="379"/>
      <c r="FGQ519" s="13"/>
      <c r="FGR519" s="13"/>
      <c r="FGS519" s="193"/>
      <c r="FGT519" s="379"/>
      <c r="FGU519" s="379"/>
      <c r="FGV519" s="379"/>
      <c r="FGW519" s="379"/>
      <c r="FGX519" s="379"/>
      <c r="FGY519" s="13"/>
      <c r="FGZ519" s="13"/>
      <c r="FHA519" s="193"/>
      <c r="FHB519" s="379"/>
      <c r="FHC519" s="379"/>
      <c r="FHD519" s="379"/>
      <c r="FHE519" s="379"/>
      <c r="FHF519" s="379"/>
      <c r="FHG519" s="13"/>
      <c r="FHH519" s="13"/>
      <c r="FHI519" s="193"/>
      <c r="FHJ519" s="379"/>
      <c r="FHK519" s="379"/>
      <c r="FHL519" s="379"/>
      <c r="FHM519" s="379"/>
      <c r="FHN519" s="379"/>
      <c r="FHO519" s="13"/>
      <c r="FHP519" s="13"/>
      <c r="FHQ519" s="193"/>
      <c r="FHR519" s="379"/>
      <c r="FHS519" s="379"/>
      <c r="FHT519" s="379"/>
      <c r="FHU519" s="379"/>
      <c r="FHV519" s="379"/>
      <c r="FHW519" s="13"/>
      <c r="FHX519" s="13"/>
      <c r="FHY519" s="193"/>
      <c r="FHZ519" s="379"/>
      <c r="FIA519" s="379"/>
      <c r="FIB519" s="379"/>
      <c r="FIC519" s="379"/>
      <c r="FID519" s="379"/>
      <c r="FIE519" s="13"/>
      <c r="FIF519" s="13"/>
      <c r="FIG519" s="193"/>
      <c r="FIH519" s="379"/>
      <c r="FII519" s="379"/>
      <c r="FIJ519" s="379"/>
      <c r="FIK519" s="379"/>
      <c r="FIL519" s="379"/>
      <c r="FIM519" s="13"/>
      <c r="FIN519" s="13"/>
      <c r="FIO519" s="193"/>
      <c r="FIP519" s="379"/>
      <c r="FIQ519" s="379"/>
      <c r="FIR519" s="379"/>
      <c r="FIS519" s="379"/>
      <c r="FIT519" s="379"/>
      <c r="FIU519" s="13"/>
      <c r="FIV519" s="13"/>
      <c r="FIW519" s="193"/>
      <c r="FIX519" s="379"/>
      <c r="FIY519" s="379"/>
      <c r="FIZ519" s="379"/>
      <c r="FJA519" s="379"/>
      <c r="FJB519" s="379"/>
      <c r="FJC519" s="13"/>
      <c r="FJD519" s="13"/>
      <c r="FJE519" s="193"/>
      <c r="FJF519" s="379"/>
      <c r="FJG519" s="379"/>
      <c r="FJH519" s="379"/>
      <c r="FJI519" s="379"/>
      <c r="FJJ519" s="379"/>
      <c r="FJK519" s="13"/>
      <c r="FJL519" s="13"/>
      <c r="FJM519" s="193"/>
      <c r="FJN519" s="379"/>
      <c r="FJO519" s="379"/>
      <c r="FJP519" s="379"/>
      <c r="FJQ519" s="379"/>
      <c r="FJR519" s="379"/>
      <c r="FJS519" s="13"/>
      <c r="FJT519" s="13"/>
      <c r="FJU519" s="193"/>
      <c r="FJV519" s="379"/>
      <c r="FJW519" s="379"/>
      <c r="FJX519" s="379"/>
      <c r="FJY519" s="379"/>
      <c r="FJZ519" s="379"/>
      <c r="FKA519" s="13"/>
      <c r="FKB519" s="13"/>
      <c r="FKC519" s="193"/>
      <c r="FKD519" s="379"/>
      <c r="FKE519" s="379"/>
      <c r="FKF519" s="379"/>
      <c r="FKG519" s="379"/>
      <c r="FKH519" s="379"/>
      <c r="FKI519" s="13"/>
      <c r="FKJ519" s="13"/>
      <c r="FKK519" s="193"/>
      <c r="FKL519" s="379"/>
      <c r="FKM519" s="379"/>
      <c r="FKN519" s="379"/>
      <c r="FKO519" s="379"/>
      <c r="FKP519" s="379"/>
      <c r="FKQ519" s="13"/>
      <c r="FKR519" s="13"/>
      <c r="FKS519" s="193"/>
      <c r="FKT519" s="379"/>
      <c r="FKU519" s="379"/>
      <c r="FKV519" s="379"/>
      <c r="FKW519" s="379"/>
      <c r="FKX519" s="379"/>
      <c r="FKY519" s="13"/>
      <c r="FKZ519" s="13"/>
      <c r="FLA519" s="193"/>
      <c r="FLB519" s="379"/>
      <c r="FLC519" s="379"/>
      <c r="FLD519" s="379"/>
      <c r="FLE519" s="379"/>
      <c r="FLF519" s="379"/>
      <c r="FLG519" s="13"/>
      <c r="FLH519" s="13"/>
      <c r="FLI519" s="193"/>
      <c r="FLJ519" s="379"/>
      <c r="FLK519" s="379"/>
      <c r="FLL519" s="379"/>
      <c r="FLM519" s="379"/>
      <c r="FLN519" s="379"/>
      <c r="FLO519" s="13"/>
      <c r="FLP519" s="13"/>
      <c r="FLQ519" s="193"/>
      <c r="FLR519" s="379"/>
      <c r="FLS519" s="379"/>
      <c r="FLT519" s="379"/>
      <c r="FLU519" s="379"/>
      <c r="FLV519" s="379"/>
      <c r="FLW519" s="13"/>
      <c r="FLX519" s="13"/>
      <c r="FLY519" s="193"/>
      <c r="FLZ519" s="379"/>
      <c r="FMA519" s="379"/>
      <c r="FMB519" s="379"/>
      <c r="FMC519" s="379"/>
      <c r="FMD519" s="379"/>
      <c r="FME519" s="13"/>
      <c r="FMF519" s="13"/>
      <c r="FMG519" s="193"/>
      <c r="FMH519" s="379"/>
      <c r="FMI519" s="379"/>
      <c r="FMJ519" s="379"/>
      <c r="FMK519" s="379"/>
      <c r="FML519" s="379"/>
      <c r="FMM519" s="13"/>
      <c r="FMN519" s="13"/>
      <c r="FMO519" s="193"/>
      <c r="FMP519" s="379"/>
      <c r="FMQ519" s="379"/>
      <c r="FMR519" s="379"/>
      <c r="FMS519" s="379"/>
      <c r="FMT519" s="379"/>
      <c r="FMU519" s="13"/>
      <c r="FMV519" s="13"/>
      <c r="FMW519" s="193"/>
      <c r="FMX519" s="379"/>
      <c r="FMY519" s="379"/>
      <c r="FMZ519" s="379"/>
      <c r="FNA519" s="379"/>
      <c r="FNB519" s="379"/>
      <c r="FNC519" s="13"/>
      <c r="FND519" s="13"/>
      <c r="FNE519" s="193"/>
      <c r="FNF519" s="379"/>
      <c r="FNG519" s="379"/>
      <c r="FNH519" s="379"/>
      <c r="FNI519" s="379"/>
      <c r="FNJ519" s="379"/>
      <c r="FNK519" s="13"/>
      <c r="FNL519" s="13"/>
      <c r="FNM519" s="193"/>
      <c r="FNN519" s="379"/>
      <c r="FNO519" s="379"/>
      <c r="FNP519" s="379"/>
      <c r="FNQ519" s="379"/>
      <c r="FNR519" s="379"/>
      <c r="FNS519" s="13"/>
      <c r="FNT519" s="13"/>
      <c r="FNU519" s="193"/>
      <c r="FNV519" s="379"/>
      <c r="FNW519" s="379"/>
      <c r="FNX519" s="379"/>
      <c r="FNY519" s="379"/>
      <c r="FNZ519" s="379"/>
      <c r="FOA519" s="13"/>
      <c r="FOB519" s="13"/>
      <c r="FOC519" s="193"/>
      <c r="FOD519" s="379"/>
      <c r="FOE519" s="379"/>
      <c r="FOF519" s="379"/>
      <c r="FOG519" s="379"/>
      <c r="FOH519" s="379"/>
      <c r="FOI519" s="13"/>
      <c r="FOJ519" s="13"/>
      <c r="FOK519" s="193"/>
      <c r="FOL519" s="379"/>
      <c r="FOM519" s="379"/>
      <c r="FON519" s="379"/>
      <c r="FOO519" s="379"/>
      <c r="FOP519" s="379"/>
      <c r="FOQ519" s="13"/>
      <c r="FOR519" s="13"/>
      <c r="FOS519" s="193"/>
      <c r="FOT519" s="379"/>
      <c r="FOU519" s="379"/>
      <c r="FOV519" s="379"/>
      <c r="FOW519" s="379"/>
      <c r="FOX519" s="379"/>
      <c r="FOY519" s="13"/>
      <c r="FOZ519" s="13"/>
      <c r="FPA519" s="193"/>
      <c r="FPB519" s="379"/>
      <c r="FPC519" s="379"/>
      <c r="FPD519" s="379"/>
      <c r="FPE519" s="379"/>
      <c r="FPF519" s="379"/>
      <c r="FPG519" s="13"/>
      <c r="FPH519" s="13"/>
      <c r="FPI519" s="193"/>
      <c r="FPJ519" s="379"/>
      <c r="FPK519" s="379"/>
      <c r="FPL519" s="379"/>
      <c r="FPM519" s="379"/>
      <c r="FPN519" s="379"/>
      <c r="FPO519" s="13"/>
      <c r="FPP519" s="13"/>
      <c r="FPQ519" s="193"/>
      <c r="FPR519" s="379"/>
      <c r="FPS519" s="379"/>
      <c r="FPT519" s="379"/>
      <c r="FPU519" s="379"/>
      <c r="FPV519" s="379"/>
      <c r="FPW519" s="13"/>
      <c r="FPX519" s="13"/>
      <c r="FPY519" s="193"/>
      <c r="FPZ519" s="379"/>
      <c r="FQA519" s="379"/>
      <c r="FQB519" s="379"/>
      <c r="FQC519" s="379"/>
      <c r="FQD519" s="379"/>
      <c r="FQE519" s="13"/>
      <c r="FQF519" s="13"/>
      <c r="FQG519" s="193"/>
      <c r="FQH519" s="379"/>
      <c r="FQI519" s="379"/>
      <c r="FQJ519" s="379"/>
      <c r="FQK519" s="379"/>
      <c r="FQL519" s="379"/>
      <c r="FQM519" s="13"/>
      <c r="FQN519" s="13"/>
      <c r="FQO519" s="193"/>
      <c r="FQP519" s="379"/>
      <c r="FQQ519" s="379"/>
      <c r="FQR519" s="379"/>
      <c r="FQS519" s="379"/>
      <c r="FQT519" s="379"/>
      <c r="FQU519" s="13"/>
      <c r="FQV519" s="13"/>
      <c r="FQW519" s="193"/>
      <c r="FQX519" s="379"/>
      <c r="FQY519" s="379"/>
      <c r="FQZ519" s="379"/>
      <c r="FRA519" s="379"/>
      <c r="FRB519" s="379"/>
      <c r="FRC519" s="13"/>
      <c r="FRD519" s="13"/>
      <c r="FRE519" s="193"/>
      <c r="FRF519" s="379"/>
      <c r="FRG519" s="379"/>
      <c r="FRH519" s="379"/>
      <c r="FRI519" s="379"/>
      <c r="FRJ519" s="379"/>
      <c r="FRK519" s="13"/>
      <c r="FRL519" s="13"/>
      <c r="FRM519" s="193"/>
      <c r="FRN519" s="379"/>
      <c r="FRO519" s="379"/>
      <c r="FRP519" s="379"/>
      <c r="FRQ519" s="379"/>
      <c r="FRR519" s="379"/>
      <c r="FRS519" s="13"/>
      <c r="FRT519" s="13"/>
      <c r="FRU519" s="193"/>
      <c r="FRV519" s="379"/>
      <c r="FRW519" s="379"/>
      <c r="FRX519" s="379"/>
      <c r="FRY519" s="379"/>
      <c r="FRZ519" s="379"/>
      <c r="FSA519" s="13"/>
      <c r="FSB519" s="13"/>
      <c r="FSC519" s="193"/>
      <c r="FSD519" s="379"/>
      <c r="FSE519" s="379"/>
      <c r="FSF519" s="379"/>
      <c r="FSG519" s="379"/>
      <c r="FSH519" s="379"/>
      <c r="FSI519" s="13"/>
      <c r="FSJ519" s="13"/>
      <c r="FSK519" s="193"/>
      <c r="FSL519" s="379"/>
      <c r="FSM519" s="379"/>
      <c r="FSN519" s="379"/>
      <c r="FSO519" s="379"/>
      <c r="FSP519" s="379"/>
      <c r="FSQ519" s="13"/>
      <c r="FSR519" s="13"/>
      <c r="FSS519" s="193"/>
      <c r="FST519" s="379"/>
      <c r="FSU519" s="379"/>
      <c r="FSV519" s="379"/>
      <c r="FSW519" s="379"/>
      <c r="FSX519" s="379"/>
      <c r="FSY519" s="13"/>
      <c r="FSZ519" s="13"/>
      <c r="FTA519" s="193"/>
      <c r="FTB519" s="379"/>
      <c r="FTC519" s="379"/>
      <c r="FTD519" s="379"/>
      <c r="FTE519" s="379"/>
      <c r="FTF519" s="379"/>
      <c r="FTG519" s="13"/>
      <c r="FTH519" s="13"/>
      <c r="FTI519" s="193"/>
      <c r="FTJ519" s="379"/>
      <c r="FTK519" s="379"/>
      <c r="FTL519" s="379"/>
      <c r="FTM519" s="379"/>
      <c r="FTN519" s="379"/>
      <c r="FTO519" s="13"/>
      <c r="FTP519" s="13"/>
      <c r="FTQ519" s="193"/>
      <c r="FTR519" s="379"/>
      <c r="FTS519" s="379"/>
      <c r="FTT519" s="379"/>
      <c r="FTU519" s="379"/>
      <c r="FTV519" s="379"/>
      <c r="FTW519" s="13"/>
      <c r="FTX519" s="13"/>
      <c r="FTY519" s="193"/>
      <c r="FTZ519" s="379"/>
      <c r="FUA519" s="379"/>
      <c r="FUB519" s="379"/>
      <c r="FUC519" s="379"/>
      <c r="FUD519" s="379"/>
      <c r="FUE519" s="13"/>
      <c r="FUF519" s="13"/>
      <c r="FUG519" s="193"/>
      <c r="FUH519" s="379"/>
      <c r="FUI519" s="379"/>
      <c r="FUJ519" s="379"/>
      <c r="FUK519" s="379"/>
      <c r="FUL519" s="379"/>
      <c r="FUM519" s="13"/>
      <c r="FUN519" s="13"/>
      <c r="FUO519" s="193"/>
      <c r="FUP519" s="379"/>
      <c r="FUQ519" s="379"/>
      <c r="FUR519" s="379"/>
      <c r="FUS519" s="379"/>
      <c r="FUT519" s="379"/>
      <c r="FUU519" s="13"/>
      <c r="FUV519" s="13"/>
      <c r="FUW519" s="193"/>
      <c r="FUX519" s="379"/>
      <c r="FUY519" s="379"/>
      <c r="FUZ519" s="379"/>
      <c r="FVA519" s="379"/>
      <c r="FVB519" s="379"/>
      <c r="FVC519" s="13"/>
      <c r="FVD519" s="13"/>
      <c r="FVE519" s="193"/>
      <c r="FVF519" s="379"/>
      <c r="FVG519" s="379"/>
      <c r="FVH519" s="379"/>
      <c r="FVI519" s="379"/>
      <c r="FVJ519" s="379"/>
      <c r="FVK519" s="13"/>
      <c r="FVL519" s="13"/>
      <c r="FVM519" s="193"/>
      <c r="FVN519" s="379"/>
      <c r="FVO519" s="379"/>
      <c r="FVP519" s="379"/>
      <c r="FVQ519" s="379"/>
      <c r="FVR519" s="379"/>
      <c r="FVS519" s="13"/>
      <c r="FVT519" s="13"/>
      <c r="FVU519" s="193"/>
      <c r="FVV519" s="379"/>
      <c r="FVW519" s="379"/>
      <c r="FVX519" s="379"/>
      <c r="FVY519" s="379"/>
      <c r="FVZ519" s="379"/>
      <c r="FWA519" s="13"/>
      <c r="FWB519" s="13"/>
      <c r="FWC519" s="193"/>
      <c r="FWD519" s="379"/>
      <c r="FWE519" s="379"/>
      <c r="FWF519" s="379"/>
      <c r="FWG519" s="379"/>
      <c r="FWH519" s="379"/>
      <c r="FWI519" s="13"/>
      <c r="FWJ519" s="13"/>
      <c r="FWK519" s="193"/>
      <c r="FWL519" s="379"/>
      <c r="FWM519" s="379"/>
      <c r="FWN519" s="379"/>
      <c r="FWO519" s="379"/>
      <c r="FWP519" s="379"/>
      <c r="FWQ519" s="13"/>
      <c r="FWR519" s="13"/>
      <c r="FWS519" s="193"/>
      <c r="FWT519" s="379"/>
      <c r="FWU519" s="379"/>
      <c r="FWV519" s="379"/>
      <c r="FWW519" s="379"/>
      <c r="FWX519" s="379"/>
      <c r="FWY519" s="13"/>
      <c r="FWZ519" s="13"/>
      <c r="FXA519" s="193"/>
      <c r="FXB519" s="379"/>
      <c r="FXC519" s="379"/>
      <c r="FXD519" s="379"/>
      <c r="FXE519" s="379"/>
      <c r="FXF519" s="379"/>
      <c r="FXG519" s="13"/>
      <c r="FXH519" s="13"/>
      <c r="FXI519" s="193"/>
      <c r="FXJ519" s="379"/>
      <c r="FXK519" s="379"/>
      <c r="FXL519" s="379"/>
      <c r="FXM519" s="379"/>
      <c r="FXN519" s="379"/>
      <c r="FXO519" s="13"/>
      <c r="FXP519" s="13"/>
      <c r="FXQ519" s="193"/>
      <c r="FXR519" s="379"/>
      <c r="FXS519" s="379"/>
      <c r="FXT519" s="379"/>
      <c r="FXU519" s="379"/>
      <c r="FXV519" s="379"/>
      <c r="FXW519" s="13"/>
      <c r="FXX519" s="13"/>
      <c r="FXY519" s="193"/>
      <c r="FXZ519" s="379"/>
      <c r="FYA519" s="379"/>
      <c r="FYB519" s="379"/>
      <c r="FYC519" s="379"/>
      <c r="FYD519" s="379"/>
      <c r="FYE519" s="13"/>
      <c r="FYF519" s="13"/>
      <c r="FYG519" s="193"/>
      <c r="FYH519" s="379"/>
      <c r="FYI519" s="379"/>
      <c r="FYJ519" s="379"/>
      <c r="FYK519" s="379"/>
      <c r="FYL519" s="379"/>
      <c r="FYM519" s="13"/>
      <c r="FYN519" s="13"/>
      <c r="FYO519" s="193"/>
      <c r="FYP519" s="379"/>
      <c r="FYQ519" s="379"/>
      <c r="FYR519" s="379"/>
      <c r="FYS519" s="379"/>
      <c r="FYT519" s="379"/>
      <c r="FYU519" s="13"/>
      <c r="FYV519" s="13"/>
      <c r="FYW519" s="193"/>
      <c r="FYX519" s="379"/>
      <c r="FYY519" s="379"/>
      <c r="FYZ519" s="379"/>
      <c r="FZA519" s="379"/>
      <c r="FZB519" s="379"/>
      <c r="FZC519" s="13"/>
      <c r="FZD519" s="13"/>
      <c r="FZE519" s="193"/>
      <c r="FZF519" s="379"/>
      <c r="FZG519" s="379"/>
      <c r="FZH519" s="379"/>
      <c r="FZI519" s="379"/>
      <c r="FZJ519" s="379"/>
      <c r="FZK519" s="13"/>
      <c r="FZL519" s="13"/>
      <c r="FZM519" s="193"/>
      <c r="FZN519" s="379"/>
      <c r="FZO519" s="379"/>
      <c r="FZP519" s="379"/>
      <c r="FZQ519" s="379"/>
      <c r="FZR519" s="379"/>
      <c r="FZS519" s="13"/>
      <c r="FZT519" s="13"/>
      <c r="FZU519" s="193"/>
      <c r="FZV519" s="379"/>
      <c r="FZW519" s="379"/>
      <c r="FZX519" s="379"/>
      <c r="FZY519" s="379"/>
      <c r="FZZ519" s="379"/>
      <c r="GAA519" s="13"/>
      <c r="GAB519" s="13"/>
      <c r="GAC519" s="193"/>
      <c r="GAD519" s="379"/>
      <c r="GAE519" s="379"/>
      <c r="GAF519" s="379"/>
      <c r="GAG519" s="379"/>
      <c r="GAH519" s="379"/>
      <c r="GAI519" s="13"/>
      <c r="GAJ519" s="13"/>
      <c r="GAK519" s="193"/>
      <c r="GAL519" s="379"/>
      <c r="GAM519" s="379"/>
      <c r="GAN519" s="379"/>
      <c r="GAO519" s="379"/>
      <c r="GAP519" s="379"/>
      <c r="GAQ519" s="13"/>
      <c r="GAR519" s="13"/>
      <c r="GAS519" s="193"/>
      <c r="GAT519" s="379"/>
      <c r="GAU519" s="379"/>
      <c r="GAV519" s="379"/>
      <c r="GAW519" s="379"/>
      <c r="GAX519" s="379"/>
      <c r="GAY519" s="13"/>
      <c r="GAZ519" s="13"/>
      <c r="GBA519" s="193"/>
      <c r="GBB519" s="379"/>
      <c r="GBC519" s="379"/>
      <c r="GBD519" s="379"/>
      <c r="GBE519" s="379"/>
      <c r="GBF519" s="379"/>
      <c r="GBG519" s="13"/>
      <c r="GBH519" s="13"/>
      <c r="GBI519" s="193"/>
      <c r="GBJ519" s="379"/>
      <c r="GBK519" s="379"/>
      <c r="GBL519" s="379"/>
      <c r="GBM519" s="379"/>
      <c r="GBN519" s="379"/>
      <c r="GBO519" s="13"/>
      <c r="GBP519" s="13"/>
      <c r="GBQ519" s="193"/>
      <c r="GBR519" s="379"/>
      <c r="GBS519" s="379"/>
      <c r="GBT519" s="379"/>
      <c r="GBU519" s="379"/>
      <c r="GBV519" s="379"/>
      <c r="GBW519" s="13"/>
      <c r="GBX519" s="13"/>
      <c r="GBY519" s="193"/>
      <c r="GBZ519" s="379"/>
      <c r="GCA519" s="379"/>
      <c r="GCB519" s="379"/>
      <c r="GCC519" s="379"/>
      <c r="GCD519" s="379"/>
      <c r="GCE519" s="13"/>
      <c r="GCF519" s="13"/>
      <c r="GCG519" s="193"/>
      <c r="GCH519" s="379"/>
      <c r="GCI519" s="379"/>
      <c r="GCJ519" s="379"/>
      <c r="GCK519" s="379"/>
      <c r="GCL519" s="379"/>
      <c r="GCM519" s="13"/>
      <c r="GCN519" s="13"/>
      <c r="GCO519" s="193"/>
      <c r="GCP519" s="379"/>
      <c r="GCQ519" s="379"/>
      <c r="GCR519" s="379"/>
      <c r="GCS519" s="379"/>
      <c r="GCT519" s="379"/>
      <c r="GCU519" s="13"/>
      <c r="GCV519" s="13"/>
      <c r="GCW519" s="193"/>
      <c r="GCX519" s="379"/>
      <c r="GCY519" s="379"/>
      <c r="GCZ519" s="379"/>
      <c r="GDA519" s="379"/>
      <c r="GDB519" s="379"/>
      <c r="GDC519" s="13"/>
      <c r="GDD519" s="13"/>
      <c r="GDE519" s="193"/>
      <c r="GDF519" s="379"/>
      <c r="GDG519" s="379"/>
      <c r="GDH519" s="379"/>
      <c r="GDI519" s="379"/>
      <c r="GDJ519" s="379"/>
      <c r="GDK519" s="13"/>
      <c r="GDL519" s="13"/>
      <c r="GDM519" s="193"/>
      <c r="GDN519" s="379"/>
      <c r="GDO519" s="379"/>
      <c r="GDP519" s="379"/>
      <c r="GDQ519" s="379"/>
      <c r="GDR519" s="379"/>
      <c r="GDS519" s="13"/>
      <c r="GDT519" s="13"/>
      <c r="GDU519" s="193"/>
      <c r="GDV519" s="379"/>
      <c r="GDW519" s="379"/>
      <c r="GDX519" s="379"/>
      <c r="GDY519" s="379"/>
      <c r="GDZ519" s="379"/>
      <c r="GEA519" s="13"/>
      <c r="GEB519" s="13"/>
      <c r="GEC519" s="193"/>
      <c r="GED519" s="379"/>
      <c r="GEE519" s="379"/>
      <c r="GEF519" s="379"/>
      <c r="GEG519" s="379"/>
      <c r="GEH519" s="379"/>
      <c r="GEI519" s="13"/>
      <c r="GEJ519" s="13"/>
      <c r="GEK519" s="193"/>
      <c r="GEL519" s="379"/>
      <c r="GEM519" s="379"/>
      <c r="GEN519" s="379"/>
      <c r="GEO519" s="379"/>
      <c r="GEP519" s="379"/>
      <c r="GEQ519" s="13"/>
      <c r="GER519" s="13"/>
      <c r="GES519" s="193"/>
      <c r="GET519" s="379"/>
      <c r="GEU519" s="379"/>
      <c r="GEV519" s="379"/>
      <c r="GEW519" s="379"/>
      <c r="GEX519" s="379"/>
      <c r="GEY519" s="13"/>
      <c r="GEZ519" s="13"/>
      <c r="GFA519" s="193"/>
      <c r="GFB519" s="379"/>
      <c r="GFC519" s="379"/>
      <c r="GFD519" s="379"/>
      <c r="GFE519" s="379"/>
      <c r="GFF519" s="379"/>
      <c r="GFG519" s="13"/>
      <c r="GFH519" s="13"/>
      <c r="GFI519" s="193"/>
      <c r="GFJ519" s="379"/>
      <c r="GFK519" s="379"/>
      <c r="GFL519" s="379"/>
      <c r="GFM519" s="379"/>
      <c r="GFN519" s="379"/>
      <c r="GFO519" s="13"/>
      <c r="GFP519" s="13"/>
      <c r="GFQ519" s="193"/>
      <c r="GFR519" s="379"/>
      <c r="GFS519" s="379"/>
      <c r="GFT519" s="379"/>
      <c r="GFU519" s="379"/>
      <c r="GFV519" s="379"/>
      <c r="GFW519" s="13"/>
      <c r="GFX519" s="13"/>
      <c r="GFY519" s="193"/>
      <c r="GFZ519" s="379"/>
      <c r="GGA519" s="379"/>
      <c r="GGB519" s="379"/>
      <c r="GGC519" s="379"/>
      <c r="GGD519" s="379"/>
      <c r="GGE519" s="13"/>
      <c r="GGF519" s="13"/>
      <c r="GGG519" s="193"/>
      <c r="GGH519" s="379"/>
      <c r="GGI519" s="379"/>
      <c r="GGJ519" s="379"/>
      <c r="GGK519" s="379"/>
      <c r="GGL519" s="379"/>
      <c r="GGM519" s="13"/>
      <c r="GGN519" s="13"/>
      <c r="GGO519" s="193"/>
      <c r="GGP519" s="379"/>
      <c r="GGQ519" s="379"/>
      <c r="GGR519" s="379"/>
      <c r="GGS519" s="379"/>
      <c r="GGT519" s="379"/>
      <c r="GGU519" s="13"/>
      <c r="GGV519" s="13"/>
      <c r="GGW519" s="193"/>
      <c r="GGX519" s="379"/>
      <c r="GGY519" s="379"/>
      <c r="GGZ519" s="379"/>
      <c r="GHA519" s="379"/>
      <c r="GHB519" s="379"/>
      <c r="GHC519" s="13"/>
      <c r="GHD519" s="13"/>
      <c r="GHE519" s="193"/>
      <c r="GHF519" s="379"/>
      <c r="GHG519" s="379"/>
      <c r="GHH519" s="379"/>
      <c r="GHI519" s="379"/>
      <c r="GHJ519" s="379"/>
      <c r="GHK519" s="13"/>
      <c r="GHL519" s="13"/>
      <c r="GHM519" s="193"/>
      <c r="GHN519" s="379"/>
      <c r="GHO519" s="379"/>
      <c r="GHP519" s="379"/>
      <c r="GHQ519" s="379"/>
      <c r="GHR519" s="379"/>
      <c r="GHS519" s="13"/>
      <c r="GHT519" s="13"/>
      <c r="GHU519" s="193"/>
      <c r="GHV519" s="379"/>
      <c r="GHW519" s="379"/>
      <c r="GHX519" s="379"/>
      <c r="GHY519" s="379"/>
      <c r="GHZ519" s="379"/>
      <c r="GIA519" s="13"/>
      <c r="GIB519" s="13"/>
      <c r="GIC519" s="193"/>
      <c r="GID519" s="379"/>
      <c r="GIE519" s="379"/>
      <c r="GIF519" s="379"/>
      <c r="GIG519" s="379"/>
      <c r="GIH519" s="379"/>
      <c r="GII519" s="13"/>
      <c r="GIJ519" s="13"/>
      <c r="GIK519" s="193"/>
      <c r="GIL519" s="379"/>
      <c r="GIM519" s="379"/>
      <c r="GIN519" s="379"/>
      <c r="GIO519" s="379"/>
      <c r="GIP519" s="379"/>
      <c r="GIQ519" s="13"/>
      <c r="GIR519" s="13"/>
      <c r="GIS519" s="193"/>
      <c r="GIT519" s="379"/>
      <c r="GIU519" s="379"/>
      <c r="GIV519" s="379"/>
      <c r="GIW519" s="379"/>
      <c r="GIX519" s="379"/>
      <c r="GIY519" s="13"/>
      <c r="GIZ519" s="13"/>
      <c r="GJA519" s="193"/>
      <c r="GJB519" s="379"/>
      <c r="GJC519" s="379"/>
      <c r="GJD519" s="379"/>
      <c r="GJE519" s="379"/>
      <c r="GJF519" s="379"/>
      <c r="GJG519" s="13"/>
      <c r="GJH519" s="13"/>
      <c r="GJI519" s="193"/>
      <c r="GJJ519" s="379"/>
      <c r="GJK519" s="379"/>
      <c r="GJL519" s="379"/>
      <c r="GJM519" s="379"/>
      <c r="GJN519" s="379"/>
      <c r="GJO519" s="13"/>
      <c r="GJP519" s="13"/>
      <c r="GJQ519" s="193"/>
      <c r="GJR519" s="379"/>
      <c r="GJS519" s="379"/>
      <c r="GJT519" s="379"/>
      <c r="GJU519" s="379"/>
      <c r="GJV519" s="379"/>
      <c r="GJW519" s="13"/>
      <c r="GJX519" s="13"/>
      <c r="GJY519" s="193"/>
      <c r="GJZ519" s="379"/>
      <c r="GKA519" s="379"/>
      <c r="GKB519" s="379"/>
      <c r="GKC519" s="379"/>
      <c r="GKD519" s="379"/>
      <c r="GKE519" s="13"/>
      <c r="GKF519" s="13"/>
      <c r="GKG519" s="193"/>
      <c r="GKH519" s="379"/>
      <c r="GKI519" s="379"/>
      <c r="GKJ519" s="379"/>
      <c r="GKK519" s="379"/>
      <c r="GKL519" s="379"/>
      <c r="GKM519" s="13"/>
      <c r="GKN519" s="13"/>
      <c r="GKO519" s="193"/>
      <c r="GKP519" s="379"/>
      <c r="GKQ519" s="379"/>
      <c r="GKR519" s="379"/>
      <c r="GKS519" s="379"/>
      <c r="GKT519" s="379"/>
      <c r="GKU519" s="13"/>
      <c r="GKV519" s="13"/>
      <c r="GKW519" s="193"/>
      <c r="GKX519" s="379"/>
      <c r="GKY519" s="379"/>
      <c r="GKZ519" s="379"/>
      <c r="GLA519" s="379"/>
      <c r="GLB519" s="379"/>
      <c r="GLC519" s="13"/>
      <c r="GLD519" s="13"/>
      <c r="GLE519" s="193"/>
      <c r="GLF519" s="379"/>
      <c r="GLG519" s="379"/>
      <c r="GLH519" s="379"/>
      <c r="GLI519" s="379"/>
      <c r="GLJ519" s="379"/>
      <c r="GLK519" s="13"/>
      <c r="GLL519" s="13"/>
      <c r="GLM519" s="193"/>
      <c r="GLN519" s="379"/>
      <c r="GLO519" s="379"/>
      <c r="GLP519" s="379"/>
      <c r="GLQ519" s="379"/>
      <c r="GLR519" s="379"/>
      <c r="GLS519" s="13"/>
      <c r="GLT519" s="13"/>
      <c r="GLU519" s="193"/>
      <c r="GLV519" s="379"/>
      <c r="GLW519" s="379"/>
      <c r="GLX519" s="379"/>
      <c r="GLY519" s="379"/>
      <c r="GLZ519" s="379"/>
      <c r="GMA519" s="13"/>
      <c r="GMB519" s="13"/>
      <c r="GMC519" s="193"/>
      <c r="GMD519" s="379"/>
      <c r="GME519" s="379"/>
      <c r="GMF519" s="379"/>
      <c r="GMG519" s="379"/>
      <c r="GMH519" s="379"/>
      <c r="GMI519" s="13"/>
      <c r="GMJ519" s="13"/>
      <c r="GMK519" s="193"/>
      <c r="GML519" s="379"/>
      <c r="GMM519" s="379"/>
      <c r="GMN519" s="379"/>
      <c r="GMO519" s="379"/>
      <c r="GMP519" s="379"/>
      <c r="GMQ519" s="13"/>
      <c r="GMR519" s="13"/>
      <c r="GMS519" s="193"/>
      <c r="GMT519" s="379"/>
      <c r="GMU519" s="379"/>
      <c r="GMV519" s="379"/>
      <c r="GMW519" s="379"/>
      <c r="GMX519" s="379"/>
      <c r="GMY519" s="13"/>
      <c r="GMZ519" s="13"/>
      <c r="GNA519" s="193"/>
      <c r="GNB519" s="379"/>
      <c r="GNC519" s="379"/>
      <c r="GND519" s="379"/>
      <c r="GNE519" s="379"/>
      <c r="GNF519" s="379"/>
      <c r="GNG519" s="13"/>
      <c r="GNH519" s="13"/>
      <c r="GNI519" s="193"/>
      <c r="GNJ519" s="379"/>
      <c r="GNK519" s="379"/>
      <c r="GNL519" s="379"/>
      <c r="GNM519" s="379"/>
      <c r="GNN519" s="379"/>
      <c r="GNO519" s="13"/>
      <c r="GNP519" s="13"/>
      <c r="GNQ519" s="193"/>
      <c r="GNR519" s="379"/>
      <c r="GNS519" s="379"/>
      <c r="GNT519" s="379"/>
      <c r="GNU519" s="379"/>
      <c r="GNV519" s="379"/>
      <c r="GNW519" s="13"/>
      <c r="GNX519" s="13"/>
      <c r="GNY519" s="193"/>
      <c r="GNZ519" s="379"/>
      <c r="GOA519" s="379"/>
      <c r="GOB519" s="379"/>
      <c r="GOC519" s="379"/>
      <c r="GOD519" s="379"/>
      <c r="GOE519" s="13"/>
      <c r="GOF519" s="13"/>
      <c r="GOG519" s="193"/>
      <c r="GOH519" s="379"/>
      <c r="GOI519" s="379"/>
      <c r="GOJ519" s="379"/>
      <c r="GOK519" s="379"/>
      <c r="GOL519" s="379"/>
      <c r="GOM519" s="13"/>
      <c r="GON519" s="13"/>
      <c r="GOO519" s="193"/>
      <c r="GOP519" s="379"/>
      <c r="GOQ519" s="379"/>
      <c r="GOR519" s="379"/>
      <c r="GOS519" s="379"/>
      <c r="GOT519" s="379"/>
      <c r="GOU519" s="13"/>
      <c r="GOV519" s="13"/>
      <c r="GOW519" s="193"/>
      <c r="GOX519" s="379"/>
      <c r="GOY519" s="379"/>
      <c r="GOZ519" s="379"/>
      <c r="GPA519" s="379"/>
      <c r="GPB519" s="379"/>
      <c r="GPC519" s="13"/>
      <c r="GPD519" s="13"/>
      <c r="GPE519" s="193"/>
      <c r="GPF519" s="379"/>
      <c r="GPG519" s="379"/>
      <c r="GPH519" s="379"/>
      <c r="GPI519" s="379"/>
      <c r="GPJ519" s="379"/>
      <c r="GPK519" s="13"/>
      <c r="GPL519" s="13"/>
      <c r="GPM519" s="193"/>
      <c r="GPN519" s="379"/>
      <c r="GPO519" s="379"/>
      <c r="GPP519" s="379"/>
      <c r="GPQ519" s="379"/>
      <c r="GPR519" s="379"/>
      <c r="GPS519" s="13"/>
      <c r="GPT519" s="13"/>
      <c r="GPU519" s="193"/>
      <c r="GPV519" s="379"/>
      <c r="GPW519" s="379"/>
      <c r="GPX519" s="379"/>
      <c r="GPY519" s="379"/>
      <c r="GPZ519" s="379"/>
      <c r="GQA519" s="13"/>
      <c r="GQB519" s="13"/>
      <c r="GQC519" s="193"/>
      <c r="GQD519" s="379"/>
      <c r="GQE519" s="379"/>
      <c r="GQF519" s="379"/>
      <c r="GQG519" s="379"/>
      <c r="GQH519" s="379"/>
      <c r="GQI519" s="13"/>
      <c r="GQJ519" s="13"/>
      <c r="GQK519" s="193"/>
      <c r="GQL519" s="379"/>
      <c r="GQM519" s="379"/>
      <c r="GQN519" s="379"/>
      <c r="GQO519" s="379"/>
      <c r="GQP519" s="379"/>
      <c r="GQQ519" s="13"/>
      <c r="GQR519" s="13"/>
      <c r="GQS519" s="193"/>
      <c r="GQT519" s="379"/>
      <c r="GQU519" s="379"/>
      <c r="GQV519" s="379"/>
      <c r="GQW519" s="379"/>
      <c r="GQX519" s="379"/>
      <c r="GQY519" s="13"/>
      <c r="GQZ519" s="13"/>
      <c r="GRA519" s="193"/>
      <c r="GRB519" s="379"/>
      <c r="GRC519" s="379"/>
      <c r="GRD519" s="379"/>
      <c r="GRE519" s="379"/>
      <c r="GRF519" s="379"/>
      <c r="GRG519" s="13"/>
      <c r="GRH519" s="13"/>
      <c r="GRI519" s="193"/>
      <c r="GRJ519" s="379"/>
      <c r="GRK519" s="379"/>
      <c r="GRL519" s="379"/>
      <c r="GRM519" s="379"/>
      <c r="GRN519" s="379"/>
      <c r="GRO519" s="13"/>
      <c r="GRP519" s="13"/>
      <c r="GRQ519" s="193"/>
      <c r="GRR519" s="379"/>
      <c r="GRS519" s="379"/>
      <c r="GRT519" s="379"/>
      <c r="GRU519" s="379"/>
      <c r="GRV519" s="379"/>
      <c r="GRW519" s="13"/>
      <c r="GRX519" s="13"/>
      <c r="GRY519" s="193"/>
      <c r="GRZ519" s="379"/>
      <c r="GSA519" s="379"/>
      <c r="GSB519" s="379"/>
      <c r="GSC519" s="379"/>
      <c r="GSD519" s="379"/>
      <c r="GSE519" s="13"/>
      <c r="GSF519" s="13"/>
      <c r="GSG519" s="193"/>
      <c r="GSH519" s="379"/>
      <c r="GSI519" s="379"/>
      <c r="GSJ519" s="379"/>
      <c r="GSK519" s="379"/>
      <c r="GSL519" s="379"/>
      <c r="GSM519" s="13"/>
      <c r="GSN519" s="13"/>
      <c r="GSO519" s="193"/>
      <c r="GSP519" s="379"/>
      <c r="GSQ519" s="379"/>
      <c r="GSR519" s="379"/>
      <c r="GSS519" s="379"/>
      <c r="GST519" s="379"/>
      <c r="GSU519" s="13"/>
      <c r="GSV519" s="13"/>
      <c r="GSW519" s="193"/>
      <c r="GSX519" s="379"/>
      <c r="GSY519" s="379"/>
      <c r="GSZ519" s="379"/>
      <c r="GTA519" s="379"/>
      <c r="GTB519" s="379"/>
      <c r="GTC519" s="13"/>
      <c r="GTD519" s="13"/>
      <c r="GTE519" s="193"/>
      <c r="GTF519" s="379"/>
      <c r="GTG519" s="379"/>
      <c r="GTH519" s="379"/>
      <c r="GTI519" s="379"/>
      <c r="GTJ519" s="379"/>
      <c r="GTK519" s="13"/>
      <c r="GTL519" s="13"/>
      <c r="GTM519" s="193"/>
      <c r="GTN519" s="379"/>
      <c r="GTO519" s="379"/>
      <c r="GTP519" s="379"/>
      <c r="GTQ519" s="379"/>
      <c r="GTR519" s="379"/>
      <c r="GTS519" s="13"/>
      <c r="GTT519" s="13"/>
      <c r="GTU519" s="193"/>
      <c r="GTV519" s="379"/>
      <c r="GTW519" s="379"/>
      <c r="GTX519" s="379"/>
      <c r="GTY519" s="379"/>
      <c r="GTZ519" s="379"/>
      <c r="GUA519" s="13"/>
      <c r="GUB519" s="13"/>
      <c r="GUC519" s="193"/>
      <c r="GUD519" s="379"/>
      <c r="GUE519" s="379"/>
      <c r="GUF519" s="379"/>
      <c r="GUG519" s="379"/>
      <c r="GUH519" s="379"/>
      <c r="GUI519" s="13"/>
      <c r="GUJ519" s="13"/>
      <c r="GUK519" s="193"/>
      <c r="GUL519" s="379"/>
      <c r="GUM519" s="379"/>
      <c r="GUN519" s="379"/>
      <c r="GUO519" s="379"/>
      <c r="GUP519" s="379"/>
      <c r="GUQ519" s="13"/>
      <c r="GUR519" s="13"/>
      <c r="GUS519" s="193"/>
      <c r="GUT519" s="379"/>
      <c r="GUU519" s="379"/>
      <c r="GUV519" s="379"/>
      <c r="GUW519" s="379"/>
      <c r="GUX519" s="379"/>
      <c r="GUY519" s="13"/>
      <c r="GUZ519" s="13"/>
      <c r="GVA519" s="193"/>
      <c r="GVB519" s="379"/>
      <c r="GVC519" s="379"/>
      <c r="GVD519" s="379"/>
      <c r="GVE519" s="379"/>
      <c r="GVF519" s="379"/>
      <c r="GVG519" s="13"/>
      <c r="GVH519" s="13"/>
      <c r="GVI519" s="193"/>
      <c r="GVJ519" s="379"/>
      <c r="GVK519" s="379"/>
      <c r="GVL519" s="379"/>
      <c r="GVM519" s="379"/>
      <c r="GVN519" s="379"/>
      <c r="GVO519" s="13"/>
      <c r="GVP519" s="13"/>
      <c r="GVQ519" s="193"/>
      <c r="GVR519" s="379"/>
      <c r="GVS519" s="379"/>
      <c r="GVT519" s="379"/>
      <c r="GVU519" s="379"/>
      <c r="GVV519" s="379"/>
      <c r="GVW519" s="13"/>
      <c r="GVX519" s="13"/>
      <c r="GVY519" s="193"/>
      <c r="GVZ519" s="379"/>
      <c r="GWA519" s="379"/>
      <c r="GWB519" s="379"/>
      <c r="GWC519" s="379"/>
      <c r="GWD519" s="379"/>
      <c r="GWE519" s="13"/>
      <c r="GWF519" s="13"/>
      <c r="GWG519" s="193"/>
      <c r="GWH519" s="379"/>
      <c r="GWI519" s="379"/>
      <c r="GWJ519" s="379"/>
      <c r="GWK519" s="379"/>
      <c r="GWL519" s="379"/>
      <c r="GWM519" s="13"/>
      <c r="GWN519" s="13"/>
      <c r="GWO519" s="193"/>
      <c r="GWP519" s="379"/>
      <c r="GWQ519" s="379"/>
      <c r="GWR519" s="379"/>
      <c r="GWS519" s="379"/>
      <c r="GWT519" s="379"/>
      <c r="GWU519" s="13"/>
      <c r="GWV519" s="13"/>
      <c r="GWW519" s="193"/>
      <c r="GWX519" s="379"/>
      <c r="GWY519" s="379"/>
      <c r="GWZ519" s="379"/>
      <c r="GXA519" s="379"/>
      <c r="GXB519" s="379"/>
      <c r="GXC519" s="13"/>
      <c r="GXD519" s="13"/>
      <c r="GXE519" s="193"/>
      <c r="GXF519" s="379"/>
      <c r="GXG519" s="379"/>
      <c r="GXH519" s="379"/>
      <c r="GXI519" s="379"/>
      <c r="GXJ519" s="379"/>
      <c r="GXK519" s="13"/>
      <c r="GXL519" s="13"/>
      <c r="GXM519" s="193"/>
      <c r="GXN519" s="379"/>
      <c r="GXO519" s="379"/>
      <c r="GXP519" s="379"/>
      <c r="GXQ519" s="379"/>
      <c r="GXR519" s="379"/>
      <c r="GXS519" s="13"/>
      <c r="GXT519" s="13"/>
      <c r="GXU519" s="193"/>
      <c r="GXV519" s="379"/>
      <c r="GXW519" s="379"/>
      <c r="GXX519" s="379"/>
      <c r="GXY519" s="379"/>
      <c r="GXZ519" s="379"/>
      <c r="GYA519" s="13"/>
      <c r="GYB519" s="13"/>
      <c r="GYC519" s="193"/>
      <c r="GYD519" s="379"/>
      <c r="GYE519" s="379"/>
      <c r="GYF519" s="379"/>
      <c r="GYG519" s="379"/>
      <c r="GYH519" s="379"/>
      <c r="GYI519" s="13"/>
      <c r="GYJ519" s="13"/>
      <c r="GYK519" s="193"/>
      <c r="GYL519" s="379"/>
      <c r="GYM519" s="379"/>
      <c r="GYN519" s="379"/>
      <c r="GYO519" s="379"/>
      <c r="GYP519" s="379"/>
      <c r="GYQ519" s="13"/>
      <c r="GYR519" s="13"/>
      <c r="GYS519" s="193"/>
      <c r="GYT519" s="379"/>
      <c r="GYU519" s="379"/>
      <c r="GYV519" s="379"/>
      <c r="GYW519" s="379"/>
      <c r="GYX519" s="379"/>
      <c r="GYY519" s="13"/>
      <c r="GYZ519" s="13"/>
      <c r="GZA519" s="193"/>
      <c r="GZB519" s="379"/>
      <c r="GZC519" s="379"/>
      <c r="GZD519" s="379"/>
      <c r="GZE519" s="379"/>
      <c r="GZF519" s="379"/>
      <c r="GZG519" s="13"/>
      <c r="GZH519" s="13"/>
      <c r="GZI519" s="193"/>
      <c r="GZJ519" s="379"/>
      <c r="GZK519" s="379"/>
      <c r="GZL519" s="379"/>
      <c r="GZM519" s="379"/>
      <c r="GZN519" s="379"/>
      <c r="GZO519" s="13"/>
      <c r="GZP519" s="13"/>
      <c r="GZQ519" s="193"/>
      <c r="GZR519" s="379"/>
      <c r="GZS519" s="379"/>
      <c r="GZT519" s="379"/>
      <c r="GZU519" s="379"/>
      <c r="GZV519" s="379"/>
      <c r="GZW519" s="13"/>
      <c r="GZX519" s="13"/>
      <c r="GZY519" s="193"/>
      <c r="GZZ519" s="379"/>
      <c r="HAA519" s="379"/>
      <c r="HAB519" s="379"/>
      <c r="HAC519" s="379"/>
      <c r="HAD519" s="379"/>
      <c r="HAE519" s="13"/>
      <c r="HAF519" s="13"/>
      <c r="HAG519" s="193"/>
      <c r="HAH519" s="379"/>
      <c r="HAI519" s="379"/>
      <c r="HAJ519" s="379"/>
      <c r="HAK519" s="379"/>
      <c r="HAL519" s="379"/>
      <c r="HAM519" s="13"/>
      <c r="HAN519" s="13"/>
      <c r="HAO519" s="193"/>
      <c r="HAP519" s="379"/>
      <c r="HAQ519" s="379"/>
      <c r="HAR519" s="379"/>
      <c r="HAS519" s="379"/>
      <c r="HAT519" s="379"/>
      <c r="HAU519" s="13"/>
      <c r="HAV519" s="13"/>
      <c r="HAW519" s="193"/>
      <c r="HAX519" s="379"/>
      <c r="HAY519" s="379"/>
      <c r="HAZ519" s="379"/>
      <c r="HBA519" s="379"/>
      <c r="HBB519" s="379"/>
      <c r="HBC519" s="13"/>
      <c r="HBD519" s="13"/>
      <c r="HBE519" s="193"/>
      <c r="HBF519" s="379"/>
      <c r="HBG519" s="379"/>
      <c r="HBH519" s="379"/>
      <c r="HBI519" s="379"/>
      <c r="HBJ519" s="379"/>
      <c r="HBK519" s="13"/>
      <c r="HBL519" s="13"/>
      <c r="HBM519" s="193"/>
      <c r="HBN519" s="379"/>
      <c r="HBO519" s="379"/>
      <c r="HBP519" s="379"/>
      <c r="HBQ519" s="379"/>
      <c r="HBR519" s="379"/>
      <c r="HBS519" s="13"/>
      <c r="HBT519" s="13"/>
      <c r="HBU519" s="193"/>
      <c r="HBV519" s="379"/>
      <c r="HBW519" s="379"/>
      <c r="HBX519" s="379"/>
      <c r="HBY519" s="379"/>
      <c r="HBZ519" s="379"/>
      <c r="HCA519" s="13"/>
      <c r="HCB519" s="13"/>
      <c r="HCC519" s="193"/>
      <c r="HCD519" s="379"/>
      <c r="HCE519" s="379"/>
      <c r="HCF519" s="379"/>
      <c r="HCG519" s="379"/>
      <c r="HCH519" s="379"/>
      <c r="HCI519" s="13"/>
      <c r="HCJ519" s="13"/>
      <c r="HCK519" s="193"/>
      <c r="HCL519" s="379"/>
      <c r="HCM519" s="379"/>
      <c r="HCN519" s="379"/>
      <c r="HCO519" s="379"/>
      <c r="HCP519" s="379"/>
      <c r="HCQ519" s="13"/>
      <c r="HCR519" s="13"/>
      <c r="HCS519" s="193"/>
      <c r="HCT519" s="379"/>
      <c r="HCU519" s="379"/>
      <c r="HCV519" s="379"/>
      <c r="HCW519" s="379"/>
      <c r="HCX519" s="379"/>
      <c r="HCY519" s="13"/>
      <c r="HCZ519" s="13"/>
      <c r="HDA519" s="193"/>
      <c r="HDB519" s="379"/>
      <c r="HDC519" s="379"/>
      <c r="HDD519" s="379"/>
      <c r="HDE519" s="379"/>
      <c r="HDF519" s="379"/>
      <c r="HDG519" s="13"/>
      <c r="HDH519" s="13"/>
      <c r="HDI519" s="193"/>
      <c r="HDJ519" s="379"/>
      <c r="HDK519" s="379"/>
      <c r="HDL519" s="379"/>
      <c r="HDM519" s="379"/>
      <c r="HDN519" s="379"/>
      <c r="HDO519" s="13"/>
      <c r="HDP519" s="13"/>
      <c r="HDQ519" s="193"/>
      <c r="HDR519" s="379"/>
      <c r="HDS519" s="379"/>
      <c r="HDT519" s="379"/>
      <c r="HDU519" s="379"/>
      <c r="HDV519" s="379"/>
      <c r="HDW519" s="13"/>
      <c r="HDX519" s="13"/>
      <c r="HDY519" s="193"/>
      <c r="HDZ519" s="379"/>
      <c r="HEA519" s="379"/>
      <c r="HEB519" s="379"/>
      <c r="HEC519" s="379"/>
      <c r="HED519" s="379"/>
      <c r="HEE519" s="13"/>
      <c r="HEF519" s="13"/>
      <c r="HEG519" s="193"/>
      <c r="HEH519" s="379"/>
      <c r="HEI519" s="379"/>
      <c r="HEJ519" s="379"/>
      <c r="HEK519" s="379"/>
      <c r="HEL519" s="379"/>
      <c r="HEM519" s="13"/>
      <c r="HEN519" s="13"/>
      <c r="HEO519" s="193"/>
      <c r="HEP519" s="379"/>
      <c r="HEQ519" s="379"/>
      <c r="HER519" s="379"/>
      <c r="HES519" s="379"/>
      <c r="HET519" s="379"/>
      <c r="HEU519" s="13"/>
      <c r="HEV519" s="13"/>
      <c r="HEW519" s="193"/>
      <c r="HEX519" s="379"/>
      <c r="HEY519" s="379"/>
      <c r="HEZ519" s="379"/>
      <c r="HFA519" s="379"/>
      <c r="HFB519" s="379"/>
      <c r="HFC519" s="13"/>
      <c r="HFD519" s="13"/>
      <c r="HFE519" s="193"/>
      <c r="HFF519" s="379"/>
      <c r="HFG519" s="379"/>
      <c r="HFH519" s="379"/>
      <c r="HFI519" s="379"/>
      <c r="HFJ519" s="379"/>
      <c r="HFK519" s="13"/>
      <c r="HFL519" s="13"/>
      <c r="HFM519" s="193"/>
      <c r="HFN519" s="379"/>
      <c r="HFO519" s="379"/>
      <c r="HFP519" s="379"/>
      <c r="HFQ519" s="379"/>
      <c r="HFR519" s="379"/>
      <c r="HFS519" s="13"/>
      <c r="HFT519" s="13"/>
      <c r="HFU519" s="193"/>
      <c r="HFV519" s="379"/>
      <c r="HFW519" s="379"/>
      <c r="HFX519" s="379"/>
      <c r="HFY519" s="379"/>
      <c r="HFZ519" s="379"/>
      <c r="HGA519" s="13"/>
      <c r="HGB519" s="13"/>
      <c r="HGC519" s="193"/>
      <c r="HGD519" s="379"/>
      <c r="HGE519" s="379"/>
      <c r="HGF519" s="379"/>
      <c r="HGG519" s="379"/>
      <c r="HGH519" s="379"/>
      <c r="HGI519" s="13"/>
      <c r="HGJ519" s="13"/>
      <c r="HGK519" s="193"/>
      <c r="HGL519" s="379"/>
      <c r="HGM519" s="379"/>
      <c r="HGN519" s="379"/>
      <c r="HGO519" s="379"/>
      <c r="HGP519" s="379"/>
      <c r="HGQ519" s="13"/>
      <c r="HGR519" s="13"/>
      <c r="HGS519" s="193"/>
      <c r="HGT519" s="379"/>
      <c r="HGU519" s="379"/>
      <c r="HGV519" s="379"/>
      <c r="HGW519" s="379"/>
      <c r="HGX519" s="379"/>
      <c r="HGY519" s="13"/>
      <c r="HGZ519" s="13"/>
      <c r="HHA519" s="193"/>
      <c r="HHB519" s="379"/>
      <c r="HHC519" s="379"/>
      <c r="HHD519" s="379"/>
      <c r="HHE519" s="379"/>
      <c r="HHF519" s="379"/>
      <c r="HHG519" s="13"/>
      <c r="HHH519" s="13"/>
      <c r="HHI519" s="193"/>
      <c r="HHJ519" s="379"/>
      <c r="HHK519" s="379"/>
      <c r="HHL519" s="379"/>
      <c r="HHM519" s="379"/>
      <c r="HHN519" s="379"/>
      <c r="HHO519" s="13"/>
      <c r="HHP519" s="13"/>
      <c r="HHQ519" s="193"/>
      <c r="HHR519" s="379"/>
      <c r="HHS519" s="379"/>
      <c r="HHT519" s="379"/>
      <c r="HHU519" s="379"/>
      <c r="HHV519" s="379"/>
      <c r="HHW519" s="13"/>
      <c r="HHX519" s="13"/>
      <c r="HHY519" s="193"/>
      <c r="HHZ519" s="379"/>
      <c r="HIA519" s="379"/>
      <c r="HIB519" s="379"/>
      <c r="HIC519" s="379"/>
      <c r="HID519" s="379"/>
      <c r="HIE519" s="13"/>
      <c r="HIF519" s="13"/>
      <c r="HIG519" s="193"/>
      <c r="HIH519" s="379"/>
      <c r="HII519" s="379"/>
      <c r="HIJ519" s="379"/>
      <c r="HIK519" s="379"/>
      <c r="HIL519" s="379"/>
      <c r="HIM519" s="13"/>
      <c r="HIN519" s="13"/>
      <c r="HIO519" s="193"/>
      <c r="HIP519" s="379"/>
      <c r="HIQ519" s="379"/>
      <c r="HIR519" s="379"/>
      <c r="HIS519" s="379"/>
      <c r="HIT519" s="379"/>
      <c r="HIU519" s="13"/>
      <c r="HIV519" s="13"/>
      <c r="HIW519" s="193"/>
      <c r="HIX519" s="379"/>
      <c r="HIY519" s="379"/>
      <c r="HIZ519" s="379"/>
      <c r="HJA519" s="379"/>
      <c r="HJB519" s="379"/>
      <c r="HJC519" s="13"/>
      <c r="HJD519" s="13"/>
      <c r="HJE519" s="193"/>
      <c r="HJF519" s="379"/>
      <c r="HJG519" s="379"/>
      <c r="HJH519" s="379"/>
      <c r="HJI519" s="379"/>
      <c r="HJJ519" s="379"/>
      <c r="HJK519" s="13"/>
      <c r="HJL519" s="13"/>
      <c r="HJM519" s="193"/>
      <c r="HJN519" s="379"/>
      <c r="HJO519" s="379"/>
      <c r="HJP519" s="379"/>
      <c r="HJQ519" s="379"/>
      <c r="HJR519" s="379"/>
      <c r="HJS519" s="13"/>
      <c r="HJT519" s="13"/>
      <c r="HJU519" s="193"/>
      <c r="HJV519" s="379"/>
      <c r="HJW519" s="379"/>
      <c r="HJX519" s="379"/>
      <c r="HJY519" s="379"/>
      <c r="HJZ519" s="379"/>
      <c r="HKA519" s="13"/>
      <c r="HKB519" s="13"/>
      <c r="HKC519" s="193"/>
      <c r="HKD519" s="379"/>
      <c r="HKE519" s="379"/>
      <c r="HKF519" s="379"/>
      <c r="HKG519" s="379"/>
      <c r="HKH519" s="379"/>
      <c r="HKI519" s="13"/>
      <c r="HKJ519" s="13"/>
      <c r="HKK519" s="193"/>
      <c r="HKL519" s="379"/>
      <c r="HKM519" s="379"/>
      <c r="HKN519" s="379"/>
      <c r="HKO519" s="379"/>
      <c r="HKP519" s="379"/>
      <c r="HKQ519" s="13"/>
      <c r="HKR519" s="13"/>
      <c r="HKS519" s="193"/>
      <c r="HKT519" s="379"/>
      <c r="HKU519" s="379"/>
      <c r="HKV519" s="379"/>
      <c r="HKW519" s="379"/>
      <c r="HKX519" s="379"/>
      <c r="HKY519" s="13"/>
      <c r="HKZ519" s="13"/>
      <c r="HLA519" s="193"/>
      <c r="HLB519" s="379"/>
      <c r="HLC519" s="379"/>
      <c r="HLD519" s="379"/>
      <c r="HLE519" s="379"/>
      <c r="HLF519" s="379"/>
      <c r="HLG519" s="13"/>
      <c r="HLH519" s="13"/>
      <c r="HLI519" s="193"/>
      <c r="HLJ519" s="379"/>
      <c r="HLK519" s="379"/>
      <c r="HLL519" s="379"/>
      <c r="HLM519" s="379"/>
      <c r="HLN519" s="379"/>
      <c r="HLO519" s="13"/>
      <c r="HLP519" s="13"/>
      <c r="HLQ519" s="193"/>
      <c r="HLR519" s="379"/>
      <c r="HLS519" s="379"/>
      <c r="HLT519" s="379"/>
      <c r="HLU519" s="379"/>
      <c r="HLV519" s="379"/>
      <c r="HLW519" s="13"/>
      <c r="HLX519" s="13"/>
      <c r="HLY519" s="193"/>
      <c r="HLZ519" s="379"/>
      <c r="HMA519" s="379"/>
      <c r="HMB519" s="379"/>
      <c r="HMC519" s="379"/>
      <c r="HMD519" s="379"/>
      <c r="HME519" s="13"/>
      <c r="HMF519" s="13"/>
      <c r="HMG519" s="193"/>
      <c r="HMH519" s="379"/>
      <c r="HMI519" s="379"/>
      <c r="HMJ519" s="379"/>
      <c r="HMK519" s="379"/>
      <c r="HML519" s="379"/>
      <c r="HMM519" s="13"/>
      <c r="HMN519" s="13"/>
      <c r="HMO519" s="193"/>
      <c r="HMP519" s="379"/>
      <c r="HMQ519" s="379"/>
      <c r="HMR519" s="379"/>
      <c r="HMS519" s="379"/>
      <c r="HMT519" s="379"/>
      <c r="HMU519" s="13"/>
      <c r="HMV519" s="13"/>
      <c r="HMW519" s="193"/>
      <c r="HMX519" s="379"/>
      <c r="HMY519" s="379"/>
      <c r="HMZ519" s="379"/>
      <c r="HNA519" s="379"/>
      <c r="HNB519" s="379"/>
      <c r="HNC519" s="13"/>
      <c r="HND519" s="13"/>
      <c r="HNE519" s="193"/>
      <c r="HNF519" s="379"/>
      <c r="HNG519" s="379"/>
      <c r="HNH519" s="379"/>
      <c r="HNI519" s="379"/>
      <c r="HNJ519" s="379"/>
      <c r="HNK519" s="13"/>
      <c r="HNL519" s="13"/>
      <c r="HNM519" s="193"/>
      <c r="HNN519" s="379"/>
      <c r="HNO519" s="379"/>
      <c r="HNP519" s="379"/>
      <c r="HNQ519" s="379"/>
      <c r="HNR519" s="379"/>
      <c r="HNS519" s="13"/>
      <c r="HNT519" s="13"/>
      <c r="HNU519" s="193"/>
      <c r="HNV519" s="379"/>
      <c r="HNW519" s="379"/>
      <c r="HNX519" s="379"/>
      <c r="HNY519" s="379"/>
      <c r="HNZ519" s="379"/>
      <c r="HOA519" s="13"/>
      <c r="HOB519" s="13"/>
      <c r="HOC519" s="193"/>
      <c r="HOD519" s="379"/>
      <c r="HOE519" s="379"/>
      <c r="HOF519" s="379"/>
      <c r="HOG519" s="379"/>
      <c r="HOH519" s="379"/>
      <c r="HOI519" s="13"/>
      <c r="HOJ519" s="13"/>
      <c r="HOK519" s="193"/>
      <c r="HOL519" s="379"/>
      <c r="HOM519" s="379"/>
      <c r="HON519" s="379"/>
      <c r="HOO519" s="379"/>
      <c r="HOP519" s="379"/>
      <c r="HOQ519" s="13"/>
      <c r="HOR519" s="13"/>
      <c r="HOS519" s="193"/>
      <c r="HOT519" s="379"/>
      <c r="HOU519" s="379"/>
      <c r="HOV519" s="379"/>
      <c r="HOW519" s="379"/>
      <c r="HOX519" s="379"/>
      <c r="HOY519" s="13"/>
      <c r="HOZ519" s="13"/>
      <c r="HPA519" s="193"/>
      <c r="HPB519" s="379"/>
      <c r="HPC519" s="379"/>
      <c r="HPD519" s="379"/>
      <c r="HPE519" s="379"/>
      <c r="HPF519" s="379"/>
      <c r="HPG519" s="13"/>
      <c r="HPH519" s="13"/>
      <c r="HPI519" s="193"/>
      <c r="HPJ519" s="379"/>
      <c r="HPK519" s="379"/>
      <c r="HPL519" s="379"/>
      <c r="HPM519" s="379"/>
      <c r="HPN519" s="379"/>
      <c r="HPO519" s="13"/>
      <c r="HPP519" s="13"/>
      <c r="HPQ519" s="193"/>
      <c r="HPR519" s="379"/>
      <c r="HPS519" s="379"/>
      <c r="HPT519" s="379"/>
      <c r="HPU519" s="379"/>
      <c r="HPV519" s="379"/>
      <c r="HPW519" s="13"/>
      <c r="HPX519" s="13"/>
      <c r="HPY519" s="193"/>
      <c r="HPZ519" s="379"/>
      <c r="HQA519" s="379"/>
      <c r="HQB519" s="379"/>
      <c r="HQC519" s="379"/>
      <c r="HQD519" s="379"/>
      <c r="HQE519" s="13"/>
      <c r="HQF519" s="13"/>
      <c r="HQG519" s="193"/>
      <c r="HQH519" s="379"/>
      <c r="HQI519" s="379"/>
      <c r="HQJ519" s="379"/>
      <c r="HQK519" s="379"/>
      <c r="HQL519" s="379"/>
      <c r="HQM519" s="13"/>
      <c r="HQN519" s="13"/>
      <c r="HQO519" s="193"/>
      <c r="HQP519" s="379"/>
      <c r="HQQ519" s="379"/>
      <c r="HQR519" s="379"/>
      <c r="HQS519" s="379"/>
      <c r="HQT519" s="379"/>
      <c r="HQU519" s="13"/>
      <c r="HQV519" s="13"/>
      <c r="HQW519" s="193"/>
      <c r="HQX519" s="379"/>
      <c r="HQY519" s="379"/>
      <c r="HQZ519" s="379"/>
      <c r="HRA519" s="379"/>
      <c r="HRB519" s="379"/>
      <c r="HRC519" s="13"/>
      <c r="HRD519" s="13"/>
      <c r="HRE519" s="193"/>
      <c r="HRF519" s="379"/>
      <c r="HRG519" s="379"/>
      <c r="HRH519" s="379"/>
      <c r="HRI519" s="379"/>
      <c r="HRJ519" s="379"/>
      <c r="HRK519" s="13"/>
      <c r="HRL519" s="13"/>
      <c r="HRM519" s="193"/>
      <c r="HRN519" s="379"/>
      <c r="HRO519" s="379"/>
      <c r="HRP519" s="379"/>
      <c r="HRQ519" s="379"/>
      <c r="HRR519" s="379"/>
      <c r="HRS519" s="13"/>
      <c r="HRT519" s="13"/>
      <c r="HRU519" s="193"/>
      <c r="HRV519" s="379"/>
      <c r="HRW519" s="379"/>
      <c r="HRX519" s="379"/>
      <c r="HRY519" s="379"/>
      <c r="HRZ519" s="379"/>
      <c r="HSA519" s="13"/>
      <c r="HSB519" s="13"/>
      <c r="HSC519" s="193"/>
      <c r="HSD519" s="379"/>
      <c r="HSE519" s="379"/>
      <c r="HSF519" s="379"/>
      <c r="HSG519" s="379"/>
      <c r="HSH519" s="379"/>
      <c r="HSI519" s="13"/>
      <c r="HSJ519" s="13"/>
      <c r="HSK519" s="193"/>
      <c r="HSL519" s="379"/>
      <c r="HSM519" s="379"/>
      <c r="HSN519" s="379"/>
      <c r="HSO519" s="379"/>
      <c r="HSP519" s="379"/>
      <c r="HSQ519" s="13"/>
      <c r="HSR519" s="13"/>
      <c r="HSS519" s="193"/>
      <c r="HST519" s="379"/>
      <c r="HSU519" s="379"/>
      <c r="HSV519" s="379"/>
      <c r="HSW519" s="379"/>
      <c r="HSX519" s="379"/>
      <c r="HSY519" s="13"/>
      <c r="HSZ519" s="13"/>
      <c r="HTA519" s="193"/>
      <c r="HTB519" s="379"/>
      <c r="HTC519" s="379"/>
      <c r="HTD519" s="379"/>
      <c r="HTE519" s="379"/>
      <c r="HTF519" s="379"/>
      <c r="HTG519" s="13"/>
      <c r="HTH519" s="13"/>
      <c r="HTI519" s="193"/>
      <c r="HTJ519" s="379"/>
      <c r="HTK519" s="379"/>
      <c r="HTL519" s="379"/>
      <c r="HTM519" s="379"/>
      <c r="HTN519" s="379"/>
      <c r="HTO519" s="13"/>
      <c r="HTP519" s="13"/>
      <c r="HTQ519" s="193"/>
      <c r="HTR519" s="379"/>
      <c r="HTS519" s="379"/>
      <c r="HTT519" s="379"/>
      <c r="HTU519" s="379"/>
      <c r="HTV519" s="379"/>
      <c r="HTW519" s="13"/>
      <c r="HTX519" s="13"/>
      <c r="HTY519" s="193"/>
      <c r="HTZ519" s="379"/>
      <c r="HUA519" s="379"/>
      <c r="HUB519" s="379"/>
      <c r="HUC519" s="379"/>
      <c r="HUD519" s="379"/>
      <c r="HUE519" s="13"/>
      <c r="HUF519" s="13"/>
      <c r="HUG519" s="193"/>
      <c r="HUH519" s="379"/>
      <c r="HUI519" s="379"/>
      <c r="HUJ519" s="379"/>
      <c r="HUK519" s="379"/>
      <c r="HUL519" s="379"/>
      <c r="HUM519" s="13"/>
      <c r="HUN519" s="13"/>
      <c r="HUO519" s="193"/>
      <c r="HUP519" s="379"/>
      <c r="HUQ519" s="379"/>
      <c r="HUR519" s="379"/>
      <c r="HUS519" s="379"/>
      <c r="HUT519" s="379"/>
      <c r="HUU519" s="13"/>
      <c r="HUV519" s="13"/>
      <c r="HUW519" s="193"/>
      <c r="HUX519" s="379"/>
      <c r="HUY519" s="379"/>
      <c r="HUZ519" s="379"/>
      <c r="HVA519" s="379"/>
      <c r="HVB519" s="379"/>
      <c r="HVC519" s="13"/>
      <c r="HVD519" s="13"/>
      <c r="HVE519" s="193"/>
      <c r="HVF519" s="379"/>
      <c r="HVG519" s="379"/>
      <c r="HVH519" s="379"/>
      <c r="HVI519" s="379"/>
      <c r="HVJ519" s="379"/>
      <c r="HVK519" s="13"/>
      <c r="HVL519" s="13"/>
      <c r="HVM519" s="193"/>
      <c r="HVN519" s="379"/>
      <c r="HVO519" s="379"/>
      <c r="HVP519" s="379"/>
      <c r="HVQ519" s="379"/>
      <c r="HVR519" s="379"/>
      <c r="HVS519" s="13"/>
      <c r="HVT519" s="13"/>
      <c r="HVU519" s="193"/>
      <c r="HVV519" s="379"/>
      <c r="HVW519" s="379"/>
      <c r="HVX519" s="379"/>
      <c r="HVY519" s="379"/>
      <c r="HVZ519" s="379"/>
      <c r="HWA519" s="13"/>
      <c r="HWB519" s="13"/>
      <c r="HWC519" s="193"/>
      <c r="HWD519" s="379"/>
      <c r="HWE519" s="379"/>
      <c r="HWF519" s="379"/>
      <c r="HWG519" s="379"/>
      <c r="HWH519" s="379"/>
      <c r="HWI519" s="13"/>
      <c r="HWJ519" s="13"/>
      <c r="HWK519" s="193"/>
      <c r="HWL519" s="379"/>
      <c r="HWM519" s="379"/>
      <c r="HWN519" s="379"/>
      <c r="HWO519" s="379"/>
      <c r="HWP519" s="379"/>
      <c r="HWQ519" s="13"/>
      <c r="HWR519" s="13"/>
      <c r="HWS519" s="193"/>
      <c r="HWT519" s="379"/>
      <c r="HWU519" s="379"/>
      <c r="HWV519" s="379"/>
      <c r="HWW519" s="379"/>
      <c r="HWX519" s="379"/>
      <c r="HWY519" s="13"/>
      <c r="HWZ519" s="13"/>
      <c r="HXA519" s="193"/>
      <c r="HXB519" s="379"/>
      <c r="HXC519" s="379"/>
      <c r="HXD519" s="379"/>
      <c r="HXE519" s="379"/>
      <c r="HXF519" s="379"/>
      <c r="HXG519" s="13"/>
      <c r="HXH519" s="13"/>
      <c r="HXI519" s="193"/>
      <c r="HXJ519" s="379"/>
      <c r="HXK519" s="379"/>
      <c r="HXL519" s="379"/>
      <c r="HXM519" s="379"/>
      <c r="HXN519" s="379"/>
      <c r="HXO519" s="13"/>
      <c r="HXP519" s="13"/>
      <c r="HXQ519" s="193"/>
      <c r="HXR519" s="379"/>
      <c r="HXS519" s="379"/>
      <c r="HXT519" s="379"/>
      <c r="HXU519" s="379"/>
      <c r="HXV519" s="379"/>
      <c r="HXW519" s="13"/>
      <c r="HXX519" s="13"/>
      <c r="HXY519" s="193"/>
      <c r="HXZ519" s="379"/>
      <c r="HYA519" s="379"/>
      <c r="HYB519" s="379"/>
      <c r="HYC519" s="379"/>
      <c r="HYD519" s="379"/>
      <c r="HYE519" s="13"/>
      <c r="HYF519" s="13"/>
      <c r="HYG519" s="193"/>
      <c r="HYH519" s="379"/>
      <c r="HYI519" s="379"/>
      <c r="HYJ519" s="379"/>
      <c r="HYK519" s="379"/>
      <c r="HYL519" s="379"/>
      <c r="HYM519" s="13"/>
      <c r="HYN519" s="13"/>
      <c r="HYO519" s="193"/>
      <c r="HYP519" s="379"/>
      <c r="HYQ519" s="379"/>
      <c r="HYR519" s="379"/>
      <c r="HYS519" s="379"/>
      <c r="HYT519" s="379"/>
      <c r="HYU519" s="13"/>
      <c r="HYV519" s="13"/>
      <c r="HYW519" s="193"/>
      <c r="HYX519" s="379"/>
      <c r="HYY519" s="379"/>
      <c r="HYZ519" s="379"/>
      <c r="HZA519" s="379"/>
      <c r="HZB519" s="379"/>
      <c r="HZC519" s="13"/>
      <c r="HZD519" s="13"/>
      <c r="HZE519" s="193"/>
      <c r="HZF519" s="379"/>
      <c r="HZG519" s="379"/>
      <c r="HZH519" s="379"/>
      <c r="HZI519" s="379"/>
      <c r="HZJ519" s="379"/>
      <c r="HZK519" s="13"/>
      <c r="HZL519" s="13"/>
      <c r="HZM519" s="193"/>
      <c r="HZN519" s="379"/>
      <c r="HZO519" s="379"/>
      <c r="HZP519" s="379"/>
      <c r="HZQ519" s="379"/>
      <c r="HZR519" s="379"/>
      <c r="HZS519" s="13"/>
      <c r="HZT519" s="13"/>
      <c r="HZU519" s="193"/>
      <c r="HZV519" s="379"/>
      <c r="HZW519" s="379"/>
      <c r="HZX519" s="379"/>
      <c r="HZY519" s="379"/>
      <c r="HZZ519" s="379"/>
      <c r="IAA519" s="13"/>
      <c r="IAB519" s="13"/>
      <c r="IAC519" s="193"/>
      <c r="IAD519" s="379"/>
      <c r="IAE519" s="379"/>
      <c r="IAF519" s="379"/>
      <c r="IAG519" s="379"/>
      <c r="IAH519" s="379"/>
      <c r="IAI519" s="13"/>
      <c r="IAJ519" s="13"/>
      <c r="IAK519" s="193"/>
      <c r="IAL519" s="379"/>
      <c r="IAM519" s="379"/>
      <c r="IAN519" s="379"/>
      <c r="IAO519" s="379"/>
      <c r="IAP519" s="379"/>
      <c r="IAQ519" s="13"/>
      <c r="IAR519" s="13"/>
      <c r="IAS519" s="193"/>
      <c r="IAT519" s="379"/>
      <c r="IAU519" s="379"/>
      <c r="IAV519" s="379"/>
      <c r="IAW519" s="379"/>
      <c r="IAX519" s="379"/>
      <c r="IAY519" s="13"/>
      <c r="IAZ519" s="13"/>
      <c r="IBA519" s="193"/>
      <c r="IBB519" s="379"/>
      <c r="IBC519" s="379"/>
      <c r="IBD519" s="379"/>
      <c r="IBE519" s="379"/>
      <c r="IBF519" s="379"/>
      <c r="IBG519" s="13"/>
      <c r="IBH519" s="13"/>
      <c r="IBI519" s="193"/>
      <c r="IBJ519" s="379"/>
      <c r="IBK519" s="379"/>
      <c r="IBL519" s="379"/>
      <c r="IBM519" s="379"/>
      <c r="IBN519" s="379"/>
      <c r="IBO519" s="13"/>
      <c r="IBP519" s="13"/>
      <c r="IBQ519" s="193"/>
      <c r="IBR519" s="379"/>
      <c r="IBS519" s="379"/>
      <c r="IBT519" s="379"/>
      <c r="IBU519" s="379"/>
      <c r="IBV519" s="379"/>
      <c r="IBW519" s="13"/>
      <c r="IBX519" s="13"/>
      <c r="IBY519" s="193"/>
      <c r="IBZ519" s="379"/>
      <c r="ICA519" s="379"/>
      <c r="ICB519" s="379"/>
      <c r="ICC519" s="379"/>
      <c r="ICD519" s="379"/>
      <c r="ICE519" s="13"/>
      <c r="ICF519" s="13"/>
      <c r="ICG519" s="193"/>
      <c r="ICH519" s="379"/>
      <c r="ICI519" s="379"/>
      <c r="ICJ519" s="379"/>
      <c r="ICK519" s="379"/>
      <c r="ICL519" s="379"/>
      <c r="ICM519" s="13"/>
      <c r="ICN519" s="13"/>
      <c r="ICO519" s="193"/>
      <c r="ICP519" s="379"/>
      <c r="ICQ519" s="379"/>
      <c r="ICR519" s="379"/>
      <c r="ICS519" s="379"/>
      <c r="ICT519" s="379"/>
      <c r="ICU519" s="13"/>
      <c r="ICV519" s="13"/>
      <c r="ICW519" s="193"/>
      <c r="ICX519" s="379"/>
      <c r="ICY519" s="379"/>
      <c r="ICZ519" s="379"/>
      <c r="IDA519" s="379"/>
      <c r="IDB519" s="379"/>
      <c r="IDC519" s="13"/>
      <c r="IDD519" s="13"/>
      <c r="IDE519" s="193"/>
      <c r="IDF519" s="379"/>
      <c r="IDG519" s="379"/>
      <c r="IDH519" s="379"/>
      <c r="IDI519" s="379"/>
      <c r="IDJ519" s="379"/>
      <c r="IDK519" s="13"/>
      <c r="IDL519" s="13"/>
      <c r="IDM519" s="193"/>
      <c r="IDN519" s="379"/>
      <c r="IDO519" s="379"/>
      <c r="IDP519" s="379"/>
      <c r="IDQ519" s="379"/>
      <c r="IDR519" s="379"/>
      <c r="IDS519" s="13"/>
      <c r="IDT519" s="13"/>
      <c r="IDU519" s="193"/>
      <c r="IDV519" s="379"/>
      <c r="IDW519" s="379"/>
      <c r="IDX519" s="379"/>
      <c r="IDY519" s="379"/>
      <c r="IDZ519" s="379"/>
      <c r="IEA519" s="13"/>
      <c r="IEB519" s="13"/>
      <c r="IEC519" s="193"/>
      <c r="IED519" s="379"/>
      <c r="IEE519" s="379"/>
      <c r="IEF519" s="379"/>
      <c r="IEG519" s="379"/>
      <c r="IEH519" s="379"/>
      <c r="IEI519" s="13"/>
      <c r="IEJ519" s="13"/>
      <c r="IEK519" s="193"/>
      <c r="IEL519" s="379"/>
      <c r="IEM519" s="379"/>
      <c r="IEN519" s="379"/>
      <c r="IEO519" s="379"/>
      <c r="IEP519" s="379"/>
      <c r="IEQ519" s="13"/>
      <c r="IER519" s="13"/>
      <c r="IES519" s="193"/>
      <c r="IET519" s="379"/>
      <c r="IEU519" s="379"/>
      <c r="IEV519" s="379"/>
      <c r="IEW519" s="379"/>
      <c r="IEX519" s="379"/>
      <c r="IEY519" s="13"/>
      <c r="IEZ519" s="13"/>
      <c r="IFA519" s="193"/>
      <c r="IFB519" s="379"/>
      <c r="IFC519" s="379"/>
      <c r="IFD519" s="379"/>
      <c r="IFE519" s="379"/>
      <c r="IFF519" s="379"/>
      <c r="IFG519" s="13"/>
      <c r="IFH519" s="13"/>
      <c r="IFI519" s="193"/>
      <c r="IFJ519" s="379"/>
      <c r="IFK519" s="379"/>
      <c r="IFL519" s="379"/>
      <c r="IFM519" s="379"/>
      <c r="IFN519" s="379"/>
      <c r="IFO519" s="13"/>
      <c r="IFP519" s="13"/>
      <c r="IFQ519" s="193"/>
      <c r="IFR519" s="379"/>
      <c r="IFS519" s="379"/>
      <c r="IFT519" s="379"/>
      <c r="IFU519" s="379"/>
      <c r="IFV519" s="379"/>
      <c r="IFW519" s="13"/>
      <c r="IFX519" s="13"/>
      <c r="IFY519" s="193"/>
      <c r="IFZ519" s="379"/>
      <c r="IGA519" s="379"/>
      <c r="IGB519" s="379"/>
      <c r="IGC519" s="379"/>
      <c r="IGD519" s="379"/>
      <c r="IGE519" s="13"/>
      <c r="IGF519" s="13"/>
      <c r="IGG519" s="193"/>
      <c r="IGH519" s="379"/>
      <c r="IGI519" s="379"/>
      <c r="IGJ519" s="379"/>
      <c r="IGK519" s="379"/>
      <c r="IGL519" s="379"/>
      <c r="IGM519" s="13"/>
      <c r="IGN519" s="13"/>
      <c r="IGO519" s="193"/>
      <c r="IGP519" s="379"/>
      <c r="IGQ519" s="379"/>
      <c r="IGR519" s="379"/>
      <c r="IGS519" s="379"/>
      <c r="IGT519" s="379"/>
      <c r="IGU519" s="13"/>
      <c r="IGV519" s="13"/>
      <c r="IGW519" s="193"/>
      <c r="IGX519" s="379"/>
      <c r="IGY519" s="379"/>
      <c r="IGZ519" s="379"/>
      <c r="IHA519" s="379"/>
      <c r="IHB519" s="379"/>
      <c r="IHC519" s="13"/>
      <c r="IHD519" s="13"/>
      <c r="IHE519" s="193"/>
      <c r="IHF519" s="379"/>
      <c r="IHG519" s="379"/>
      <c r="IHH519" s="379"/>
      <c r="IHI519" s="379"/>
      <c r="IHJ519" s="379"/>
      <c r="IHK519" s="13"/>
      <c r="IHL519" s="13"/>
      <c r="IHM519" s="193"/>
      <c r="IHN519" s="379"/>
      <c r="IHO519" s="379"/>
      <c r="IHP519" s="379"/>
      <c r="IHQ519" s="379"/>
      <c r="IHR519" s="379"/>
      <c r="IHS519" s="13"/>
      <c r="IHT519" s="13"/>
      <c r="IHU519" s="193"/>
      <c r="IHV519" s="379"/>
      <c r="IHW519" s="379"/>
      <c r="IHX519" s="379"/>
      <c r="IHY519" s="379"/>
      <c r="IHZ519" s="379"/>
      <c r="IIA519" s="13"/>
      <c r="IIB519" s="13"/>
      <c r="IIC519" s="193"/>
      <c r="IID519" s="379"/>
      <c r="IIE519" s="379"/>
      <c r="IIF519" s="379"/>
      <c r="IIG519" s="379"/>
      <c r="IIH519" s="379"/>
      <c r="III519" s="13"/>
      <c r="IIJ519" s="13"/>
      <c r="IIK519" s="193"/>
      <c r="IIL519" s="379"/>
      <c r="IIM519" s="379"/>
      <c r="IIN519" s="379"/>
      <c r="IIO519" s="379"/>
      <c r="IIP519" s="379"/>
      <c r="IIQ519" s="13"/>
      <c r="IIR519" s="13"/>
      <c r="IIS519" s="193"/>
      <c r="IIT519" s="379"/>
      <c r="IIU519" s="379"/>
      <c r="IIV519" s="379"/>
      <c r="IIW519" s="379"/>
      <c r="IIX519" s="379"/>
      <c r="IIY519" s="13"/>
      <c r="IIZ519" s="13"/>
      <c r="IJA519" s="193"/>
      <c r="IJB519" s="379"/>
      <c r="IJC519" s="379"/>
      <c r="IJD519" s="379"/>
      <c r="IJE519" s="379"/>
      <c r="IJF519" s="379"/>
      <c r="IJG519" s="13"/>
      <c r="IJH519" s="13"/>
      <c r="IJI519" s="193"/>
      <c r="IJJ519" s="379"/>
      <c r="IJK519" s="379"/>
      <c r="IJL519" s="379"/>
      <c r="IJM519" s="379"/>
      <c r="IJN519" s="379"/>
      <c r="IJO519" s="13"/>
      <c r="IJP519" s="13"/>
      <c r="IJQ519" s="193"/>
      <c r="IJR519" s="379"/>
      <c r="IJS519" s="379"/>
      <c r="IJT519" s="379"/>
      <c r="IJU519" s="379"/>
      <c r="IJV519" s="379"/>
      <c r="IJW519" s="13"/>
      <c r="IJX519" s="13"/>
      <c r="IJY519" s="193"/>
      <c r="IJZ519" s="379"/>
      <c r="IKA519" s="379"/>
      <c r="IKB519" s="379"/>
      <c r="IKC519" s="379"/>
      <c r="IKD519" s="379"/>
      <c r="IKE519" s="13"/>
      <c r="IKF519" s="13"/>
      <c r="IKG519" s="193"/>
      <c r="IKH519" s="379"/>
      <c r="IKI519" s="379"/>
      <c r="IKJ519" s="379"/>
      <c r="IKK519" s="379"/>
      <c r="IKL519" s="379"/>
      <c r="IKM519" s="13"/>
      <c r="IKN519" s="13"/>
      <c r="IKO519" s="193"/>
      <c r="IKP519" s="379"/>
      <c r="IKQ519" s="379"/>
      <c r="IKR519" s="379"/>
      <c r="IKS519" s="379"/>
      <c r="IKT519" s="379"/>
      <c r="IKU519" s="13"/>
      <c r="IKV519" s="13"/>
      <c r="IKW519" s="193"/>
      <c r="IKX519" s="379"/>
      <c r="IKY519" s="379"/>
      <c r="IKZ519" s="379"/>
      <c r="ILA519" s="379"/>
      <c r="ILB519" s="379"/>
      <c r="ILC519" s="13"/>
      <c r="ILD519" s="13"/>
      <c r="ILE519" s="193"/>
      <c r="ILF519" s="379"/>
      <c r="ILG519" s="379"/>
      <c r="ILH519" s="379"/>
      <c r="ILI519" s="379"/>
      <c r="ILJ519" s="379"/>
      <c r="ILK519" s="13"/>
      <c r="ILL519" s="13"/>
      <c r="ILM519" s="193"/>
      <c r="ILN519" s="379"/>
      <c r="ILO519" s="379"/>
      <c r="ILP519" s="379"/>
      <c r="ILQ519" s="379"/>
      <c r="ILR519" s="379"/>
      <c r="ILS519" s="13"/>
      <c r="ILT519" s="13"/>
      <c r="ILU519" s="193"/>
      <c r="ILV519" s="379"/>
      <c r="ILW519" s="379"/>
      <c r="ILX519" s="379"/>
      <c r="ILY519" s="379"/>
      <c r="ILZ519" s="379"/>
      <c r="IMA519" s="13"/>
      <c r="IMB519" s="13"/>
      <c r="IMC519" s="193"/>
      <c r="IMD519" s="379"/>
      <c r="IME519" s="379"/>
      <c r="IMF519" s="379"/>
      <c r="IMG519" s="379"/>
      <c r="IMH519" s="379"/>
      <c r="IMI519" s="13"/>
      <c r="IMJ519" s="13"/>
      <c r="IMK519" s="193"/>
      <c r="IML519" s="379"/>
      <c r="IMM519" s="379"/>
      <c r="IMN519" s="379"/>
      <c r="IMO519" s="379"/>
      <c r="IMP519" s="379"/>
      <c r="IMQ519" s="13"/>
      <c r="IMR519" s="13"/>
      <c r="IMS519" s="193"/>
      <c r="IMT519" s="379"/>
      <c r="IMU519" s="379"/>
      <c r="IMV519" s="379"/>
      <c r="IMW519" s="379"/>
      <c r="IMX519" s="379"/>
      <c r="IMY519" s="13"/>
      <c r="IMZ519" s="13"/>
      <c r="INA519" s="193"/>
      <c r="INB519" s="379"/>
      <c r="INC519" s="379"/>
      <c r="IND519" s="379"/>
      <c r="INE519" s="379"/>
      <c r="INF519" s="379"/>
      <c r="ING519" s="13"/>
      <c r="INH519" s="13"/>
      <c r="INI519" s="193"/>
      <c r="INJ519" s="379"/>
      <c r="INK519" s="379"/>
      <c r="INL519" s="379"/>
      <c r="INM519" s="379"/>
      <c r="INN519" s="379"/>
      <c r="INO519" s="13"/>
      <c r="INP519" s="13"/>
      <c r="INQ519" s="193"/>
      <c r="INR519" s="379"/>
      <c r="INS519" s="379"/>
      <c r="INT519" s="379"/>
      <c r="INU519" s="379"/>
      <c r="INV519" s="379"/>
      <c r="INW519" s="13"/>
      <c r="INX519" s="13"/>
      <c r="INY519" s="193"/>
      <c r="INZ519" s="379"/>
      <c r="IOA519" s="379"/>
      <c r="IOB519" s="379"/>
      <c r="IOC519" s="379"/>
      <c r="IOD519" s="379"/>
      <c r="IOE519" s="13"/>
      <c r="IOF519" s="13"/>
      <c r="IOG519" s="193"/>
      <c r="IOH519" s="379"/>
      <c r="IOI519" s="379"/>
      <c r="IOJ519" s="379"/>
      <c r="IOK519" s="379"/>
      <c r="IOL519" s="379"/>
      <c r="IOM519" s="13"/>
      <c r="ION519" s="13"/>
      <c r="IOO519" s="193"/>
      <c r="IOP519" s="379"/>
      <c r="IOQ519" s="379"/>
      <c r="IOR519" s="379"/>
      <c r="IOS519" s="379"/>
      <c r="IOT519" s="379"/>
      <c r="IOU519" s="13"/>
      <c r="IOV519" s="13"/>
      <c r="IOW519" s="193"/>
      <c r="IOX519" s="379"/>
      <c r="IOY519" s="379"/>
      <c r="IOZ519" s="379"/>
      <c r="IPA519" s="379"/>
      <c r="IPB519" s="379"/>
      <c r="IPC519" s="13"/>
      <c r="IPD519" s="13"/>
      <c r="IPE519" s="193"/>
      <c r="IPF519" s="379"/>
      <c r="IPG519" s="379"/>
      <c r="IPH519" s="379"/>
      <c r="IPI519" s="379"/>
      <c r="IPJ519" s="379"/>
      <c r="IPK519" s="13"/>
      <c r="IPL519" s="13"/>
      <c r="IPM519" s="193"/>
      <c r="IPN519" s="379"/>
      <c r="IPO519" s="379"/>
      <c r="IPP519" s="379"/>
      <c r="IPQ519" s="379"/>
      <c r="IPR519" s="379"/>
      <c r="IPS519" s="13"/>
      <c r="IPT519" s="13"/>
      <c r="IPU519" s="193"/>
      <c r="IPV519" s="379"/>
      <c r="IPW519" s="379"/>
      <c r="IPX519" s="379"/>
      <c r="IPY519" s="379"/>
      <c r="IPZ519" s="379"/>
      <c r="IQA519" s="13"/>
      <c r="IQB519" s="13"/>
      <c r="IQC519" s="193"/>
      <c r="IQD519" s="379"/>
      <c r="IQE519" s="379"/>
      <c r="IQF519" s="379"/>
      <c r="IQG519" s="379"/>
      <c r="IQH519" s="379"/>
      <c r="IQI519" s="13"/>
      <c r="IQJ519" s="13"/>
      <c r="IQK519" s="193"/>
      <c r="IQL519" s="379"/>
      <c r="IQM519" s="379"/>
      <c r="IQN519" s="379"/>
      <c r="IQO519" s="379"/>
      <c r="IQP519" s="379"/>
      <c r="IQQ519" s="13"/>
      <c r="IQR519" s="13"/>
      <c r="IQS519" s="193"/>
      <c r="IQT519" s="379"/>
      <c r="IQU519" s="379"/>
      <c r="IQV519" s="379"/>
      <c r="IQW519" s="379"/>
      <c r="IQX519" s="379"/>
      <c r="IQY519" s="13"/>
      <c r="IQZ519" s="13"/>
      <c r="IRA519" s="193"/>
      <c r="IRB519" s="379"/>
      <c r="IRC519" s="379"/>
      <c r="IRD519" s="379"/>
      <c r="IRE519" s="379"/>
      <c r="IRF519" s="379"/>
      <c r="IRG519" s="13"/>
      <c r="IRH519" s="13"/>
      <c r="IRI519" s="193"/>
      <c r="IRJ519" s="379"/>
      <c r="IRK519" s="379"/>
      <c r="IRL519" s="379"/>
      <c r="IRM519" s="379"/>
      <c r="IRN519" s="379"/>
      <c r="IRO519" s="13"/>
      <c r="IRP519" s="13"/>
      <c r="IRQ519" s="193"/>
      <c r="IRR519" s="379"/>
      <c r="IRS519" s="379"/>
      <c r="IRT519" s="379"/>
      <c r="IRU519" s="379"/>
      <c r="IRV519" s="379"/>
      <c r="IRW519" s="13"/>
      <c r="IRX519" s="13"/>
      <c r="IRY519" s="193"/>
      <c r="IRZ519" s="379"/>
      <c r="ISA519" s="379"/>
      <c r="ISB519" s="379"/>
      <c r="ISC519" s="379"/>
      <c r="ISD519" s="379"/>
      <c r="ISE519" s="13"/>
      <c r="ISF519" s="13"/>
      <c r="ISG519" s="193"/>
      <c r="ISH519" s="379"/>
      <c r="ISI519" s="379"/>
      <c r="ISJ519" s="379"/>
      <c r="ISK519" s="379"/>
      <c r="ISL519" s="379"/>
      <c r="ISM519" s="13"/>
      <c r="ISN519" s="13"/>
      <c r="ISO519" s="193"/>
      <c r="ISP519" s="379"/>
      <c r="ISQ519" s="379"/>
      <c r="ISR519" s="379"/>
      <c r="ISS519" s="379"/>
      <c r="IST519" s="379"/>
      <c r="ISU519" s="13"/>
      <c r="ISV519" s="13"/>
      <c r="ISW519" s="193"/>
      <c r="ISX519" s="379"/>
      <c r="ISY519" s="379"/>
      <c r="ISZ519" s="379"/>
      <c r="ITA519" s="379"/>
      <c r="ITB519" s="379"/>
      <c r="ITC519" s="13"/>
      <c r="ITD519" s="13"/>
      <c r="ITE519" s="193"/>
      <c r="ITF519" s="379"/>
      <c r="ITG519" s="379"/>
      <c r="ITH519" s="379"/>
      <c r="ITI519" s="379"/>
      <c r="ITJ519" s="379"/>
      <c r="ITK519" s="13"/>
      <c r="ITL519" s="13"/>
      <c r="ITM519" s="193"/>
      <c r="ITN519" s="379"/>
      <c r="ITO519" s="379"/>
      <c r="ITP519" s="379"/>
      <c r="ITQ519" s="379"/>
      <c r="ITR519" s="379"/>
      <c r="ITS519" s="13"/>
      <c r="ITT519" s="13"/>
      <c r="ITU519" s="193"/>
      <c r="ITV519" s="379"/>
      <c r="ITW519" s="379"/>
      <c r="ITX519" s="379"/>
      <c r="ITY519" s="379"/>
      <c r="ITZ519" s="379"/>
      <c r="IUA519" s="13"/>
      <c r="IUB519" s="13"/>
      <c r="IUC519" s="193"/>
      <c r="IUD519" s="379"/>
      <c r="IUE519" s="379"/>
      <c r="IUF519" s="379"/>
      <c r="IUG519" s="379"/>
      <c r="IUH519" s="379"/>
      <c r="IUI519" s="13"/>
      <c r="IUJ519" s="13"/>
      <c r="IUK519" s="193"/>
      <c r="IUL519" s="379"/>
      <c r="IUM519" s="379"/>
      <c r="IUN519" s="379"/>
      <c r="IUO519" s="379"/>
      <c r="IUP519" s="379"/>
      <c r="IUQ519" s="13"/>
      <c r="IUR519" s="13"/>
      <c r="IUS519" s="193"/>
      <c r="IUT519" s="379"/>
      <c r="IUU519" s="379"/>
      <c r="IUV519" s="379"/>
      <c r="IUW519" s="379"/>
      <c r="IUX519" s="379"/>
      <c r="IUY519" s="13"/>
      <c r="IUZ519" s="13"/>
      <c r="IVA519" s="193"/>
      <c r="IVB519" s="379"/>
      <c r="IVC519" s="379"/>
      <c r="IVD519" s="379"/>
      <c r="IVE519" s="379"/>
      <c r="IVF519" s="379"/>
      <c r="IVG519" s="13"/>
      <c r="IVH519" s="13"/>
      <c r="IVI519" s="193"/>
      <c r="IVJ519" s="379"/>
      <c r="IVK519" s="379"/>
      <c r="IVL519" s="379"/>
      <c r="IVM519" s="379"/>
      <c r="IVN519" s="379"/>
      <c r="IVO519" s="13"/>
      <c r="IVP519" s="13"/>
      <c r="IVQ519" s="193"/>
      <c r="IVR519" s="379"/>
      <c r="IVS519" s="379"/>
      <c r="IVT519" s="379"/>
      <c r="IVU519" s="379"/>
      <c r="IVV519" s="379"/>
      <c r="IVW519" s="13"/>
      <c r="IVX519" s="13"/>
      <c r="IVY519" s="193"/>
      <c r="IVZ519" s="379"/>
      <c r="IWA519" s="379"/>
      <c r="IWB519" s="379"/>
      <c r="IWC519" s="379"/>
      <c r="IWD519" s="379"/>
      <c r="IWE519" s="13"/>
      <c r="IWF519" s="13"/>
      <c r="IWG519" s="193"/>
      <c r="IWH519" s="379"/>
      <c r="IWI519" s="379"/>
      <c r="IWJ519" s="379"/>
      <c r="IWK519" s="379"/>
      <c r="IWL519" s="379"/>
      <c r="IWM519" s="13"/>
      <c r="IWN519" s="13"/>
      <c r="IWO519" s="193"/>
      <c r="IWP519" s="379"/>
      <c r="IWQ519" s="379"/>
      <c r="IWR519" s="379"/>
      <c r="IWS519" s="379"/>
      <c r="IWT519" s="379"/>
      <c r="IWU519" s="13"/>
      <c r="IWV519" s="13"/>
      <c r="IWW519" s="193"/>
      <c r="IWX519" s="379"/>
      <c r="IWY519" s="379"/>
      <c r="IWZ519" s="379"/>
      <c r="IXA519" s="379"/>
      <c r="IXB519" s="379"/>
      <c r="IXC519" s="13"/>
      <c r="IXD519" s="13"/>
      <c r="IXE519" s="193"/>
      <c r="IXF519" s="379"/>
      <c r="IXG519" s="379"/>
      <c r="IXH519" s="379"/>
      <c r="IXI519" s="379"/>
      <c r="IXJ519" s="379"/>
      <c r="IXK519" s="13"/>
      <c r="IXL519" s="13"/>
      <c r="IXM519" s="193"/>
      <c r="IXN519" s="379"/>
      <c r="IXO519" s="379"/>
      <c r="IXP519" s="379"/>
      <c r="IXQ519" s="379"/>
      <c r="IXR519" s="379"/>
      <c r="IXS519" s="13"/>
      <c r="IXT519" s="13"/>
      <c r="IXU519" s="193"/>
      <c r="IXV519" s="379"/>
      <c r="IXW519" s="379"/>
      <c r="IXX519" s="379"/>
      <c r="IXY519" s="379"/>
      <c r="IXZ519" s="379"/>
      <c r="IYA519" s="13"/>
      <c r="IYB519" s="13"/>
      <c r="IYC519" s="193"/>
      <c r="IYD519" s="379"/>
      <c r="IYE519" s="379"/>
      <c r="IYF519" s="379"/>
      <c r="IYG519" s="379"/>
      <c r="IYH519" s="379"/>
      <c r="IYI519" s="13"/>
      <c r="IYJ519" s="13"/>
      <c r="IYK519" s="193"/>
      <c r="IYL519" s="379"/>
      <c r="IYM519" s="379"/>
      <c r="IYN519" s="379"/>
      <c r="IYO519" s="379"/>
      <c r="IYP519" s="379"/>
      <c r="IYQ519" s="13"/>
      <c r="IYR519" s="13"/>
      <c r="IYS519" s="193"/>
      <c r="IYT519" s="379"/>
      <c r="IYU519" s="379"/>
      <c r="IYV519" s="379"/>
      <c r="IYW519" s="379"/>
      <c r="IYX519" s="379"/>
      <c r="IYY519" s="13"/>
      <c r="IYZ519" s="13"/>
      <c r="IZA519" s="193"/>
      <c r="IZB519" s="379"/>
      <c r="IZC519" s="379"/>
      <c r="IZD519" s="379"/>
      <c r="IZE519" s="379"/>
      <c r="IZF519" s="379"/>
      <c r="IZG519" s="13"/>
      <c r="IZH519" s="13"/>
      <c r="IZI519" s="193"/>
      <c r="IZJ519" s="379"/>
      <c r="IZK519" s="379"/>
      <c r="IZL519" s="379"/>
      <c r="IZM519" s="379"/>
      <c r="IZN519" s="379"/>
      <c r="IZO519" s="13"/>
      <c r="IZP519" s="13"/>
      <c r="IZQ519" s="193"/>
      <c r="IZR519" s="379"/>
      <c r="IZS519" s="379"/>
      <c r="IZT519" s="379"/>
      <c r="IZU519" s="379"/>
      <c r="IZV519" s="379"/>
      <c r="IZW519" s="13"/>
      <c r="IZX519" s="13"/>
      <c r="IZY519" s="193"/>
      <c r="IZZ519" s="379"/>
      <c r="JAA519" s="379"/>
      <c r="JAB519" s="379"/>
      <c r="JAC519" s="379"/>
      <c r="JAD519" s="379"/>
      <c r="JAE519" s="13"/>
      <c r="JAF519" s="13"/>
      <c r="JAG519" s="193"/>
      <c r="JAH519" s="379"/>
      <c r="JAI519" s="379"/>
      <c r="JAJ519" s="379"/>
      <c r="JAK519" s="379"/>
      <c r="JAL519" s="379"/>
      <c r="JAM519" s="13"/>
      <c r="JAN519" s="13"/>
      <c r="JAO519" s="193"/>
      <c r="JAP519" s="379"/>
      <c r="JAQ519" s="379"/>
      <c r="JAR519" s="379"/>
      <c r="JAS519" s="379"/>
      <c r="JAT519" s="379"/>
      <c r="JAU519" s="13"/>
      <c r="JAV519" s="13"/>
      <c r="JAW519" s="193"/>
      <c r="JAX519" s="379"/>
      <c r="JAY519" s="379"/>
      <c r="JAZ519" s="379"/>
      <c r="JBA519" s="379"/>
      <c r="JBB519" s="379"/>
      <c r="JBC519" s="13"/>
      <c r="JBD519" s="13"/>
      <c r="JBE519" s="193"/>
      <c r="JBF519" s="379"/>
      <c r="JBG519" s="379"/>
      <c r="JBH519" s="379"/>
      <c r="JBI519" s="379"/>
      <c r="JBJ519" s="379"/>
      <c r="JBK519" s="13"/>
      <c r="JBL519" s="13"/>
      <c r="JBM519" s="193"/>
      <c r="JBN519" s="379"/>
      <c r="JBO519" s="379"/>
      <c r="JBP519" s="379"/>
      <c r="JBQ519" s="379"/>
      <c r="JBR519" s="379"/>
      <c r="JBS519" s="13"/>
      <c r="JBT519" s="13"/>
      <c r="JBU519" s="193"/>
      <c r="JBV519" s="379"/>
      <c r="JBW519" s="379"/>
      <c r="JBX519" s="379"/>
      <c r="JBY519" s="379"/>
      <c r="JBZ519" s="379"/>
      <c r="JCA519" s="13"/>
      <c r="JCB519" s="13"/>
      <c r="JCC519" s="193"/>
      <c r="JCD519" s="379"/>
      <c r="JCE519" s="379"/>
      <c r="JCF519" s="379"/>
      <c r="JCG519" s="379"/>
      <c r="JCH519" s="379"/>
      <c r="JCI519" s="13"/>
      <c r="JCJ519" s="13"/>
      <c r="JCK519" s="193"/>
      <c r="JCL519" s="379"/>
      <c r="JCM519" s="379"/>
      <c r="JCN519" s="379"/>
      <c r="JCO519" s="379"/>
      <c r="JCP519" s="379"/>
      <c r="JCQ519" s="13"/>
      <c r="JCR519" s="13"/>
      <c r="JCS519" s="193"/>
      <c r="JCT519" s="379"/>
      <c r="JCU519" s="379"/>
      <c r="JCV519" s="379"/>
      <c r="JCW519" s="379"/>
      <c r="JCX519" s="379"/>
      <c r="JCY519" s="13"/>
      <c r="JCZ519" s="13"/>
      <c r="JDA519" s="193"/>
      <c r="JDB519" s="379"/>
      <c r="JDC519" s="379"/>
      <c r="JDD519" s="379"/>
      <c r="JDE519" s="379"/>
      <c r="JDF519" s="379"/>
      <c r="JDG519" s="13"/>
      <c r="JDH519" s="13"/>
      <c r="JDI519" s="193"/>
      <c r="JDJ519" s="379"/>
      <c r="JDK519" s="379"/>
      <c r="JDL519" s="379"/>
      <c r="JDM519" s="379"/>
      <c r="JDN519" s="379"/>
      <c r="JDO519" s="13"/>
      <c r="JDP519" s="13"/>
      <c r="JDQ519" s="193"/>
      <c r="JDR519" s="379"/>
      <c r="JDS519" s="379"/>
      <c r="JDT519" s="379"/>
      <c r="JDU519" s="379"/>
      <c r="JDV519" s="379"/>
      <c r="JDW519" s="13"/>
      <c r="JDX519" s="13"/>
      <c r="JDY519" s="193"/>
      <c r="JDZ519" s="379"/>
      <c r="JEA519" s="379"/>
      <c r="JEB519" s="379"/>
      <c r="JEC519" s="379"/>
      <c r="JED519" s="379"/>
      <c r="JEE519" s="13"/>
      <c r="JEF519" s="13"/>
      <c r="JEG519" s="193"/>
      <c r="JEH519" s="379"/>
      <c r="JEI519" s="379"/>
      <c r="JEJ519" s="379"/>
      <c r="JEK519" s="379"/>
      <c r="JEL519" s="379"/>
      <c r="JEM519" s="13"/>
      <c r="JEN519" s="13"/>
      <c r="JEO519" s="193"/>
      <c r="JEP519" s="379"/>
      <c r="JEQ519" s="379"/>
      <c r="JER519" s="379"/>
      <c r="JES519" s="379"/>
      <c r="JET519" s="379"/>
      <c r="JEU519" s="13"/>
      <c r="JEV519" s="13"/>
      <c r="JEW519" s="193"/>
      <c r="JEX519" s="379"/>
      <c r="JEY519" s="379"/>
      <c r="JEZ519" s="379"/>
      <c r="JFA519" s="379"/>
      <c r="JFB519" s="379"/>
      <c r="JFC519" s="13"/>
      <c r="JFD519" s="13"/>
      <c r="JFE519" s="193"/>
      <c r="JFF519" s="379"/>
      <c r="JFG519" s="379"/>
      <c r="JFH519" s="379"/>
      <c r="JFI519" s="379"/>
      <c r="JFJ519" s="379"/>
      <c r="JFK519" s="13"/>
      <c r="JFL519" s="13"/>
      <c r="JFM519" s="193"/>
      <c r="JFN519" s="379"/>
      <c r="JFO519" s="379"/>
      <c r="JFP519" s="379"/>
      <c r="JFQ519" s="379"/>
      <c r="JFR519" s="379"/>
      <c r="JFS519" s="13"/>
      <c r="JFT519" s="13"/>
      <c r="JFU519" s="193"/>
      <c r="JFV519" s="379"/>
      <c r="JFW519" s="379"/>
      <c r="JFX519" s="379"/>
      <c r="JFY519" s="379"/>
      <c r="JFZ519" s="379"/>
      <c r="JGA519" s="13"/>
      <c r="JGB519" s="13"/>
      <c r="JGC519" s="193"/>
      <c r="JGD519" s="379"/>
      <c r="JGE519" s="379"/>
      <c r="JGF519" s="379"/>
      <c r="JGG519" s="379"/>
      <c r="JGH519" s="379"/>
      <c r="JGI519" s="13"/>
      <c r="JGJ519" s="13"/>
      <c r="JGK519" s="193"/>
      <c r="JGL519" s="379"/>
      <c r="JGM519" s="379"/>
      <c r="JGN519" s="379"/>
      <c r="JGO519" s="379"/>
      <c r="JGP519" s="379"/>
      <c r="JGQ519" s="13"/>
      <c r="JGR519" s="13"/>
      <c r="JGS519" s="193"/>
      <c r="JGT519" s="379"/>
      <c r="JGU519" s="379"/>
      <c r="JGV519" s="379"/>
      <c r="JGW519" s="379"/>
      <c r="JGX519" s="379"/>
      <c r="JGY519" s="13"/>
      <c r="JGZ519" s="13"/>
      <c r="JHA519" s="193"/>
      <c r="JHB519" s="379"/>
      <c r="JHC519" s="379"/>
      <c r="JHD519" s="379"/>
      <c r="JHE519" s="379"/>
      <c r="JHF519" s="379"/>
      <c r="JHG519" s="13"/>
      <c r="JHH519" s="13"/>
      <c r="JHI519" s="193"/>
      <c r="JHJ519" s="379"/>
      <c r="JHK519" s="379"/>
      <c r="JHL519" s="379"/>
      <c r="JHM519" s="379"/>
      <c r="JHN519" s="379"/>
      <c r="JHO519" s="13"/>
      <c r="JHP519" s="13"/>
      <c r="JHQ519" s="193"/>
      <c r="JHR519" s="379"/>
      <c r="JHS519" s="379"/>
      <c r="JHT519" s="379"/>
      <c r="JHU519" s="379"/>
      <c r="JHV519" s="379"/>
      <c r="JHW519" s="13"/>
      <c r="JHX519" s="13"/>
      <c r="JHY519" s="193"/>
      <c r="JHZ519" s="379"/>
      <c r="JIA519" s="379"/>
      <c r="JIB519" s="379"/>
      <c r="JIC519" s="379"/>
      <c r="JID519" s="379"/>
      <c r="JIE519" s="13"/>
      <c r="JIF519" s="13"/>
      <c r="JIG519" s="193"/>
      <c r="JIH519" s="379"/>
      <c r="JII519" s="379"/>
      <c r="JIJ519" s="379"/>
      <c r="JIK519" s="379"/>
      <c r="JIL519" s="379"/>
      <c r="JIM519" s="13"/>
      <c r="JIN519" s="13"/>
      <c r="JIO519" s="193"/>
      <c r="JIP519" s="379"/>
      <c r="JIQ519" s="379"/>
      <c r="JIR519" s="379"/>
      <c r="JIS519" s="379"/>
      <c r="JIT519" s="379"/>
      <c r="JIU519" s="13"/>
      <c r="JIV519" s="13"/>
      <c r="JIW519" s="193"/>
      <c r="JIX519" s="379"/>
      <c r="JIY519" s="379"/>
      <c r="JIZ519" s="379"/>
      <c r="JJA519" s="379"/>
      <c r="JJB519" s="379"/>
      <c r="JJC519" s="13"/>
      <c r="JJD519" s="13"/>
      <c r="JJE519" s="193"/>
      <c r="JJF519" s="379"/>
      <c r="JJG519" s="379"/>
      <c r="JJH519" s="379"/>
      <c r="JJI519" s="379"/>
      <c r="JJJ519" s="379"/>
      <c r="JJK519" s="13"/>
      <c r="JJL519" s="13"/>
      <c r="JJM519" s="193"/>
      <c r="JJN519" s="379"/>
      <c r="JJO519" s="379"/>
      <c r="JJP519" s="379"/>
      <c r="JJQ519" s="379"/>
      <c r="JJR519" s="379"/>
      <c r="JJS519" s="13"/>
      <c r="JJT519" s="13"/>
      <c r="JJU519" s="193"/>
      <c r="JJV519" s="379"/>
      <c r="JJW519" s="379"/>
      <c r="JJX519" s="379"/>
      <c r="JJY519" s="379"/>
      <c r="JJZ519" s="379"/>
      <c r="JKA519" s="13"/>
      <c r="JKB519" s="13"/>
      <c r="JKC519" s="193"/>
      <c r="JKD519" s="379"/>
      <c r="JKE519" s="379"/>
      <c r="JKF519" s="379"/>
      <c r="JKG519" s="379"/>
      <c r="JKH519" s="379"/>
      <c r="JKI519" s="13"/>
      <c r="JKJ519" s="13"/>
      <c r="JKK519" s="193"/>
      <c r="JKL519" s="379"/>
      <c r="JKM519" s="379"/>
      <c r="JKN519" s="379"/>
      <c r="JKO519" s="379"/>
      <c r="JKP519" s="379"/>
      <c r="JKQ519" s="13"/>
      <c r="JKR519" s="13"/>
      <c r="JKS519" s="193"/>
      <c r="JKT519" s="379"/>
      <c r="JKU519" s="379"/>
      <c r="JKV519" s="379"/>
      <c r="JKW519" s="379"/>
      <c r="JKX519" s="379"/>
      <c r="JKY519" s="13"/>
      <c r="JKZ519" s="13"/>
      <c r="JLA519" s="193"/>
      <c r="JLB519" s="379"/>
      <c r="JLC519" s="379"/>
      <c r="JLD519" s="379"/>
      <c r="JLE519" s="379"/>
      <c r="JLF519" s="379"/>
      <c r="JLG519" s="13"/>
      <c r="JLH519" s="13"/>
      <c r="JLI519" s="193"/>
      <c r="JLJ519" s="379"/>
      <c r="JLK519" s="379"/>
      <c r="JLL519" s="379"/>
      <c r="JLM519" s="379"/>
      <c r="JLN519" s="379"/>
      <c r="JLO519" s="13"/>
      <c r="JLP519" s="13"/>
      <c r="JLQ519" s="193"/>
      <c r="JLR519" s="379"/>
      <c r="JLS519" s="379"/>
      <c r="JLT519" s="379"/>
      <c r="JLU519" s="379"/>
      <c r="JLV519" s="379"/>
      <c r="JLW519" s="13"/>
      <c r="JLX519" s="13"/>
      <c r="JLY519" s="193"/>
      <c r="JLZ519" s="379"/>
      <c r="JMA519" s="379"/>
      <c r="JMB519" s="379"/>
      <c r="JMC519" s="379"/>
      <c r="JMD519" s="379"/>
      <c r="JME519" s="13"/>
      <c r="JMF519" s="13"/>
      <c r="JMG519" s="193"/>
      <c r="JMH519" s="379"/>
      <c r="JMI519" s="379"/>
      <c r="JMJ519" s="379"/>
      <c r="JMK519" s="379"/>
      <c r="JML519" s="379"/>
      <c r="JMM519" s="13"/>
      <c r="JMN519" s="13"/>
      <c r="JMO519" s="193"/>
      <c r="JMP519" s="379"/>
      <c r="JMQ519" s="379"/>
      <c r="JMR519" s="379"/>
      <c r="JMS519" s="379"/>
      <c r="JMT519" s="379"/>
      <c r="JMU519" s="13"/>
      <c r="JMV519" s="13"/>
      <c r="JMW519" s="193"/>
      <c r="JMX519" s="379"/>
      <c r="JMY519" s="379"/>
      <c r="JMZ519" s="379"/>
      <c r="JNA519" s="379"/>
      <c r="JNB519" s="379"/>
      <c r="JNC519" s="13"/>
      <c r="JND519" s="13"/>
      <c r="JNE519" s="193"/>
      <c r="JNF519" s="379"/>
      <c r="JNG519" s="379"/>
      <c r="JNH519" s="379"/>
      <c r="JNI519" s="379"/>
      <c r="JNJ519" s="379"/>
      <c r="JNK519" s="13"/>
      <c r="JNL519" s="13"/>
      <c r="JNM519" s="193"/>
      <c r="JNN519" s="379"/>
      <c r="JNO519" s="379"/>
      <c r="JNP519" s="379"/>
      <c r="JNQ519" s="379"/>
      <c r="JNR519" s="379"/>
      <c r="JNS519" s="13"/>
      <c r="JNT519" s="13"/>
      <c r="JNU519" s="193"/>
      <c r="JNV519" s="379"/>
      <c r="JNW519" s="379"/>
      <c r="JNX519" s="379"/>
      <c r="JNY519" s="379"/>
      <c r="JNZ519" s="379"/>
      <c r="JOA519" s="13"/>
      <c r="JOB519" s="13"/>
      <c r="JOC519" s="193"/>
      <c r="JOD519" s="379"/>
      <c r="JOE519" s="379"/>
      <c r="JOF519" s="379"/>
      <c r="JOG519" s="379"/>
      <c r="JOH519" s="379"/>
      <c r="JOI519" s="13"/>
      <c r="JOJ519" s="13"/>
      <c r="JOK519" s="193"/>
      <c r="JOL519" s="379"/>
      <c r="JOM519" s="379"/>
      <c r="JON519" s="379"/>
      <c r="JOO519" s="379"/>
      <c r="JOP519" s="379"/>
      <c r="JOQ519" s="13"/>
      <c r="JOR519" s="13"/>
      <c r="JOS519" s="193"/>
      <c r="JOT519" s="379"/>
      <c r="JOU519" s="379"/>
      <c r="JOV519" s="379"/>
      <c r="JOW519" s="379"/>
      <c r="JOX519" s="379"/>
      <c r="JOY519" s="13"/>
      <c r="JOZ519" s="13"/>
      <c r="JPA519" s="193"/>
      <c r="JPB519" s="379"/>
      <c r="JPC519" s="379"/>
      <c r="JPD519" s="379"/>
      <c r="JPE519" s="379"/>
      <c r="JPF519" s="379"/>
      <c r="JPG519" s="13"/>
      <c r="JPH519" s="13"/>
      <c r="JPI519" s="193"/>
      <c r="JPJ519" s="379"/>
      <c r="JPK519" s="379"/>
      <c r="JPL519" s="379"/>
      <c r="JPM519" s="379"/>
      <c r="JPN519" s="379"/>
      <c r="JPO519" s="13"/>
      <c r="JPP519" s="13"/>
      <c r="JPQ519" s="193"/>
      <c r="JPR519" s="379"/>
      <c r="JPS519" s="379"/>
      <c r="JPT519" s="379"/>
      <c r="JPU519" s="379"/>
      <c r="JPV519" s="379"/>
      <c r="JPW519" s="13"/>
      <c r="JPX519" s="13"/>
      <c r="JPY519" s="193"/>
      <c r="JPZ519" s="379"/>
      <c r="JQA519" s="379"/>
      <c r="JQB519" s="379"/>
      <c r="JQC519" s="379"/>
      <c r="JQD519" s="379"/>
      <c r="JQE519" s="13"/>
      <c r="JQF519" s="13"/>
      <c r="JQG519" s="193"/>
      <c r="JQH519" s="379"/>
      <c r="JQI519" s="379"/>
      <c r="JQJ519" s="379"/>
      <c r="JQK519" s="379"/>
      <c r="JQL519" s="379"/>
      <c r="JQM519" s="13"/>
      <c r="JQN519" s="13"/>
      <c r="JQO519" s="193"/>
      <c r="JQP519" s="379"/>
      <c r="JQQ519" s="379"/>
      <c r="JQR519" s="379"/>
      <c r="JQS519" s="379"/>
      <c r="JQT519" s="379"/>
      <c r="JQU519" s="13"/>
      <c r="JQV519" s="13"/>
      <c r="JQW519" s="193"/>
      <c r="JQX519" s="379"/>
      <c r="JQY519" s="379"/>
      <c r="JQZ519" s="379"/>
      <c r="JRA519" s="379"/>
      <c r="JRB519" s="379"/>
      <c r="JRC519" s="13"/>
      <c r="JRD519" s="13"/>
      <c r="JRE519" s="193"/>
      <c r="JRF519" s="379"/>
      <c r="JRG519" s="379"/>
      <c r="JRH519" s="379"/>
      <c r="JRI519" s="379"/>
      <c r="JRJ519" s="379"/>
      <c r="JRK519" s="13"/>
      <c r="JRL519" s="13"/>
      <c r="JRM519" s="193"/>
      <c r="JRN519" s="379"/>
      <c r="JRO519" s="379"/>
      <c r="JRP519" s="379"/>
      <c r="JRQ519" s="379"/>
      <c r="JRR519" s="379"/>
      <c r="JRS519" s="13"/>
      <c r="JRT519" s="13"/>
      <c r="JRU519" s="193"/>
      <c r="JRV519" s="379"/>
      <c r="JRW519" s="379"/>
      <c r="JRX519" s="379"/>
      <c r="JRY519" s="379"/>
      <c r="JRZ519" s="379"/>
      <c r="JSA519" s="13"/>
      <c r="JSB519" s="13"/>
      <c r="JSC519" s="193"/>
      <c r="JSD519" s="379"/>
      <c r="JSE519" s="379"/>
      <c r="JSF519" s="379"/>
      <c r="JSG519" s="379"/>
      <c r="JSH519" s="379"/>
      <c r="JSI519" s="13"/>
      <c r="JSJ519" s="13"/>
      <c r="JSK519" s="193"/>
      <c r="JSL519" s="379"/>
      <c r="JSM519" s="379"/>
      <c r="JSN519" s="379"/>
      <c r="JSO519" s="379"/>
      <c r="JSP519" s="379"/>
      <c r="JSQ519" s="13"/>
      <c r="JSR519" s="13"/>
      <c r="JSS519" s="193"/>
      <c r="JST519" s="379"/>
      <c r="JSU519" s="379"/>
      <c r="JSV519" s="379"/>
      <c r="JSW519" s="379"/>
      <c r="JSX519" s="379"/>
      <c r="JSY519" s="13"/>
      <c r="JSZ519" s="13"/>
      <c r="JTA519" s="193"/>
      <c r="JTB519" s="379"/>
      <c r="JTC519" s="379"/>
      <c r="JTD519" s="379"/>
      <c r="JTE519" s="379"/>
      <c r="JTF519" s="379"/>
      <c r="JTG519" s="13"/>
      <c r="JTH519" s="13"/>
      <c r="JTI519" s="193"/>
      <c r="JTJ519" s="379"/>
      <c r="JTK519" s="379"/>
      <c r="JTL519" s="379"/>
      <c r="JTM519" s="379"/>
      <c r="JTN519" s="379"/>
      <c r="JTO519" s="13"/>
      <c r="JTP519" s="13"/>
      <c r="JTQ519" s="193"/>
      <c r="JTR519" s="379"/>
      <c r="JTS519" s="379"/>
      <c r="JTT519" s="379"/>
      <c r="JTU519" s="379"/>
      <c r="JTV519" s="379"/>
      <c r="JTW519" s="13"/>
      <c r="JTX519" s="13"/>
      <c r="JTY519" s="193"/>
      <c r="JTZ519" s="379"/>
      <c r="JUA519" s="379"/>
      <c r="JUB519" s="379"/>
      <c r="JUC519" s="379"/>
      <c r="JUD519" s="379"/>
      <c r="JUE519" s="13"/>
      <c r="JUF519" s="13"/>
      <c r="JUG519" s="193"/>
      <c r="JUH519" s="379"/>
      <c r="JUI519" s="379"/>
      <c r="JUJ519" s="379"/>
      <c r="JUK519" s="379"/>
      <c r="JUL519" s="379"/>
      <c r="JUM519" s="13"/>
      <c r="JUN519" s="13"/>
      <c r="JUO519" s="193"/>
      <c r="JUP519" s="379"/>
      <c r="JUQ519" s="379"/>
      <c r="JUR519" s="379"/>
      <c r="JUS519" s="379"/>
      <c r="JUT519" s="379"/>
      <c r="JUU519" s="13"/>
      <c r="JUV519" s="13"/>
      <c r="JUW519" s="193"/>
      <c r="JUX519" s="379"/>
      <c r="JUY519" s="379"/>
      <c r="JUZ519" s="379"/>
      <c r="JVA519" s="379"/>
      <c r="JVB519" s="379"/>
      <c r="JVC519" s="13"/>
      <c r="JVD519" s="13"/>
      <c r="JVE519" s="193"/>
      <c r="JVF519" s="379"/>
      <c r="JVG519" s="379"/>
      <c r="JVH519" s="379"/>
      <c r="JVI519" s="379"/>
      <c r="JVJ519" s="379"/>
      <c r="JVK519" s="13"/>
      <c r="JVL519" s="13"/>
      <c r="JVM519" s="193"/>
      <c r="JVN519" s="379"/>
      <c r="JVO519" s="379"/>
      <c r="JVP519" s="379"/>
      <c r="JVQ519" s="379"/>
      <c r="JVR519" s="379"/>
      <c r="JVS519" s="13"/>
      <c r="JVT519" s="13"/>
      <c r="JVU519" s="193"/>
      <c r="JVV519" s="379"/>
      <c r="JVW519" s="379"/>
      <c r="JVX519" s="379"/>
      <c r="JVY519" s="379"/>
      <c r="JVZ519" s="379"/>
      <c r="JWA519" s="13"/>
      <c r="JWB519" s="13"/>
      <c r="JWC519" s="193"/>
      <c r="JWD519" s="379"/>
      <c r="JWE519" s="379"/>
      <c r="JWF519" s="379"/>
      <c r="JWG519" s="379"/>
      <c r="JWH519" s="379"/>
      <c r="JWI519" s="13"/>
      <c r="JWJ519" s="13"/>
      <c r="JWK519" s="193"/>
      <c r="JWL519" s="379"/>
      <c r="JWM519" s="379"/>
      <c r="JWN519" s="379"/>
      <c r="JWO519" s="379"/>
      <c r="JWP519" s="379"/>
      <c r="JWQ519" s="13"/>
      <c r="JWR519" s="13"/>
      <c r="JWS519" s="193"/>
      <c r="JWT519" s="379"/>
      <c r="JWU519" s="379"/>
      <c r="JWV519" s="379"/>
      <c r="JWW519" s="379"/>
      <c r="JWX519" s="379"/>
      <c r="JWY519" s="13"/>
      <c r="JWZ519" s="13"/>
      <c r="JXA519" s="193"/>
      <c r="JXB519" s="379"/>
      <c r="JXC519" s="379"/>
      <c r="JXD519" s="379"/>
      <c r="JXE519" s="379"/>
      <c r="JXF519" s="379"/>
      <c r="JXG519" s="13"/>
      <c r="JXH519" s="13"/>
      <c r="JXI519" s="193"/>
      <c r="JXJ519" s="379"/>
      <c r="JXK519" s="379"/>
      <c r="JXL519" s="379"/>
      <c r="JXM519" s="379"/>
      <c r="JXN519" s="379"/>
      <c r="JXO519" s="13"/>
      <c r="JXP519" s="13"/>
      <c r="JXQ519" s="193"/>
      <c r="JXR519" s="379"/>
      <c r="JXS519" s="379"/>
      <c r="JXT519" s="379"/>
      <c r="JXU519" s="379"/>
      <c r="JXV519" s="379"/>
      <c r="JXW519" s="13"/>
      <c r="JXX519" s="13"/>
      <c r="JXY519" s="193"/>
      <c r="JXZ519" s="379"/>
      <c r="JYA519" s="379"/>
      <c r="JYB519" s="379"/>
      <c r="JYC519" s="379"/>
      <c r="JYD519" s="379"/>
      <c r="JYE519" s="13"/>
      <c r="JYF519" s="13"/>
      <c r="JYG519" s="193"/>
      <c r="JYH519" s="379"/>
      <c r="JYI519" s="379"/>
      <c r="JYJ519" s="379"/>
      <c r="JYK519" s="379"/>
      <c r="JYL519" s="379"/>
      <c r="JYM519" s="13"/>
      <c r="JYN519" s="13"/>
      <c r="JYO519" s="193"/>
      <c r="JYP519" s="379"/>
      <c r="JYQ519" s="379"/>
      <c r="JYR519" s="379"/>
      <c r="JYS519" s="379"/>
      <c r="JYT519" s="379"/>
      <c r="JYU519" s="13"/>
      <c r="JYV519" s="13"/>
      <c r="JYW519" s="193"/>
      <c r="JYX519" s="379"/>
      <c r="JYY519" s="379"/>
      <c r="JYZ519" s="379"/>
      <c r="JZA519" s="379"/>
      <c r="JZB519" s="379"/>
      <c r="JZC519" s="13"/>
      <c r="JZD519" s="13"/>
      <c r="JZE519" s="193"/>
      <c r="JZF519" s="379"/>
      <c r="JZG519" s="379"/>
      <c r="JZH519" s="379"/>
      <c r="JZI519" s="379"/>
      <c r="JZJ519" s="379"/>
      <c r="JZK519" s="13"/>
      <c r="JZL519" s="13"/>
      <c r="JZM519" s="193"/>
      <c r="JZN519" s="379"/>
      <c r="JZO519" s="379"/>
      <c r="JZP519" s="379"/>
      <c r="JZQ519" s="379"/>
      <c r="JZR519" s="379"/>
      <c r="JZS519" s="13"/>
      <c r="JZT519" s="13"/>
      <c r="JZU519" s="193"/>
      <c r="JZV519" s="379"/>
      <c r="JZW519" s="379"/>
      <c r="JZX519" s="379"/>
      <c r="JZY519" s="379"/>
      <c r="JZZ519" s="379"/>
      <c r="KAA519" s="13"/>
      <c r="KAB519" s="13"/>
      <c r="KAC519" s="193"/>
      <c r="KAD519" s="379"/>
      <c r="KAE519" s="379"/>
      <c r="KAF519" s="379"/>
      <c r="KAG519" s="379"/>
      <c r="KAH519" s="379"/>
      <c r="KAI519" s="13"/>
      <c r="KAJ519" s="13"/>
      <c r="KAK519" s="193"/>
      <c r="KAL519" s="379"/>
      <c r="KAM519" s="379"/>
      <c r="KAN519" s="379"/>
      <c r="KAO519" s="379"/>
      <c r="KAP519" s="379"/>
      <c r="KAQ519" s="13"/>
      <c r="KAR519" s="13"/>
      <c r="KAS519" s="193"/>
      <c r="KAT519" s="379"/>
      <c r="KAU519" s="379"/>
      <c r="KAV519" s="379"/>
      <c r="KAW519" s="379"/>
      <c r="KAX519" s="379"/>
      <c r="KAY519" s="13"/>
      <c r="KAZ519" s="13"/>
      <c r="KBA519" s="193"/>
      <c r="KBB519" s="379"/>
      <c r="KBC519" s="379"/>
      <c r="KBD519" s="379"/>
      <c r="KBE519" s="379"/>
      <c r="KBF519" s="379"/>
      <c r="KBG519" s="13"/>
      <c r="KBH519" s="13"/>
      <c r="KBI519" s="193"/>
      <c r="KBJ519" s="379"/>
      <c r="KBK519" s="379"/>
      <c r="KBL519" s="379"/>
      <c r="KBM519" s="379"/>
      <c r="KBN519" s="379"/>
      <c r="KBO519" s="13"/>
      <c r="KBP519" s="13"/>
      <c r="KBQ519" s="193"/>
      <c r="KBR519" s="379"/>
      <c r="KBS519" s="379"/>
      <c r="KBT519" s="379"/>
      <c r="KBU519" s="379"/>
      <c r="KBV519" s="379"/>
      <c r="KBW519" s="13"/>
      <c r="KBX519" s="13"/>
      <c r="KBY519" s="193"/>
      <c r="KBZ519" s="379"/>
      <c r="KCA519" s="379"/>
      <c r="KCB519" s="379"/>
      <c r="KCC519" s="379"/>
      <c r="KCD519" s="379"/>
      <c r="KCE519" s="13"/>
      <c r="KCF519" s="13"/>
      <c r="KCG519" s="193"/>
      <c r="KCH519" s="379"/>
      <c r="KCI519" s="379"/>
      <c r="KCJ519" s="379"/>
      <c r="KCK519" s="379"/>
      <c r="KCL519" s="379"/>
      <c r="KCM519" s="13"/>
      <c r="KCN519" s="13"/>
      <c r="KCO519" s="193"/>
      <c r="KCP519" s="379"/>
      <c r="KCQ519" s="379"/>
      <c r="KCR519" s="379"/>
      <c r="KCS519" s="379"/>
      <c r="KCT519" s="379"/>
      <c r="KCU519" s="13"/>
      <c r="KCV519" s="13"/>
      <c r="KCW519" s="193"/>
      <c r="KCX519" s="379"/>
      <c r="KCY519" s="379"/>
      <c r="KCZ519" s="379"/>
      <c r="KDA519" s="379"/>
      <c r="KDB519" s="379"/>
      <c r="KDC519" s="13"/>
      <c r="KDD519" s="13"/>
      <c r="KDE519" s="193"/>
      <c r="KDF519" s="379"/>
      <c r="KDG519" s="379"/>
      <c r="KDH519" s="379"/>
      <c r="KDI519" s="379"/>
      <c r="KDJ519" s="379"/>
      <c r="KDK519" s="13"/>
      <c r="KDL519" s="13"/>
      <c r="KDM519" s="193"/>
      <c r="KDN519" s="379"/>
      <c r="KDO519" s="379"/>
      <c r="KDP519" s="379"/>
      <c r="KDQ519" s="379"/>
      <c r="KDR519" s="379"/>
      <c r="KDS519" s="13"/>
      <c r="KDT519" s="13"/>
      <c r="KDU519" s="193"/>
      <c r="KDV519" s="379"/>
      <c r="KDW519" s="379"/>
      <c r="KDX519" s="379"/>
      <c r="KDY519" s="379"/>
      <c r="KDZ519" s="379"/>
      <c r="KEA519" s="13"/>
      <c r="KEB519" s="13"/>
      <c r="KEC519" s="193"/>
      <c r="KED519" s="379"/>
      <c r="KEE519" s="379"/>
      <c r="KEF519" s="379"/>
      <c r="KEG519" s="379"/>
      <c r="KEH519" s="379"/>
      <c r="KEI519" s="13"/>
      <c r="KEJ519" s="13"/>
      <c r="KEK519" s="193"/>
      <c r="KEL519" s="379"/>
      <c r="KEM519" s="379"/>
      <c r="KEN519" s="379"/>
      <c r="KEO519" s="379"/>
      <c r="KEP519" s="379"/>
      <c r="KEQ519" s="13"/>
      <c r="KER519" s="13"/>
      <c r="KES519" s="193"/>
      <c r="KET519" s="379"/>
      <c r="KEU519" s="379"/>
      <c r="KEV519" s="379"/>
      <c r="KEW519" s="379"/>
      <c r="KEX519" s="379"/>
      <c r="KEY519" s="13"/>
      <c r="KEZ519" s="13"/>
      <c r="KFA519" s="193"/>
      <c r="KFB519" s="379"/>
      <c r="KFC519" s="379"/>
      <c r="KFD519" s="379"/>
      <c r="KFE519" s="379"/>
      <c r="KFF519" s="379"/>
      <c r="KFG519" s="13"/>
      <c r="KFH519" s="13"/>
      <c r="KFI519" s="193"/>
      <c r="KFJ519" s="379"/>
      <c r="KFK519" s="379"/>
      <c r="KFL519" s="379"/>
      <c r="KFM519" s="379"/>
      <c r="KFN519" s="379"/>
      <c r="KFO519" s="13"/>
      <c r="KFP519" s="13"/>
      <c r="KFQ519" s="193"/>
      <c r="KFR519" s="379"/>
      <c r="KFS519" s="379"/>
      <c r="KFT519" s="379"/>
      <c r="KFU519" s="379"/>
      <c r="KFV519" s="379"/>
      <c r="KFW519" s="13"/>
      <c r="KFX519" s="13"/>
      <c r="KFY519" s="193"/>
      <c r="KFZ519" s="379"/>
      <c r="KGA519" s="379"/>
      <c r="KGB519" s="379"/>
      <c r="KGC519" s="379"/>
      <c r="KGD519" s="379"/>
      <c r="KGE519" s="13"/>
      <c r="KGF519" s="13"/>
      <c r="KGG519" s="193"/>
      <c r="KGH519" s="379"/>
      <c r="KGI519" s="379"/>
      <c r="KGJ519" s="379"/>
      <c r="KGK519" s="379"/>
      <c r="KGL519" s="379"/>
      <c r="KGM519" s="13"/>
      <c r="KGN519" s="13"/>
      <c r="KGO519" s="193"/>
      <c r="KGP519" s="379"/>
      <c r="KGQ519" s="379"/>
      <c r="KGR519" s="379"/>
      <c r="KGS519" s="379"/>
      <c r="KGT519" s="379"/>
      <c r="KGU519" s="13"/>
      <c r="KGV519" s="13"/>
      <c r="KGW519" s="193"/>
      <c r="KGX519" s="379"/>
      <c r="KGY519" s="379"/>
      <c r="KGZ519" s="379"/>
      <c r="KHA519" s="379"/>
      <c r="KHB519" s="379"/>
      <c r="KHC519" s="13"/>
      <c r="KHD519" s="13"/>
      <c r="KHE519" s="193"/>
      <c r="KHF519" s="379"/>
      <c r="KHG519" s="379"/>
      <c r="KHH519" s="379"/>
      <c r="KHI519" s="379"/>
      <c r="KHJ519" s="379"/>
      <c r="KHK519" s="13"/>
      <c r="KHL519" s="13"/>
      <c r="KHM519" s="193"/>
      <c r="KHN519" s="379"/>
      <c r="KHO519" s="379"/>
      <c r="KHP519" s="379"/>
      <c r="KHQ519" s="379"/>
      <c r="KHR519" s="379"/>
      <c r="KHS519" s="13"/>
      <c r="KHT519" s="13"/>
      <c r="KHU519" s="193"/>
      <c r="KHV519" s="379"/>
      <c r="KHW519" s="379"/>
      <c r="KHX519" s="379"/>
      <c r="KHY519" s="379"/>
      <c r="KHZ519" s="379"/>
      <c r="KIA519" s="13"/>
      <c r="KIB519" s="13"/>
      <c r="KIC519" s="193"/>
      <c r="KID519" s="379"/>
      <c r="KIE519" s="379"/>
      <c r="KIF519" s="379"/>
      <c r="KIG519" s="379"/>
      <c r="KIH519" s="379"/>
      <c r="KII519" s="13"/>
      <c r="KIJ519" s="13"/>
      <c r="KIK519" s="193"/>
      <c r="KIL519" s="379"/>
      <c r="KIM519" s="379"/>
      <c r="KIN519" s="379"/>
      <c r="KIO519" s="379"/>
      <c r="KIP519" s="379"/>
      <c r="KIQ519" s="13"/>
      <c r="KIR519" s="13"/>
      <c r="KIS519" s="193"/>
      <c r="KIT519" s="379"/>
      <c r="KIU519" s="379"/>
      <c r="KIV519" s="379"/>
      <c r="KIW519" s="379"/>
      <c r="KIX519" s="379"/>
      <c r="KIY519" s="13"/>
      <c r="KIZ519" s="13"/>
      <c r="KJA519" s="193"/>
      <c r="KJB519" s="379"/>
      <c r="KJC519" s="379"/>
      <c r="KJD519" s="379"/>
      <c r="KJE519" s="379"/>
      <c r="KJF519" s="379"/>
      <c r="KJG519" s="13"/>
      <c r="KJH519" s="13"/>
      <c r="KJI519" s="193"/>
      <c r="KJJ519" s="379"/>
      <c r="KJK519" s="379"/>
      <c r="KJL519" s="379"/>
      <c r="KJM519" s="379"/>
      <c r="KJN519" s="379"/>
      <c r="KJO519" s="13"/>
      <c r="KJP519" s="13"/>
      <c r="KJQ519" s="193"/>
      <c r="KJR519" s="379"/>
      <c r="KJS519" s="379"/>
      <c r="KJT519" s="379"/>
      <c r="KJU519" s="379"/>
      <c r="KJV519" s="379"/>
      <c r="KJW519" s="13"/>
      <c r="KJX519" s="13"/>
      <c r="KJY519" s="193"/>
      <c r="KJZ519" s="379"/>
      <c r="KKA519" s="379"/>
      <c r="KKB519" s="379"/>
      <c r="KKC519" s="379"/>
      <c r="KKD519" s="379"/>
      <c r="KKE519" s="13"/>
      <c r="KKF519" s="13"/>
      <c r="KKG519" s="193"/>
      <c r="KKH519" s="379"/>
      <c r="KKI519" s="379"/>
      <c r="KKJ519" s="379"/>
      <c r="KKK519" s="379"/>
      <c r="KKL519" s="379"/>
      <c r="KKM519" s="13"/>
      <c r="KKN519" s="13"/>
      <c r="KKO519" s="193"/>
      <c r="KKP519" s="379"/>
      <c r="KKQ519" s="379"/>
      <c r="KKR519" s="379"/>
      <c r="KKS519" s="379"/>
      <c r="KKT519" s="379"/>
      <c r="KKU519" s="13"/>
      <c r="KKV519" s="13"/>
      <c r="KKW519" s="193"/>
      <c r="KKX519" s="379"/>
      <c r="KKY519" s="379"/>
      <c r="KKZ519" s="379"/>
      <c r="KLA519" s="379"/>
      <c r="KLB519" s="379"/>
      <c r="KLC519" s="13"/>
      <c r="KLD519" s="13"/>
      <c r="KLE519" s="193"/>
      <c r="KLF519" s="379"/>
      <c r="KLG519" s="379"/>
      <c r="KLH519" s="379"/>
      <c r="KLI519" s="379"/>
      <c r="KLJ519" s="379"/>
      <c r="KLK519" s="13"/>
      <c r="KLL519" s="13"/>
      <c r="KLM519" s="193"/>
      <c r="KLN519" s="379"/>
      <c r="KLO519" s="379"/>
      <c r="KLP519" s="379"/>
      <c r="KLQ519" s="379"/>
      <c r="KLR519" s="379"/>
      <c r="KLS519" s="13"/>
      <c r="KLT519" s="13"/>
      <c r="KLU519" s="193"/>
      <c r="KLV519" s="379"/>
      <c r="KLW519" s="379"/>
      <c r="KLX519" s="379"/>
      <c r="KLY519" s="379"/>
      <c r="KLZ519" s="379"/>
      <c r="KMA519" s="13"/>
      <c r="KMB519" s="13"/>
      <c r="KMC519" s="193"/>
      <c r="KMD519" s="379"/>
      <c r="KME519" s="379"/>
      <c r="KMF519" s="379"/>
      <c r="KMG519" s="379"/>
      <c r="KMH519" s="379"/>
      <c r="KMI519" s="13"/>
      <c r="KMJ519" s="13"/>
      <c r="KMK519" s="193"/>
      <c r="KML519" s="379"/>
      <c r="KMM519" s="379"/>
      <c r="KMN519" s="379"/>
      <c r="KMO519" s="379"/>
      <c r="KMP519" s="379"/>
      <c r="KMQ519" s="13"/>
      <c r="KMR519" s="13"/>
      <c r="KMS519" s="193"/>
      <c r="KMT519" s="379"/>
      <c r="KMU519" s="379"/>
      <c r="KMV519" s="379"/>
      <c r="KMW519" s="379"/>
      <c r="KMX519" s="379"/>
      <c r="KMY519" s="13"/>
      <c r="KMZ519" s="13"/>
      <c r="KNA519" s="193"/>
      <c r="KNB519" s="379"/>
      <c r="KNC519" s="379"/>
      <c r="KND519" s="379"/>
      <c r="KNE519" s="379"/>
      <c r="KNF519" s="379"/>
      <c r="KNG519" s="13"/>
      <c r="KNH519" s="13"/>
      <c r="KNI519" s="193"/>
      <c r="KNJ519" s="379"/>
      <c r="KNK519" s="379"/>
      <c r="KNL519" s="379"/>
      <c r="KNM519" s="379"/>
      <c r="KNN519" s="379"/>
      <c r="KNO519" s="13"/>
      <c r="KNP519" s="13"/>
      <c r="KNQ519" s="193"/>
      <c r="KNR519" s="379"/>
      <c r="KNS519" s="379"/>
      <c r="KNT519" s="379"/>
      <c r="KNU519" s="379"/>
      <c r="KNV519" s="379"/>
      <c r="KNW519" s="13"/>
      <c r="KNX519" s="13"/>
      <c r="KNY519" s="193"/>
      <c r="KNZ519" s="379"/>
      <c r="KOA519" s="379"/>
      <c r="KOB519" s="379"/>
      <c r="KOC519" s="379"/>
      <c r="KOD519" s="379"/>
      <c r="KOE519" s="13"/>
      <c r="KOF519" s="13"/>
      <c r="KOG519" s="193"/>
      <c r="KOH519" s="379"/>
      <c r="KOI519" s="379"/>
      <c r="KOJ519" s="379"/>
      <c r="KOK519" s="379"/>
      <c r="KOL519" s="379"/>
      <c r="KOM519" s="13"/>
      <c r="KON519" s="13"/>
      <c r="KOO519" s="193"/>
      <c r="KOP519" s="379"/>
      <c r="KOQ519" s="379"/>
      <c r="KOR519" s="379"/>
      <c r="KOS519" s="379"/>
      <c r="KOT519" s="379"/>
      <c r="KOU519" s="13"/>
      <c r="KOV519" s="13"/>
      <c r="KOW519" s="193"/>
      <c r="KOX519" s="379"/>
      <c r="KOY519" s="379"/>
      <c r="KOZ519" s="379"/>
      <c r="KPA519" s="379"/>
      <c r="KPB519" s="379"/>
      <c r="KPC519" s="13"/>
      <c r="KPD519" s="13"/>
      <c r="KPE519" s="193"/>
      <c r="KPF519" s="379"/>
      <c r="KPG519" s="379"/>
      <c r="KPH519" s="379"/>
      <c r="KPI519" s="379"/>
      <c r="KPJ519" s="379"/>
      <c r="KPK519" s="13"/>
      <c r="KPL519" s="13"/>
      <c r="KPM519" s="193"/>
      <c r="KPN519" s="379"/>
      <c r="KPO519" s="379"/>
      <c r="KPP519" s="379"/>
      <c r="KPQ519" s="379"/>
      <c r="KPR519" s="379"/>
      <c r="KPS519" s="13"/>
      <c r="KPT519" s="13"/>
      <c r="KPU519" s="193"/>
      <c r="KPV519" s="379"/>
      <c r="KPW519" s="379"/>
      <c r="KPX519" s="379"/>
      <c r="KPY519" s="379"/>
      <c r="KPZ519" s="379"/>
      <c r="KQA519" s="13"/>
      <c r="KQB519" s="13"/>
      <c r="KQC519" s="193"/>
      <c r="KQD519" s="379"/>
      <c r="KQE519" s="379"/>
      <c r="KQF519" s="379"/>
      <c r="KQG519" s="379"/>
      <c r="KQH519" s="379"/>
      <c r="KQI519" s="13"/>
      <c r="KQJ519" s="13"/>
      <c r="KQK519" s="193"/>
      <c r="KQL519" s="379"/>
      <c r="KQM519" s="379"/>
      <c r="KQN519" s="379"/>
      <c r="KQO519" s="379"/>
      <c r="KQP519" s="379"/>
      <c r="KQQ519" s="13"/>
      <c r="KQR519" s="13"/>
      <c r="KQS519" s="193"/>
      <c r="KQT519" s="379"/>
      <c r="KQU519" s="379"/>
      <c r="KQV519" s="379"/>
      <c r="KQW519" s="379"/>
      <c r="KQX519" s="379"/>
      <c r="KQY519" s="13"/>
      <c r="KQZ519" s="13"/>
      <c r="KRA519" s="193"/>
      <c r="KRB519" s="379"/>
      <c r="KRC519" s="379"/>
      <c r="KRD519" s="379"/>
      <c r="KRE519" s="379"/>
      <c r="KRF519" s="379"/>
      <c r="KRG519" s="13"/>
      <c r="KRH519" s="13"/>
      <c r="KRI519" s="193"/>
      <c r="KRJ519" s="379"/>
      <c r="KRK519" s="379"/>
      <c r="KRL519" s="379"/>
      <c r="KRM519" s="379"/>
      <c r="KRN519" s="379"/>
      <c r="KRO519" s="13"/>
      <c r="KRP519" s="13"/>
      <c r="KRQ519" s="193"/>
      <c r="KRR519" s="379"/>
      <c r="KRS519" s="379"/>
      <c r="KRT519" s="379"/>
      <c r="KRU519" s="379"/>
      <c r="KRV519" s="379"/>
      <c r="KRW519" s="13"/>
      <c r="KRX519" s="13"/>
      <c r="KRY519" s="193"/>
      <c r="KRZ519" s="379"/>
      <c r="KSA519" s="379"/>
      <c r="KSB519" s="379"/>
      <c r="KSC519" s="379"/>
      <c r="KSD519" s="379"/>
      <c r="KSE519" s="13"/>
      <c r="KSF519" s="13"/>
      <c r="KSG519" s="193"/>
      <c r="KSH519" s="379"/>
      <c r="KSI519" s="379"/>
      <c r="KSJ519" s="379"/>
      <c r="KSK519" s="379"/>
      <c r="KSL519" s="379"/>
      <c r="KSM519" s="13"/>
      <c r="KSN519" s="13"/>
      <c r="KSO519" s="193"/>
      <c r="KSP519" s="379"/>
      <c r="KSQ519" s="379"/>
      <c r="KSR519" s="379"/>
      <c r="KSS519" s="379"/>
      <c r="KST519" s="379"/>
      <c r="KSU519" s="13"/>
      <c r="KSV519" s="13"/>
      <c r="KSW519" s="193"/>
      <c r="KSX519" s="379"/>
      <c r="KSY519" s="379"/>
      <c r="KSZ519" s="379"/>
      <c r="KTA519" s="379"/>
      <c r="KTB519" s="379"/>
      <c r="KTC519" s="13"/>
      <c r="KTD519" s="13"/>
      <c r="KTE519" s="193"/>
      <c r="KTF519" s="379"/>
      <c r="KTG519" s="379"/>
      <c r="KTH519" s="379"/>
      <c r="KTI519" s="379"/>
      <c r="KTJ519" s="379"/>
      <c r="KTK519" s="13"/>
      <c r="KTL519" s="13"/>
      <c r="KTM519" s="193"/>
      <c r="KTN519" s="379"/>
      <c r="KTO519" s="379"/>
      <c r="KTP519" s="379"/>
      <c r="KTQ519" s="379"/>
      <c r="KTR519" s="379"/>
      <c r="KTS519" s="13"/>
      <c r="KTT519" s="13"/>
      <c r="KTU519" s="193"/>
      <c r="KTV519" s="379"/>
      <c r="KTW519" s="379"/>
      <c r="KTX519" s="379"/>
      <c r="KTY519" s="379"/>
      <c r="KTZ519" s="379"/>
      <c r="KUA519" s="13"/>
      <c r="KUB519" s="13"/>
      <c r="KUC519" s="193"/>
      <c r="KUD519" s="379"/>
      <c r="KUE519" s="379"/>
      <c r="KUF519" s="379"/>
      <c r="KUG519" s="379"/>
      <c r="KUH519" s="379"/>
      <c r="KUI519" s="13"/>
      <c r="KUJ519" s="13"/>
      <c r="KUK519" s="193"/>
      <c r="KUL519" s="379"/>
      <c r="KUM519" s="379"/>
      <c r="KUN519" s="379"/>
      <c r="KUO519" s="379"/>
      <c r="KUP519" s="379"/>
      <c r="KUQ519" s="13"/>
      <c r="KUR519" s="13"/>
      <c r="KUS519" s="193"/>
      <c r="KUT519" s="379"/>
      <c r="KUU519" s="379"/>
      <c r="KUV519" s="379"/>
      <c r="KUW519" s="379"/>
      <c r="KUX519" s="379"/>
      <c r="KUY519" s="13"/>
      <c r="KUZ519" s="13"/>
      <c r="KVA519" s="193"/>
      <c r="KVB519" s="379"/>
      <c r="KVC519" s="379"/>
      <c r="KVD519" s="379"/>
      <c r="KVE519" s="379"/>
      <c r="KVF519" s="379"/>
      <c r="KVG519" s="13"/>
      <c r="KVH519" s="13"/>
      <c r="KVI519" s="193"/>
      <c r="KVJ519" s="379"/>
      <c r="KVK519" s="379"/>
      <c r="KVL519" s="379"/>
      <c r="KVM519" s="379"/>
      <c r="KVN519" s="379"/>
      <c r="KVO519" s="13"/>
      <c r="KVP519" s="13"/>
      <c r="KVQ519" s="193"/>
      <c r="KVR519" s="379"/>
      <c r="KVS519" s="379"/>
      <c r="KVT519" s="379"/>
      <c r="KVU519" s="379"/>
      <c r="KVV519" s="379"/>
      <c r="KVW519" s="13"/>
      <c r="KVX519" s="13"/>
      <c r="KVY519" s="193"/>
      <c r="KVZ519" s="379"/>
      <c r="KWA519" s="379"/>
      <c r="KWB519" s="379"/>
      <c r="KWC519" s="379"/>
      <c r="KWD519" s="379"/>
      <c r="KWE519" s="13"/>
      <c r="KWF519" s="13"/>
      <c r="KWG519" s="193"/>
      <c r="KWH519" s="379"/>
      <c r="KWI519" s="379"/>
      <c r="KWJ519" s="379"/>
      <c r="KWK519" s="379"/>
      <c r="KWL519" s="379"/>
      <c r="KWM519" s="13"/>
      <c r="KWN519" s="13"/>
      <c r="KWO519" s="193"/>
      <c r="KWP519" s="379"/>
      <c r="KWQ519" s="379"/>
      <c r="KWR519" s="379"/>
      <c r="KWS519" s="379"/>
      <c r="KWT519" s="379"/>
      <c r="KWU519" s="13"/>
      <c r="KWV519" s="13"/>
      <c r="KWW519" s="193"/>
      <c r="KWX519" s="379"/>
      <c r="KWY519" s="379"/>
      <c r="KWZ519" s="379"/>
      <c r="KXA519" s="379"/>
      <c r="KXB519" s="379"/>
      <c r="KXC519" s="13"/>
      <c r="KXD519" s="13"/>
      <c r="KXE519" s="193"/>
      <c r="KXF519" s="379"/>
      <c r="KXG519" s="379"/>
      <c r="KXH519" s="379"/>
      <c r="KXI519" s="379"/>
      <c r="KXJ519" s="379"/>
      <c r="KXK519" s="13"/>
      <c r="KXL519" s="13"/>
      <c r="KXM519" s="193"/>
      <c r="KXN519" s="379"/>
      <c r="KXO519" s="379"/>
      <c r="KXP519" s="379"/>
      <c r="KXQ519" s="379"/>
      <c r="KXR519" s="379"/>
      <c r="KXS519" s="13"/>
      <c r="KXT519" s="13"/>
      <c r="KXU519" s="193"/>
      <c r="KXV519" s="379"/>
      <c r="KXW519" s="379"/>
      <c r="KXX519" s="379"/>
      <c r="KXY519" s="379"/>
      <c r="KXZ519" s="379"/>
      <c r="KYA519" s="13"/>
      <c r="KYB519" s="13"/>
      <c r="KYC519" s="193"/>
      <c r="KYD519" s="379"/>
      <c r="KYE519" s="379"/>
      <c r="KYF519" s="379"/>
      <c r="KYG519" s="379"/>
      <c r="KYH519" s="379"/>
      <c r="KYI519" s="13"/>
      <c r="KYJ519" s="13"/>
      <c r="KYK519" s="193"/>
      <c r="KYL519" s="379"/>
      <c r="KYM519" s="379"/>
      <c r="KYN519" s="379"/>
      <c r="KYO519" s="379"/>
      <c r="KYP519" s="379"/>
      <c r="KYQ519" s="13"/>
      <c r="KYR519" s="13"/>
      <c r="KYS519" s="193"/>
      <c r="KYT519" s="379"/>
      <c r="KYU519" s="379"/>
      <c r="KYV519" s="379"/>
      <c r="KYW519" s="379"/>
      <c r="KYX519" s="379"/>
      <c r="KYY519" s="13"/>
      <c r="KYZ519" s="13"/>
      <c r="KZA519" s="193"/>
      <c r="KZB519" s="379"/>
      <c r="KZC519" s="379"/>
      <c r="KZD519" s="379"/>
      <c r="KZE519" s="379"/>
      <c r="KZF519" s="379"/>
      <c r="KZG519" s="13"/>
      <c r="KZH519" s="13"/>
      <c r="KZI519" s="193"/>
      <c r="KZJ519" s="379"/>
      <c r="KZK519" s="379"/>
      <c r="KZL519" s="379"/>
      <c r="KZM519" s="379"/>
      <c r="KZN519" s="379"/>
      <c r="KZO519" s="13"/>
      <c r="KZP519" s="13"/>
      <c r="KZQ519" s="193"/>
      <c r="KZR519" s="379"/>
      <c r="KZS519" s="379"/>
      <c r="KZT519" s="379"/>
      <c r="KZU519" s="379"/>
      <c r="KZV519" s="379"/>
      <c r="KZW519" s="13"/>
      <c r="KZX519" s="13"/>
      <c r="KZY519" s="193"/>
      <c r="KZZ519" s="379"/>
      <c r="LAA519" s="379"/>
      <c r="LAB519" s="379"/>
      <c r="LAC519" s="379"/>
      <c r="LAD519" s="379"/>
      <c r="LAE519" s="13"/>
      <c r="LAF519" s="13"/>
      <c r="LAG519" s="193"/>
      <c r="LAH519" s="379"/>
      <c r="LAI519" s="379"/>
      <c r="LAJ519" s="379"/>
      <c r="LAK519" s="379"/>
      <c r="LAL519" s="379"/>
      <c r="LAM519" s="13"/>
      <c r="LAN519" s="13"/>
      <c r="LAO519" s="193"/>
      <c r="LAP519" s="379"/>
      <c r="LAQ519" s="379"/>
      <c r="LAR519" s="379"/>
      <c r="LAS519" s="379"/>
      <c r="LAT519" s="379"/>
      <c r="LAU519" s="13"/>
      <c r="LAV519" s="13"/>
      <c r="LAW519" s="193"/>
      <c r="LAX519" s="379"/>
      <c r="LAY519" s="379"/>
      <c r="LAZ519" s="379"/>
      <c r="LBA519" s="379"/>
      <c r="LBB519" s="379"/>
      <c r="LBC519" s="13"/>
      <c r="LBD519" s="13"/>
      <c r="LBE519" s="193"/>
      <c r="LBF519" s="379"/>
      <c r="LBG519" s="379"/>
      <c r="LBH519" s="379"/>
      <c r="LBI519" s="379"/>
      <c r="LBJ519" s="379"/>
      <c r="LBK519" s="13"/>
      <c r="LBL519" s="13"/>
      <c r="LBM519" s="193"/>
      <c r="LBN519" s="379"/>
      <c r="LBO519" s="379"/>
      <c r="LBP519" s="379"/>
      <c r="LBQ519" s="379"/>
      <c r="LBR519" s="379"/>
      <c r="LBS519" s="13"/>
      <c r="LBT519" s="13"/>
      <c r="LBU519" s="193"/>
      <c r="LBV519" s="379"/>
      <c r="LBW519" s="379"/>
      <c r="LBX519" s="379"/>
      <c r="LBY519" s="379"/>
      <c r="LBZ519" s="379"/>
      <c r="LCA519" s="13"/>
      <c r="LCB519" s="13"/>
      <c r="LCC519" s="193"/>
      <c r="LCD519" s="379"/>
      <c r="LCE519" s="379"/>
      <c r="LCF519" s="379"/>
      <c r="LCG519" s="379"/>
      <c r="LCH519" s="379"/>
      <c r="LCI519" s="13"/>
      <c r="LCJ519" s="13"/>
      <c r="LCK519" s="193"/>
      <c r="LCL519" s="379"/>
      <c r="LCM519" s="379"/>
      <c r="LCN519" s="379"/>
      <c r="LCO519" s="379"/>
      <c r="LCP519" s="379"/>
      <c r="LCQ519" s="13"/>
      <c r="LCR519" s="13"/>
      <c r="LCS519" s="193"/>
      <c r="LCT519" s="379"/>
      <c r="LCU519" s="379"/>
      <c r="LCV519" s="379"/>
      <c r="LCW519" s="379"/>
      <c r="LCX519" s="379"/>
      <c r="LCY519" s="13"/>
      <c r="LCZ519" s="13"/>
      <c r="LDA519" s="193"/>
      <c r="LDB519" s="379"/>
      <c r="LDC519" s="379"/>
      <c r="LDD519" s="379"/>
      <c r="LDE519" s="379"/>
      <c r="LDF519" s="379"/>
      <c r="LDG519" s="13"/>
      <c r="LDH519" s="13"/>
      <c r="LDI519" s="193"/>
      <c r="LDJ519" s="379"/>
      <c r="LDK519" s="379"/>
      <c r="LDL519" s="379"/>
      <c r="LDM519" s="379"/>
      <c r="LDN519" s="379"/>
      <c r="LDO519" s="13"/>
      <c r="LDP519" s="13"/>
      <c r="LDQ519" s="193"/>
      <c r="LDR519" s="379"/>
      <c r="LDS519" s="379"/>
      <c r="LDT519" s="379"/>
      <c r="LDU519" s="379"/>
      <c r="LDV519" s="379"/>
      <c r="LDW519" s="13"/>
      <c r="LDX519" s="13"/>
      <c r="LDY519" s="193"/>
      <c r="LDZ519" s="379"/>
      <c r="LEA519" s="379"/>
      <c r="LEB519" s="379"/>
      <c r="LEC519" s="379"/>
      <c r="LED519" s="379"/>
      <c r="LEE519" s="13"/>
      <c r="LEF519" s="13"/>
      <c r="LEG519" s="193"/>
      <c r="LEH519" s="379"/>
      <c r="LEI519" s="379"/>
      <c r="LEJ519" s="379"/>
      <c r="LEK519" s="379"/>
      <c r="LEL519" s="379"/>
      <c r="LEM519" s="13"/>
      <c r="LEN519" s="13"/>
      <c r="LEO519" s="193"/>
      <c r="LEP519" s="379"/>
      <c r="LEQ519" s="379"/>
      <c r="LER519" s="379"/>
      <c r="LES519" s="379"/>
      <c r="LET519" s="379"/>
      <c r="LEU519" s="13"/>
      <c r="LEV519" s="13"/>
      <c r="LEW519" s="193"/>
      <c r="LEX519" s="379"/>
      <c r="LEY519" s="379"/>
      <c r="LEZ519" s="379"/>
      <c r="LFA519" s="379"/>
      <c r="LFB519" s="379"/>
      <c r="LFC519" s="13"/>
      <c r="LFD519" s="13"/>
      <c r="LFE519" s="193"/>
      <c r="LFF519" s="379"/>
      <c r="LFG519" s="379"/>
      <c r="LFH519" s="379"/>
      <c r="LFI519" s="379"/>
      <c r="LFJ519" s="379"/>
      <c r="LFK519" s="13"/>
      <c r="LFL519" s="13"/>
      <c r="LFM519" s="193"/>
      <c r="LFN519" s="379"/>
      <c r="LFO519" s="379"/>
      <c r="LFP519" s="379"/>
      <c r="LFQ519" s="379"/>
      <c r="LFR519" s="379"/>
      <c r="LFS519" s="13"/>
      <c r="LFT519" s="13"/>
      <c r="LFU519" s="193"/>
      <c r="LFV519" s="379"/>
      <c r="LFW519" s="379"/>
      <c r="LFX519" s="379"/>
      <c r="LFY519" s="379"/>
      <c r="LFZ519" s="379"/>
      <c r="LGA519" s="13"/>
      <c r="LGB519" s="13"/>
      <c r="LGC519" s="193"/>
      <c r="LGD519" s="379"/>
      <c r="LGE519" s="379"/>
      <c r="LGF519" s="379"/>
      <c r="LGG519" s="379"/>
      <c r="LGH519" s="379"/>
      <c r="LGI519" s="13"/>
      <c r="LGJ519" s="13"/>
      <c r="LGK519" s="193"/>
      <c r="LGL519" s="379"/>
      <c r="LGM519" s="379"/>
      <c r="LGN519" s="379"/>
      <c r="LGO519" s="379"/>
      <c r="LGP519" s="379"/>
      <c r="LGQ519" s="13"/>
      <c r="LGR519" s="13"/>
      <c r="LGS519" s="193"/>
      <c r="LGT519" s="379"/>
      <c r="LGU519" s="379"/>
      <c r="LGV519" s="379"/>
      <c r="LGW519" s="379"/>
      <c r="LGX519" s="379"/>
      <c r="LGY519" s="13"/>
      <c r="LGZ519" s="13"/>
      <c r="LHA519" s="193"/>
      <c r="LHB519" s="379"/>
      <c r="LHC519" s="379"/>
      <c r="LHD519" s="379"/>
      <c r="LHE519" s="379"/>
      <c r="LHF519" s="379"/>
      <c r="LHG519" s="13"/>
      <c r="LHH519" s="13"/>
      <c r="LHI519" s="193"/>
      <c r="LHJ519" s="379"/>
      <c r="LHK519" s="379"/>
      <c r="LHL519" s="379"/>
      <c r="LHM519" s="379"/>
      <c r="LHN519" s="379"/>
      <c r="LHO519" s="13"/>
      <c r="LHP519" s="13"/>
      <c r="LHQ519" s="193"/>
      <c r="LHR519" s="379"/>
      <c r="LHS519" s="379"/>
      <c r="LHT519" s="379"/>
      <c r="LHU519" s="379"/>
      <c r="LHV519" s="379"/>
      <c r="LHW519" s="13"/>
      <c r="LHX519" s="13"/>
      <c r="LHY519" s="193"/>
      <c r="LHZ519" s="379"/>
      <c r="LIA519" s="379"/>
      <c r="LIB519" s="379"/>
      <c r="LIC519" s="379"/>
      <c r="LID519" s="379"/>
      <c r="LIE519" s="13"/>
      <c r="LIF519" s="13"/>
      <c r="LIG519" s="193"/>
      <c r="LIH519" s="379"/>
      <c r="LII519" s="379"/>
      <c r="LIJ519" s="379"/>
      <c r="LIK519" s="379"/>
      <c r="LIL519" s="379"/>
      <c r="LIM519" s="13"/>
      <c r="LIN519" s="13"/>
      <c r="LIO519" s="193"/>
      <c r="LIP519" s="379"/>
      <c r="LIQ519" s="379"/>
      <c r="LIR519" s="379"/>
      <c r="LIS519" s="379"/>
      <c r="LIT519" s="379"/>
      <c r="LIU519" s="13"/>
      <c r="LIV519" s="13"/>
      <c r="LIW519" s="193"/>
      <c r="LIX519" s="379"/>
      <c r="LIY519" s="379"/>
      <c r="LIZ519" s="379"/>
      <c r="LJA519" s="379"/>
      <c r="LJB519" s="379"/>
      <c r="LJC519" s="13"/>
      <c r="LJD519" s="13"/>
      <c r="LJE519" s="193"/>
      <c r="LJF519" s="379"/>
      <c r="LJG519" s="379"/>
      <c r="LJH519" s="379"/>
      <c r="LJI519" s="379"/>
      <c r="LJJ519" s="379"/>
      <c r="LJK519" s="13"/>
      <c r="LJL519" s="13"/>
      <c r="LJM519" s="193"/>
      <c r="LJN519" s="379"/>
      <c r="LJO519" s="379"/>
      <c r="LJP519" s="379"/>
      <c r="LJQ519" s="379"/>
      <c r="LJR519" s="379"/>
      <c r="LJS519" s="13"/>
      <c r="LJT519" s="13"/>
      <c r="LJU519" s="193"/>
      <c r="LJV519" s="379"/>
      <c r="LJW519" s="379"/>
      <c r="LJX519" s="379"/>
      <c r="LJY519" s="379"/>
      <c r="LJZ519" s="379"/>
      <c r="LKA519" s="13"/>
      <c r="LKB519" s="13"/>
      <c r="LKC519" s="193"/>
      <c r="LKD519" s="379"/>
      <c r="LKE519" s="379"/>
      <c r="LKF519" s="379"/>
      <c r="LKG519" s="379"/>
      <c r="LKH519" s="379"/>
      <c r="LKI519" s="13"/>
      <c r="LKJ519" s="13"/>
      <c r="LKK519" s="193"/>
      <c r="LKL519" s="379"/>
      <c r="LKM519" s="379"/>
      <c r="LKN519" s="379"/>
      <c r="LKO519" s="379"/>
      <c r="LKP519" s="379"/>
      <c r="LKQ519" s="13"/>
      <c r="LKR519" s="13"/>
      <c r="LKS519" s="193"/>
      <c r="LKT519" s="379"/>
      <c r="LKU519" s="379"/>
      <c r="LKV519" s="379"/>
      <c r="LKW519" s="379"/>
      <c r="LKX519" s="379"/>
      <c r="LKY519" s="13"/>
      <c r="LKZ519" s="13"/>
      <c r="LLA519" s="193"/>
      <c r="LLB519" s="379"/>
      <c r="LLC519" s="379"/>
      <c r="LLD519" s="379"/>
      <c r="LLE519" s="379"/>
      <c r="LLF519" s="379"/>
      <c r="LLG519" s="13"/>
      <c r="LLH519" s="13"/>
      <c r="LLI519" s="193"/>
      <c r="LLJ519" s="379"/>
      <c r="LLK519" s="379"/>
      <c r="LLL519" s="379"/>
      <c r="LLM519" s="379"/>
      <c r="LLN519" s="379"/>
      <c r="LLO519" s="13"/>
      <c r="LLP519" s="13"/>
      <c r="LLQ519" s="193"/>
      <c r="LLR519" s="379"/>
      <c r="LLS519" s="379"/>
      <c r="LLT519" s="379"/>
      <c r="LLU519" s="379"/>
      <c r="LLV519" s="379"/>
      <c r="LLW519" s="13"/>
      <c r="LLX519" s="13"/>
      <c r="LLY519" s="193"/>
      <c r="LLZ519" s="379"/>
      <c r="LMA519" s="379"/>
      <c r="LMB519" s="379"/>
      <c r="LMC519" s="379"/>
      <c r="LMD519" s="379"/>
      <c r="LME519" s="13"/>
      <c r="LMF519" s="13"/>
      <c r="LMG519" s="193"/>
      <c r="LMH519" s="379"/>
      <c r="LMI519" s="379"/>
      <c r="LMJ519" s="379"/>
      <c r="LMK519" s="379"/>
      <c r="LML519" s="379"/>
      <c r="LMM519" s="13"/>
      <c r="LMN519" s="13"/>
      <c r="LMO519" s="193"/>
      <c r="LMP519" s="379"/>
      <c r="LMQ519" s="379"/>
      <c r="LMR519" s="379"/>
      <c r="LMS519" s="379"/>
      <c r="LMT519" s="379"/>
      <c r="LMU519" s="13"/>
      <c r="LMV519" s="13"/>
      <c r="LMW519" s="193"/>
      <c r="LMX519" s="379"/>
      <c r="LMY519" s="379"/>
      <c r="LMZ519" s="379"/>
      <c r="LNA519" s="379"/>
      <c r="LNB519" s="379"/>
      <c r="LNC519" s="13"/>
      <c r="LND519" s="13"/>
      <c r="LNE519" s="193"/>
      <c r="LNF519" s="379"/>
      <c r="LNG519" s="379"/>
      <c r="LNH519" s="379"/>
      <c r="LNI519" s="379"/>
      <c r="LNJ519" s="379"/>
      <c r="LNK519" s="13"/>
      <c r="LNL519" s="13"/>
      <c r="LNM519" s="193"/>
      <c r="LNN519" s="379"/>
      <c r="LNO519" s="379"/>
      <c r="LNP519" s="379"/>
      <c r="LNQ519" s="379"/>
      <c r="LNR519" s="379"/>
      <c r="LNS519" s="13"/>
      <c r="LNT519" s="13"/>
      <c r="LNU519" s="193"/>
      <c r="LNV519" s="379"/>
      <c r="LNW519" s="379"/>
      <c r="LNX519" s="379"/>
      <c r="LNY519" s="379"/>
      <c r="LNZ519" s="379"/>
      <c r="LOA519" s="13"/>
      <c r="LOB519" s="13"/>
      <c r="LOC519" s="193"/>
      <c r="LOD519" s="379"/>
      <c r="LOE519" s="379"/>
      <c r="LOF519" s="379"/>
      <c r="LOG519" s="379"/>
      <c r="LOH519" s="379"/>
      <c r="LOI519" s="13"/>
      <c r="LOJ519" s="13"/>
      <c r="LOK519" s="193"/>
      <c r="LOL519" s="379"/>
      <c r="LOM519" s="379"/>
      <c r="LON519" s="379"/>
      <c r="LOO519" s="379"/>
      <c r="LOP519" s="379"/>
      <c r="LOQ519" s="13"/>
      <c r="LOR519" s="13"/>
      <c r="LOS519" s="193"/>
      <c r="LOT519" s="379"/>
      <c r="LOU519" s="379"/>
      <c r="LOV519" s="379"/>
      <c r="LOW519" s="379"/>
      <c r="LOX519" s="379"/>
      <c r="LOY519" s="13"/>
      <c r="LOZ519" s="13"/>
      <c r="LPA519" s="193"/>
      <c r="LPB519" s="379"/>
      <c r="LPC519" s="379"/>
      <c r="LPD519" s="379"/>
      <c r="LPE519" s="379"/>
      <c r="LPF519" s="379"/>
      <c r="LPG519" s="13"/>
      <c r="LPH519" s="13"/>
      <c r="LPI519" s="193"/>
      <c r="LPJ519" s="379"/>
      <c r="LPK519" s="379"/>
      <c r="LPL519" s="379"/>
      <c r="LPM519" s="379"/>
      <c r="LPN519" s="379"/>
      <c r="LPO519" s="13"/>
      <c r="LPP519" s="13"/>
      <c r="LPQ519" s="193"/>
      <c r="LPR519" s="379"/>
      <c r="LPS519" s="379"/>
      <c r="LPT519" s="379"/>
      <c r="LPU519" s="379"/>
      <c r="LPV519" s="379"/>
      <c r="LPW519" s="13"/>
      <c r="LPX519" s="13"/>
      <c r="LPY519" s="193"/>
      <c r="LPZ519" s="379"/>
      <c r="LQA519" s="379"/>
      <c r="LQB519" s="379"/>
      <c r="LQC519" s="379"/>
      <c r="LQD519" s="379"/>
      <c r="LQE519" s="13"/>
      <c r="LQF519" s="13"/>
      <c r="LQG519" s="193"/>
      <c r="LQH519" s="379"/>
      <c r="LQI519" s="379"/>
      <c r="LQJ519" s="379"/>
      <c r="LQK519" s="379"/>
      <c r="LQL519" s="379"/>
      <c r="LQM519" s="13"/>
      <c r="LQN519" s="13"/>
      <c r="LQO519" s="193"/>
      <c r="LQP519" s="379"/>
      <c r="LQQ519" s="379"/>
      <c r="LQR519" s="379"/>
      <c r="LQS519" s="379"/>
      <c r="LQT519" s="379"/>
      <c r="LQU519" s="13"/>
      <c r="LQV519" s="13"/>
      <c r="LQW519" s="193"/>
      <c r="LQX519" s="379"/>
      <c r="LQY519" s="379"/>
      <c r="LQZ519" s="379"/>
      <c r="LRA519" s="379"/>
      <c r="LRB519" s="379"/>
      <c r="LRC519" s="13"/>
      <c r="LRD519" s="13"/>
      <c r="LRE519" s="193"/>
      <c r="LRF519" s="379"/>
      <c r="LRG519" s="379"/>
      <c r="LRH519" s="379"/>
      <c r="LRI519" s="379"/>
      <c r="LRJ519" s="379"/>
      <c r="LRK519" s="13"/>
      <c r="LRL519" s="13"/>
      <c r="LRM519" s="193"/>
      <c r="LRN519" s="379"/>
      <c r="LRO519" s="379"/>
      <c r="LRP519" s="379"/>
      <c r="LRQ519" s="379"/>
      <c r="LRR519" s="379"/>
      <c r="LRS519" s="13"/>
      <c r="LRT519" s="13"/>
      <c r="LRU519" s="193"/>
      <c r="LRV519" s="379"/>
      <c r="LRW519" s="379"/>
      <c r="LRX519" s="379"/>
      <c r="LRY519" s="379"/>
      <c r="LRZ519" s="379"/>
      <c r="LSA519" s="13"/>
      <c r="LSB519" s="13"/>
      <c r="LSC519" s="193"/>
      <c r="LSD519" s="379"/>
      <c r="LSE519" s="379"/>
      <c r="LSF519" s="379"/>
      <c r="LSG519" s="379"/>
      <c r="LSH519" s="379"/>
      <c r="LSI519" s="13"/>
      <c r="LSJ519" s="13"/>
      <c r="LSK519" s="193"/>
      <c r="LSL519" s="379"/>
      <c r="LSM519" s="379"/>
      <c r="LSN519" s="379"/>
      <c r="LSO519" s="379"/>
      <c r="LSP519" s="379"/>
      <c r="LSQ519" s="13"/>
      <c r="LSR519" s="13"/>
      <c r="LSS519" s="193"/>
      <c r="LST519" s="379"/>
      <c r="LSU519" s="379"/>
      <c r="LSV519" s="379"/>
      <c r="LSW519" s="379"/>
      <c r="LSX519" s="379"/>
      <c r="LSY519" s="13"/>
      <c r="LSZ519" s="13"/>
      <c r="LTA519" s="193"/>
      <c r="LTB519" s="379"/>
      <c r="LTC519" s="379"/>
      <c r="LTD519" s="379"/>
      <c r="LTE519" s="379"/>
      <c r="LTF519" s="379"/>
      <c r="LTG519" s="13"/>
      <c r="LTH519" s="13"/>
      <c r="LTI519" s="193"/>
      <c r="LTJ519" s="379"/>
      <c r="LTK519" s="379"/>
      <c r="LTL519" s="379"/>
      <c r="LTM519" s="379"/>
      <c r="LTN519" s="379"/>
      <c r="LTO519" s="13"/>
      <c r="LTP519" s="13"/>
      <c r="LTQ519" s="193"/>
      <c r="LTR519" s="379"/>
      <c r="LTS519" s="379"/>
      <c r="LTT519" s="379"/>
      <c r="LTU519" s="379"/>
      <c r="LTV519" s="379"/>
      <c r="LTW519" s="13"/>
      <c r="LTX519" s="13"/>
      <c r="LTY519" s="193"/>
      <c r="LTZ519" s="379"/>
      <c r="LUA519" s="379"/>
      <c r="LUB519" s="379"/>
      <c r="LUC519" s="379"/>
      <c r="LUD519" s="379"/>
      <c r="LUE519" s="13"/>
      <c r="LUF519" s="13"/>
      <c r="LUG519" s="193"/>
      <c r="LUH519" s="379"/>
      <c r="LUI519" s="379"/>
      <c r="LUJ519" s="379"/>
      <c r="LUK519" s="379"/>
      <c r="LUL519" s="379"/>
      <c r="LUM519" s="13"/>
      <c r="LUN519" s="13"/>
      <c r="LUO519" s="193"/>
      <c r="LUP519" s="379"/>
      <c r="LUQ519" s="379"/>
      <c r="LUR519" s="379"/>
      <c r="LUS519" s="379"/>
      <c r="LUT519" s="379"/>
      <c r="LUU519" s="13"/>
      <c r="LUV519" s="13"/>
      <c r="LUW519" s="193"/>
      <c r="LUX519" s="379"/>
      <c r="LUY519" s="379"/>
      <c r="LUZ519" s="379"/>
      <c r="LVA519" s="379"/>
      <c r="LVB519" s="379"/>
      <c r="LVC519" s="13"/>
      <c r="LVD519" s="13"/>
      <c r="LVE519" s="193"/>
      <c r="LVF519" s="379"/>
      <c r="LVG519" s="379"/>
      <c r="LVH519" s="379"/>
      <c r="LVI519" s="379"/>
      <c r="LVJ519" s="379"/>
      <c r="LVK519" s="13"/>
      <c r="LVL519" s="13"/>
      <c r="LVM519" s="193"/>
      <c r="LVN519" s="379"/>
      <c r="LVO519" s="379"/>
      <c r="LVP519" s="379"/>
      <c r="LVQ519" s="379"/>
      <c r="LVR519" s="379"/>
      <c r="LVS519" s="13"/>
      <c r="LVT519" s="13"/>
      <c r="LVU519" s="193"/>
      <c r="LVV519" s="379"/>
      <c r="LVW519" s="379"/>
      <c r="LVX519" s="379"/>
      <c r="LVY519" s="379"/>
      <c r="LVZ519" s="379"/>
      <c r="LWA519" s="13"/>
      <c r="LWB519" s="13"/>
      <c r="LWC519" s="193"/>
      <c r="LWD519" s="379"/>
      <c r="LWE519" s="379"/>
      <c r="LWF519" s="379"/>
      <c r="LWG519" s="379"/>
      <c r="LWH519" s="379"/>
      <c r="LWI519" s="13"/>
      <c r="LWJ519" s="13"/>
      <c r="LWK519" s="193"/>
      <c r="LWL519" s="379"/>
      <c r="LWM519" s="379"/>
      <c r="LWN519" s="379"/>
      <c r="LWO519" s="379"/>
      <c r="LWP519" s="379"/>
      <c r="LWQ519" s="13"/>
      <c r="LWR519" s="13"/>
      <c r="LWS519" s="193"/>
      <c r="LWT519" s="379"/>
      <c r="LWU519" s="379"/>
      <c r="LWV519" s="379"/>
      <c r="LWW519" s="379"/>
      <c r="LWX519" s="379"/>
      <c r="LWY519" s="13"/>
      <c r="LWZ519" s="13"/>
      <c r="LXA519" s="193"/>
      <c r="LXB519" s="379"/>
      <c r="LXC519" s="379"/>
      <c r="LXD519" s="379"/>
      <c r="LXE519" s="379"/>
      <c r="LXF519" s="379"/>
      <c r="LXG519" s="13"/>
      <c r="LXH519" s="13"/>
      <c r="LXI519" s="193"/>
      <c r="LXJ519" s="379"/>
      <c r="LXK519" s="379"/>
      <c r="LXL519" s="379"/>
      <c r="LXM519" s="379"/>
      <c r="LXN519" s="379"/>
      <c r="LXO519" s="13"/>
      <c r="LXP519" s="13"/>
      <c r="LXQ519" s="193"/>
      <c r="LXR519" s="379"/>
      <c r="LXS519" s="379"/>
      <c r="LXT519" s="379"/>
      <c r="LXU519" s="379"/>
      <c r="LXV519" s="379"/>
      <c r="LXW519" s="13"/>
      <c r="LXX519" s="13"/>
      <c r="LXY519" s="193"/>
      <c r="LXZ519" s="379"/>
      <c r="LYA519" s="379"/>
      <c r="LYB519" s="379"/>
      <c r="LYC519" s="379"/>
      <c r="LYD519" s="379"/>
      <c r="LYE519" s="13"/>
      <c r="LYF519" s="13"/>
      <c r="LYG519" s="193"/>
      <c r="LYH519" s="379"/>
      <c r="LYI519" s="379"/>
      <c r="LYJ519" s="379"/>
      <c r="LYK519" s="379"/>
      <c r="LYL519" s="379"/>
      <c r="LYM519" s="13"/>
      <c r="LYN519" s="13"/>
      <c r="LYO519" s="193"/>
      <c r="LYP519" s="379"/>
      <c r="LYQ519" s="379"/>
      <c r="LYR519" s="379"/>
      <c r="LYS519" s="379"/>
      <c r="LYT519" s="379"/>
      <c r="LYU519" s="13"/>
      <c r="LYV519" s="13"/>
      <c r="LYW519" s="193"/>
      <c r="LYX519" s="379"/>
      <c r="LYY519" s="379"/>
      <c r="LYZ519" s="379"/>
      <c r="LZA519" s="379"/>
      <c r="LZB519" s="379"/>
      <c r="LZC519" s="13"/>
      <c r="LZD519" s="13"/>
      <c r="LZE519" s="193"/>
      <c r="LZF519" s="379"/>
      <c r="LZG519" s="379"/>
      <c r="LZH519" s="379"/>
      <c r="LZI519" s="379"/>
      <c r="LZJ519" s="379"/>
      <c r="LZK519" s="13"/>
      <c r="LZL519" s="13"/>
      <c r="LZM519" s="193"/>
      <c r="LZN519" s="379"/>
      <c r="LZO519" s="379"/>
      <c r="LZP519" s="379"/>
      <c r="LZQ519" s="379"/>
      <c r="LZR519" s="379"/>
      <c r="LZS519" s="13"/>
      <c r="LZT519" s="13"/>
      <c r="LZU519" s="193"/>
      <c r="LZV519" s="379"/>
      <c r="LZW519" s="379"/>
      <c r="LZX519" s="379"/>
      <c r="LZY519" s="379"/>
      <c r="LZZ519" s="379"/>
      <c r="MAA519" s="13"/>
      <c r="MAB519" s="13"/>
      <c r="MAC519" s="193"/>
      <c r="MAD519" s="379"/>
      <c r="MAE519" s="379"/>
      <c r="MAF519" s="379"/>
      <c r="MAG519" s="379"/>
      <c r="MAH519" s="379"/>
      <c r="MAI519" s="13"/>
      <c r="MAJ519" s="13"/>
      <c r="MAK519" s="193"/>
      <c r="MAL519" s="379"/>
      <c r="MAM519" s="379"/>
      <c r="MAN519" s="379"/>
      <c r="MAO519" s="379"/>
      <c r="MAP519" s="379"/>
      <c r="MAQ519" s="13"/>
      <c r="MAR519" s="13"/>
      <c r="MAS519" s="193"/>
      <c r="MAT519" s="379"/>
      <c r="MAU519" s="379"/>
      <c r="MAV519" s="379"/>
      <c r="MAW519" s="379"/>
      <c r="MAX519" s="379"/>
      <c r="MAY519" s="13"/>
      <c r="MAZ519" s="13"/>
      <c r="MBA519" s="193"/>
      <c r="MBB519" s="379"/>
      <c r="MBC519" s="379"/>
      <c r="MBD519" s="379"/>
      <c r="MBE519" s="379"/>
      <c r="MBF519" s="379"/>
      <c r="MBG519" s="13"/>
      <c r="MBH519" s="13"/>
      <c r="MBI519" s="193"/>
      <c r="MBJ519" s="379"/>
      <c r="MBK519" s="379"/>
      <c r="MBL519" s="379"/>
      <c r="MBM519" s="379"/>
      <c r="MBN519" s="379"/>
      <c r="MBO519" s="13"/>
      <c r="MBP519" s="13"/>
      <c r="MBQ519" s="193"/>
      <c r="MBR519" s="379"/>
      <c r="MBS519" s="379"/>
      <c r="MBT519" s="379"/>
      <c r="MBU519" s="379"/>
      <c r="MBV519" s="379"/>
      <c r="MBW519" s="13"/>
      <c r="MBX519" s="13"/>
      <c r="MBY519" s="193"/>
      <c r="MBZ519" s="379"/>
      <c r="MCA519" s="379"/>
      <c r="MCB519" s="379"/>
      <c r="MCC519" s="379"/>
      <c r="MCD519" s="379"/>
      <c r="MCE519" s="13"/>
      <c r="MCF519" s="13"/>
      <c r="MCG519" s="193"/>
      <c r="MCH519" s="379"/>
      <c r="MCI519" s="379"/>
      <c r="MCJ519" s="379"/>
      <c r="MCK519" s="379"/>
      <c r="MCL519" s="379"/>
      <c r="MCM519" s="13"/>
      <c r="MCN519" s="13"/>
      <c r="MCO519" s="193"/>
      <c r="MCP519" s="379"/>
      <c r="MCQ519" s="379"/>
      <c r="MCR519" s="379"/>
      <c r="MCS519" s="379"/>
      <c r="MCT519" s="379"/>
      <c r="MCU519" s="13"/>
      <c r="MCV519" s="13"/>
      <c r="MCW519" s="193"/>
      <c r="MCX519" s="379"/>
      <c r="MCY519" s="379"/>
      <c r="MCZ519" s="379"/>
      <c r="MDA519" s="379"/>
      <c r="MDB519" s="379"/>
      <c r="MDC519" s="13"/>
      <c r="MDD519" s="13"/>
      <c r="MDE519" s="193"/>
      <c r="MDF519" s="379"/>
      <c r="MDG519" s="379"/>
      <c r="MDH519" s="379"/>
      <c r="MDI519" s="379"/>
      <c r="MDJ519" s="379"/>
      <c r="MDK519" s="13"/>
      <c r="MDL519" s="13"/>
      <c r="MDM519" s="193"/>
      <c r="MDN519" s="379"/>
      <c r="MDO519" s="379"/>
      <c r="MDP519" s="379"/>
      <c r="MDQ519" s="379"/>
      <c r="MDR519" s="379"/>
      <c r="MDS519" s="13"/>
      <c r="MDT519" s="13"/>
      <c r="MDU519" s="193"/>
      <c r="MDV519" s="379"/>
      <c r="MDW519" s="379"/>
      <c r="MDX519" s="379"/>
      <c r="MDY519" s="379"/>
      <c r="MDZ519" s="379"/>
      <c r="MEA519" s="13"/>
      <c r="MEB519" s="13"/>
      <c r="MEC519" s="193"/>
      <c r="MED519" s="379"/>
      <c r="MEE519" s="379"/>
      <c r="MEF519" s="379"/>
      <c r="MEG519" s="379"/>
      <c r="MEH519" s="379"/>
      <c r="MEI519" s="13"/>
      <c r="MEJ519" s="13"/>
      <c r="MEK519" s="193"/>
      <c r="MEL519" s="379"/>
      <c r="MEM519" s="379"/>
      <c r="MEN519" s="379"/>
      <c r="MEO519" s="379"/>
      <c r="MEP519" s="379"/>
      <c r="MEQ519" s="13"/>
      <c r="MER519" s="13"/>
      <c r="MES519" s="193"/>
      <c r="MET519" s="379"/>
      <c r="MEU519" s="379"/>
      <c r="MEV519" s="379"/>
      <c r="MEW519" s="379"/>
      <c r="MEX519" s="379"/>
      <c r="MEY519" s="13"/>
      <c r="MEZ519" s="13"/>
      <c r="MFA519" s="193"/>
      <c r="MFB519" s="379"/>
      <c r="MFC519" s="379"/>
      <c r="MFD519" s="379"/>
      <c r="MFE519" s="379"/>
      <c r="MFF519" s="379"/>
      <c r="MFG519" s="13"/>
      <c r="MFH519" s="13"/>
      <c r="MFI519" s="193"/>
      <c r="MFJ519" s="379"/>
      <c r="MFK519" s="379"/>
      <c r="MFL519" s="379"/>
      <c r="MFM519" s="379"/>
      <c r="MFN519" s="379"/>
      <c r="MFO519" s="13"/>
      <c r="MFP519" s="13"/>
      <c r="MFQ519" s="193"/>
      <c r="MFR519" s="379"/>
      <c r="MFS519" s="379"/>
      <c r="MFT519" s="379"/>
      <c r="MFU519" s="379"/>
      <c r="MFV519" s="379"/>
      <c r="MFW519" s="13"/>
      <c r="MFX519" s="13"/>
      <c r="MFY519" s="193"/>
      <c r="MFZ519" s="379"/>
      <c r="MGA519" s="379"/>
      <c r="MGB519" s="379"/>
      <c r="MGC519" s="379"/>
      <c r="MGD519" s="379"/>
      <c r="MGE519" s="13"/>
      <c r="MGF519" s="13"/>
      <c r="MGG519" s="193"/>
      <c r="MGH519" s="379"/>
      <c r="MGI519" s="379"/>
      <c r="MGJ519" s="379"/>
      <c r="MGK519" s="379"/>
      <c r="MGL519" s="379"/>
      <c r="MGM519" s="13"/>
      <c r="MGN519" s="13"/>
      <c r="MGO519" s="193"/>
      <c r="MGP519" s="379"/>
      <c r="MGQ519" s="379"/>
      <c r="MGR519" s="379"/>
      <c r="MGS519" s="379"/>
      <c r="MGT519" s="379"/>
      <c r="MGU519" s="13"/>
      <c r="MGV519" s="13"/>
      <c r="MGW519" s="193"/>
      <c r="MGX519" s="379"/>
      <c r="MGY519" s="379"/>
      <c r="MGZ519" s="379"/>
      <c r="MHA519" s="379"/>
      <c r="MHB519" s="379"/>
      <c r="MHC519" s="13"/>
      <c r="MHD519" s="13"/>
      <c r="MHE519" s="193"/>
      <c r="MHF519" s="379"/>
      <c r="MHG519" s="379"/>
      <c r="MHH519" s="379"/>
      <c r="MHI519" s="379"/>
      <c r="MHJ519" s="379"/>
      <c r="MHK519" s="13"/>
      <c r="MHL519" s="13"/>
      <c r="MHM519" s="193"/>
      <c r="MHN519" s="379"/>
      <c r="MHO519" s="379"/>
      <c r="MHP519" s="379"/>
      <c r="MHQ519" s="379"/>
      <c r="MHR519" s="379"/>
      <c r="MHS519" s="13"/>
      <c r="MHT519" s="13"/>
      <c r="MHU519" s="193"/>
      <c r="MHV519" s="379"/>
      <c r="MHW519" s="379"/>
      <c r="MHX519" s="379"/>
      <c r="MHY519" s="379"/>
      <c r="MHZ519" s="379"/>
      <c r="MIA519" s="13"/>
      <c r="MIB519" s="13"/>
      <c r="MIC519" s="193"/>
      <c r="MID519" s="379"/>
      <c r="MIE519" s="379"/>
      <c r="MIF519" s="379"/>
      <c r="MIG519" s="379"/>
      <c r="MIH519" s="379"/>
      <c r="MII519" s="13"/>
      <c r="MIJ519" s="13"/>
      <c r="MIK519" s="193"/>
      <c r="MIL519" s="379"/>
      <c r="MIM519" s="379"/>
      <c r="MIN519" s="379"/>
      <c r="MIO519" s="379"/>
      <c r="MIP519" s="379"/>
      <c r="MIQ519" s="13"/>
      <c r="MIR519" s="13"/>
      <c r="MIS519" s="193"/>
      <c r="MIT519" s="379"/>
      <c r="MIU519" s="379"/>
      <c r="MIV519" s="379"/>
      <c r="MIW519" s="379"/>
      <c r="MIX519" s="379"/>
      <c r="MIY519" s="13"/>
      <c r="MIZ519" s="13"/>
      <c r="MJA519" s="193"/>
      <c r="MJB519" s="379"/>
      <c r="MJC519" s="379"/>
      <c r="MJD519" s="379"/>
      <c r="MJE519" s="379"/>
      <c r="MJF519" s="379"/>
      <c r="MJG519" s="13"/>
      <c r="MJH519" s="13"/>
      <c r="MJI519" s="193"/>
      <c r="MJJ519" s="379"/>
      <c r="MJK519" s="379"/>
      <c r="MJL519" s="379"/>
      <c r="MJM519" s="379"/>
      <c r="MJN519" s="379"/>
      <c r="MJO519" s="13"/>
      <c r="MJP519" s="13"/>
      <c r="MJQ519" s="193"/>
      <c r="MJR519" s="379"/>
      <c r="MJS519" s="379"/>
      <c r="MJT519" s="379"/>
      <c r="MJU519" s="379"/>
      <c r="MJV519" s="379"/>
      <c r="MJW519" s="13"/>
      <c r="MJX519" s="13"/>
      <c r="MJY519" s="193"/>
      <c r="MJZ519" s="379"/>
      <c r="MKA519" s="379"/>
      <c r="MKB519" s="379"/>
      <c r="MKC519" s="379"/>
      <c r="MKD519" s="379"/>
      <c r="MKE519" s="13"/>
      <c r="MKF519" s="13"/>
      <c r="MKG519" s="193"/>
      <c r="MKH519" s="379"/>
      <c r="MKI519" s="379"/>
      <c r="MKJ519" s="379"/>
      <c r="MKK519" s="379"/>
      <c r="MKL519" s="379"/>
      <c r="MKM519" s="13"/>
      <c r="MKN519" s="13"/>
      <c r="MKO519" s="193"/>
      <c r="MKP519" s="379"/>
      <c r="MKQ519" s="379"/>
      <c r="MKR519" s="379"/>
      <c r="MKS519" s="379"/>
      <c r="MKT519" s="379"/>
      <c r="MKU519" s="13"/>
      <c r="MKV519" s="13"/>
      <c r="MKW519" s="193"/>
      <c r="MKX519" s="379"/>
      <c r="MKY519" s="379"/>
      <c r="MKZ519" s="379"/>
      <c r="MLA519" s="379"/>
      <c r="MLB519" s="379"/>
      <c r="MLC519" s="13"/>
      <c r="MLD519" s="13"/>
      <c r="MLE519" s="193"/>
      <c r="MLF519" s="379"/>
      <c r="MLG519" s="379"/>
      <c r="MLH519" s="379"/>
      <c r="MLI519" s="379"/>
      <c r="MLJ519" s="379"/>
      <c r="MLK519" s="13"/>
      <c r="MLL519" s="13"/>
      <c r="MLM519" s="193"/>
      <c r="MLN519" s="379"/>
      <c r="MLO519" s="379"/>
      <c r="MLP519" s="379"/>
      <c r="MLQ519" s="379"/>
      <c r="MLR519" s="379"/>
      <c r="MLS519" s="13"/>
      <c r="MLT519" s="13"/>
      <c r="MLU519" s="193"/>
      <c r="MLV519" s="379"/>
      <c r="MLW519" s="379"/>
      <c r="MLX519" s="379"/>
      <c r="MLY519" s="379"/>
      <c r="MLZ519" s="379"/>
      <c r="MMA519" s="13"/>
      <c r="MMB519" s="13"/>
      <c r="MMC519" s="193"/>
      <c r="MMD519" s="379"/>
      <c r="MME519" s="379"/>
      <c r="MMF519" s="379"/>
      <c r="MMG519" s="379"/>
      <c r="MMH519" s="379"/>
      <c r="MMI519" s="13"/>
      <c r="MMJ519" s="13"/>
      <c r="MMK519" s="193"/>
      <c r="MML519" s="379"/>
      <c r="MMM519" s="379"/>
      <c r="MMN519" s="379"/>
      <c r="MMO519" s="379"/>
      <c r="MMP519" s="379"/>
      <c r="MMQ519" s="13"/>
      <c r="MMR519" s="13"/>
      <c r="MMS519" s="193"/>
      <c r="MMT519" s="379"/>
      <c r="MMU519" s="379"/>
      <c r="MMV519" s="379"/>
      <c r="MMW519" s="379"/>
      <c r="MMX519" s="379"/>
      <c r="MMY519" s="13"/>
      <c r="MMZ519" s="13"/>
      <c r="MNA519" s="193"/>
      <c r="MNB519" s="379"/>
      <c r="MNC519" s="379"/>
      <c r="MND519" s="379"/>
      <c r="MNE519" s="379"/>
      <c r="MNF519" s="379"/>
      <c r="MNG519" s="13"/>
      <c r="MNH519" s="13"/>
      <c r="MNI519" s="193"/>
      <c r="MNJ519" s="379"/>
      <c r="MNK519" s="379"/>
      <c r="MNL519" s="379"/>
      <c r="MNM519" s="379"/>
      <c r="MNN519" s="379"/>
      <c r="MNO519" s="13"/>
      <c r="MNP519" s="13"/>
      <c r="MNQ519" s="193"/>
      <c r="MNR519" s="379"/>
      <c r="MNS519" s="379"/>
      <c r="MNT519" s="379"/>
      <c r="MNU519" s="379"/>
      <c r="MNV519" s="379"/>
      <c r="MNW519" s="13"/>
      <c r="MNX519" s="13"/>
      <c r="MNY519" s="193"/>
      <c r="MNZ519" s="379"/>
      <c r="MOA519" s="379"/>
      <c r="MOB519" s="379"/>
      <c r="MOC519" s="379"/>
      <c r="MOD519" s="379"/>
      <c r="MOE519" s="13"/>
      <c r="MOF519" s="13"/>
      <c r="MOG519" s="193"/>
      <c r="MOH519" s="379"/>
      <c r="MOI519" s="379"/>
      <c r="MOJ519" s="379"/>
      <c r="MOK519" s="379"/>
      <c r="MOL519" s="379"/>
      <c r="MOM519" s="13"/>
      <c r="MON519" s="13"/>
      <c r="MOO519" s="193"/>
      <c r="MOP519" s="379"/>
      <c r="MOQ519" s="379"/>
      <c r="MOR519" s="379"/>
      <c r="MOS519" s="379"/>
      <c r="MOT519" s="379"/>
      <c r="MOU519" s="13"/>
      <c r="MOV519" s="13"/>
      <c r="MOW519" s="193"/>
      <c r="MOX519" s="379"/>
      <c r="MOY519" s="379"/>
      <c r="MOZ519" s="379"/>
      <c r="MPA519" s="379"/>
      <c r="MPB519" s="379"/>
      <c r="MPC519" s="13"/>
      <c r="MPD519" s="13"/>
      <c r="MPE519" s="193"/>
      <c r="MPF519" s="379"/>
      <c r="MPG519" s="379"/>
      <c r="MPH519" s="379"/>
      <c r="MPI519" s="379"/>
      <c r="MPJ519" s="379"/>
      <c r="MPK519" s="13"/>
      <c r="MPL519" s="13"/>
      <c r="MPM519" s="193"/>
      <c r="MPN519" s="379"/>
      <c r="MPO519" s="379"/>
      <c r="MPP519" s="379"/>
      <c r="MPQ519" s="379"/>
      <c r="MPR519" s="379"/>
      <c r="MPS519" s="13"/>
      <c r="MPT519" s="13"/>
      <c r="MPU519" s="193"/>
      <c r="MPV519" s="379"/>
      <c r="MPW519" s="379"/>
      <c r="MPX519" s="379"/>
      <c r="MPY519" s="379"/>
      <c r="MPZ519" s="379"/>
      <c r="MQA519" s="13"/>
      <c r="MQB519" s="13"/>
      <c r="MQC519" s="193"/>
      <c r="MQD519" s="379"/>
      <c r="MQE519" s="379"/>
      <c r="MQF519" s="379"/>
      <c r="MQG519" s="379"/>
      <c r="MQH519" s="379"/>
      <c r="MQI519" s="13"/>
      <c r="MQJ519" s="13"/>
      <c r="MQK519" s="193"/>
      <c r="MQL519" s="379"/>
      <c r="MQM519" s="379"/>
      <c r="MQN519" s="379"/>
      <c r="MQO519" s="379"/>
      <c r="MQP519" s="379"/>
      <c r="MQQ519" s="13"/>
      <c r="MQR519" s="13"/>
      <c r="MQS519" s="193"/>
      <c r="MQT519" s="379"/>
      <c r="MQU519" s="379"/>
      <c r="MQV519" s="379"/>
      <c r="MQW519" s="379"/>
      <c r="MQX519" s="379"/>
      <c r="MQY519" s="13"/>
      <c r="MQZ519" s="13"/>
      <c r="MRA519" s="193"/>
      <c r="MRB519" s="379"/>
      <c r="MRC519" s="379"/>
      <c r="MRD519" s="379"/>
      <c r="MRE519" s="379"/>
      <c r="MRF519" s="379"/>
      <c r="MRG519" s="13"/>
      <c r="MRH519" s="13"/>
      <c r="MRI519" s="193"/>
      <c r="MRJ519" s="379"/>
      <c r="MRK519" s="379"/>
      <c r="MRL519" s="379"/>
      <c r="MRM519" s="379"/>
      <c r="MRN519" s="379"/>
      <c r="MRO519" s="13"/>
      <c r="MRP519" s="13"/>
      <c r="MRQ519" s="193"/>
      <c r="MRR519" s="379"/>
      <c r="MRS519" s="379"/>
      <c r="MRT519" s="379"/>
      <c r="MRU519" s="379"/>
      <c r="MRV519" s="379"/>
      <c r="MRW519" s="13"/>
      <c r="MRX519" s="13"/>
      <c r="MRY519" s="193"/>
      <c r="MRZ519" s="379"/>
      <c r="MSA519" s="379"/>
      <c r="MSB519" s="379"/>
      <c r="MSC519" s="379"/>
      <c r="MSD519" s="379"/>
      <c r="MSE519" s="13"/>
      <c r="MSF519" s="13"/>
      <c r="MSG519" s="193"/>
      <c r="MSH519" s="379"/>
      <c r="MSI519" s="379"/>
      <c r="MSJ519" s="379"/>
      <c r="MSK519" s="379"/>
      <c r="MSL519" s="379"/>
      <c r="MSM519" s="13"/>
      <c r="MSN519" s="13"/>
      <c r="MSO519" s="193"/>
      <c r="MSP519" s="379"/>
      <c r="MSQ519" s="379"/>
      <c r="MSR519" s="379"/>
      <c r="MSS519" s="379"/>
      <c r="MST519" s="379"/>
      <c r="MSU519" s="13"/>
      <c r="MSV519" s="13"/>
      <c r="MSW519" s="193"/>
      <c r="MSX519" s="379"/>
      <c r="MSY519" s="379"/>
      <c r="MSZ519" s="379"/>
      <c r="MTA519" s="379"/>
      <c r="MTB519" s="379"/>
      <c r="MTC519" s="13"/>
      <c r="MTD519" s="13"/>
      <c r="MTE519" s="193"/>
      <c r="MTF519" s="379"/>
      <c r="MTG519" s="379"/>
      <c r="MTH519" s="379"/>
      <c r="MTI519" s="379"/>
      <c r="MTJ519" s="379"/>
      <c r="MTK519" s="13"/>
      <c r="MTL519" s="13"/>
      <c r="MTM519" s="193"/>
      <c r="MTN519" s="379"/>
      <c r="MTO519" s="379"/>
      <c r="MTP519" s="379"/>
      <c r="MTQ519" s="379"/>
      <c r="MTR519" s="379"/>
      <c r="MTS519" s="13"/>
      <c r="MTT519" s="13"/>
      <c r="MTU519" s="193"/>
      <c r="MTV519" s="379"/>
      <c r="MTW519" s="379"/>
      <c r="MTX519" s="379"/>
      <c r="MTY519" s="379"/>
      <c r="MTZ519" s="379"/>
      <c r="MUA519" s="13"/>
      <c r="MUB519" s="13"/>
      <c r="MUC519" s="193"/>
      <c r="MUD519" s="379"/>
      <c r="MUE519" s="379"/>
      <c r="MUF519" s="379"/>
      <c r="MUG519" s="379"/>
      <c r="MUH519" s="379"/>
      <c r="MUI519" s="13"/>
      <c r="MUJ519" s="13"/>
      <c r="MUK519" s="193"/>
      <c r="MUL519" s="379"/>
      <c r="MUM519" s="379"/>
      <c r="MUN519" s="379"/>
      <c r="MUO519" s="379"/>
      <c r="MUP519" s="379"/>
      <c r="MUQ519" s="13"/>
      <c r="MUR519" s="13"/>
      <c r="MUS519" s="193"/>
      <c r="MUT519" s="379"/>
      <c r="MUU519" s="379"/>
      <c r="MUV519" s="379"/>
      <c r="MUW519" s="379"/>
      <c r="MUX519" s="379"/>
      <c r="MUY519" s="13"/>
      <c r="MUZ519" s="13"/>
      <c r="MVA519" s="193"/>
      <c r="MVB519" s="379"/>
      <c r="MVC519" s="379"/>
      <c r="MVD519" s="379"/>
      <c r="MVE519" s="379"/>
      <c r="MVF519" s="379"/>
      <c r="MVG519" s="13"/>
      <c r="MVH519" s="13"/>
      <c r="MVI519" s="193"/>
      <c r="MVJ519" s="379"/>
      <c r="MVK519" s="379"/>
      <c r="MVL519" s="379"/>
      <c r="MVM519" s="379"/>
      <c r="MVN519" s="379"/>
      <c r="MVO519" s="13"/>
      <c r="MVP519" s="13"/>
      <c r="MVQ519" s="193"/>
      <c r="MVR519" s="379"/>
      <c r="MVS519" s="379"/>
      <c r="MVT519" s="379"/>
      <c r="MVU519" s="379"/>
      <c r="MVV519" s="379"/>
      <c r="MVW519" s="13"/>
      <c r="MVX519" s="13"/>
      <c r="MVY519" s="193"/>
      <c r="MVZ519" s="379"/>
      <c r="MWA519" s="379"/>
      <c r="MWB519" s="379"/>
      <c r="MWC519" s="379"/>
      <c r="MWD519" s="379"/>
      <c r="MWE519" s="13"/>
      <c r="MWF519" s="13"/>
      <c r="MWG519" s="193"/>
      <c r="MWH519" s="379"/>
      <c r="MWI519" s="379"/>
      <c r="MWJ519" s="379"/>
      <c r="MWK519" s="379"/>
      <c r="MWL519" s="379"/>
      <c r="MWM519" s="13"/>
      <c r="MWN519" s="13"/>
      <c r="MWO519" s="193"/>
      <c r="MWP519" s="379"/>
      <c r="MWQ519" s="379"/>
      <c r="MWR519" s="379"/>
      <c r="MWS519" s="379"/>
      <c r="MWT519" s="379"/>
      <c r="MWU519" s="13"/>
      <c r="MWV519" s="13"/>
      <c r="MWW519" s="193"/>
      <c r="MWX519" s="379"/>
      <c r="MWY519" s="379"/>
      <c r="MWZ519" s="379"/>
      <c r="MXA519" s="379"/>
      <c r="MXB519" s="379"/>
      <c r="MXC519" s="13"/>
      <c r="MXD519" s="13"/>
      <c r="MXE519" s="193"/>
      <c r="MXF519" s="379"/>
      <c r="MXG519" s="379"/>
      <c r="MXH519" s="379"/>
      <c r="MXI519" s="379"/>
      <c r="MXJ519" s="379"/>
      <c r="MXK519" s="13"/>
      <c r="MXL519" s="13"/>
      <c r="MXM519" s="193"/>
      <c r="MXN519" s="379"/>
      <c r="MXO519" s="379"/>
      <c r="MXP519" s="379"/>
      <c r="MXQ519" s="379"/>
      <c r="MXR519" s="379"/>
      <c r="MXS519" s="13"/>
      <c r="MXT519" s="13"/>
      <c r="MXU519" s="193"/>
      <c r="MXV519" s="379"/>
      <c r="MXW519" s="379"/>
      <c r="MXX519" s="379"/>
      <c r="MXY519" s="379"/>
      <c r="MXZ519" s="379"/>
      <c r="MYA519" s="13"/>
      <c r="MYB519" s="13"/>
      <c r="MYC519" s="193"/>
      <c r="MYD519" s="379"/>
      <c r="MYE519" s="379"/>
      <c r="MYF519" s="379"/>
      <c r="MYG519" s="379"/>
      <c r="MYH519" s="379"/>
      <c r="MYI519" s="13"/>
      <c r="MYJ519" s="13"/>
      <c r="MYK519" s="193"/>
      <c r="MYL519" s="379"/>
      <c r="MYM519" s="379"/>
      <c r="MYN519" s="379"/>
      <c r="MYO519" s="379"/>
      <c r="MYP519" s="379"/>
      <c r="MYQ519" s="13"/>
      <c r="MYR519" s="13"/>
      <c r="MYS519" s="193"/>
      <c r="MYT519" s="379"/>
      <c r="MYU519" s="379"/>
      <c r="MYV519" s="379"/>
      <c r="MYW519" s="379"/>
      <c r="MYX519" s="379"/>
      <c r="MYY519" s="13"/>
      <c r="MYZ519" s="13"/>
      <c r="MZA519" s="193"/>
      <c r="MZB519" s="379"/>
      <c r="MZC519" s="379"/>
      <c r="MZD519" s="379"/>
      <c r="MZE519" s="379"/>
      <c r="MZF519" s="379"/>
      <c r="MZG519" s="13"/>
      <c r="MZH519" s="13"/>
      <c r="MZI519" s="193"/>
      <c r="MZJ519" s="379"/>
      <c r="MZK519" s="379"/>
      <c r="MZL519" s="379"/>
      <c r="MZM519" s="379"/>
      <c r="MZN519" s="379"/>
      <c r="MZO519" s="13"/>
      <c r="MZP519" s="13"/>
      <c r="MZQ519" s="193"/>
      <c r="MZR519" s="379"/>
      <c r="MZS519" s="379"/>
      <c r="MZT519" s="379"/>
      <c r="MZU519" s="379"/>
      <c r="MZV519" s="379"/>
      <c r="MZW519" s="13"/>
      <c r="MZX519" s="13"/>
      <c r="MZY519" s="193"/>
      <c r="MZZ519" s="379"/>
      <c r="NAA519" s="379"/>
      <c r="NAB519" s="379"/>
      <c r="NAC519" s="379"/>
      <c r="NAD519" s="379"/>
      <c r="NAE519" s="13"/>
      <c r="NAF519" s="13"/>
      <c r="NAG519" s="193"/>
      <c r="NAH519" s="379"/>
      <c r="NAI519" s="379"/>
      <c r="NAJ519" s="379"/>
      <c r="NAK519" s="379"/>
      <c r="NAL519" s="379"/>
      <c r="NAM519" s="13"/>
      <c r="NAN519" s="13"/>
      <c r="NAO519" s="193"/>
      <c r="NAP519" s="379"/>
      <c r="NAQ519" s="379"/>
      <c r="NAR519" s="379"/>
      <c r="NAS519" s="379"/>
      <c r="NAT519" s="379"/>
      <c r="NAU519" s="13"/>
      <c r="NAV519" s="13"/>
      <c r="NAW519" s="193"/>
      <c r="NAX519" s="379"/>
      <c r="NAY519" s="379"/>
      <c r="NAZ519" s="379"/>
      <c r="NBA519" s="379"/>
      <c r="NBB519" s="379"/>
      <c r="NBC519" s="13"/>
      <c r="NBD519" s="13"/>
      <c r="NBE519" s="193"/>
      <c r="NBF519" s="379"/>
      <c r="NBG519" s="379"/>
      <c r="NBH519" s="379"/>
      <c r="NBI519" s="379"/>
      <c r="NBJ519" s="379"/>
      <c r="NBK519" s="13"/>
      <c r="NBL519" s="13"/>
      <c r="NBM519" s="193"/>
      <c r="NBN519" s="379"/>
      <c r="NBO519" s="379"/>
      <c r="NBP519" s="379"/>
      <c r="NBQ519" s="379"/>
      <c r="NBR519" s="379"/>
      <c r="NBS519" s="13"/>
      <c r="NBT519" s="13"/>
      <c r="NBU519" s="193"/>
      <c r="NBV519" s="379"/>
      <c r="NBW519" s="379"/>
      <c r="NBX519" s="379"/>
      <c r="NBY519" s="379"/>
      <c r="NBZ519" s="379"/>
      <c r="NCA519" s="13"/>
      <c r="NCB519" s="13"/>
      <c r="NCC519" s="193"/>
      <c r="NCD519" s="379"/>
      <c r="NCE519" s="379"/>
      <c r="NCF519" s="379"/>
      <c r="NCG519" s="379"/>
      <c r="NCH519" s="379"/>
      <c r="NCI519" s="13"/>
      <c r="NCJ519" s="13"/>
      <c r="NCK519" s="193"/>
      <c r="NCL519" s="379"/>
      <c r="NCM519" s="379"/>
      <c r="NCN519" s="379"/>
      <c r="NCO519" s="379"/>
      <c r="NCP519" s="379"/>
      <c r="NCQ519" s="13"/>
      <c r="NCR519" s="13"/>
      <c r="NCS519" s="193"/>
      <c r="NCT519" s="379"/>
      <c r="NCU519" s="379"/>
      <c r="NCV519" s="379"/>
      <c r="NCW519" s="379"/>
      <c r="NCX519" s="379"/>
      <c r="NCY519" s="13"/>
      <c r="NCZ519" s="13"/>
      <c r="NDA519" s="193"/>
      <c r="NDB519" s="379"/>
      <c r="NDC519" s="379"/>
      <c r="NDD519" s="379"/>
      <c r="NDE519" s="379"/>
      <c r="NDF519" s="379"/>
      <c r="NDG519" s="13"/>
      <c r="NDH519" s="13"/>
      <c r="NDI519" s="193"/>
      <c r="NDJ519" s="379"/>
      <c r="NDK519" s="379"/>
      <c r="NDL519" s="379"/>
      <c r="NDM519" s="379"/>
      <c r="NDN519" s="379"/>
      <c r="NDO519" s="13"/>
      <c r="NDP519" s="13"/>
      <c r="NDQ519" s="193"/>
      <c r="NDR519" s="379"/>
      <c r="NDS519" s="379"/>
      <c r="NDT519" s="379"/>
      <c r="NDU519" s="379"/>
      <c r="NDV519" s="379"/>
      <c r="NDW519" s="13"/>
      <c r="NDX519" s="13"/>
      <c r="NDY519" s="193"/>
      <c r="NDZ519" s="379"/>
      <c r="NEA519" s="379"/>
      <c r="NEB519" s="379"/>
      <c r="NEC519" s="379"/>
      <c r="NED519" s="379"/>
      <c r="NEE519" s="13"/>
      <c r="NEF519" s="13"/>
      <c r="NEG519" s="193"/>
      <c r="NEH519" s="379"/>
      <c r="NEI519" s="379"/>
      <c r="NEJ519" s="379"/>
      <c r="NEK519" s="379"/>
      <c r="NEL519" s="379"/>
      <c r="NEM519" s="13"/>
      <c r="NEN519" s="13"/>
      <c r="NEO519" s="193"/>
      <c r="NEP519" s="379"/>
      <c r="NEQ519" s="379"/>
      <c r="NER519" s="379"/>
      <c r="NES519" s="379"/>
      <c r="NET519" s="379"/>
      <c r="NEU519" s="13"/>
      <c r="NEV519" s="13"/>
      <c r="NEW519" s="193"/>
      <c r="NEX519" s="379"/>
      <c r="NEY519" s="379"/>
      <c r="NEZ519" s="379"/>
      <c r="NFA519" s="379"/>
      <c r="NFB519" s="379"/>
      <c r="NFC519" s="13"/>
      <c r="NFD519" s="13"/>
      <c r="NFE519" s="193"/>
      <c r="NFF519" s="379"/>
      <c r="NFG519" s="379"/>
      <c r="NFH519" s="379"/>
      <c r="NFI519" s="379"/>
      <c r="NFJ519" s="379"/>
      <c r="NFK519" s="13"/>
      <c r="NFL519" s="13"/>
      <c r="NFM519" s="193"/>
      <c r="NFN519" s="379"/>
      <c r="NFO519" s="379"/>
      <c r="NFP519" s="379"/>
      <c r="NFQ519" s="379"/>
      <c r="NFR519" s="379"/>
      <c r="NFS519" s="13"/>
      <c r="NFT519" s="13"/>
      <c r="NFU519" s="193"/>
      <c r="NFV519" s="379"/>
      <c r="NFW519" s="379"/>
      <c r="NFX519" s="379"/>
      <c r="NFY519" s="379"/>
      <c r="NFZ519" s="379"/>
      <c r="NGA519" s="13"/>
      <c r="NGB519" s="13"/>
      <c r="NGC519" s="193"/>
      <c r="NGD519" s="379"/>
      <c r="NGE519" s="379"/>
      <c r="NGF519" s="379"/>
      <c r="NGG519" s="379"/>
      <c r="NGH519" s="379"/>
      <c r="NGI519" s="13"/>
      <c r="NGJ519" s="13"/>
      <c r="NGK519" s="193"/>
      <c r="NGL519" s="379"/>
      <c r="NGM519" s="379"/>
      <c r="NGN519" s="379"/>
      <c r="NGO519" s="379"/>
      <c r="NGP519" s="379"/>
      <c r="NGQ519" s="13"/>
      <c r="NGR519" s="13"/>
      <c r="NGS519" s="193"/>
      <c r="NGT519" s="379"/>
      <c r="NGU519" s="379"/>
      <c r="NGV519" s="379"/>
      <c r="NGW519" s="379"/>
      <c r="NGX519" s="379"/>
      <c r="NGY519" s="13"/>
      <c r="NGZ519" s="13"/>
      <c r="NHA519" s="193"/>
      <c r="NHB519" s="379"/>
      <c r="NHC519" s="379"/>
      <c r="NHD519" s="379"/>
      <c r="NHE519" s="379"/>
      <c r="NHF519" s="379"/>
      <c r="NHG519" s="13"/>
      <c r="NHH519" s="13"/>
      <c r="NHI519" s="193"/>
      <c r="NHJ519" s="379"/>
      <c r="NHK519" s="379"/>
      <c r="NHL519" s="379"/>
      <c r="NHM519" s="379"/>
      <c r="NHN519" s="379"/>
      <c r="NHO519" s="13"/>
      <c r="NHP519" s="13"/>
      <c r="NHQ519" s="193"/>
      <c r="NHR519" s="379"/>
      <c r="NHS519" s="379"/>
      <c r="NHT519" s="379"/>
      <c r="NHU519" s="379"/>
      <c r="NHV519" s="379"/>
      <c r="NHW519" s="13"/>
      <c r="NHX519" s="13"/>
      <c r="NHY519" s="193"/>
      <c r="NHZ519" s="379"/>
      <c r="NIA519" s="379"/>
      <c r="NIB519" s="379"/>
      <c r="NIC519" s="379"/>
      <c r="NID519" s="379"/>
      <c r="NIE519" s="13"/>
      <c r="NIF519" s="13"/>
      <c r="NIG519" s="193"/>
      <c r="NIH519" s="379"/>
      <c r="NII519" s="379"/>
      <c r="NIJ519" s="379"/>
      <c r="NIK519" s="379"/>
      <c r="NIL519" s="379"/>
      <c r="NIM519" s="13"/>
      <c r="NIN519" s="13"/>
      <c r="NIO519" s="193"/>
      <c r="NIP519" s="379"/>
      <c r="NIQ519" s="379"/>
      <c r="NIR519" s="379"/>
      <c r="NIS519" s="379"/>
      <c r="NIT519" s="379"/>
      <c r="NIU519" s="13"/>
      <c r="NIV519" s="13"/>
      <c r="NIW519" s="193"/>
      <c r="NIX519" s="379"/>
      <c r="NIY519" s="379"/>
      <c r="NIZ519" s="379"/>
      <c r="NJA519" s="379"/>
      <c r="NJB519" s="379"/>
      <c r="NJC519" s="13"/>
      <c r="NJD519" s="13"/>
      <c r="NJE519" s="193"/>
      <c r="NJF519" s="379"/>
      <c r="NJG519" s="379"/>
      <c r="NJH519" s="379"/>
      <c r="NJI519" s="379"/>
      <c r="NJJ519" s="379"/>
      <c r="NJK519" s="13"/>
      <c r="NJL519" s="13"/>
      <c r="NJM519" s="193"/>
      <c r="NJN519" s="379"/>
      <c r="NJO519" s="379"/>
      <c r="NJP519" s="379"/>
      <c r="NJQ519" s="379"/>
      <c r="NJR519" s="379"/>
      <c r="NJS519" s="13"/>
      <c r="NJT519" s="13"/>
      <c r="NJU519" s="193"/>
      <c r="NJV519" s="379"/>
      <c r="NJW519" s="379"/>
      <c r="NJX519" s="379"/>
      <c r="NJY519" s="379"/>
      <c r="NJZ519" s="379"/>
      <c r="NKA519" s="13"/>
      <c r="NKB519" s="13"/>
      <c r="NKC519" s="193"/>
      <c r="NKD519" s="379"/>
      <c r="NKE519" s="379"/>
      <c r="NKF519" s="379"/>
      <c r="NKG519" s="379"/>
      <c r="NKH519" s="379"/>
      <c r="NKI519" s="13"/>
      <c r="NKJ519" s="13"/>
      <c r="NKK519" s="193"/>
      <c r="NKL519" s="379"/>
      <c r="NKM519" s="379"/>
      <c r="NKN519" s="379"/>
      <c r="NKO519" s="379"/>
      <c r="NKP519" s="379"/>
      <c r="NKQ519" s="13"/>
      <c r="NKR519" s="13"/>
      <c r="NKS519" s="193"/>
      <c r="NKT519" s="379"/>
      <c r="NKU519" s="379"/>
      <c r="NKV519" s="379"/>
      <c r="NKW519" s="379"/>
      <c r="NKX519" s="379"/>
      <c r="NKY519" s="13"/>
      <c r="NKZ519" s="13"/>
      <c r="NLA519" s="193"/>
      <c r="NLB519" s="379"/>
      <c r="NLC519" s="379"/>
      <c r="NLD519" s="379"/>
      <c r="NLE519" s="379"/>
      <c r="NLF519" s="379"/>
      <c r="NLG519" s="13"/>
      <c r="NLH519" s="13"/>
      <c r="NLI519" s="193"/>
      <c r="NLJ519" s="379"/>
      <c r="NLK519" s="379"/>
      <c r="NLL519" s="379"/>
      <c r="NLM519" s="379"/>
      <c r="NLN519" s="379"/>
      <c r="NLO519" s="13"/>
      <c r="NLP519" s="13"/>
      <c r="NLQ519" s="193"/>
      <c r="NLR519" s="379"/>
      <c r="NLS519" s="379"/>
      <c r="NLT519" s="379"/>
      <c r="NLU519" s="379"/>
      <c r="NLV519" s="379"/>
      <c r="NLW519" s="13"/>
      <c r="NLX519" s="13"/>
      <c r="NLY519" s="193"/>
      <c r="NLZ519" s="379"/>
      <c r="NMA519" s="379"/>
      <c r="NMB519" s="379"/>
      <c r="NMC519" s="379"/>
      <c r="NMD519" s="379"/>
      <c r="NME519" s="13"/>
      <c r="NMF519" s="13"/>
      <c r="NMG519" s="193"/>
      <c r="NMH519" s="379"/>
      <c r="NMI519" s="379"/>
      <c r="NMJ519" s="379"/>
      <c r="NMK519" s="379"/>
      <c r="NML519" s="379"/>
      <c r="NMM519" s="13"/>
      <c r="NMN519" s="13"/>
      <c r="NMO519" s="193"/>
      <c r="NMP519" s="379"/>
      <c r="NMQ519" s="379"/>
      <c r="NMR519" s="379"/>
      <c r="NMS519" s="379"/>
      <c r="NMT519" s="379"/>
      <c r="NMU519" s="13"/>
      <c r="NMV519" s="13"/>
      <c r="NMW519" s="193"/>
      <c r="NMX519" s="379"/>
      <c r="NMY519" s="379"/>
      <c r="NMZ519" s="379"/>
      <c r="NNA519" s="379"/>
      <c r="NNB519" s="379"/>
      <c r="NNC519" s="13"/>
      <c r="NND519" s="13"/>
      <c r="NNE519" s="193"/>
      <c r="NNF519" s="379"/>
      <c r="NNG519" s="379"/>
      <c r="NNH519" s="379"/>
      <c r="NNI519" s="379"/>
      <c r="NNJ519" s="379"/>
      <c r="NNK519" s="13"/>
      <c r="NNL519" s="13"/>
      <c r="NNM519" s="193"/>
      <c r="NNN519" s="379"/>
      <c r="NNO519" s="379"/>
      <c r="NNP519" s="379"/>
      <c r="NNQ519" s="379"/>
      <c r="NNR519" s="379"/>
      <c r="NNS519" s="13"/>
      <c r="NNT519" s="13"/>
      <c r="NNU519" s="193"/>
      <c r="NNV519" s="379"/>
      <c r="NNW519" s="379"/>
      <c r="NNX519" s="379"/>
      <c r="NNY519" s="379"/>
      <c r="NNZ519" s="379"/>
      <c r="NOA519" s="13"/>
      <c r="NOB519" s="13"/>
      <c r="NOC519" s="193"/>
      <c r="NOD519" s="379"/>
      <c r="NOE519" s="379"/>
      <c r="NOF519" s="379"/>
      <c r="NOG519" s="379"/>
      <c r="NOH519" s="379"/>
      <c r="NOI519" s="13"/>
      <c r="NOJ519" s="13"/>
      <c r="NOK519" s="193"/>
      <c r="NOL519" s="379"/>
      <c r="NOM519" s="379"/>
      <c r="NON519" s="379"/>
      <c r="NOO519" s="379"/>
      <c r="NOP519" s="379"/>
      <c r="NOQ519" s="13"/>
      <c r="NOR519" s="13"/>
      <c r="NOS519" s="193"/>
      <c r="NOT519" s="379"/>
      <c r="NOU519" s="379"/>
      <c r="NOV519" s="379"/>
      <c r="NOW519" s="379"/>
      <c r="NOX519" s="379"/>
      <c r="NOY519" s="13"/>
      <c r="NOZ519" s="13"/>
      <c r="NPA519" s="193"/>
      <c r="NPB519" s="379"/>
      <c r="NPC519" s="379"/>
      <c r="NPD519" s="379"/>
      <c r="NPE519" s="379"/>
      <c r="NPF519" s="379"/>
      <c r="NPG519" s="13"/>
      <c r="NPH519" s="13"/>
      <c r="NPI519" s="193"/>
      <c r="NPJ519" s="379"/>
      <c r="NPK519" s="379"/>
      <c r="NPL519" s="379"/>
      <c r="NPM519" s="379"/>
      <c r="NPN519" s="379"/>
      <c r="NPO519" s="13"/>
      <c r="NPP519" s="13"/>
      <c r="NPQ519" s="193"/>
      <c r="NPR519" s="379"/>
      <c r="NPS519" s="379"/>
      <c r="NPT519" s="379"/>
      <c r="NPU519" s="379"/>
      <c r="NPV519" s="379"/>
      <c r="NPW519" s="13"/>
      <c r="NPX519" s="13"/>
      <c r="NPY519" s="193"/>
      <c r="NPZ519" s="379"/>
      <c r="NQA519" s="379"/>
      <c r="NQB519" s="379"/>
      <c r="NQC519" s="379"/>
      <c r="NQD519" s="379"/>
      <c r="NQE519" s="13"/>
      <c r="NQF519" s="13"/>
      <c r="NQG519" s="193"/>
      <c r="NQH519" s="379"/>
      <c r="NQI519" s="379"/>
      <c r="NQJ519" s="379"/>
      <c r="NQK519" s="379"/>
      <c r="NQL519" s="379"/>
      <c r="NQM519" s="13"/>
      <c r="NQN519" s="13"/>
      <c r="NQO519" s="193"/>
      <c r="NQP519" s="379"/>
      <c r="NQQ519" s="379"/>
      <c r="NQR519" s="379"/>
      <c r="NQS519" s="379"/>
      <c r="NQT519" s="379"/>
      <c r="NQU519" s="13"/>
      <c r="NQV519" s="13"/>
      <c r="NQW519" s="193"/>
      <c r="NQX519" s="379"/>
      <c r="NQY519" s="379"/>
      <c r="NQZ519" s="379"/>
      <c r="NRA519" s="379"/>
      <c r="NRB519" s="379"/>
      <c r="NRC519" s="13"/>
      <c r="NRD519" s="13"/>
      <c r="NRE519" s="193"/>
      <c r="NRF519" s="379"/>
      <c r="NRG519" s="379"/>
      <c r="NRH519" s="379"/>
      <c r="NRI519" s="379"/>
      <c r="NRJ519" s="379"/>
      <c r="NRK519" s="13"/>
      <c r="NRL519" s="13"/>
      <c r="NRM519" s="193"/>
      <c r="NRN519" s="379"/>
      <c r="NRO519" s="379"/>
      <c r="NRP519" s="379"/>
      <c r="NRQ519" s="379"/>
      <c r="NRR519" s="379"/>
      <c r="NRS519" s="13"/>
      <c r="NRT519" s="13"/>
      <c r="NRU519" s="193"/>
      <c r="NRV519" s="379"/>
      <c r="NRW519" s="379"/>
      <c r="NRX519" s="379"/>
      <c r="NRY519" s="379"/>
      <c r="NRZ519" s="379"/>
      <c r="NSA519" s="13"/>
      <c r="NSB519" s="13"/>
      <c r="NSC519" s="193"/>
      <c r="NSD519" s="379"/>
      <c r="NSE519" s="379"/>
      <c r="NSF519" s="379"/>
      <c r="NSG519" s="379"/>
      <c r="NSH519" s="379"/>
      <c r="NSI519" s="13"/>
      <c r="NSJ519" s="13"/>
      <c r="NSK519" s="193"/>
      <c r="NSL519" s="379"/>
      <c r="NSM519" s="379"/>
      <c r="NSN519" s="379"/>
      <c r="NSO519" s="379"/>
      <c r="NSP519" s="379"/>
      <c r="NSQ519" s="13"/>
      <c r="NSR519" s="13"/>
      <c r="NSS519" s="193"/>
      <c r="NST519" s="379"/>
      <c r="NSU519" s="379"/>
      <c r="NSV519" s="379"/>
      <c r="NSW519" s="379"/>
      <c r="NSX519" s="379"/>
      <c r="NSY519" s="13"/>
      <c r="NSZ519" s="13"/>
      <c r="NTA519" s="193"/>
      <c r="NTB519" s="379"/>
      <c r="NTC519" s="379"/>
      <c r="NTD519" s="379"/>
      <c r="NTE519" s="379"/>
      <c r="NTF519" s="379"/>
      <c r="NTG519" s="13"/>
      <c r="NTH519" s="13"/>
      <c r="NTI519" s="193"/>
      <c r="NTJ519" s="379"/>
      <c r="NTK519" s="379"/>
      <c r="NTL519" s="379"/>
      <c r="NTM519" s="379"/>
      <c r="NTN519" s="379"/>
      <c r="NTO519" s="13"/>
      <c r="NTP519" s="13"/>
      <c r="NTQ519" s="193"/>
      <c r="NTR519" s="379"/>
      <c r="NTS519" s="379"/>
      <c r="NTT519" s="379"/>
      <c r="NTU519" s="379"/>
      <c r="NTV519" s="379"/>
      <c r="NTW519" s="13"/>
      <c r="NTX519" s="13"/>
      <c r="NTY519" s="193"/>
      <c r="NTZ519" s="379"/>
      <c r="NUA519" s="379"/>
      <c r="NUB519" s="379"/>
      <c r="NUC519" s="379"/>
      <c r="NUD519" s="379"/>
      <c r="NUE519" s="13"/>
      <c r="NUF519" s="13"/>
      <c r="NUG519" s="193"/>
      <c r="NUH519" s="379"/>
      <c r="NUI519" s="379"/>
      <c r="NUJ519" s="379"/>
      <c r="NUK519" s="379"/>
      <c r="NUL519" s="379"/>
      <c r="NUM519" s="13"/>
      <c r="NUN519" s="13"/>
      <c r="NUO519" s="193"/>
      <c r="NUP519" s="379"/>
      <c r="NUQ519" s="379"/>
      <c r="NUR519" s="379"/>
      <c r="NUS519" s="379"/>
      <c r="NUT519" s="379"/>
      <c r="NUU519" s="13"/>
      <c r="NUV519" s="13"/>
      <c r="NUW519" s="193"/>
      <c r="NUX519" s="379"/>
      <c r="NUY519" s="379"/>
      <c r="NUZ519" s="379"/>
      <c r="NVA519" s="379"/>
      <c r="NVB519" s="379"/>
      <c r="NVC519" s="13"/>
      <c r="NVD519" s="13"/>
      <c r="NVE519" s="193"/>
      <c r="NVF519" s="379"/>
      <c r="NVG519" s="379"/>
      <c r="NVH519" s="379"/>
      <c r="NVI519" s="379"/>
      <c r="NVJ519" s="379"/>
      <c r="NVK519" s="13"/>
      <c r="NVL519" s="13"/>
      <c r="NVM519" s="193"/>
      <c r="NVN519" s="379"/>
      <c r="NVO519" s="379"/>
      <c r="NVP519" s="379"/>
      <c r="NVQ519" s="379"/>
      <c r="NVR519" s="379"/>
      <c r="NVS519" s="13"/>
      <c r="NVT519" s="13"/>
      <c r="NVU519" s="193"/>
      <c r="NVV519" s="379"/>
      <c r="NVW519" s="379"/>
      <c r="NVX519" s="379"/>
      <c r="NVY519" s="379"/>
      <c r="NVZ519" s="379"/>
      <c r="NWA519" s="13"/>
      <c r="NWB519" s="13"/>
      <c r="NWC519" s="193"/>
      <c r="NWD519" s="379"/>
      <c r="NWE519" s="379"/>
      <c r="NWF519" s="379"/>
      <c r="NWG519" s="379"/>
      <c r="NWH519" s="379"/>
      <c r="NWI519" s="13"/>
      <c r="NWJ519" s="13"/>
      <c r="NWK519" s="193"/>
      <c r="NWL519" s="379"/>
      <c r="NWM519" s="379"/>
      <c r="NWN519" s="379"/>
      <c r="NWO519" s="379"/>
      <c r="NWP519" s="379"/>
      <c r="NWQ519" s="13"/>
      <c r="NWR519" s="13"/>
      <c r="NWS519" s="193"/>
      <c r="NWT519" s="379"/>
      <c r="NWU519" s="379"/>
      <c r="NWV519" s="379"/>
      <c r="NWW519" s="379"/>
      <c r="NWX519" s="379"/>
      <c r="NWY519" s="13"/>
      <c r="NWZ519" s="13"/>
      <c r="NXA519" s="193"/>
      <c r="NXB519" s="379"/>
      <c r="NXC519" s="379"/>
      <c r="NXD519" s="379"/>
      <c r="NXE519" s="379"/>
      <c r="NXF519" s="379"/>
      <c r="NXG519" s="13"/>
      <c r="NXH519" s="13"/>
      <c r="NXI519" s="193"/>
      <c r="NXJ519" s="379"/>
      <c r="NXK519" s="379"/>
      <c r="NXL519" s="379"/>
      <c r="NXM519" s="379"/>
      <c r="NXN519" s="379"/>
      <c r="NXO519" s="13"/>
      <c r="NXP519" s="13"/>
      <c r="NXQ519" s="193"/>
      <c r="NXR519" s="379"/>
      <c r="NXS519" s="379"/>
      <c r="NXT519" s="379"/>
      <c r="NXU519" s="379"/>
      <c r="NXV519" s="379"/>
      <c r="NXW519" s="13"/>
      <c r="NXX519" s="13"/>
      <c r="NXY519" s="193"/>
      <c r="NXZ519" s="379"/>
      <c r="NYA519" s="379"/>
      <c r="NYB519" s="379"/>
      <c r="NYC519" s="379"/>
      <c r="NYD519" s="379"/>
      <c r="NYE519" s="13"/>
      <c r="NYF519" s="13"/>
      <c r="NYG519" s="193"/>
      <c r="NYH519" s="379"/>
      <c r="NYI519" s="379"/>
      <c r="NYJ519" s="379"/>
      <c r="NYK519" s="379"/>
      <c r="NYL519" s="379"/>
      <c r="NYM519" s="13"/>
      <c r="NYN519" s="13"/>
      <c r="NYO519" s="193"/>
      <c r="NYP519" s="379"/>
      <c r="NYQ519" s="379"/>
      <c r="NYR519" s="379"/>
      <c r="NYS519" s="379"/>
      <c r="NYT519" s="379"/>
      <c r="NYU519" s="13"/>
      <c r="NYV519" s="13"/>
      <c r="NYW519" s="193"/>
      <c r="NYX519" s="379"/>
      <c r="NYY519" s="379"/>
      <c r="NYZ519" s="379"/>
      <c r="NZA519" s="379"/>
      <c r="NZB519" s="379"/>
      <c r="NZC519" s="13"/>
      <c r="NZD519" s="13"/>
      <c r="NZE519" s="193"/>
      <c r="NZF519" s="379"/>
      <c r="NZG519" s="379"/>
      <c r="NZH519" s="379"/>
      <c r="NZI519" s="379"/>
      <c r="NZJ519" s="379"/>
      <c r="NZK519" s="13"/>
      <c r="NZL519" s="13"/>
      <c r="NZM519" s="193"/>
      <c r="NZN519" s="379"/>
      <c r="NZO519" s="379"/>
      <c r="NZP519" s="379"/>
      <c r="NZQ519" s="379"/>
      <c r="NZR519" s="379"/>
      <c r="NZS519" s="13"/>
      <c r="NZT519" s="13"/>
      <c r="NZU519" s="193"/>
      <c r="NZV519" s="379"/>
      <c r="NZW519" s="379"/>
      <c r="NZX519" s="379"/>
      <c r="NZY519" s="379"/>
      <c r="NZZ519" s="379"/>
      <c r="OAA519" s="13"/>
      <c r="OAB519" s="13"/>
      <c r="OAC519" s="193"/>
      <c r="OAD519" s="379"/>
      <c r="OAE519" s="379"/>
      <c r="OAF519" s="379"/>
      <c r="OAG519" s="379"/>
      <c r="OAH519" s="379"/>
      <c r="OAI519" s="13"/>
      <c r="OAJ519" s="13"/>
      <c r="OAK519" s="193"/>
      <c r="OAL519" s="379"/>
      <c r="OAM519" s="379"/>
      <c r="OAN519" s="379"/>
      <c r="OAO519" s="379"/>
      <c r="OAP519" s="379"/>
      <c r="OAQ519" s="13"/>
      <c r="OAR519" s="13"/>
      <c r="OAS519" s="193"/>
      <c r="OAT519" s="379"/>
      <c r="OAU519" s="379"/>
      <c r="OAV519" s="379"/>
      <c r="OAW519" s="379"/>
      <c r="OAX519" s="379"/>
      <c r="OAY519" s="13"/>
      <c r="OAZ519" s="13"/>
      <c r="OBA519" s="193"/>
      <c r="OBB519" s="379"/>
      <c r="OBC519" s="379"/>
      <c r="OBD519" s="379"/>
      <c r="OBE519" s="379"/>
      <c r="OBF519" s="379"/>
      <c r="OBG519" s="13"/>
      <c r="OBH519" s="13"/>
      <c r="OBI519" s="193"/>
      <c r="OBJ519" s="379"/>
      <c r="OBK519" s="379"/>
      <c r="OBL519" s="379"/>
      <c r="OBM519" s="379"/>
      <c r="OBN519" s="379"/>
      <c r="OBO519" s="13"/>
      <c r="OBP519" s="13"/>
      <c r="OBQ519" s="193"/>
      <c r="OBR519" s="379"/>
      <c r="OBS519" s="379"/>
      <c r="OBT519" s="379"/>
      <c r="OBU519" s="379"/>
      <c r="OBV519" s="379"/>
      <c r="OBW519" s="13"/>
      <c r="OBX519" s="13"/>
      <c r="OBY519" s="193"/>
      <c r="OBZ519" s="379"/>
      <c r="OCA519" s="379"/>
      <c r="OCB519" s="379"/>
      <c r="OCC519" s="379"/>
      <c r="OCD519" s="379"/>
      <c r="OCE519" s="13"/>
      <c r="OCF519" s="13"/>
      <c r="OCG519" s="193"/>
      <c r="OCH519" s="379"/>
      <c r="OCI519" s="379"/>
      <c r="OCJ519" s="379"/>
      <c r="OCK519" s="379"/>
      <c r="OCL519" s="379"/>
      <c r="OCM519" s="13"/>
      <c r="OCN519" s="13"/>
      <c r="OCO519" s="193"/>
      <c r="OCP519" s="379"/>
      <c r="OCQ519" s="379"/>
      <c r="OCR519" s="379"/>
      <c r="OCS519" s="379"/>
      <c r="OCT519" s="379"/>
      <c r="OCU519" s="13"/>
      <c r="OCV519" s="13"/>
      <c r="OCW519" s="193"/>
      <c r="OCX519" s="379"/>
      <c r="OCY519" s="379"/>
      <c r="OCZ519" s="379"/>
      <c r="ODA519" s="379"/>
      <c r="ODB519" s="379"/>
      <c r="ODC519" s="13"/>
      <c r="ODD519" s="13"/>
      <c r="ODE519" s="193"/>
      <c r="ODF519" s="379"/>
      <c r="ODG519" s="379"/>
      <c r="ODH519" s="379"/>
      <c r="ODI519" s="379"/>
      <c r="ODJ519" s="379"/>
      <c r="ODK519" s="13"/>
      <c r="ODL519" s="13"/>
      <c r="ODM519" s="193"/>
      <c r="ODN519" s="379"/>
      <c r="ODO519" s="379"/>
      <c r="ODP519" s="379"/>
      <c r="ODQ519" s="379"/>
      <c r="ODR519" s="379"/>
      <c r="ODS519" s="13"/>
      <c r="ODT519" s="13"/>
      <c r="ODU519" s="193"/>
      <c r="ODV519" s="379"/>
      <c r="ODW519" s="379"/>
      <c r="ODX519" s="379"/>
      <c r="ODY519" s="379"/>
      <c r="ODZ519" s="379"/>
      <c r="OEA519" s="13"/>
      <c r="OEB519" s="13"/>
      <c r="OEC519" s="193"/>
      <c r="OED519" s="379"/>
      <c r="OEE519" s="379"/>
      <c r="OEF519" s="379"/>
      <c r="OEG519" s="379"/>
      <c r="OEH519" s="379"/>
      <c r="OEI519" s="13"/>
      <c r="OEJ519" s="13"/>
      <c r="OEK519" s="193"/>
      <c r="OEL519" s="379"/>
      <c r="OEM519" s="379"/>
      <c r="OEN519" s="379"/>
      <c r="OEO519" s="379"/>
      <c r="OEP519" s="379"/>
      <c r="OEQ519" s="13"/>
      <c r="OER519" s="13"/>
      <c r="OES519" s="193"/>
      <c r="OET519" s="379"/>
      <c r="OEU519" s="379"/>
      <c r="OEV519" s="379"/>
      <c r="OEW519" s="379"/>
      <c r="OEX519" s="379"/>
      <c r="OEY519" s="13"/>
      <c r="OEZ519" s="13"/>
      <c r="OFA519" s="193"/>
      <c r="OFB519" s="379"/>
      <c r="OFC519" s="379"/>
      <c r="OFD519" s="379"/>
      <c r="OFE519" s="379"/>
      <c r="OFF519" s="379"/>
      <c r="OFG519" s="13"/>
      <c r="OFH519" s="13"/>
      <c r="OFI519" s="193"/>
      <c r="OFJ519" s="379"/>
      <c r="OFK519" s="379"/>
      <c r="OFL519" s="379"/>
      <c r="OFM519" s="379"/>
      <c r="OFN519" s="379"/>
      <c r="OFO519" s="13"/>
      <c r="OFP519" s="13"/>
      <c r="OFQ519" s="193"/>
      <c r="OFR519" s="379"/>
      <c r="OFS519" s="379"/>
      <c r="OFT519" s="379"/>
      <c r="OFU519" s="379"/>
      <c r="OFV519" s="379"/>
      <c r="OFW519" s="13"/>
      <c r="OFX519" s="13"/>
      <c r="OFY519" s="193"/>
      <c r="OFZ519" s="379"/>
      <c r="OGA519" s="379"/>
      <c r="OGB519" s="379"/>
      <c r="OGC519" s="379"/>
      <c r="OGD519" s="379"/>
      <c r="OGE519" s="13"/>
      <c r="OGF519" s="13"/>
      <c r="OGG519" s="193"/>
      <c r="OGH519" s="379"/>
      <c r="OGI519" s="379"/>
      <c r="OGJ519" s="379"/>
      <c r="OGK519" s="379"/>
      <c r="OGL519" s="379"/>
      <c r="OGM519" s="13"/>
      <c r="OGN519" s="13"/>
      <c r="OGO519" s="193"/>
      <c r="OGP519" s="379"/>
      <c r="OGQ519" s="379"/>
      <c r="OGR519" s="379"/>
      <c r="OGS519" s="379"/>
      <c r="OGT519" s="379"/>
      <c r="OGU519" s="13"/>
      <c r="OGV519" s="13"/>
      <c r="OGW519" s="193"/>
      <c r="OGX519" s="379"/>
      <c r="OGY519" s="379"/>
      <c r="OGZ519" s="379"/>
      <c r="OHA519" s="379"/>
      <c r="OHB519" s="379"/>
      <c r="OHC519" s="13"/>
      <c r="OHD519" s="13"/>
      <c r="OHE519" s="193"/>
      <c r="OHF519" s="379"/>
      <c r="OHG519" s="379"/>
      <c r="OHH519" s="379"/>
      <c r="OHI519" s="379"/>
      <c r="OHJ519" s="379"/>
      <c r="OHK519" s="13"/>
      <c r="OHL519" s="13"/>
      <c r="OHM519" s="193"/>
      <c r="OHN519" s="379"/>
      <c r="OHO519" s="379"/>
      <c r="OHP519" s="379"/>
      <c r="OHQ519" s="379"/>
      <c r="OHR519" s="379"/>
      <c r="OHS519" s="13"/>
      <c r="OHT519" s="13"/>
      <c r="OHU519" s="193"/>
      <c r="OHV519" s="379"/>
      <c r="OHW519" s="379"/>
      <c r="OHX519" s="379"/>
      <c r="OHY519" s="379"/>
      <c r="OHZ519" s="379"/>
      <c r="OIA519" s="13"/>
      <c r="OIB519" s="13"/>
      <c r="OIC519" s="193"/>
      <c r="OID519" s="379"/>
      <c r="OIE519" s="379"/>
      <c r="OIF519" s="379"/>
      <c r="OIG519" s="379"/>
      <c r="OIH519" s="379"/>
      <c r="OII519" s="13"/>
      <c r="OIJ519" s="13"/>
      <c r="OIK519" s="193"/>
      <c r="OIL519" s="379"/>
      <c r="OIM519" s="379"/>
      <c r="OIN519" s="379"/>
      <c r="OIO519" s="379"/>
      <c r="OIP519" s="379"/>
      <c r="OIQ519" s="13"/>
      <c r="OIR519" s="13"/>
      <c r="OIS519" s="193"/>
      <c r="OIT519" s="379"/>
      <c r="OIU519" s="379"/>
      <c r="OIV519" s="379"/>
      <c r="OIW519" s="379"/>
      <c r="OIX519" s="379"/>
      <c r="OIY519" s="13"/>
      <c r="OIZ519" s="13"/>
      <c r="OJA519" s="193"/>
      <c r="OJB519" s="379"/>
      <c r="OJC519" s="379"/>
      <c r="OJD519" s="379"/>
      <c r="OJE519" s="379"/>
      <c r="OJF519" s="379"/>
      <c r="OJG519" s="13"/>
      <c r="OJH519" s="13"/>
      <c r="OJI519" s="193"/>
      <c r="OJJ519" s="379"/>
      <c r="OJK519" s="379"/>
      <c r="OJL519" s="379"/>
      <c r="OJM519" s="379"/>
      <c r="OJN519" s="379"/>
      <c r="OJO519" s="13"/>
      <c r="OJP519" s="13"/>
      <c r="OJQ519" s="193"/>
      <c r="OJR519" s="379"/>
      <c r="OJS519" s="379"/>
      <c r="OJT519" s="379"/>
      <c r="OJU519" s="379"/>
      <c r="OJV519" s="379"/>
      <c r="OJW519" s="13"/>
      <c r="OJX519" s="13"/>
      <c r="OJY519" s="193"/>
      <c r="OJZ519" s="379"/>
      <c r="OKA519" s="379"/>
      <c r="OKB519" s="379"/>
      <c r="OKC519" s="379"/>
      <c r="OKD519" s="379"/>
      <c r="OKE519" s="13"/>
      <c r="OKF519" s="13"/>
      <c r="OKG519" s="193"/>
      <c r="OKH519" s="379"/>
      <c r="OKI519" s="379"/>
      <c r="OKJ519" s="379"/>
      <c r="OKK519" s="379"/>
      <c r="OKL519" s="379"/>
      <c r="OKM519" s="13"/>
      <c r="OKN519" s="13"/>
      <c r="OKO519" s="193"/>
      <c r="OKP519" s="379"/>
      <c r="OKQ519" s="379"/>
      <c r="OKR519" s="379"/>
      <c r="OKS519" s="379"/>
      <c r="OKT519" s="379"/>
      <c r="OKU519" s="13"/>
      <c r="OKV519" s="13"/>
      <c r="OKW519" s="193"/>
      <c r="OKX519" s="379"/>
      <c r="OKY519" s="379"/>
      <c r="OKZ519" s="379"/>
      <c r="OLA519" s="379"/>
      <c r="OLB519" s="379"/>
      <c r="OLC519" s="13"/>
      <c r="OLD519" s="13"/>
      <c r="OLE519" s="193"/>
      <c r="OLF519" s="379"/>
      <c r="OLG519" s="379"/>
      <c r="OLH519" s="379"/>
      <c r="OLI519" s="379"/>
      <c r="OLJ519" s="379"/>
      <c r="OLK519" s="13"/>
      <c r="OLL519" s="13"/>
      <c r="OLM519" s="193"/>
      <c r="OLN519" s="379"/>
      <c r="OLO519" s="379"/>
      <c r="OLP519" s="379"/>
      <c r="OLQ519" s="379"/>
      <c r="OLR519" s="379"/>
      <c r="OLS519" s="13"/>
      <c r="OLT519" s="13"/>
      <c r="OLU519" s="193"/>
      <c r="OLV519" s="379"/>
      <c r="OLW519" s="379"/>
      <c r="OLX519" s="379"/>
      <c r="OLY519" s="379"/>
      <c r="OLZ519" s="379"/>
      <c r="OMA519" s="13"/>
      <c r="OMB519" s="13"/>
      <c r="OMC519" s="193"/>
      <c r="OMD519" s="379"/>
      <c r="OME519" s="379"/>
      <c r="OMF519" s="379"/>
      <c r="OMG519" s="379"/>
      <c r="OMH519" s="379"/>
      <c r="OMI519" s="13"/>
      <c r="OMJ519" s="13"/>
      <c r="OMK519" s="193"/>
      <c r="OML519" s="379"/>
      <c r="OMM519" s="379"/>
      <c r="OMN519" s="379"/>
      <c r="OMO519" s="379"/>
      <c r="OMP519" s="379"/>
      <c r="OMQ519" s="13"/>
      <c r="OMR519" s="13"/>
      <c r="OMS519" s="193"/>
      <c r="OMT519" s="379"/>
      <c r="OMU519" s="379"/>
      <c r="OMV519" s="379"/>
      <c r="OMW519" s="379"/>
      <c r="OMX519" s="379"/>
      <c r="OMY519" s="13"/>
      <c r="OMZ519" s="13"/>
      <c r="ONA519" s="193"/>
      <c r="ONB519" s="379"/>
      <c r="ONC519" s="379"/>
      <c r="OND519" s="379"/>
      <c r="ONE519" s="379"/>
      <c r="ONF519" s="379"/>
      <c r="ONG519" s="13"/>
      <c r="ONH519" s="13"/>
      <c r="ONI519" s="193"/>
      <c r="ONJ519" s="379"/>
      <c r="ONK519" s="379"/>
      <c r="ONL519" s="379"/>
      <c r="ONM519" s="379"/>
      <c r="ONN519" s="379"/>
      <c r="ONO519" s="13"/>
      <c r="ONP519" s="13"/>
      <c r="ONQ519" s="193"/>
      <c r="ONR519" s="379"/>
      <c r="ONS519" s="379"/>
      <c r="ONT519" s="379"/>
      <c r="ONU519" s="379"/>
      <c r="ONV519" s="379"/>
      <c r="ONW519" s="13"/>
      <c r="ONX519" s="13"/>
      <c r="ONY519" s="193"/>
      <c r="ONZ519" s="379"/>
      <c r="OOA519" s="379"/>
      <c r="OOB519" s="379"/>
      <c r="OOC519" s="379"/>
      <c r="OOD519" s="379"/>
      <c r="OOE519" s="13"/>
      <c r="OOF519" s="13"/>
      <c r="OOG519" s="193"/>
      <c r="OOH519" s="379"/>
      <c r="OOI519" s="379"/>
      <c r="OOJ519" s="379"/>
      <c r="OOK519" s="379"/>
      <c r="OOL519" s="379"/>
      <c r="OOM519" s="13"/>
      <c r="OON519" s="13"/>
      <c r="OOO519" s="193"/>
      <c r="OOP519" s="379"/>
      <c r="OOQ519" s="379"/>
      <c r="OOR519" s="379"/>
      <c r="OOS519" s="379"/>
      <c r="OOT519" s="379"/>
      <c r="OOU519" s="13"/>
      <c r="OOV519" s="13"/>
      <c r="OOW519" s="193"/>
      <c r="OOX519" s="379"/>
      <c r="OOY519" s="379"/>
      <c r="OOZ519" s="379"/>
      <c r="OPA519" s="379"/>
      <c r="OPB519" s="379"/>
      <c r="OPC519" s="13"/>
      <c r="OPD519" s="13"/>
      <c r="OPE519" s="193"/>
      <c r="OPF519" s="379"/>
      <c r="OPG519" s="379"/>
      <c r="OPH519" s="379"/>
      <c r="OPI519" s="379"/>
      <c r="OPJ519" s="379"/>
      <c r="OPK519" s="13"/>
      <c r="OPL519" s="13"/>
      <c r="OPM519" s="193"/>
      <c r="OPN519" s="379"/>
      <c r="OPO519" s="379"/>
      <c r="OPP519" s="379"/>
      <c r="OPQ519" s="379"/>
      <c r="OPR519" s="379"/>
      <c r="OPS519" s="13"/>
      <c r="OPT519" s="13"/>
      <c r="OPU519" s="193"/>
      <c r="OPV519" s="379"/>
      <c r="OPW519" s="379"/>
      <c r="OPX519" s="379"/>
      <c r="OPY519" s="379"/>
      <c r="OPZ519" s="379"/>
      <c r="OQA519" s="13"/>
      <c r="OQB519" s="13"/>
      <c r="OQC519" s="193"/>
      <c r="OQD519" s="379"/>
      <c r="OQE519" s="379"/>
      <c r="OQF519" s="379"/>
      <c r="OQG519" s="379"/>
      <c r="OQH519" s="379"/>
      <c r="OQI519" s="13"/>
      <c r="OQJ519" s="13"/>
      <c r="OQK519" s="193"/>
      <c r="OQL519" s="379"/>
      <c r="OQM519" s="379"/>
      <c r="OQN519" s="379"/>
      <c r="OQO519" s="379"/>
      <c r="OQP519" s="379"/>
      <c r="OQQ519" s="13"/>
      <c r="OQR519" s="13"/>
      <c r="OQS519" s="193"/>
      <c r="OQT519" s="379"/>
      <c r="OQU519" s="379"/>
      <c r="OQV519" s="379"/>
      <c r="OQW519" s="379"/>
      <c r="OQX519" s="379"/>
      <c r="OQY519" s="13"/>
      <c r="OQZ519" s="13"/>
      <c r="ORA519" s="193"/>
      <c r="ORB519" s="379"/>
      <c r="ORC519" s="379"/>
      <c r="ORD519" s="379"/>
      <c r="ORE519" s="379"/>
      <c r="ORF519" s="379"/>
      <c r="ORG519" s="13"/>
      <c r="ORH519" s="13"/>
      <c r="ORI519" s="193"/>
      <c r="ORJ519" s="379"/>
      <c r="ORK519" s="379"/>
      <c r="ORL519" s="379"/>
      <c r="ORM519" s="379"/>
      <c r="ORN519" s="379"/>
      <c r="ORO519" s="13"/>
      <c r="ORP519" s="13"/>
      <c r="ORQ519" s="193"/>
      <c r="ORR519" s="379"/>
      <c r="ORS519" s="379"/>
      <c r="ORT519" s="379"/>
      <c r="ORU519" s="379"/>
      <c r="ORV519" s="379"/>
      <c r="ORW519" s="13"/>
      <c r="ORX519" s="13"/>
      <c r="ORY519" s="193"/>
      <c r="ORZ519" s="379"/>
      <c r="OSA519" s="379"/>
      <c r="OSB519" s="379"/>
      <c r="OSC519" s="379"/>
      <c r="OSD519" s="379"/>
      <c r="OSE519" s="13"/>
      <c r="OSF519" s="13"/>
      <c r="OSG519" s="193"/>
      <c r="OSH519" s="379"/>
      <c r="OSI519" s="379"/>
      <c r="OSJ519" s="379"/>
      <c r="OSK519" s="379"/>
      <c r="OSL519" s="379"/>
      <c r="OSM519" s="13"/>
      <c r="OSN519" s="13"/>
      <c r="OSO519" s="193"/>
      <c r="OSP519" s="379"/>
      <c r="OSQ519" s="379"/>
      <c r="OSR519" s="379"/>
      <c r="OSS519" s="379"/>
      <c r="OST519" s="379"/>
      <c r="OSU519" s="13"/>
      <c r="OSV519" s="13"/>
      <c r="OSW519" s="193"/>
      <c r="OSX519" s="379"/>
      <c r="OSY519" s="379"/>
      <c r="OSZ519" s="379"/>
      <c r="OTA519" s="379"/>
      <c r="OTB519" s="379"/>
      <c r="OTC519" s="13"/>
      <c r="OTD519" s="13"/>
      <c r="OTE519" s="193"/>
      <c r="OTF519" s="379"/>
      <c r="OTG519" s="379"/>
      <c r="OTH519" s="379"/>
      <c r="OTI519" s="379"/>
      <c r="OTJ519" s="379"/>
      <c r="OTK519" s="13"/>
      <c r="OTL519" s="13"/>
      <c r="OTM519" s="193"/>
      <c r="OTN519" s="379"/>
      <c r="OTO519" s="379"/>
      <c r="OTP519" s="379"/>
      <c r="OTQ519" s="379"/>
      <c r="OTR519" s="379"/>
      <c r="OTS519" s="13"/>
      <c r="OTT519" s="13"/>
      <c r="OTU519" s="193"/>
      <c r="OTV519" s="379"/>
      <c r="OTW519" s="379"/>
      <c r="OTX519" s="379"/>
      <c r="OTY519" s="379"/>
      <c r="OTZ519" s="379"/>
      <c r="OUA519" s="13"/>
      <c r="OUB519" s="13"/>
      <c r="OUC519" s="193"/>
      <c r="OUD519" s="379"/>
      <c r="OUE519" s="379"/>
      <c r="OUF519" s="379"/>
      <c r="OUG519" s="379"/>
      <c r="OUH519" s="379"/>
      <c r="OUI519" s="13"/>
      <c r="OUJ519" s="13"/>
      <c r="OUK519" s="193"/>
      <c r="OUL519" s="379"/>
      <c r="OUM519" s="379"/>
      <c r="OUN519" s="379"/>
      <c r="OUO519" s="379"/>
      <c r="OUP519" s="379"/>
      <c r="OUQ519" s="13"/>
      <c r="OUR519" s="13"/>
      <c r="OUS519" s="193"/>
      <c r="OUT519" s="379"/>
      <c r="OUU519" s="379"/>
      <c r="OUV519" s="379"/>
      <c r="OUW519" s="379"/>
      <c r="OUX519" s="379"/>
      <c r="OUY519" s="13"/>
      <c r="OUZ519" s="13"/>
      <c r="OVA519" s="193"/>
      <c r="OVB519" s="379"/>
      <c r="OVC519" s="379"/>
      <c r="OVD519" s="379"/>
      <c r="OVE519" s="379"/>
      <c r="OVF519" s="379"/>
      <c r="OVG519" s="13"/>
      <c r="OVH519" s="13"/>
      <c r="OVI519" s="193"/>
      <c r="OVJ519" s="379"/>
      <c r="OVK519" s="379"/>
      <c r="OVL519" s="379"/>
      <c r="OVM519" s="379"/>
      <c r="OVN519" s="379"/>
      <c r="OVO519" s="13"/>
      <c r="OVP519" s="13"/>
      <c r="OVQ519" s="193"/>
      <c r="OVR519" s="379"/>
      <c r="OVS519" s="379"/>
      <c r="OVT519" s="379"/>
      <c r="OVU519" s="379"/>
      <c r="OVV519" s="379"/>
      <c r="OVW519" s="13"/>
      <c r="OVX519" s="13"/>
      <c r="OVY519" s="193"/>
      <c r="OVZ519" s="379"/>
      <c r="OWA519" s="379"/>
      <c r="OWB519" s="379"/>
      <c r="OWC519" s="379"/>
      <c r="OWD519" s="379"/>
      <c r="OWE519" s="13"/>
      <c r="OWF519" s="13"/>
      <c r="OWG519" s="193"/>
      <c r="OWH519" s="379"/>
      <c r="OWI519" s="379"/>
      <c r="OWJ519" s="379"/>
      <c r="OWK519" s="379"/>
      <c r="OWL519" s="379"/>
      <c r="OWM519" s="13"/>
      <c r="OWN519" s="13"/>
      <c r="OWO519" s="193"/>
      <c r="OWP519" s="379"/>
      <c r="OWQ519" s="379"/>
      <c r="OWR519" s="379"/>
      <c r="OWS519" s="379"/>
      <c r="OWT519" s="379"/>
      <c r="OWU519" s="13"/>
      <c r="OWV519" s="13"/>
      <c r="OWW519" s="193"/>
      <c r="OWX519" s="379"/>
      <c r="OWY519" s="379"/>
      <c r="OWZ519" s="379"/>
      <c r="OXA519" s="379"/>
      <c r="OXB519" s="379"/>
      <c r="OXC519" s="13"/>
      <c r="OXD519" s="13"/>
      <c r="OXE519" s="193"/>
      <c r="OXF519" s="379"/>
      <c r="OXG519" s="379"/>
      <c r="OXH519" s="379"/>
      <c r="OXI519" s="379"/>
      <c r="OXJ519" s="379"/>
      <c r="OXK519" s="13"/>
      <c r="OXL519" s="13"/>
      <c r="OXM519" s="193"/>
      <c r="OXN519" s="379"/>
      <c r="OXO519" s="379"/>
      <c r="OXP519" s="379"/>
      <c r="OXQ519" s="379"/>
      <c r="OXR519" s="379"/>
      <c r="OXS519" s="13"/>
      <c r="OXT519" s="13"/>
      <c r="OXU519" s="193"/>
      <c r="OXV519" s="379"/>
      <c r="OXW519" s="379"/>
      <c r="OXX519" s="379"/>
      <c r="OXY519" s="379"/>
      <c r="OXZ519" s="379"/>
      <c r="OYA519" s="13"/>
      <c r="OYB519" s="13"/>
      <c r="OYC519" s="193"/>
      <c r="OYD519" s="379"/>
      <c r="OYE519" s="379"/>
      <c r="OYF519" s="379"/>
      <c r="OYG519" s="379"/>
      <c r="OYH519" s="379"/>
      <c r="OYI519" s="13"/>
      <c r="OYJ519" s="13"/>
      <c r="OYK519" s="193"/>
      <c r="OYL519" s="379"/>
      <c r="OYM519" s="379"/>
      <c r="OYN519" s="379"/>
      <c r="OYO519" s="379"/>
      <c r="OYP519" s="379"/>
      <c r="OYQ519" s="13"/>
      <c r="OYR519" s="13"/>
      <c r="OYS519" s="193"/>
      <c r="OYT519" s="379"/>
      <c r="OYU519" s="379"/>
      <c r="OYV519" s="379"/>
      <c r="OYW519" s="379"/>
      <c r="OYX519" s="379"/>
      <c r="OYY519" s="13"/>
      <c r="OYZ519" s="13"/>
      <c r="OZA519" s="193"/>
      <c r="OZB519" s="379"/>
      <c r="OZC519" s="379"/>
      <c r="OZD519" s="379"/>
      <c r="OZE519" s="379"/>
      <c r="OZF519" s="379"/>
      <c r="OZG519" s="13"/>
      <c r="OZH519" s="13"/>
      <c r="OZI519" s="193"/>
      <c r="OZJ519" s="379"/>
      <c r="OZK519" s="379"/>
      <c r="OZL519" s="379"/>
      <c r="OZM519" s="379"/>
      <c r="OZN519" s="379"/>
      <c r="OZO519" s="13"/>
      <c r="OZP519" s="13"/>
      <c r="OZQ519" s="193"/>
      <c r="OZR519" s="379"/>
      <c r="OZS519" s="379"/>
      <c r="OZT519" s="379"/>
      <c r="OZU519" s="379"/>
      <c r="OZV519" s="379"/>
      <c r="OZW519" s="13"/>
      <c r="OZX519" s="13"/>
      <c r="OZY519" s="193"/>
      <c r="OZZ519" s="379"/>
      <c r="PAA519" s="379"/>
      <c r="PAB519" s="379"/>
      <c r="PAC519" s="379"/>
      <c r="PAD519" s="379"/>
      <c r="PAE519" s="13"/>
      <c r="PAF519" s="13"/>
      <c r="PAG519" s="193"/>
      <c r="PAH519" s="379"/>
      <c r="PAI519" s="379"/>
      <c r="PAJ519" s="379"/>
      <c r="PAK519" s="379"/>
      <c r="PAL519" s="379"/>
      <c r="PAM519" s="13"/>
      <c r="PAN519" s="13"/>
      <c r="PAO519" s="193"/>
      <c r="PAP519" s="379"/>
      <c r="PAQ519" s="379"/>
      <c r="PAR519" s="379"/>
      <c r="PAS519" s="379"/>
      <c r="PAT519" s="379"/>
      <c r="PAU519" s="13"/>
      <c r="PAV519" s="13"/>
      <c r="PAW519" s="193"/>
      <c r="PAX519" s="379"/>
      <c r="PAY519" s="379"/>
      <c r="PAZ519" s="379"/>
      <c r="PBA519" s="379"/>
      <c r="PBB519" s="379"/>
      <c r="PBC519" s="13"/>
      <c r="PBD519" s="13"/>
      <c r="PBE519" s="193"/>
      <c r="PBF519" s="379"/>
      <c r="PBG519" s="379"/>
      <c r="PBH519" s="379"/>
      <c r="PBI519" s="379"/>
      <c r="PBJ519" s="379"/>
      <c r="PBK519" s="13"/>
      <c r="PBL519" s="13"/>
      <c r="PBM519" s="193"/>
      <c r="PBN519" s="379"/>
      <c r="PBO519" s="379"/>
      <c r="PBP519" s="379"/>
      <c r="PBQ519" s="379"/>
      <c r="PBR519" s="379"/>
      <c r="PBS519" s="13"/>
      <c r="PBT519" s="13"/>
      <c r="PBU519" s="193"/>
      <c r="PBV519" s="379"/>
      <c r="PBW519" s="379"/>
      <c r="PBX519" s="379"/>
      <c r="PBY519" s="379"/>
      <c r="PBZ519" s="379"/>
      <c r="PCA519" s="13"/>
      <c r="PCB519" s="13"/>
      <c r="PCC519" s="193"/>
      <c r="PCD519" s="379"/>
      <c r="PCE519" s="379"/>
      <c r="PCF519" s="379"/>
      <c r="PCG519" s="379"/>
      <c r="PCH519" s="379"/>
      <c r="PCI519" s="13"/>
      <c r="PCJ519" s="13"/>
      <c r="PCK519" s="193"/>
      <c r="PCL519" s="379"/>
      <c r="PCM519" s="379"/>
      <c r="PCN519" s="379"/>
      <c r="PCO519" s="379"/>
      <c r="PCP519" s="379"/>
      <c r="PCQ519" s="13"/>
      <c r="PCR519" s="13"/>
      <c r="PCS519" s="193"/>
      <c r="PCT519" s="379"/>
      <c r="PCU519" s="379"/>
      <c r="PCV519" s="379"/>
      <c r="PCW519" s="379"/>
      <c r="PCX519" s="379"/>
      <c r="PCY519" s="13"/>
      <c r="PCZ519" s="13"/>
      <c r="PDA519" s="193"/>
      <c r="PDB519" s="379"/>
      <c r="PDC519" s="379"/>
      <c r="PDD519" s="379"/>
      <c r="PDE519" s="379"/>
      <c r="PDF519" s="379"/>
      <c r="PDG519" s="13"/>
      <c r="PDH519" s="13"/>
      <c r="PDI519" s="193"/>
      <c r="PDJ519" s="379"/>
      <c r="PDK519" s="379"/>
      <c r="PDL519" s="379"/>
      <c r="PDM519" s="379"/>
      <c r="PDN519" s="379"/>
      <c r="PDO519" s="13"/>
      <c r="PDP519" s="13"/>
      <c r="PDQ519" s="193"/>
      <c r="PDR519" s="379"/>
      <c r="PDS519" s="379"/>
      <c r="PDT519" s="379"/>
      <c r="PDU519" s="379"/>
      <c r="PDV519" s="379"/>
      <c r="PDW519" s="13"/>
      <c r="PDX519" s="13"/>
      <c r="PDY519" s="193"/>
      <c r="PDZ519" s="379"/>
      <c r="PEA519" s="379"/>
      <c r="PEB519" s="379"/>
      <c r="PEC519" s="379"/>
      <c r="PED519" s="379"/>
      <c r="PEE519" s="13"/>
      <c r="PEF519" s="13"/>
      <c r="PEG519" s="193"/>
      <c r="PEH519" s="379"/>
      <c r="PEI519" s="379"/>
      <c r="PEJ519" s="379"/>
      <c r="PEK519" s="379"/>
      <c r="PEL519" s="379"/>
      <c r="PEM519" s="13"/>
      <c r="PEN519" s="13"/>
      <c r="PEO519" s="193"/>
      <c r="PEP519" s="379"/>
      <c r="PEQ519" s="379"/>
      <c r="PER519" s="379"/>
      <c r="PES519" s="379"/>
      <c r="PET519" s="379"/>
      <c r="PEU519" s="13"/>
      <c r="PEV519" s="13"/>
      <c r="PEW519" s="193"/>
      <c r="PEX519" s="379"/>
      <c r="PEY519" s="379"/>
      <c r="PEZ519" s="379"/>
      <c r="PFA519" s="379"/>
      <c r="PFB519" s="379"/>
      <c r="PFC519" s="13"/>
      <c r="PFD519" s="13"/>
      <c r="PFE519" s="193"/>
      <c r="PFF519" s="379"/>
      <c r="PFG519" s="379"/>
      <c r="PFH519" s="379"/>
      <c r="PFI519" s="379"/>
      <c r="PFJ519" s="379"/>
      <c r="PFK519" s="13"/>
      <c r="PFL519" s="13"/>
      <c r="PFM519" s="193"/>
      <c r="PFN519" s="379"/>
      <c r="PFO519" s="379"/>
      <c r="PFP519" s="379"/>
      <c r="PFQ519" s="379"/>
      <c r="PFR519" s="379"/>
      <c r="PFS519" s="13"/>
      <c r="PFT519" s="13"/>
      <c r="PFU519" s="193"/>
      <c r="PFV519" s="379"/>
      <c r="PFW519" s="379"/>
      <c r="PFX519" s="379"/>
      <c r="PFY519" s="379"/>
      <c r="PFZ519" s="379"/>
      <c r="PGA519" s="13"/>
      <c r="PGB519" s="13"/>
      <c r="PGC519" s="193"/>
      <c r="PGD519" s="379"/>
      <c r="PGE519" s="379"/>
      <c r="PGF519" s="379"/>
      <c r="PGG519" s="379"/>
      <c r="PGH519" s="379"/>
      <c r="PGI519" s="13"/>
      <c r="PGJ519" s="13"/>
      <c r="PGK519" s="193"/>
      <c r="PGL519" s="379"/>
      <c r="PGM519" s="379"/>
      <c r="PGN519" s="379"/>
      <c r="PGO519" s="379"/>
      <c r="PGP519" s="379"/>
      <c r="PGQ519" s="13"/>
      <c r="PGR519" s="13"/>
      <c r="PGS519" s="193"/>
      <c r="PGT519" s="379"/>
      <c r="PGU519" s="379"/>
      <c r="PGV519" s="379"/>
      <c r="PGW519" s="379"/>
      <c r="PGX519" s="379"/>
      <c r="PGY519" s="13"/>
      <c r="PGZ519" s="13"/>
      <c r="PHA519" s="193"/>
      <c r="PHB519" s="379"/>
      <c r="PHC519" s="379"/>
      <c r="PHD519" s="379"/>
      <c r="PHE519" s="379"/>
      <c r="PHF519" s="379"/>
      <c r="PHG519" s="13"/>
      <c r="PHH519" s="13"/>
      <c r="PHI519" s="193"/>
      <c r="PHJ519" s="379"/>
      <c r="PHK519" s="379"/>
      <c r="PHL519" s="379"/>
      <c r="PHM519" s="379"/>
      <c r="PHN519" s="379"/>
      <c r="PHO519" s="13"/>
      <c r="PHP519" s="13"/>
      <c r="PHQ519" s="193"/>
      <c r="PHR519" s="379"/>
      <c r="PHS519" s="379"/>
      <c r="PHT519" s="379"/>
      <c r="PHU519" s="379"/>
      <c r="PHV519" s="379"/>
      <c r="PHW519" s="13"/>
      <c r="PHX519" s="13"/>
      <c r="PHY519" s="193"/>
      <c r="PHZ519" s="379"/>
      <c r="PIA519" s="379"/>
      <c r="PIB519" s="379"/>
      <c r="PIC519" s="379"/>
      <c r="PID519" s="379"/>
      <c r="PIE519" s="13"/>
      <c r="PIF519" s="13"/>
      <c r="PIG519" s="193"/>
      <c r="PIH519" s="379"/>
      <c r="PII519" s="379"/>
      <c r="PIJ519" s="379"/>
      <c r="PIK519" s="379"/>
      <c r="PIL519" s="379"/>
      <c r="PIM519" s="13"/>
      <c r="PIN519" s="13"/>
      <c r="PIO519" s="193"/>
      <c r="PIP519" s="379"/>
      <c r="PIQ519" s="379"/>
      <c r="PIR519" s="379"/>
      <c r="PIS519" s="379"/>
      <c r="PIT519" s="379"/>
      <c r="PIU519" s="13"/>
      <c r="PIV519" s="13"/>
      <c r="PIW519" s="193"/>
      <c r="PIX519" s="379"/>
      <c r="PIY519" s="379"/>
      <c r="PIZ519" s="379"/>
      <c r="PJA519" s="379"/>
      <c r="PJB519" s="379"/>
      <c r="PJC519" s="13"/>
      <c r="PJD519" s="13"/>
      <c r="PJE519" s="193"/>
      <c r="PJF519" s="379"/>
      <c r="PJG519" s="379"/>
      <c r="PJH519" s="379"/>
      <c r="PJI519" s="379"/>
      <c r="PJJ519" s="379"/>
      <c r="PJK519" s="13"/>
      <c r="PJL519" s="13"/>
      <c r="PJM519" s="193"/>
      <c r="PJN519" s="379"/>
      <c r="PJO519" s="379"/>
      <c r="PJP519" s="379"/>
      <c r="PJQ519" s="379"/>
      <c r="PJR519" s="379"/>
      <c r="PJS519" s="13"/>
      <c r="PJT519" s="13"/>
      <c r="PJU519" s="193"/>
      <c r="PJV519" s="379"/>
      <c r="PJW519" s="379"/>
      <c r="PJX519" s="379"/>
      <c r="PJY519" s="379"/>
      <c r="PJZ519" s="379"/>
      <c r="PKA519" s="13"/>
      <c r="PKB519" s="13"/>
      <c r="PKC519" s="193"/>
      <c r="PKD519" s="379"/>
      <c r="PKE519" s="379"/>
      <c r="PKF519" s="379"/>
      <c r="PKG519" s="379"/>
      <c r="PKH519" s="379"/>
      <c r="PKI519" s="13"/>
      <c r="PKJ519" s="13"/>
      <c r="PKK519" s="193"/>
      <c r="PKL519" s="379"/>
      <c r="PKM519" s="379"/>
      <c r="PKN519" s="379"/>
      <c r="PKO519" s="379"/>
      <c r="PKP519" s="379"/>
      <c r="PKQ519" s="13"/>
      <c r="PKR519" s="13"/>
      <c r="PKS519" s="193"/>
      <c r="PKT519" s="379"/>
      <c r="PKU519" s="379"/>
      <c r="PKV519" s="379"/>
      <c r="PKW519" s="379"/>
      <c r="PKX519" s="379"/>
      <c r="PKY519" s="13"/>
      <c r="PKZ519" s="13"/>
      <c r="PLA519" s="193"/>
      <c r="PLB519" s="379"/>
      <c r="PLC519" s="379"/>
      <c r="PLD519" s="379"/>
      <c r="PLE519" s="379"/>
      <c r="PLF519" s="379"/>
      <c r="PLG519" s="13"/>
      <c r="PLH519" s="13"/>
      <c r="PLI519" s="193"/>
      <c r="PLJ519" s="379"/>
      <c r="PLK519" s="379"/>
      <c r="PLL519" s="379"/>
      <c r="PLM519" s="379"/>
      <c r="PLN519" s="379"/>
      <c r="PLO519" s="13"/>
      <c r="PLP519" s="13"/>
      <c r="PLQ519" s="193"/>
      <c r="PLR519" s="379"/>
      <c r="PLS519" s="379"/>
      <c r="PLT519" s="379"/>
      <c r="PLU519" s="379"/>
      <c r="PLV519" s="379"/>
      <c r="PLW519" s="13"/>
      <c r="PLX519" s="13"/>
      <c r="PLY519" s="193"/>
      <c r="PLZ519" s="379"/>
      <c r="PMA519" s="379"/>
      <c r="PMB519" s="379"/>
      <c r="PMC519" s="379"/>
      <c r="PMD519" s="379"/>
      <c r="PME519" s="13"/>
      <c r="PMF519" s="13"/>
      <c r="PMG519" s="193"/>
      <c r="PMH519" s="379"/>
      <c r="PMI519" s="379"/>
      <c r="PMJ519" s="379"/>
      <c r="PMK519" s="379"/>
      <c r="PML519" s="379"/>
      <c r="PMM519" s="13"/>
      <c r="PMN519" s="13"/>
      <c r="PMO519" s="193"/>
      <c r="PMP519" s="379"/>
      <c r="PMQ519" s="379"/>
      <c r="PMR519" s="379"/>
      <c r="PMS519" s="379"/>
      <c r="PMT519" s="379"/>
      <c r="PMU519" s="13"/>
      <c r="PMV519" s="13"/>
      <c r="PMW519" s="193"/>
      <c r="PMX519" s="379"/>
      <c r="PMY519" s="379"/>
      <c r="PMZ519" s="379"/>
      <c r="PNA519" s="379"/>
      <c r="PNB519" s="379"/>
      <c r="PNC519" s="13"/>
      <c r="PND519" s="13"/>
      <c r="PNE519" s="193"/>
      <c r="PNF519" s="379"/>
      <c r="PNG519" s="379"/>
      <c r="PNH519" s="379"/>
      <c r="PNI519" s="379"/>
      <c r="PNJ519" s="379"/>
      <c r="PNK519" s="13"/>
      <c r="PNL519" s="13"/>
      <c r="PNM519" s="193"/>
      <c r="PNN519" s="379"/>
      <c r="PNO519" s="379"/>
      <c r="PNP519" s="379"/>
      <c r="PNQ519" s="379"/>
      <c r="PNR519" s="379"/>
      <c r="PNS519" s="13"/>
      <c r="PNT519" s="13"/>
      <c r="PNU519" s="193"/>
      <c r="PNV519" s="379"/>
      <c r="PNW519" s="379"/>
      <c r="PNX519" s="379"/>
      <c r="PNY519" s="379"/>
      <c r="PNZ519" s="379"/>
      <c r="POA519" s="13"/>
      <c r="POB519" s="13"/>
      <c r="POC519" s="193"/>
      <c r="POD519" s="379"/>
      <c r="POE519" s="379"/>
      <c r="POF519" s="379"/>
      <c r="POG519" s="379"/>
      <c r="POH519" s="379"/>
      <c r="POI519" s="13"/>
      <c r="POJ519" s="13"/>
      <c r="POK519" s="193"/>
      <c r="POL519" s="379"/>
      <c r="POM519" s="379"/>
      <c r="PON519" s="379"/>
      <c r="POO519" s="379"/>
      <c r="POP519" s="379"/>
      <c r="POQ519" s="13"/>
      <c r="POR519" s="13"/>
      <c r="POS519" s="193"/>
      <c r="POT519" s="379"/>
      <c r="POU519" s="379"/>
      <c r="POV519" s="379"/>
      <c r="POW519" s="379"/>
      <c r="POX519" s="379"/>
      <c r="POY519" s="13"/>
      <c r="POZ519" s="13"/>
      <c r="PPA519" s="193"/>
      <c r="PPB519" s="379"/>
      <c r="PPC519" s="379"/>
      <c r="PPD519" s="379"/>
      <c r="PPE519" s="379"/>
      <c r="PPF519" s="379"/>
      <c r="PPG519" s="13"/>
      <c r="PPH519" s="13"/>
      <c r="PPI519" s="193"/>
      <c r="PPJ519" s="379"/>
      <c r="PPK519" s="379"/>
      <c r="PPL519" s="379"/>
      <c r="PPM519" s="379"/>
      <c r="PPN519" s="379"/>
      <c r="PPO519" s="13"/>
      <c r="PPP519" s="13"/>
      <c r="PPQ519" s="193"/>
      <c r="PPR519" s="379"/>
      <c r="PPS519" s="379"/>
      <c r="PPT519" s="379"/>
      <c r="PPU519" s="379"/>
      <c r="PPV519" s="379"/>
      <c r="PPW519" s="13"/>
      <c r="PPX519" s="13"/>
      <c r="PPY519" s="193"/>
      <c r="PPZ519" s="379"/>
      <c r="PQA519" s="379"/>
      <c r="PQB519" s="379"/>
      <c r="PQC519" s="379"/>
      <c r="PQD519" s="379"/>
      <c r="PQE519" s="13"/>
      <c r="PQF519" s="13"/>
      <c r="PQG519" s="193"/>
      <c r="PQH519" s="379"/>
      <c r="PQI519" s="379"/>
      <c r="PQJ519" s="379"/>
      <c r="PQK519" s="379"/>
      <c r="PQL519" s="379"/>
      <c r="PQM519" s="13"/>
      <c r="PQN519" s="13"/>
      <c r="PQO519" s="193"/>
      <c r="PQP519" s="379"/>
      <c r="PQQ519" s="379"/>
      <c r="PQR519" s="379"/>
      <c r="PQS519" s="379"/>
      <c r="PQT519" s="379"/>
      <c r="PQU519" s="13"/>
      <c r="PQV519" s="13"/>
      <c r="PQW519" s="193"/>
      <c r="PQX519" s="379"/>
      <c r="PQY519" s="379"/>
      <c r="PQZ519" s="379"/>
      <c r="PRA519" s="379"/>
      <c r="PRB519" s="379"/>
      <c r="PRC519" s="13"/>
      <c r="PRD519" s="13"/>
      <c r="PRE519" s="193"/>
      <c r="PRF519" s="379"/>
      <c r="PRG519" s="379"/>
      <c r="PRH519" s="379"/>
      <c r="PRI519" s="379"/>
      <c r="PRJ519" s="379"/>
      <c r="PRK519" s="13"/>
      <c r="PRL519" s="13"/>
      <c r="PRM519" s="193"/>
      <c r="PRN519" s="379"/>
      <c r="PRO519" s="379"/>
      <c r="PRP519" s="379"/>
      <c r="PRQ519" s="379"/>
      <c r="PRR519" s="379"/>
      <c r="PRS519" s="13"/>
      <c r="PRT519" s="13"/>
      <c r="PRU519" s="193"/>
      <c r="PRV519" s="379"/>
      <c r="PRW519" s="379"/>
      <c r="PRX519" s="379"/>
      <c r="PRY519" s="379"/>
      <c r="PRZ519" s="379"/>
      <c r="PSA519" s="13"/>
      <c r="PSB519" s="13"/>
      <c r="PSC519" s="193"/>
      <c r="PSD519" s="379"/>
      <c r="PSE519" s="379"/>
      <c r="PSF519" s="379"/>
      <c r="PSG519" s="379"/>
      <c r="PSH519" s="379"/>
      <c r="PSI519" s="13"/>
      <c r="PSJ519" s="13"/>
      <c r="PSK519" s="193"/>
      <c r="PSL519" s="379"/>
      <c r="PSM519" s="379"/>
      <c r="PSN519" s="379"/>
      <c r="PSO519" s="379"/>
      <c r="PSP519" s="379"/>
      <c r="PSQ519" s="13"/>
      <c r="PSR519" s="13"/>
      <c r="PSS519" s="193"/>
      <c r="PST519" s="379"/>
      <c r="PSU519" s="379"/>
      <c r="PSV519" s="379"/>
      <c r="PSW519" s="379"/>
      <c r="PSX519" s="379"/>
      <c r="PSY519" s="13"/>
      <c r="PSZ519" s="13"/>
      <c r="PTA519" s="193"/>
      <c r="PTB519" s="379"/>
      <c r="PTC519" s="379"/>
      <c r="PTD519" s="379"/>
      <c r="PTE519" s="379"/>
      <c r="PTF519" s="379"/>
      <c r="PTG519" s="13"/>
      <c r="PTH519" s="13"/>
      <c r="PTI519" s="193"/>
      <c r="PTJ519" s="379"/>
      <c r="PTK519" s="379"/>
      <c r="PTL519" s="379"/>
      <c r="PTM519" s="379"/>
      <c r="PTN519" s="379"/>
      <c r="PTO519" s="13"/>
      <c r="PTP519" s="13"/>
      <c r="PTQ519" s="193"/>
      <c r="PTR519" s="379"/>
      <c r="PTS519" s="379"/>
      <c r="PTT519" s="379"/>
      <c r="PTU519" s="379"/>
      <c r="PTV519" s="379"/>
      <c r="PTW519" s="13"/>
      <c r="PTX519" s="13"/>
      <c r="PTY519" s="193"/>
      <c r="PTZ519" s="379"/>
      <c r="PUA519" s="379"/>
      <c r="PUB519" s="379"/>
      <c r="PUC519" s="379"/>
      <c r="PUD519" s="379"/>
      <c r="PUE519" s="13"/>
      <c r="PUF519" s="13"/>
      <c r="PUG519" s="193"/>
      <c r="PUH519" s="379"/>
      <c r="PUI519" s="379"/>
      <c r="PUJ519" s="379"/>
      <c r="PUK519" s="379"/>
      <c r="PUL519" s="379"/>
      <c r="PUM519" s="13"/>
      <c r="PUN519" s="13"/>
      <c r="PUO519" s="193"/>
      <c r="PUP519" s="379"/>
      <c r="PUQ519" s="379"/>
      <c r="PUR519" s="379"/>
      <c r="PUS519" s="379"/>
      <c r="PUT519" s="379"/>
      <c r="PUU519" s="13"/>
      <c r="PUV519" s="13"/>
      <c r="PUW519" s="193"/>
      <c r="PUX519" s="379"/>
      <c r="PUY519" s="379"/>
      <c r="PUZ519" s="379"/>
      <c r="PVA519" s="379"/>
      <c r="PVB519" s="379"/>
      <c r="PVC519" s="13"/>
      <c r="PVD519" s="13"/>
      <c r="PVE519" s="193"/>
      <c r="PVF519" s="379"/>
      <c r="PVG519" s="379"/>
      <c r="PVH519" s="379"/>
      <c r="PVI519" s="379"/>
      <c r="PVJ519" s="379"/>
      <c r="PVK519" s="13"/>
      <c r="PVL519" s="13"/>
      <c r="PVM519" s="193"/>
      <c r="PVN519" s="379"/>
      <c r="PVO519" s="379"/>
      <c r="PVP519" s="379"/>
      <c r="PVQ519" s="379"/>
      <c r="PVR519" s="379"/>
      <c r="PVS519" s="13"/>
      <c r="PVT519" s="13"/>
      <c r="PVU519" s="193"/>
      <c r="PVV519" s="379"/>
      <c r="PVW519" s="379"/>
      <c r="PVX519" s="379"/>
      <c r="PVY519" s="379"/>
      <c r="PVZ519" s="379"/>
      <c r="PWA519" s="13"/>
      <c r="PWB519" s="13"/>
      <c r="PWC519" s="193"/>
      <c r="PWD519" s="379"/>
      <c r="PWE519" s="379"/>
      <c r="PWF519" s="379"/>
      <c r="PWG519" s="379"/>
      <c r="PWH519" s="379"/>
      <c r="PWI519" s="13"/>
      <c r="PWJ519" s="13"/>
      <c r="PWK519" s="193"/>
      <c r="PWL519" s="379"/>
      <c r="PWM519" s="379"/>
      <c r="PWN519" s="379"/>
      <c r="PWO519" s="379"/>
      <c r="PWP519" s="379"/>
      <c r="PWQ519" s="13"/>
      <c r="PWR519" s="13"/>
      <c r="PWS519" s="193"/>
      <c r="PWT519" s="379"/>
      <c r="PWU519" s="379"/>
      <c r="PWV519" s="379"/>
      <c r="PWW519" s="379"/>
      <c r="PWX519" s="379"/>
      <c r="PWY519" s="13"/>
      <c r="PWZ519" s="13"/>
      <c r="PXA519" s="193"/>
      <c r="PXB519" s="379"/>
      <c r="PXC519" s="379"/>
      <c r="PXD519" s="379"/>
      <c r="PXE519" s="379"/>
      <c r="PXF519" s="379"/>
      <c r="PXG519" s="13"/>
      <c r="PXH519" s="13"/>
      <c r="PXI519" s="193"/>
      <c r="PXJ519" s="379"/>
      <c r="PXK519" s="379"/>
      <c r="PXL519" s="379"/>
      <c r="PXM519" s="379"/>
      <c r="PXN519" s="379"/>
      <c r="PXO519" s="13"/>
      <c r="PXP519" s="13"/>
      <c r="PXQ519" s="193"/>
      <c r="PXR519" s="379"/>
      <c r="PXS519" s="379"/>
      <c r="PXT519" s="379"/>
      <c r="PXU519" s="379"/>
      <c r="PXV519" s="379"/>
      <c r="PXW519" s="13"/>
      <c r="PXX519" s="13"/>
      <c r="PXY519" s="193"/>
      <c r="PXZ519" s="379"/>
      <c r="PYA519" s="379"/>
      <c r="PYB519" s="379"/>
      <c r="PYC519" s="379"/>
      <c r="PYD519" s="379"/>
      <c r="PYE519" s="13"/>
      <c r="PYF519" s="13"/>
      <c r="PYG519" s="193"/>
      <c r="PYH519" s="379"/>
      <c r="PYI519" s="379"/>
      <c r="PYJ519" s="379"/>
      <c r="PYK519" s="379"/>
      <c r="PYL519" s="379"/>
      <c r="PYM519" s="13"/>
      <c r="PYN519" s="13"/>
      <c r="PYO519" s="193"/>
      <c r="PYP519" s="379"/>
      <c r="PYQ519" s="379"/>
      <c r="PYR519" s="379"/>
      <c r="PYS519" s="379"/>
      <c r="PYT519" s="379"/>
      <c r="PYU519" s="13"/>
      <c r="PYV519" s="13"/>
      <c r="PYW519" s="193"/>
      <c r="PYX519" s="379"/>
      <c r="PYY519" s="379"/>
      <c r="PYZ519" s="379"/>
      <c r="PZA519" s="379"/>
      <c r="PZB519" s="379"/>
      <c r="PZC519" s="13"/>
      <c r="PZD519" s="13"/>
      <c r="PZE519" s="193"/>
      <c r="PZF519" s="379"/>
      <c r="PZG519" s="379"/>
      <c r="PZH519" s="379"/>
      <c r="PZI519" s="379"/>
      <c r="PZJ519" s="379"/>
      <c r="PZK519" s="13"/>
      <c r="PZL519" s="13"/>
      <c r="PZM519" s="193"/>
      <c r="PZN519" s="379"/>
      <c r="PZO519" s="379"/>
      <c r="PZP519" s="379"/>
      <c r="PZQ519" s="379"/>
      <c r="PZR519" s="379"/>
      <c r="PZS519" s="13"/>
      <c r="PZT519" s="13"/>
      <c r="PZU519" s="193"/>
      <c r="PZV519" s="379"/>
      <c r="PZW519" s="379"/>
      <c r="PZX519" s="379"/>
      <c r="PZY519" s="379"/>
      <c r="PZZ519" s="379"/>
      <c r="QAA519" s="13"/>
      <c r="QAB519" s="13"/>
      <c r="QAC519" s="193"/>
      <c r="QAD519" s="379"/>
      <c r="QAE519" s="379"/>
      <c r="QAF519" s="379"/>
      <c r="QAG519" s="379"/>
      <c r="QAH519" s="379"/>
      <c r="QAI519" s="13"/>
      <c r="QAJ519" s="13"/>
      <c r="QAK519" s="193"/>
      <c r="QAL519" s="379"/>
      <c r="QAM519" s="379"/>
      <c r="QAN519" s="379"/>
      <c r="QAO519" s="379"/>
      <c r="QAP519" s="379"/>
      <c r="QAQ519" s="13"/>
      <c r="QAR519" s="13"/>
      <c r="QAS519" s="193"/>
      <c r="QAT519" s="379"/>
      <c r="QAU519" s="379"/>
      <c r="QAV519" s="379"/>
      <c r="QAW519" s="379"/>
      <c r="QAX519" s="379"/>
      <c r="QAY519" s="13"/>
      <c r="QAZ519" s="13"/>
      <c r="QBA519" s="193"/>
      <c r="QBB519" s="379"/>
      <c r="QBC519" s="379"/>
      <c r="QBD519" s="379"/>
      <c r="QBE519" s="379"/>
      <c r="QBF519" s="379"/>
      <c r="QBG519" s="13"/>
      <c r="QBH519" s="13"/>
      <c r="QBI519" s="193"/>
      <c r="QBJ519" s="379"/>
      <c r="QBK519" s="379"/>
      <c r="QBL519" s="379"/>
      <c r="QBM519" s="379"/>
      <c r="QBN519" s="379"/>
      <c r="QBO519" s="13"/>
      <c r="QBP519" s="13"/>
      <c r="QBQ519" s="193"/>
      <c r="QBR519" s="379"/>
      <c r="QBS519" s="379"/>
      <c r="QBT519" s="379"/>
      <c r="QBU519" s="379"/>
      <c r="QBV519" s="379"/>
      <c r="QBW519" s="13"/>
      <c r="QBX519" s="13"/>
      <c r="QBY519" s="193"/>
      <c r="QBZ519" s="379"/>
      <c r="QCA519" s="379"/>
      <c r="QCB519" s="379"/>
      <c r="QCC519" s="379"/>
      <c r="QCD519" s="379"/>
      <c r="QCE519" s="13"/>
      <c r="QCF519" s="13"/>
      <c r="QCG519" s="193"/>
      <c r="QCH519" s="379"/>
      <c r="QCI519" s="379"/>
      <c r="QCJ519" s="379"/>
      <c r="QCK519" s="379"/>
      <c r="QCL519" s="379"/>
      <c r="QCM519" s="13"/>
      <c r="QCN519" s="13"/>
      <c r="QCO519" s="193"/>
      <c r="QCP519" s="379"/>
      <c r="QCQ519" s="379"/>
      <c r="QCR519" s="379"/>
      <c r="QCS519" s="379"/>
      <c r="QCT519" s="379"/>
      <c r="QCU519" s="13"/>
      <c r="QCV519" s="13"/>
      <c r="QCW519" s="193"/>
      <c r="QCX519" s="379"/>
      <c r="QCY519" s="379"/>
      <c r="QCZ519" s="379"/>
      <c r="QDA519" s="379"/>
      <c r="QDB519" s="379"/>
      <c r="QDC519" s="13"/>
      <c r="QDD519" s="13"/>
      <c r="QDE519" s="193"/>
      <c r="QDF519" s="379"/>
      <c r="QDG519" s="379"/>
      <c r="QDH519" s="379"/>
      <c r="QDI519" s="379"/>
      <c r="QDJ519" s="379"/>
      <c r="QDK519" s="13"/>
      <c r="QDL519" s="13"/>
      <c r="QDM519" s="193"/>
      <c r="QDN519" s="379"/>
      <c r="QDO519" s="379"/>
      <c r="QDP519" s="379"/>
      <c r="QDQ519" s="379"/>
      <c r="QDR519" s="379"/>
      <c r="QDS519" s="13"/>
      <c r="QDT519" s="13"/>
      <c r="QDU519" s="193"/>
      <c r="QDV519" s="379"/>
      <c r="QDW519" s="379"/>
      <c r="QDX519" s="379"/>
      <c r="QDY519" s="379"/>
      <c r="QDZ519" s="379"/>
      <c r="QEA519" s="13"/>
      <c r="QEB519" s="13"/>
      <c r="QEC519" s="193"/>
      <c r="QED519" s="379"/>
      <c r="QEE519" s="379"/>
      <c r="QEF519" s="379"/>
      <c r="QEG519" s="379"/>
      <c r="QEH519" s="379"/>
      <c r="QEI519" s="13"/>
      <c r="QEJ519" s="13"/>
      <c r="QEK519" s="193"/>
      <c r="QEL519" s="379"/>
      <c r="QEM519" s="379"/>
      <c r="QEN519" s="379"/>
      <c r="QEO519" s="379"/>
      <c r="QEP519" s="379"/>
      <c r="QEQ519" s="13"/>
      <c r="QER519" s="13"/>
      <c r="QES519" s="193"/>
      <c r="QET519" s="379"/>
      <c r="QEU519" s="379"/>
      <c r="QEV519" s="379"/>
      <c r="QEW519" s="379"/>
      <c r="QEX519" s="379"/>
      <c r="QEY519" s="13"/>
      <c r="QEZ519" s="13"/>
      <c r="QFA519" s="193"/>
      <c r="QFB519" s="379"/>
      <c r="QFC519" s="379"/>
      <c r="QFD519" s="379"/>
      <c r="QFE519" s="379"/>
      <c r="QFF519" s="379"/>
      <c r="QFG519" s="13"/>
      <c r="QFH519" s="13"/>
      <c r="QFI519" s="193"/>
      <c r="QFJ519" s="379"/>
      <c r="QFK519" s="379"/>
      <c r="QFL519" s="379"/>
      <c r="QFM519" s="379"/>
      <c r="QFN519" s="379"/>
      <c r="QFO519" s="13"/>
      <c r="QFP519" s="13"/>
      <c r="QFQ519" s="193"/>
      <c r="QFR519" s="379"/>
      <c r="QFS519" s="379"/>
      <c r="QFT519" s="379"/>
      <c r="QFU519" s="379"/>
      <c r="QFV519" s="379"/>
      <c r="QFW519" s="13"/>
      <c r="QFX519" s="13"/>
      <c r="QFY519" s="193"/>
      <c r="QFZ519" s="379"/>
      <c r="QGA519" s="379"/>
      <c r="QGB519" s="379"/>
      <c r="QGC519" s="379"/>
      <c r="QGD519" s="379"/>
      <c r="QGE519" s="13"/>
      <c r="QGF519" s="13"/>
      <c r="QGG519" s="193"/>
      <c r="QGH519" s="379"/>
      <c r="QGI519" s="379"/>
      <c r="QGJ519" s="379"/>
      <c r="QGK519" s="379"/>
      <c r="QGL519" s="379"/>
      <c r="QGM519" s="13"/>
      <c r="QGN519" s="13"/>
      <c r="QGO519" s="193"/>
      <c r="QGP519" s="379"/>
      <c r="QGQ519" s="379"/>
      <c r="QGR519" s="379"/>
      <c r="QGS519" s="379"/>
      <c r="QGT519" s="379"/>
      <c r="QGU519" s="13"/>
      <c r="QGV519" s="13"/>
      <c r="QGW519" s="193"/>
      <c r="QGX519" s="379"/>
      <c r="QGY519" s="379"/>
      <c r="QGZ519" s="379"/>
      <c r="QHA519" s="379"/>
      <c r="QHB519" s="379"/>
      <c r="QHC519" s="13"/>
      <c r="QHD519" s="13"/>
      <c r="QHE519" s="193"/>
      <c r="QHF519" s="379"/>
      <c r="QHG519" s="379"/>
      <c r="QHH519" s="379"/>
      <c r="QHI519" s="379"/>
      <c r="QHJ519" s="379"/>
      <c r="QHK519" s="13"/>
      <c r="QHL519" s="13"/>
      <c r="QHM519" s="193"/>
      <c r="QHN519" s="379"/>
      <c r="QHO519" s="379"/>
      <c r="QHP519" s="379"/>
      <c r="QHQ519" s="379"/>
      <c r="QHR519" s="379"/>
      <c r="QHS519" s="13"/>
      <c r="QHT519" s="13"/>
      <c r="QHU519" s="193"/>
      <c r="QHV519" s="379"/>
      <c r="QHW519" s="379"/>
      <c r="QHX519" s="379"/>
      <c r="QHY519" s="379"/>
      <c r="QHZ519" s="379"/>
      <c r="QIA519" s="13"/>
      <c r="QIB519" s="13"/>
      <c r="QIC519" s="193"/>
      <c r="QID519" s="379"/>
      <c r="QIE519" s="379"/>
      <c r="QIF519" s="379"/>
      <c r="QIG519" s="379"/>
      <c r="QIH519" s="379"/>
      <c r="QII519" s="13"/>
      <c r="QIJ519" s="13"/>
      <c r="QIK519" s="193"/>
      <c r="QIL519" s="379"/>
      <c r="QIM519" s="379"/>
      <c r="QIN519" s="379"/>
      <c r="QIO519" s="379"/>
      <c r="QIP519" s="379"/>
      <c r="QIQ519" s="13"/>
      <c r="QIR519" s="13"/>
      <c r="QIS519" s="193"/>
      <c r="QIT519" s="379"/>
      <c r="QIU519" s="379"/>
      <c r="QIV519" s="379"/>
      <c r="QIW519" s="379"/>
      <c r="QIX519" s="379"/>
      <c r="QIY519" s="13"/>
      <c r="QIZ519" s="13"/>
      <c r="QJA519" s="193"/>
      <c r="QJB519" s="379"/>
      <c r="QJC519" s="379"/>
      <c r="QJD519" s="379"/>
      <c r="QJE519" s="379"/>
      <c r="QJF519" s="379"/>
      <c r="QJG519" s="13"/>
      <c r="QJH519" s="13"/>
      <c r="QJI519" s="193"/>
      <c r="QJJ519" s="379"/>
      <c r="QJK519" s="379"/>
      <c r="QJL519" s="379"/>
      <c r="QJM519" s="379"/>
      <c r="QJN519" s="379"/>
      <c r="QJO519" s="13"/>
      <c r="QJP519" s="13"/>
      <c r="QJQ519" s="193"/>
      <c r="QJR519" s="379"/>
      <c r="QJS519" s="379"/>
      <c r="QJT519" s="379"/>
      <c r="QJU519" s="379"/>
      <c r="QJV519" s="379"/>
      <c r="QJW519" s="13"/>
      <c r="QJX519" s="13"/>
      <c r="QJY519" s="193"/>
      <c r="QJZ519" s="379"/>
      <c r="QKA519" s="379"/>
      <c r="QKB519" s="379"/>
      <c r="QKC519" s="379"/>
      <c r="QKD519" s="379"/>
      <c r="QKE519" s="13"/>
      <c r="QKF519" s="13"/>
      <c r="QKG519" s="193"/>
      <c r="QKH519" s="379"/>
      <c r="QKI519" s="379"/>
      <c r="QKJ519" s="379"/>
      <c r="QKK519" s="379"/>
      <c r="QKL519" s="379"/>
      <c r="QKM519" s="13"/>
      <c r="QKN519" s="13"/>
      <c r="QKO519" s="193"/>
      <c r="QKP519" s="379"/>
      <c r="QKQ519" s="379"/>
      <c r="QKR519" s="379"/>
      <c r="QKS519" s="379"/>
      <c r="QKT519" s="379"/>
      <c r="QKU519" s="13"/>
      <c r="QKV519" s="13"/>
      <c r="QKW519" s="193"/>
      <c r="QKX519" s="379"/>
      <c r="QKY519" s="379"/>
      <c r="QKZ519" s="379"/>
      <c r="QLA519" s="379"/>
      <c r="QLB519" s="379"/>
      <c r="QLC519" s="13"/>
      <c r="QLD519" s="13"/>
      <c r="QLE519" s="193"/>
      <c r="QLF519" s="379"/>
      <c r="QLG519" s="379"/>
      <c r="QLH519" s="379"/>
      <c r="QLI519" s="379"/>
      <c r="QLJ519" s="379"/>
      <c r="QLK519" s="13"/>
      <c r="QLL519" s="13"/>
      <c r="QLM519" s="193"/>
      <c r="QLN519" s="379"/>
      <c r="QLO519" s="379"/>
      <c r="QLP519" s="379"/>
      <c r="QLQ519" s="379"/>
      <c r="QLR519" s="379"/>
      <c r="QLS519" s="13"/>
      <c r="QLT519" s="13"/>
      <c r="QLU519" s="193"/>
      <c r="QLV519" s="379"/>
      <c r="QLW519" s="379"/>
      <c r="QLX519" s="379"/>
      <c r="QLY519" s="379"/>
      <c r="QLZ519" s="379"/>
      <c r="QMA519" s="13"/>
      <c r="QMB519" s="13"/>
      <c r="QMC519" s="193"/>
      <c r="QMD519" s="379"/>
      <c r="QME519" s="379"/>
      <c r="QMF519" s="379"/>
      <c r="QMG519" s="379"/>
      <c r="QMH519" s="379"/>
      <c r="QMI519" s="13"/>
      <c r="QMJ519" s="13"/>
      <c r="QMK519" s="193"/>
      <c r="QML519" s="379"/>
      <c r="QMM519" s="379"/>
      <c r="QMN519" s="379"/>
      <c r="QMO519" s="379"/>
      <c r="QMP519" s="379"/>
      <c r="QMQ519" s="13"/>
      <c r="QMR519" s="13"/>
      <c r="QMS519" s="193"/>
      <c r="QMT519" s="379"/>
      <c r="QMU519" s="379"/>
      <c r="QMV519" s="379"/>
      <c r="QMW519" s="379"/>
      <c r="QMX519" s="379"/>
      <c r="QMY519" s="13"/>
      <c r="QMZ519" s="13"/>
      <c r="QNA519" s="193"/>
      <c r="QNB519" s="379"/>
      <c r="QNC519" s="379"/>
      <c r="QND519" s="379"/>
      <c r="QNE519" s="379"/>
      <c r="QNF519" s="379"/>
      <c r="QNG519" s="13"/>
      <c r="QNH519" s="13"/>
      <c r="QNI519" s="193"/>
      <c r="QNJ519" s="379"/>
      <c r="QNK519" s="379"/>
      <c r="QNL519" s="379"/>
      <c r="QNM519" s="379"/>
      <c r="QNN519" s="379"/>
      <c r="QNO519" s="13"/>
      <c r="QNP519" s="13"/>
      <c r="QNQ519" s="193"/>
      <c r="QNR519" s="379"/>
      <c r="QNS519" s="379"/>
      <c r="QNT519" s="379"/>
      <c r="QNU519" s="379"/>
      <c r="QNV519" s="379"/>
      <c r="QNW519" s="13"/>
      <c r="QNX519" s="13"/>
      <c r="QNY519" s="193"/>
      <c r="QNZ519" s="379"/>
      <c r="QOA519" s="379"/>
      <c r="QOB519" s="379"/>
      <c r="QOC519" s="379"/>
      <c r="QOD519" s="379"/>
      <c r="QOE519" s="13"/>
      <c r="QOF519" s="13"/>
      <c r="QOG519" s="193"/>
      <c r="QOH519" s="379"/>
      <c r="QOI519" s="379"/>
      <c r="QOJ519" s="379"/>
      <c r="QOK519" s="379"/>
      <c r="QOL519" s="379"/>
      <c r="QOM519" s="13"/>
      <c r="QON519" s="13"/>
      <c r="QOO519" s="193"/>
      <c r="QOP519" s="379"/>
      <c r="QOQ519" s="379"/>
      <c r="QOR519" s="379"/>
      <c r="QOS519" s="379"/>
      <c r="QOT519" s="379"/>
      <c r="QOU519" s="13"/>
      <c r="QOV519" s="13"/>
      <c r="QOW519" s="193"/>
      <c r="QOX519" s="379"/>
      <c r="QOY519" s="379"/>
      <c r="QOZ519" s="379"/>
      <c r="QPA519" s="379"/>
      <c r="QPB519" s="379"/>
      <c r="QPC519" s="13"/>
      <c r="QPD519" s="13"/>
      <c r="QPE519" s="193"/>
      <c r="QPF519" s="379"/>
      <c r="QPG519" s="379"/>
      <c r="QPH519" s="379"/>
      <c r="QPI519" s="379"/>
      <c r="QPJ519" s="379"/>
      <c r="QPK519" s="13"/>
      <c r="QPL519" s="13"/>
      <c r="QPM519" s="193"/>
      <c r="QPN519" s="379"/>
      <c r="QPO519" s="379"/>
      <c r="QPP519" s="379"/>
      <c r="QPQ519" s="379"/>
      <c r="QPR519" s="379"/>
      <c r="QPS519" s="13"/>
      <c r="QPT519" s="13"/>
      <c r="QPU519" s="193"/>
      <c r="QPV519" s="379"/>
      <c r="QPW519" s="379"/>
      <c r="QPX519" s="379"/>
      <c r="QPY519" s="379"/>
      <c r="QPZ519" s="379"/>
      <c r="QQA519" s="13"/>
      <c r="QQB519" s="13"/>
      <c r="QQC519" s="193"/>
      <c r="QQD519" s="379"/>
      <c r="QQE519" s="379"/>
      <c r="QQF519" s="379"/>
      <c r="QQG519" s="379"/>
      <c r="QQH519" s="379"/>
      <c r="QQI519" s="13"/>
      <c r="QQJ519" s="13"/>
      <c r="QQK519" s="193"/>
      <c r="QQL519" s="379"/>
      <c r="QQM519" s="379"/>
      <c r="QQN519" s="379"/>
      <c r="QQO519" s="379"/>
      <c r="QQP519" s="379"/>
      <c r="QQQ519" s="13"/>
      <c r="QQR519" s="13"/>
      <c r="QQS519" s="193"/>
      <c r="QQT519" s="379"/>
      <c r="QQU519" s="379"/>
      <c r="QQV519" s="379"/>
      <c r="QQW519" s="379"/>
      <c r="QQX519" s="379"/>
      <c r="QQY519" s="13"/>
      <c r="QQZ519" s="13"/>
      <c r="QRA519" s="193"/>
      <c r="QRB519" s="379"/>
      <c r="QRC519" s="379"/>
      <c r="QRD519" s="379"/>
      <c r="QRE519" s="379"/>
      <c r="QRF519" s="379"/>
      <c r="QRG519" s="13"/>
      <c r="QRH519" s="13"/>
      <c r="QRI519" s="193"/>
      <c r="QRJ519" s="379"/>
      <c r="QRK519" s="379"/>
      <c r="QRL519" s="379"/>
      <c r="QRM519" s="379"/>
      <c r="QRN519" s="379"/>
      <c r="QRO519" s="13"/>
      <c r="QRP519" s="13"/>
      <c r="QRQ519" s="193"/>
      <c r="QRR519" s="379"/>
      <c r="QRS519" s="379"/>
      <c r="QRT519" s="379"/>
      <c r="QRU519" s="379"/>
      <c r="QRV519" s="379"/>
      <c r="QRW519" s="13"/>
      <c r="QRX519" s="13"/>
      <c r="QRY519" s="193"/>
      <c r="QRZ519" s="379"/>
      <c r="QSA519" s="379"/>
      <c r="QSB519" s="379"/>
      <c r="QSC519" s="379"/>
      <c r="QSD519" s="379"/>
      <c r="QSE519" s="13"/>
      <c r="QSF519" s="13"/>
      <c r="QSG519" s="193"/>
      <c r="QSH519" s="379"/>
      <c r="QSI519" s="379"/>
      <c r="QSJ519" s="379"/>
      <c r="QSK519" s="379"/>
      <c r="QSL519" s="379"/>
      <c r="QSM519" s="13"/>
      <c r="QSN519" s="13"/>
      <c r="QSO519" s="193"/>
      <c r="QSP519" s="379"/>
      <c r="QSQ519" s="379"/>
      <c r="QSR519" s="379"/>
      <c r="QSS519" s="379"/>
      <c r="QST519" s="379"/>
      <c r="QSU519" s="13"/>
      <c r="QSV519" s="13"/>
      <c r="QSW519" s="193"/>
      <c r="QSX519" s="379"/>
      <c r="QSY519" s="379"/>
      <c r="QSZ519" s="379"/>
      <c r="QTA519" s="379"/>
      <c r="QTB519" s="379"/>
      <c r="QTC519" s="13"/>
      <c r="QTD519" s="13"/>
      <c r="QTE519" s="193"/>
      <c r="QTF519" s="379"/>
      <c r="QTG519" s="379"/>
      <c r="QTH519" s="379"/>
      <c r="QTI519" s="379"/>
      <c r="QTJ519" s="379"/>
      <c r="QTK519" s="13"/>
      <c r="QTL519" s="13"/>
      <c r="QTM519" s="193"/>
      <c r="QTN519" s="379"/>
      <c r="QTO519" s="379"/>
      <c r="QTP519" s="379"/>
      <c r="QTQ519" s="379"/>
      <c r="QTR519" s="379"/>
      <c r="QTS519" s="13"/>
      <c r="QTT519" s="13"/>
      <c r="QTU519" s="193"/>
      <c r="QTV519" s="379"/>
      <c r="QTW519" s="379"/>
      <c r="QTX519" s="379"/>
      <c r="QTY519" s="379"/>
      <c r="QTZ519" s="379"/>
      <c r="QUA519" s="13"/>
      <c r="QUB519" s="13"/>
      <c r="QUC519" s="193"/>
      <c r="QUD519" s="379"/>
      <c r="QUE519" s="379"/>
      <c r="QUF519" s="379"/>
      <c r="QUG519" s="379"/>
      <c r="QUH519" s="379"/>
      <c r="QUI519" s="13"/>
      <c r="QUJ519" s="13"/>
      <c r="QUK519" s="193"/>
      <c r="QUL519" s="379"/>
      <c r="QUM519" s="379"/>
      <c r="QUN519" s="379"/>
      <c r="QUO519" s="379"/>
      <c r="QUP519" s="379"/>
      <c r="QUQ519" s="13"/>
      <c r="QUR519" s="13"/>
      <c r="QUS519" s="193"/>
      <c r="QUT519" s="379"/>
      <c r="QUU519" s="379"/>
      <c r="QUV519" s="379"/>
      <c r="QUW519" s="379"/>
      <c r="QUX519" s="379"/>
      <c r="QUY519" s="13"/>
      <c r="QUZ519" s="13"/>
      <c r="QVA519" s="193"/>
      <c r="QVB519" s="379"/>
      <c r="QVC519" s="379"/>
      <c r="QVD519" s="379"/>
      <c r="QVE519" s="379"/>
      <c r="QVF519" s="379"/>
      <c r="QVG519" s="13"/>
      <c r="QVH519" s="13"/>
      <c r="QVI519" s="193"/>
      <c r="QVJ519" s="379"/>
      <c r="QVK519" s="379"/>
      <c r="QVL519" s="379"/>
      <c r="QVM519" s="379"/>
      <c r="QVN519" s="379"/>
      <c r="QVO519" s="13"/>
      <c r="QVP519" s="13"/>
      <c r="QVQ519" s="193"/>
      <c r="QVR519" s="379"/>
      <c r="QVS519" s="379"/>
      <c r="QVT519" s="379"/>
      <c r="QVU519" s="379"/>
      <c r="QVV519" s="379"/>
      <c r="QVW519" s="13"/>
      <c r="QVX519" s="13"/>
      <c r="QVY519" s="193"/>
      <c r="QVZ519" s="379"/>
      <c r="QWA519" s="379"/>
      <c r="QWB519" s="379"/>
      <c r="QWC519" s="379"/>
      <c r="QWD519" s="379"/>
      <c r="QWE519" s="13"/>
      <c r="QWF519" s="13"/>
      <c r="QWG519" s="193"/>
      <c r="QWH519" s="379"/>
      <c r="QWI519" s="379"/>
      <c r="QWJ519" s="379"/>
      <c r="QWK519" s="379"/>
      <c r="QWL519" s="379"/>
      <c r="QWM519" s="13"/>
      <c r="QWN519" s="13"/>
      <c r="QWO519" s="193"/>
      <c r="QWP519" s="379"/>
      <c r="QWQ519" s="379"/>
      <c r="QWR519" s="379"/>
      <c r="QWS519" s="379"/>
      <c r="QWT519" s="379"/>
      <c r="QWU519" s="13"/>
      <c r="QWV519" s="13"/>
      <c r="QWW519" s="193"/>
      <c r="QWX519" s="379"/>
      <c r="QWY519" s="379"/>
      <c r="QWZ519" s="379"/>
      <c r="QXA519" s="379"/>
      <c r="QXB519" s="379"/>
      <c r="QXC519" s="13"/>
      <c r="QXD519" s="13"/>
      <c r="QXE519" s="193"/>
      <c r="QXF519" s="379"/>
      <c r="QXG519" s="379"/>
      <c r="QXH519" s="379"/>
      <c r="QXI519" s="379"/>
      <c r="QXJ519" s="379"/>
      <c r="QXK519" s="13"/>
      <c r="QXL519" s="13"/>
      <c r="QXM519" s="193"/>
      <c r="QXN519" s="379"/>
      <c r="QXO519" s="379"/>
      <c r="QXP519" s="379"/>
      <c r="QXQ519" s="379"/>
      <c r="QXR519" s="379"/>
      <c r="QXS519" s="13"/>
      <c r="QXT519" s="13"/>
      <c r="QXU519" s="193"/>
      <c r="QXV519" s="379"/>
      <c r="QXW519" s="379"/>
      <c r="QXX519" s="379"/>
      <c r="QXY519" s="379"/>
      <c r="QXZ519" s="379"/>
      <c r="QYA519" s="13"/>
      <c r="QYB519" s="13"/>
      <c r="QYC519" s="193"/>
      <c r="QYD519" s="379"/>
      <c r="QYE519" s="379"/>
      <c r="QYF519" s="379"/>
      <c r="QYG519" s="379"/>
      <c r="QYH519" s="379"/>
      <c r="QYI519" s="13"/>
      <c r="QYJ519" s="13"/>
      <c r="QYK519" s="193"/>
      <c r="QYL519" s="379"/>
      <c r="QYM519" s="379"/>
      <c r="QYN519" s="379"/>
      <c r="QYO519" s="379"/>
      <c r="QYP519" s="379"/>
      <c r="QYQ519" s="13"/>
      <c r="QYR519" s="13"/>
      <c r="QYS519" s="193"/>
      <c r="QYT519" s="379"/>
      <c r="QYU519" s="379"/>
      <c r="QYV519" s="379"/>
      <c r="QYW519" s="379"/>
      <c r="QYX519" s="379"/>
      <c r="QYY519" s="13"/>
      <c r="QYZ519" s="13"/>
      <c r="QZA519" s="193"/>
      <c r="QZB519" s="379"/>
      <c r="QZC519" s="379"/>
      <c r="QZD519" s="379"/>
      <c r="QZE519" s="379"/>
      <c r="QZF519" s="379"/>
      <c r="QZG519" s="13"/>
      <c r="QZH519" s="13"/>
      <c r="QZI519" s="193"/>
      <c r="QZJ519" s="379"/>
      <c r="QZK519" s="379"/>
      <c r="QZL519" s="379"/>
      <c r="QZM519" s="379"/>
      <c r="QZN519" s="379"/>
      <c r="QZO519" s="13"/>
      <c r="QZP519" s="13"/>
      <c r="QZQ519" s="193"/>
      <c r="QZR519" s="379"/>
      <c r="QZS519" s="379"/>
      <c r="QZT519" s="379"/>
      <c r="QZU519" s="379"/>
      <c r="QZV519" s="379"/>
      <c r="QZW519" s="13"/>
      <c r="QZX519" s="13"/>
      <c r="QZY519" s="193"/>
      <c r="QZZ519" s="379"/>
      <c r="RAA519" s="379"/>
      <c r="RAB519" s="379"/>
      <c r="RAC519" s="379"/>
      <c r="RAD519" s="379"/>
      <c r="RAE519" s="13"/>
      <c r="RAF519" s="13"/>
      <c r="RAG519" s="193"/>
      <c r="RAH519" s="379"/>
      <c r="RAI519" s="379"/>
      <c r="RAJ519" s="379"/>
      <c r="RAK519" s="379"/>
      <c r="RAL519" s="379"/>
      <c r="RAM519" s="13"/>
      <c r="RAN519" s="13"/>
      <c r="RAO519" s="193"/>
      <c r="RAP519" s="379"/>
      <c r="RAQ519" s="379"/>
      <c r="RAR519" s="379"/>
      <c r="RAS519" s="379"/>
      <c r="RAT519" s="379"/>
      <c r="RAU519" s="13"/>
      <c r="RAV519" s="13"/>
      <c r="RAW519" s="193"/>
      <c r="RAX519" s="379"/>
      <c r="RAY519" s="379"/>
      <c r="RAZ519" s="379"/>
      <c r="RBA519" s="379"/>
      <c r="RBB519" s="379"/>
      <c r="RBC519" s="13"/>
      <c r="RBD519" s="13"/>
      <c r="RBE519" s="193"/>
      <c r="RBF519" s="379"/>
      <c r="RBG519" s="379"/>
      <c r="RBH519" s="379"/>
      <c r="RBI519" s="379"/>
      <c r="RBJ519" s="379"/>
      <c r="RBK519" s="13"/>
      <c r="RBL519" s="13"/>
      <c r="RBM519" s="193"/>
      <c r="RBN519" s="379"/>
      <c r="RBO519" s="379"/>
      <c r="RBP519" s="379"/>
      <c r="RBQ519" s="379"/>
      <c r="RBR519" s="379"/>
      <c r="RBS519" s="13"/>
      <c r="RBT519" s="13"/>
      <c r="RBU519" s="193"/>
      <c r="RBV519" s="379"/>
      <c r="RBW519" s="379"/>
      <c r="RBX519" s="379"/>
      <c r="RBY519" s="379"/>
      <c r="RBZ519" s="379"/>
      <c r="RCA519" s="13"/>
      <c r="RCB519" s="13"/>
      <c r="RCC519" s="193"/>
      <c r="RCD519" s="379"/>
      <c r="RCE519" s="379"/>
      <c r="RCF519" s="379"/>
      <c r="RCG519" s="379"/>
      <c r="RCH519" s="379"/>
      <c r="RCI519" s="13"/>
      <c r="RCJ519" s="13"/>
      <c r="RCK519" s="193"/>
      <c r="RCL519" s="379"/>
      <c r="RCM519" s="379"/>
      <c r="RCN519" s="379"/>
      <c r="RCO519" s="379"/>
      <c r="RCP519" s="379"/>
      <c r="RCQ519" s="13"/>
      <c r="RCR519" s="13"/>
      <c r="RCS519" s="193"/>
      <c r="RCT519" s="379"/>
      <c r="RCU519" s="379"/>
      <c r="RCV519" s="379"/>
      <c r="RCW519" s="379"/>
      <c r="RCX519" s="379"/>
      <c r="RCY519" s="13"/>
      <c r="RCZ519" s="13"/>
      <c r="RDA519" s="193"/>
      <c r="RDB519" s="379"/>
      <c r="RDC519" s="379"/>
      <c r="RDD519" s="379"/>
      <c r="RDE519" s="379"/>
      <c r="RDF519" s="379"/>
      <c r="RDG519" s="13"/>
      <c r="RDH519" s="13"/>
      <c r="RDI519" s="193"/>
      <c r="RDJ519" s="379"/>
      <c r="RDK519" s="379"/>
      <c r="RDL519" s="379"/>
      <c r="RDM519" s="379"/>
      <c r="RDN519" s="379"/>
      <c r="RDO519" s="13"/>
      <c r="RDP519" s="13"/>
      <c r="RDQ519" s="193"/>
      <c r="RDR519" s="379"/>
      <c r="RDS519" s="379"/>
      <c r="RDT519" s="379"/>
      <c r="RDU519" s="379"/>
      <c r="RDV519" s="379"/>
      <c r="RDW519" s="13"/>
      <c r="RDX519" s="13"/>
      <c r="RDY519" s="193"/>
      <c r="RDZ519" s="379"/>
      <c r="REA519" s="379"/>
      <c r="REB519" s="379"/>
      <c r="REC519" s="379"/>
      <c r="RED519" s="379"/>
      <c r="REE519" s="13"/>
      <c r="REF519" s="13"/>
      <c r="REG519" s="193"/>
      <c r="REH519" s="379"/>
      <c r="REI519" s="379"/>
      <c r="REJ519" s="379"/>
      <c r="REK519" s="379"/>
      <c r="REL519" s="379"/>
      <c r="REM519" s="13"/>
      <c r="REN519" s="13"/>
      <c r="REO519" s="193"/>
      <c r="REP519" s="379"/>
      <c r="REQ519" s="379"/>
      <c r="RER519" s="379"/>
      <c r="RES519" s="379"/>
      <c r="RET519" s="379"/>
      <c r="REU519" s="13"/>
      <c r="REV519" s="13"/>
      <c r="REW519" s="193"/>
      <c r="REX519" s="379"/>
      <c r="REY519" s="379"/>
      <c r="REZ519" s="379"/>
      <c r="RFA519" s="379"/>
      <c r="RFB519" s="379"/>
      <c r="RFC519" s="13"/>
      <c r="RFD519" s="13"/>
      <c r="RFE519" s="193"/>
      <c r="RFF519" s="379"/>
      <c r="RFG519" s="379"/>
      <c r="RFH519" s="379"/>
      <c r="RFI519" s="379"/>
      <c r="RFJ519" s="379"/>
      <c r="RFK519" s="13"/>
      <c r="RFL519" s="13"/>
      <c r="RFM519" s="193"/>
      <c r="RFN519" s="379"/>
      <c r="RFO519" s="379"/>
      <c r="RFP519" s="379"/>
      <c r="RFQ519" s="379"/>
      <c r="RFR519" s="379"/>
      <c r="RFS519" s="13"/>
      <c r="RFT519" s="13"/>
      <c r="RFU519" s="193"/>
      <c r="RFV519" s="379"/>
      <c r="RFW519" s="379"/>
      <c r="RFX519" s="379"/>
      <c r="RFY519" s="379"/>
      <c r="RFZ519" s="379"/>
      <c r="RGA519" s="13"/>
      <c r="RGB519" s="13"/>
      <c r="RGC519" s="193"/>
      <c r="RGD519" s="379"/>
      <c r="RGE519" s="379"/>
      <c r="RGF519" s="379"/>
      <c r="RGG519" s="379"/>
      <c r="RGH519" s="379"/>
      <c r="RGI519" s="13"/>
      <c r="RGJ519" s="13"/>
      <c r="RGK519" s="193"/>
      <c r="RGL519" s="379"/>
      <c r="RGM519" s="379"/>
      <c r="RGN519" s="379"/>
      <c r="RGO519" s="379"/>
      <c r="RGP519" s="379"/>
      <c r="RGQ519" s="13"/>
      <c r="RGR519" s="13"/>
      <c r="RGS519" s="193"/>
      <c r="RGT519" s="379"/>
      <c r="RGU519" s="379"/>
      <c r="RGV519" s="379"/>
      <c r="RGW519" s="379"/>
      <c r="RGX519" s="379"/>
      <c r="RGY519" s="13"/>
      <c r="RGZ519" s="13"/>
      <c r="RHA519" s="193"/>
      <c r="RHB519" s="379"/>
      <c r="RHC519" s="379"/>
      <c r="RHD519" s="379"/>
      <c r="RHE519" s="379"/>
      <c r="RHF519" s="379"/>
      <c r="RHG519" s="13"/>
      <c r="RHH519" s="13"/>
      <c r="RHI519" s="193"/>
      <c r="RHJ519" s="379"/>
      <c r="RHK519" s="379"/>
      <c r="RHL519" s="379"/>
      <c r="RHM519" s="379"/>
      <c r="RHN519" s="379"/>
      <c r="RHO519" s="13"/>
      <c r="RHP519" s="13"/>
      <c r="RHQ519" s="193"/>
      <c r="RHR519" s="379"/>
      <c r="RHS519" s="379"/>
      <c r="RHT519" s="379"/>
      <c r="RHU519" s="379"/>
      <c r="RHV519" s="379"/>
      <c r="RHW519" s="13"/>
      <c r="RHX519" s="13"/>
      <c r="RHY519" s="193"/>
      <c r="RHZ519" s="379"/>
      <c r="RIA519" s="379"/>
      <c r="RIB519" s="379"/>
      <c r="RIC519" s="379"/>
      <c r="RID519" s="379"/>
      <c r="RIE519" s="13"/>
      <c r="RIF519" s="13"/>
      <c r="RIG519" s="193"/>
      <c r="RIH519" s="379"/>
      <c r="RII519" s="379"/>
      <c r="RIJ519" s="379"/>
      <c r="RIK519" s="379"/>
      <c r="RIL519" s="379"/>
      <c r="RIM519" s="13"/>
      <c r="RIN519" s="13"/>
      <c r="RIO519" s="193"/>
      <c r="RIP519" s="379"/>
      <c r="RIQ519" s="379"/>
      <c r="RIR519" s="379"/>
      <c r="RIS519" s="379"/>
      <c r="RIT519" s="379"/>
      <c r="RIU519" s="13"/>
      <c r="RIV519" s="13"/>
      <c r="RIW519" s="193"/>
      <c r="RIX519" s="379"/>
      <c r="RIY519" s="379"/>
      <c r="RIZ519" s="379"/>
      <c r="RJA519" s="379"/>
      <c r="RJB519" s="379"/>
      <c r="RJC519" s="13"/>
      <c r="RJD519" s="13"/>
      <c r="RJE519" s="193"/>
      <c r="RJF519" s="379"/>
      <c r="RJG519" s="379"/>
      <c r="RJH519" s="379"/>
      <c r="RJI519" s="379"/>
      <c r="RJJ519" s="379"/>
      <c r="RJK519" s="13"/>
      <c r="RJL519" s="13"/>
      <c r="RJM519" s="193"/>
      <c r="RJN519" s="379"/>
      <c r="RJO519" s="379"/>
      <c r="RJP519" s="379"/>
      <c r="RJQ519" s="379"/>
      <c r="RJR519" s="379"/>
      <c r="RJS519" s="13"/>
      <c r="RJT519" s="13"/>
      <c r="RJU519" s="193"/>
      <c r="RJV519" s="379"/>
      <c r="RJW519" s="379"/>
      <c r="RJX519" s="379"/>
      <c r="RJY519" s="379"/>
      <c r="RJZ519" s="379"/>
      <c r="RKA519" s="13"/>
      <c r="RKB519" s="13"/>
      <c r="RKC519" s="193"/>
      <c r="RKD519" s="379"/>
      <c r="RKE519" s="379"/>
      <c r="RKF519" s="379"/>
      <c r="RKG519" s="379"/>
      <c r="RKH519" s="379"/>
      <c r="RKI519" s="13"/>
      <c r="RKJ519" s="13"/>
      <c r="RKK519" s="193"/>
      <c r="RKL519" s="379"/>
      <c r="RKM519" s="379"/>
      <c r="RKN519" s="379"/>
      <c r="RKO519" s="379"/>
      <c r="RKP519" s="379"/>
      <c r="RKQ519" s="13"/>
      <c r="RKR519" s="13"/>
      <c r="RKS519" s="193"/>
      <c r="RKT519" s="379"/>
      <c r="RKU519" s="379"/>
      <c r="RKV519" s="379"/>
      <c r="RKW519" s="379"/>
      <c r="RKX519" s="379"/>
      <c r="RKY519" s="13"/>
      <c r="RKZ519" s="13"/>
      <c r="RLA519" s="193"/>
      <c r="RLB519" s="379"/>
      <c r="RLC519" s="379"/>
      <c r="RLD519" s="379"/>
      <c r="RLE519" s="379"/>
      <c r="RLF519" s="379"/>
      <c r="RLG519" s="13"/>
      <c r="RLH519" s="13"/>
      <c r="RLI519" s="193"/>
      <c r="RLJ519" s="379"/>
      <c r="RLK519" s="379"/>
      <c r="RLL519" s="379"/>
      <c r="RLM519" s="379"/>
      <c r="RLN519" s="379"/>
      <c r="RLO519" s="13"/>
      <c r="RLP519" s="13"/>
      <c r="RLQ519" s="193"/>
      <c r="RLR519" s="379"/>
      <c r="RLS519" s="379"/>
      <c r="RLT519" s="379"/>
      <c r="RLU519" s="379"/>
      <c r="RLV519" s="379"/>
      <c r="RLW519" s="13"/>
      <c r="RLX519" s="13"/>
      <c r="RLY519" s="193"/>
      <c r="RLZ519" s="379"/>
      <c r="RMA519" s="379"/>
      <c r="RMB519" s="379"/>
      <c r="RMC519" s="379"/>
      <c r="RMD519" s="379"/>
      <c r="RME519" s="13"/>
      <c r="RMF519" s="13"/>
      <c r="RMG519" s="193"/>
      <c r="RMH519" s="379"/>
      <c r="RMI519" s="379"/>
      <c r="RMJ519" s="379"/>
      <c r="RMK519" s="379"/>
      <c r="RML519" s="379"/>
      <c r="RMM519" s="13"/>
      <c r="RMN519" s="13"/>
      <c r="RMO519" s="193"/>
      <c r="RMP519" s="379"/>
      <c r="RMQ519" s="379"/>
      <c r="RMR519" s="379"/>
      <c r="RMS519" s="379"/>
      <c r="RMT519" s="379"/>
      <c r="RMU519" s="13"/>
      <c r="RMV519" s="13"/>
      <c r="RMW519" s="193"/>
      <c r="RMX519" s="379"/>
      <c r="RMY519" s="379"/>
      <c r="RMZ519" s="379"/>
      <c r="RNA519" s="379"/>
      <c r="RNB519" s="379"/>
      <c r="RNC519" s="13"/>
      <c r="RND519" s="13"/>
      <c r="RNE519" s="193"/>
      <c r="RNF519" s="379"/>
      <c r="RNG519" s="379"/>
      <c r="RNH519" s="379"/>
      <c r="RNI519" s="379"/>
      <c r="RNJ519" s="379"/>
      <c r="RNK519" s="13"/>
      <c r="RNL519" s="13"/>
      <c r="RNM519" s="193"/>
      <c r="RNN519" s="379"/>
      <c r="RNO519" s="379"/>
      <c r="RNP519" s="379"/>
      <c r="RNQ519" s="379"/>
      <c r="RNR519" s="379"/>
      <c r="RNS519" s="13"/>
      <c r="RNT519" s="13"/>
      <c r="RNU519" s="193"/>
      <c r="RNV519" s="379"/>
      <c r="RNW519" s="379"/>
      <c r="RNX519" s="379"/>
      <c r="RNY519" s="379"/>
      <c r="RNZ519" s="379"/>
      <c r="ROA519" s="13"/>
      <c r="ROB519" s="13"/>
      <c r="ROC519" s="193"/>
      <c r="ROD519" s="379"/>
      <c r="ROE519" s="379"/>
      <c r="ROF519" s="379"/>
      <c r="ROG519" s="379"/>
      <c r="ROH519" s="379"/>
      <c r="ROI519" s="13"/>
      <c r="ROJ519" s="13"/>
      <c r="ROK519" s="193"/>
      <c r="ROL519" s="379"/>
      <c r="ROM519" s="379"/>
      <c r="RON519" s="379"/>
      <c r="ROO519" s="379"/>
      <c r="ROP519" s="379"/>
      <c r="ROQ519" s="13"/>
      <c r="ROR519" s="13"/>
      <c r="ROS519" s="193"/>
      <c r="ROT519" s="379"/>
      <c r="ROU519" s="379"/>
      <c r="ROV519" s="379"/>
      <c r="ROW519" s="379"/>
      <c r="ROX519" s="379"/>
      <c r="ROY519" s="13"/>
      <c r="ROZ519" s="13"/>
      <c r="RPA519" s="193"/>
      <c r="RPB519" s="379"/>
      <c r="RPC519" s="379"/>
      <c r="RPD519" s="379"/>
      <c r="RPE519" s="379"/>
      <c r="RPF519" s="379"/>
      <c r="RPG519" s="13"/>
      <c r="RPH519" s="13"/>
      <c r="RPI519" s="193"/>
      <c r="RPJ519" s="379"/>
      <c r="RPK519" s="379"/>
      <c r="RPL519" s="379"/>
      <c r="RPM519" s="379"/>
      <c r="RPN519" s="379"/>
      <c r="RPO519" s="13"/>
      <c r="RPP519" s="13"/>
      <c r="RPQ519" s="193"/>
      <c r="RPR519" s="379"/>
      <c r="RPS519" s="379"/>
      <c r="RPT519" s="379"/>
      <c r="RPU519" s="379"/>
      <c r="RPV519" s="379"/>
      <c r="RPW519" s="13"/>
      <c r="RPX519" s="13"/>
      <c r="RPY519" s="193"/>
      <c r="RPZ519" s="379"/>
      <c r="RQA519" s="379"/>
      <c r="RQB519" s="379"/>
      <c r="RQC519" s="379"/>
      <c r="RQD519" s="379"/>
      <c r="RQE519" s="13"/>
      <c r="RQF519" s="13"/>
      <c r="RQG519" s="193"/>
      <c r="RQH519" s="379"/>
      <c r="RQI519" s="379"/>
      <c r="RQJ519" s="379"/>
      <c r="RQK519" s="379"/>
      <c r="RQL519" s="379"/>
      <c r="RQM519" s="13"/>
      <c r="RQN519" s="13"/>
      <c r="RQO519" s="193"/>
      <c r="RQP519" s="379"/>
      <c r="RQQ519" s="379"/>
      <c r="RQR519" s="379"/>
      <c r="RQS519" s="379"/>
      <c r="RQT519" s="379"/>
      <c r="RQU519" s="13"/>
      <c r="RQV519" s="13"/>
      <c r="RQW519" s="193"/>
      <c r="RQX519" s="379"/>
      <c r="RQY519" s="379"/>
      <c r="RQZ519" s="379"/>
      <c r="RRA519" s="379"/>
      <c r="RRB519" s="379"/>
      <c r="RRC519" s="13"/>
      <c r="RRD519" s="13"/>
      <c r="RRE519" s="193"/>
      <c r="RRF519" s="379"/>
      <c r="RRG519" s="379"/>
      <c r="RRH519" s="379"/>
      <c r="RRI519" s="379"/>
      <c r="RRJ519" s="379"/>
      <c r="RRK519" s="13"/>
      <c r="RRL519" s="13"/>
      <c r="RRM519" s="193"/>
      <c r="RRN519" s="379"/>
      <c r="RRO519" s="379"/>
      <c r="RRP519" s="379"/>
      <c r="RRQ519" s="379"/>
      <c r="RRR519" s="379"/>
      <c r="RRS519" s="13"/>
      <c r="RRT519" s="13"/>
      <c r="RRU519" s="193"/>
      <c r="RRV519" s="379"/>
      <c r="RRW519" s="379"/>
      <c r="RRX519" s="379"/>
      <c r="RRY519" s="379"/>
      <c r="RRZ519" s="379"/>
      <c r="RSA519" s="13"/>
      <c r="RSB519" s="13"/>
      <c r="RSC519" s="193"/>
      <c r="RSD519" s="379"/>
      <c r="RSE519" s="379"/>
      <c r="RSF519" s="379"/>
      <c r="RSG519" s="379"/>
      <c r="RSH519" s="379"/>
      <c r="RSI519" s="13"/>
      <c r="RSJ519" s="13"/>
      <c r="RSK519" s="193"/>
      <c r="RSL519" s="379"/>
      <c r="RSM519" s="379"/>
      <c r="RSN519" s="379"/>
      <c r="RSO519" s="379"/>
      <c r="RSP519" s="379"/>
      <c r="RSQ519" s="13"/>
      <c r="RSR519" s="13"/>
      <c r="RSS519" s="193"/>
      <c r="RST519" s="379"/>
      <c r="RSU519" s="379"/>
      <c r="RSV519" s="379"/>
      <c r="RSW519" s="379"/>
      <c r="RSX519" s="379"/>
      <c r="RSY519" s="13"/>
      <c r="RSZ519" s="13"/>
      <c r="RTA519" s="193"/>
      <c r="RTB519" s="379"/>
      <c r="RTC519" s="379"/>
      <c r="RTD519" s="379"/>
      <c r="RTE519" s="379"/>
      <c r="RTF519" s="379"/>
      <c r="RTG519" s="13"/>
      <c r="RTH519" s="13"/>
      <c r="RTI519" s="193"/>
      <c r="RTJ519" s="379"/>
      <c r="RTK519" s="379"/>
      <c r="RTL519" s="379"/>
      <c r="RTM519" s="379"/>
      <c r="RTN519" s="379"/>
      <c r="RTO519" s="13"/>
      <c r="RTP519" s="13"/>
      <c r="RTQ519" s="193"/>
      <c r="RTR519" s="379"/>
      <c r="RTS519" s="379"/>
      <c r="RTT519" s="379"/>
      <c r="RTU519" s="379"/>
      <c r="RTV519" s="379"/>
      <c r="RTW519" s="13"/>
      <c r="RTX519" s="13"/>
      <c r="RTY519" s="193"/>
      <c r="RTZ519" s="379"/>
      <c r="RUA519" s="379"/>
      <c r="RUB519" s="379"/>
      <c r="RUC519" s="379"/>
      <c r="RUD519" s="379"/>
      <c r="RUE519" s="13"/>
      <c r="RUF519" s="13"/>
      <c r="RUG519" s="193"/>
      <c r="RUH519" s="379"/>
      <c r="RUI519" s="379"/>
      <c r="RUJ519" s="379"/>
      <c r="RUK519" s="379"/>
      <c r="RUL519" s="379"/>
      <c r="RUM519" s="13"/>
      <c r="RUN519" s="13"/>
      <c r="RUO519" s="193"/>
      <c r="RUP519" s="379"/>
      <c r="RUQ519" s="379"/>
      <c r="RUR519" s="379"/>
      <c r="RUS519" s="379"/>
      <c r="RUT519" s="379"/>
      <c r="RUU519" s="13"/>
      <c r="RUV519" s="13"/>
      <c r="RUW519" s="193"/>
      <c r="RUX519" s="379"/>
      <c r="RUY519" s="379"/>
      <c r="RUZ519" s="379"/>
      <c r="RVA519" s="379"/>
      <c r="RVB519" s="379"/>
      <c r="RVC519" s="13"/>
      <c r="RVD519" s="13"/>
      <c r="RVE519" s="193"/>
      <c r="RVF519" s="379"/>
      <c r="RVG519" s="379"/>
      <c r="RVH519" s="379"/>
      <c r="RVI519" s="379"/>
      <c r="RVJ519" s="379"/>
      <c r="RVK519" s="13"/>
      <c r="RVL519" s="13"/>
      <c r="RVM519" s="193"/>
      <c r="RVN519" s="379"/>
      <c r="RVO519" s="379"/>
      <c r="RVP519" s="379"/>
      <c r="RVQ519" s="379"/>
      <c r="RVR519" s="379"/>
      <c r="RVS519" s="13"/>
      <c r="RVT519" s="13"/>
      <c r="RVU519" s="193"/>
      <c r="RVV519" s="379"/>
      <c r="RVW519" s="379"/>
      <c r="RVX519" s="379"/>
      <c r="RVY519" s="379"/>
      <c r="RVZ519" s="379"/>
      <c r="RWA519" s="13"/>
      <c r="RWB519" s="13"/>
      <c r="RWC519" s="193"/>
      <c r="RWD519" s="379"/>
      <c r="RWE519" s="379"/>
      <c r="RWF519" s="379"/>
      <c r="RWG519" s="379"/>
      <c r="RWH519" s="379"/>
      <c r="RWI519" s="13"/>
      <c r="RWJ519" s="13"/>
      <c r="RWK519" s="193"/>
      <c r="RWL519" s="379"/>
      <c r="RWM519" s="379"/>
      <c r="RWN519" s="379"/>
      <c r="RWO519" s="379"/>
      <c r="RWP519" s="379"/>
      <c r="RWQ519" s="13"/>
      <c r="RWR519" s="13"/>
      <c r="RWS519" s="193"/>
      <c r="RWT519" s="379"/>
      <c r="RWU519" s="379"/>
      <c r="RWV519" s="379"/>
      <c r="RWW519" s="379"/>
      <c r="RWX519" s="379"/>
      <c r="RWY519" s="13"/>
      <c r="RWZ519" s="13"/>
      <c r="RXA519" s="193"/>
      <c r="RXB519" s="379"/>
      <c r="RXC519" s="379"/>
      <c r="RXD519" s="379"/>
      <c r="RXE519" s="379"/>
      <c r="RXF519" s="379"/>
      <c r="RXG519" s="13"/>
      <c r="RXH519" s="13"/>
      <c r="RXI519" s="193"/>
      <c r="RXJ519" s="379"/>
      <c r="RXK519" s="379"/>
      <c r="RXL519" s="379"/>
      <c r="RXM519" s="379"/>
      <c r="RXN519" s="379"/>
      <c r="RXO519" s="13"/>
      <c r="RXP519" s="13"/>
      <c r="RXQ519" s="193"/>
      <c r="RXR519" s="379"/>
      <c r="RXS519" s="379"/>
      <c r="RXT519" s="379"/>
      <c r="RXU519" s="379"/>
      <c r="RXV519" s="379"/>
      <c r="RXW519" s="13"/>
      <c r="RXX519" s="13"/>
      <c r="RXY519" s="193"/>
      <c r="RXZ519" s="379"/>
      <c r="RYA519" s="379"/>
      <c r="RYB519" s="379"/>
      <c r="RYC519" s="379"/>
      <c r="RYD519" s="379"/>
      <c r="RYE519" s="13"/>
      <c r="RYF519" s="13"/>
      <c r="RYG519" s="193"/>
      <c r="RYH519" s="379"/>
      <c r="RYI519" s="379"/>
      <c r="RYJ519" s="379"/>
      <c r="RYK519" s="379"/>
      <c r="RYL519" s="379"/>
      <c r="RYM519" s="13"/>
      <c r="RYN519" s="13"/>
      <c r="RYO519" s="193"/>
      <c r="RYP519" s="379"/>
      <c r="RYQ519" s="379"/>
      <c r="RYR519" s="379"/>
      <c r="RYS519" s="379"/>
      <c r="RYT519" s="379"/>
      <c r="RYU519" s="13"/>
      <c r="RYV519" s="13"/>
      <c r="RYW519" s="193"/>
      <c r="RYX519" s="379"/>
      <c r="RYY519" s="379"/>
      <c r="RYZ519" s="379"/>
      <c r="RZA519" s="379"/>
      <c r="RZB519" s="379"/>
      <c r="RZC519" s="13"/>
      <c r="RZD519" s="13"/>
      <c r="RZE519" s="193"/>
      <c r="RZF519" s="379"/>
      <c r="RZG519" s="379"/>
      <c r="RZH519" s="379"/>
      <c r="RZI519" s="379"/>
      <c r="RZJ519" s="379"/>
      <c r="RZK519" s="13"/>
      <c r="RZL519" s="13"/>
      <c r="RZM519" s="193"/>
      <c r="RZN519" s="379"/>
      <c r="RZO519" s="379"/>
      <c r="RZP519" s="379"/>
      <c r="RZQ519" s="379"/>
      <c r="RZR519" s="379"/>
      <c r="RZS519" s="13"/>
      <c r="RZT519" s="13"/>
      <c r="RZU519" s="193"/>
      <c r="RZV519" s="379"/>
      <c r="RZW519" s="379"/>
      <c r="RZX519" s="379"/>
      <c r="RZY519" s="379"/>
      <c r="RZZ519" s="379"/>
      <c r="SAA519" s="13"/>
      <c r="SAB519" s="13"/>
      <c r="SAC519" s="193"/>
      <c r="SAD519" s="379"/>
      <c r="SAE519" s="379"/>
      <c r="SAF519" s="379"/>
      <c r="SAG519" s="379"/>
      <c r="SAH519" s="379"/>
      <c r="SAI519" s="13"/>
      <c r="SAJ519" s="13"/>
      <c r="SAK519" s="193"/>
      <c r="SAL519" s="379"/>
      <c r="SAM519" s="379"/>
      <c r="SAN519" s="379"/>
      <c r="SAO519" s="379"/>
      <c r="SAP519" s="379"/>
      <c r="SAQ519" s="13"/>
      <c r="SAR519" s="13"/>
      <c r="SAS519" s="193"/>
      <c r="SAT519" s="379"/>
      <c r="SAU519" s="379"/>
      <c r="SAV519" s="379"/>
      <c r="SAW519" s="379"/>
      <c r="SAX519" s="379"/>
      <c r="SAY519" s="13"/>
      <c r="SAZ519" s="13"/>
      <c r="SBA519" s="193"/>
      <c r="SBB519" s="379"/>
      <c r="SBC519" s="379"/>
      <c r="SBD519" s="379"/>
      <c r="SBE519" s="379"/>
      <c r="SBF519" s="379"/>
      <c r="SBG519" s="13"/>
      <c r="SBH519" s="13"/>
      <c r="SBI519" s="193"/>
      <c r="SBJ519" s="379"/>
      <c r="SBK519" s="379"/>
      <c r="SBL519" s="379"/>
      <c r="SBM519" s="379"/>
      <c r="SBN519" s="379"/>
      <c r="SBO519" s="13"/>
      <c r="SBP519" s="13"/>
      <c r="SBQ519" s="193"/>
      <c r="SBR519" s="379"/>
      <c r="SBS519" s="379"/>
      <c r="SBT519" s="379"/>
      <c r="SBU519" s="379"/>
      <c r="SBV519" s="379"/>
      <c r="SBW519" s="13"/>
      <c r="SBX519" s="13"/>
      <c r="SBY519" s="193"/>
      <c r="SBZ519" s="379"/>
      <c r="SCA519" s="379"/>
      <c r="SCB519" s="379"/>
      <c r="SCC519" s="379"/>
      <c r="SCD519" s="379"/>
      <c r="SCE519" s="13"/>
      <c r="SCF519" s="13"/>
      <c r="SCG519" s="193"/>
      <c r="SCH519" s="379"/>
      <c r="SCI519" s="379"/>
      <c r="SCJ519" s="379"/>
      <c r="SCK519" s="379"/>
      <c r="SCL519" s="379"/>
      <c r="SCM519" s="13"/>
      <c r="SCN519" s="13"/>
      <c r="SCO519" s="193"/>
      <c r="SCP519" s="379"/>
      <c r="SCQ519" s="379"/>
      <c r="SCR519" s="379"/>
      <c r="SCS519" s="379"/>
      <c r="SCT519" s="379"/>
      <c r="SCU519" s="13"/>
      <c r="SCV519" s="13"/>
      <c r="SCW519" s="193"/>
      <c r="SCX519" s="379"/>
      <c r="SCY519" s="379"/>
      <c r="SCZ519" s="379"/>
      <c r="SDA519" s="379"/>
      <c r="SDB519" s="379"/>
      <c r="SDC519" s="13"/>
      <c r="SDD519" s="13"/>
      <c r="SDE519" s="193"/>
      <c r="SDF519" s="379"/>
      <c r="SDG519" s="379"/>
      <c r="SDH519" s="379"/>
      <c r="SDI519" s="379"/>
      <c r="SDJ519" s="379"/>
      <c r="SDK519" s="13"/>
      <c r="SDL519" s="13"/>
      <c r="SDM519" s="193"/>
      <c r="SDN519" s="379"/>
      <c r="SDO519" s="379"/>
      <c r="SDP519" s="379"/>
      <c r="SDQ519" s="379"/>
      <c r="SDR519" s="379"/>
      <c r="SDS519" s="13"/>
      <c r="SDT519" s="13"/>
      <c r="SDU519" s="193"/>
      <c r="SDV519" s="379"/>
      <c r="SDW519" s="379"/>
      <c r="SDX519" s="379"/>
      <c r="SDY519" s="379"/>
      <c r="SDZ519" s="379"/>
      <c r="SEA519" s="13"/>
      <c r="SEB519" s="13"/>
      <c r="SEC519" s="193"/>
      <c r="SED519" s="379"/>
      <c r="SEE519" s="379"/>
      <c r="SEF519" s="379"/>
      <c r="SEG519" s="379"/>
      <c r="SEH519" s="379"/>
      <c r="SEI519" s="13"/>
      <c r="SEJ519" s="13"/>
      <c r="SEK519" s="193"/>
      <c r="SEL519" s="379"/>
      <c r="SEM519" s="379"/>
      <c r="SEN519" s="379"/>
      <c r="SEO519" s="379"/>
      <c r="SEP519" s="379"/>
      <c r="SEQ519" s="13"/>
      <c r="SER519" s="13"/>
      <c r="SES519" s="193"/>
      <c r="SET519" s="379"/>
      <c r="SEU519" s="379"/>
      <c r="SEV519" s="379"/>
      <c r="SEW519" s="379"/>
      <c r="SEX519" s="379"/>
      <c r="SEY519" s="13"/>
      <c r="SEZ519" s="13"/>
      <c r="SFA519" s="193"/>
      <c r="SFB519" s="379"/>
      <c r="SFC519" s="379"/>
      <c r="SFD519" s="379"/>
      <c r="SFE519" s="379"/>
      <c r="SFF519" s="379"/>
      <c r="SFG519" s="13"/>
      <c r="SFH519" s="13"/>
      <c r="SFI519" s="193"/>
      <c r="SFJ519" s="379"/>
      <c r="SFK519" s="379"/>
      <c r="SFL519" s="379"/>
      <c r="SFM519" s="379"/>
      <c r="SFN519" s="379"/>
      <c r="SFO519" s="13"/>
      <c r="SFP519" s="13"/>
      <c r="SFQ519" s="193"/>
      <c r="SFR519" s="379"/>
      <c r="SFS519" s="379"/>
      <c r="SFT519" s="379"/>
      <c r="SFU519" s="379"/>
      <c r="SFV519" s="379"/>
      <c r="SFW519" s="13"/>
      <c r="SFX519" s="13"/>
      <c r="SFY519" s="193"/>
      <c r="SFZ519" s="379"/>
      <c r="SGA519" s="379"/>
      <c r="SGB519" s="379"/>
      <c r="SGC519" s="379"/>
      <c r="SGD519" s="379"/>
      <c r="SGE519" s="13"/>
      <c r="SGF519" s="13"/>
      <c r="SGG519" s="193"/>
      <c r="SGH519" s="379"/>
      <c r="SGI519" s="379"/>
      <c r="SGJ519" s="379"/>
      <c r="SGK519" s="379"/>
      <c r="SGL519" s="379"/>
      <c r="SGM519" s="13"/>
      <c r="SGN519" s="13"/>
      <c r="SGO519" s="193"/>
      <c r="SGP519" s="379"/>
      <c r="SGQ519" s="379"/>
      <c r="SGR519" s="379"/>
      <c r="SGS519" s="379"/>
      <c r="SGT519" s="379"/>
      <c r="SGU519" s="13"/>
      <c r="SGV519" s="13"/>
      <c r="SGW519" s="193"/>
      <c r="SGX519" s="379"/>
      <c r="SGY519" s="379"/>
      <c r="SGZ519" s="379"/>
      <c r="SHA519" s="379"/>
      <c r="SHB519" s="379"/>
      <c r="SHC519" s="13"/>
      <c r="SHD519" s="13"/>
      <c r="SHE519" s="193"/>
      <c r="SHF519" s="379"/>
      <c r="SHG519" s="379"/>
      <c r="SHH519" s="379"/>
      <c r="SHI519" s="379"/>
      <c r="SHJ519" s="379"/>
      <c r="SHK519" s="13"/>
      <c r="SHL519" s="13"/>
      <c r="SHM519" s="193"/>
      <c r="SHN519" s="379"/>
      <c r="SHO519" s="379"/>
      <c r="SHP519" s="379"/>
      <c r="SHQ519" s="379"/>
      <c r="SHR519" s="379"/>
      <c r="SHS519" s="13"/>
      <c r="SHT519" s="13"/>
      <c r="SHU519" s="193"/>
      <c r="SHV519" s="379"/>
      <c r="SHW519" s="379"/>
      <c r="SHX519" s="379"/>
      <c r="SHY519" s="379"/>
      <c r="SHZ519" s="379"/>
      <c r="SIA519" s="13"/>
      <c r="SIB519" s="13"/>
      <c r="SIC519" s="193"/>
      <c r="SID519" s="379"/>
      <c r="SIE519" s="379"/>
      <c r="SIF519" s="379"/>
      <c r="SIG519" s="379"/>
      <c r="SIH519" s="379"/>
      <c r="SII519" s="13"/>
      <c r="SIJ519" s="13"/>
      <c r="SIK519" s="193"/>
      <c r="SIL519" s="379"/>
      <c r="SIM519" s="379"/>
      <c r="SIN519" s="379"/>
      <c r="SIO519" s="379"/>
      <c r="SIP519" s="379"/>
      <c r="SIQ519" s="13"/>
      <c r="SIR519" s="13"/>
      <c r="SIS519" s="193"/>
      <c r="SIT519" s="379"/>
      <c r="SIU519" s="379"/>
      <c r="SIV519" s="379"/>
      <c r="SIW519" s="379"/>
      <c r="SIX519" s="379"/>
      <c r="SIY519" s="13"/>
      <c r="SIZ519" s="13"/>
      <c r="SJA519" s="193"/>
      <c r="SJB519" s="379"/>
      <c r="SJC519" s="379"/>
      <c r="SJD519" s="379"/>
      <c r="SJE519" s="379"/>
      <c r="SJF519" s="379"/>
      <c r="SJG519" s="13"/>
      <c r="SJH519" s="13"/>
      <c r="SJI519" s="193"/>
      <c r="SJJ519" s="379"/>
      <c r="SJK519" s="379"/>
      <c r="SJL519" s="379"/>
      <c r="SJM519" s="379"/>
      <c r="SJN519" s="379"/>
      <c r="SJO519" s="13"/>
      <c r="SJP519" s="13"/>
      <c r="SJQ519" s="193"/>
      <c r="SJR519" s="379"/>
      <c r="SJS519" s="379"/>
      <c r="SJT519" s="379"/>
      <c r="SJU519" s="379"/>
      <c r="SJV519" s="379"/>
      <c r="SJW519" s="13"/>
      <c r="SJX519" s="13"/>
      <c r="SJY519" s="193"/>
      <c r="SJZ519" s="379"/>
      <c r="SKA519" s="379"/>
      <c r="SKB519" s="379"/>
      <c r="SKC519" s="379"/>
      <c r="SKD519" s="379"/>
      <c r="SKE519" s="13"/>
      <c r="SKF519" s="13"/>
      <c r="SKG519" s="193"/>
      <c r="SKH519" s="379"/>
      <c r="SKI519" s="379"/>
      <c r="SKJ519" s="379"/>
      <c r="SKK519" s="379"/>
      <c r="SKL519" s="379"/>
      <c r="SKM519" s="13"/>
      <c r="SKN519" s="13"/>
      <c r="SKO519" s="193"/>
      <c r="SKP519" s="379"/>
      <c r="SKQ519" s="379"/>
      <c r="SKR519" s="379"/>
      <c r="SKS519" s="379"/>
      <c r="SKT519" s="379"/>
      <c r="SKU519" s="13"/>
      <c r="SKV519" s="13"/>
      <c r="SKW519" s="193"/>
      <c r="SKX519" s="379"/>
      <c r="SKY519" s="379"/>
      <c r="SKZ519" s="379"/>
      <c r="SLA519" s="379"/>
      <c r="SLB519" s="379"/>
      <c r="SLC519" s="13"/>
      <c r="SLD519" s="13"/>
      <c r="SLE519" s="193"/>
      <c r="SLF519" s="379"/>
      <c r="SLG519" s="379"/>
      <c r="SLH519" s="379"/>
      <c r="SLI519" s="379"/>
      <c r="SLJ519" s="379"/>
      <c r="SLK519" s="13"/>
      <c r="SLL519" s="13"/>
      <c r="SLM519" s="193"/>
      <c r="SLN519" s="379"/>
      <c r="SLO519" s="379"/>
      <c r="SLP519" s="379"/>
      <c r="SLQ519" s="379"/>
      <c r="SLR519" s="379"/>
      <c r="SLS519" s="13"/>
      <c r="SLT519" s="13"/>
      <c r="SLU519" s="193"/>
      <c r="SLV519" s="379"/>
      <c r="SLW519" s="379"/>
      <c r="SLX519" s="379"/>
      <c r="SLY519" s="379"/>
      <c r="SLZ519" s="379"/>
      <c r="SMA519" s="13"/>
      <c r="SMB519" s="13"/>
      <c r="SMC519" s="193"/>
      <c r="SMD519" s="379"/>
      <c r="SME519" s="379"/>
      <c r="SMF519" s="379"/>
      <c r="SMG519" s="379"/>
      <c r="SMH519" s="379"/>
      <c r="SMI519" s="13"/>
      <c r="SMJ519" s="13"/>
      <c r="SMK519" s="193"/>
      <c r="SML519" s="379"/>
      <c r="SMM519" s="379"/>
      <c r="SMN519" s="379"/>
      <c r="SMO519" s="379"/>
      <c r="SMP519" s="379"/>
      <c r="SMQ519" s="13"/>
      <c r="SMR519" s="13"/>
      <c r="SMS519" s="193"/>
      <c r="SMT519" s="379"/>
      <c r="SMU519" s="379"/>
      <c r="SMV519" s="379"/>
      <c r="SMW519" s="379"/>
      <c r="SMX519" s="379"/>
      <c r="SMY519" s="13"/>
      <c r="SMZ519" s="13"/>
      <c r="SNA519" s="193"/>
      <c r="SNB519" s="379"/>
      <c r="SNC519" s="379"/>
      <c r="SND519" s="379"/>
      <c r="SNE519" s="379"/>
      <c r="SNF519" s="379"/>
      <c r="SNG519" s="13"/>
      <c r="SNH519" s="13"/>
      <c r="SNI519" s="193"/>
      <c r="SNJ519" s="379"/>
      <c r="SNK519" s="379"/>
      <c r="SNL519" s="379"/>
      <c r="SNM519" s="379"/>
      <c r="SNN519" s="379"/>
      <c r="SNO519" s="13"/>
      <c r="SNP519" s="13"/>
      <c r="SNQ519" s="193"/>
      <c r="SNR519" s="379"/>
      <c r="SNS519" s="379"/>
      <c r="SNT519" s="379"/>
      <c r="SNU519" s="379"/>
      <c r="SNV519" s="379"/>
      <c r="SNW519" s="13"/>
      <c r="SNX519" s="13"/>
      <c r="SNY519" s="193"/>
      <c r="SNZ519" s="379"/>
      <c r="SOA519" s="379"/>
      <c r="SOB519" s="379"/>
      <c r="SOC519" s="379"/>
      <c r="SOD519" s="379"/>
      <c r="SOE519" s="13"/>
      <c r="SOF519" s="13"/>
      <c r="SOG519" s="193"/>
      <c r="SOH519" s="379"/>
      <c r="SOI519" s="379"/>
      <c r="SOJ519" s="379"/>
      <c r="SOK519" s="379"/>
      <c r="SOL519" s="379"/>
      <c r="SOM519" s="13"/>
      <c r="SON519" s="13"/>
      <c r="SOO519" s="193"/>
      <c r="SOP519" s="379"/>
      <c r="SOQ519" s="379"/>
      <c r="SOR519" s="379"/>
      <c r="SOS519" s="379"/>
      <c r="SOT519" s="379"/>
      <c r="SOU519" s="13"/>
      <c r="SOV519" s="13"/>
      <c r="SOW519" s="193"/>
      <c r="SOX519" s="379"/>
      <c r="SOY519" s="379"/>
      <c r="SOZ519" s="379"/>
      <c r="SPA519" s="379"/>
      <c r="SPB519" s="379"/>
      <c r="SPC519" s="13"/>
      <c r="SPD519" s="13"/>
      <c r="SPE519" s="193"/>
      <c r="SPF519" s="379"/>
      <c r="SPG519" s="379"/>
      <c r="SPH519" s="379"/>
      <c r="SPI519" s="379"/>
      <c r="SPJ519" s="379"/>
      <c r="SPK519" s="13"/>
      <c r="SPL519" s="13"/>
      <c r="SPM519" s="193"/>
      <c r="SPN519" s="379"/>
      <c r="SPO519" s="379"/>
      <c r="SPP519" s="379"/>
      <c r="SPQ519" s="379"/>
      <c r="SPR519" s="379"/>
      <c r="SPS519" s="13"/>
      <c r="SPT519" s="13"/>
      <c r="SPU519" s="193"/>
      <c r="SPV519" s="379"/>
      <c r="SPW519" s="379"/>
      <c r="SPX519" s="379"/>
      <c r="SPY519" s="379"/>
      <c r="SPZ519" s="379"/>
      <c r="SQA519" s="13"/>
      <c r="SQB519" s="13"/>
      <c r="SQC519" s="193"/>
      <c r="SQD519" s="379"/>
      <c r="SQE519" s="379"/>
      <c r="SQF519" s="379"/>
      <c r="SQG519" s="379"/>
      <c r="SQH519" s="379"/>
      <c r="SQI519" s="13"/>
      <c r="SQJ519" s="13"/>
      <c r="SQK519" s="193"/>
      <c r="SQL519" s="379"/>
      <c r="SQM519" s="379"/>
      <c r="SQN519" s="379"/>
      <c r="SQO519" s="379"/>
      <c r="SQP519" s="379"/>
      <c r="SQQ519" s="13"/>
      <c r="SQR519" s="13"/>
      <c r="SQS519" s="193"/>
      <c r="SQT519" s="379"/>
      <c r="SQU519" s="379"/>
      <c r="SQV519" s="379"/>
      <c r="SQW519" s="379"/>
      <c r="SQX519" s="379"/>
      <c r="SQY519" s="13"/>
      <c r="SQZ519" s="13"/>
      <c r="SRA519" s="193"/>
      <c r="SRB519" s="379"/>
      <c r="SRC519" s="379"/>
      <c r="SRD519" s="379"/>
      <c r="SRE519" s="379"/>
      <c r="SRF519" s="379"/>
      <c r="SRG519" s="13"/>
      <c r="SRH519" s="13"/>
      <c r="SRI519" s="193"/>
      <c r="SRJ519" s="379"/>
      <c r="SRK519" s="379"/>
      <c r="SRL519" s="379"/>
      <c r="SRM519" s="379"/>
      <c r="SRN519" s="379"/>
      <c r="SRO519" s="13"/>
      <c r="SRP519" s="13"/>
      <c r="SRQ519" s="193"/>
      <c r="SRR519" s="379"/>
      <c r="SRS519" s="379"/>
      <c r="SRT519" s="379"/>
      <c r="SRU519" s="379"/>
      <c r="SRV519" s="379"/>
      <c r="SRW519" s="13"/>
      <c r="SRX519" s="13"/>
      <c r="SRY519" s="193"/>
      <c r="SRZ519" s="379"/>
      <c r="SSA519" s="379"/>
      <c r="SSB519" s="379"/>
      <c r="SSC519" s="379"/>
      <c r="SSD519" s="379"/>
      <c r="SSE519" s="13"/>
      <c r="SSF519" s="13"/>
      <c r="SSG519" s="193"/>
      <c r="SSH519" s="379"/>
      <c r="SSI519" s="379"/>
      <c r="SSJ519" s="379"/>
      <c r="SSK519" s="379"/>
      <c r="SSL519" s="379"/>
      <c r="SSM519" s="13"/>
      <c r="SSN519" s="13"/>
      <c r="SSO519" s="193"/>
      <c r="SSP519" s="379"/>
      <c r="SSQ519" s="379"/>
      <c r="SSR519" s="379"/>
      <c r="SSS519" s="379"/>
      <c r="SST519" s="379"/>
      <c r="SSU519" s="13"/>
      <c r="SSV519" s="13"/>
      <c r="SSW519" s="193"/>
      <c r="SSX519" s="379"/>
      <c r="SSY519" s="379"/>
      <c r="SSZ519" s="379"/>
      <c r="STA519" s="379"/>
      <c r="STB519" s="379"/>
      <c r="STC519" s="13"/>
      <c r="STD519" s="13"/>
      <c r="STE519" s="193"/>
      <c r="STF519" s="379"/>
      <c r="STG519" s="379"/>
      <c r="STH519" s="379"/>
      <c r="STI519" s="379"/>
      <c r="STJ519" s="379"/>
      <c r="STK519" s="13"/>
      <c r="STL519" s="13"/>
      <c r="STM519" s="193"/>
      <c r="STN519" s="379"/>
      <c r="STO519" s="379"/>
      <c r="STP519" s="379"/>
      <c r="STQ519" s="379"/>
      <c r="STR519" s="379"/>
      <c r="STS519" s="13"/>
      <c r="STT519" s="13"/>
      <c r="STU519" s="193"/>
      <c r="STV519" s="379"/>
      <c r="STW519" s="379"/>
      <c r="STX519" s="379"/>
      <c r="STY519" s="379"/>
      <c r="STZ519" s="379"/>
      <c r="SUA519" s="13"/>
      <c r="SUB519" s="13"/>
      <c r="SUC519" s="193"/>
      <c r="SUD519" s="379"/>
      <c r="SUE519" s="379"/>
      <c r="SUF519" s="379"/>
      <c r="SUG519" s="379"/>
      <c r="SUH519" s="379"/>
      <c r="SUI519" s="13"/>
      <c r="SUJ519" s="13"/>
      <c r="SUK519" s="193"/>
      <c r="SUL519" s="379"/>
      <c r="SUM519" s="379"/>
      <c r="SUN519" s="379"/>
      <c r="SUO519" s="379"/>
      <c r="SUP519" s="379"/>
      <c r="SUQ519" s="13"/>
      <c r="SUR519" s="13"/>
      <c r="SUS519" s="193"/>
      <c r="SUT519" s="379"/>
      <c r="SUU519" s="379"/>
      <c r="SUV519" s="379"/>
      <c r="SUW519" s="379"/>
      <c r="SUX519" s="379"/>
      <c r="SUY519" s="13"/>
      <c r="SUZ519" s="13"/>
      <c r="SVA519" s="193"/>
      <c r="SVB519" s="379"/>
      <c r="SVC519" s="379"/>
      <c r="SVD519" s="379"/>
      <c r="SVE519" s="379"/>
      <c r="SVF519" s="379"/>
      <c r="SVG519" s="13"/>
      <c r="SVH519" s="13"/>
      <c r="SVI519" s="193"/>
      <c r="SVJ519" s="379"/>
      <c r="SVK519" s="379"/>
      <c r="SVL519" s="379"/>
      <c r="SVM519" s="379"/>
      <c r="SVN519" s="379"/>
      <c r="SVO519" s="13"/>
      <c r="SVP519" s="13"/>
      <c r="SVQ519" s="193"/>
      <c r="SVR519" s="379"/>
      <c r="SVS519" s="379"/>
      <c r="SVT519" s="379"/>
      <c r="SVU519" s="379"/>
      <c r="SVV519" s="379"/>
      <c r="SVW519" s="13"/>
      <c r="SVX519" s="13"/>
      <c r="SVY519" s="193"/>
      <c r="SVZ519" s="379"/>
      <c r="SWA519" s="379"/>
      <c r="SWB519" s="379"/>
      <c r="SWC519" s="379"/>
      <c r="SWD519" s="379"/>
      <c r="SWE519" s="13"/>
      <c r="SWF519" s="13"/>
      <c r="SWG519" s="193"/>
      <c r="SWH519" s="379"/>
      <c r="SWI519" s="379"/>
      <c r="SWJ519" s="379"/>
      <c r="SWK519" s="379"/>
      <c r="SWL519" s="379"/>
      <c r="SWM519" s="13"/>
      <c r="SWN519" s="13"/>
      <c r="SWO519" s="193"/>
      <c r="SWP519" s="379"/>
      <c r="SWQ519" s="379"/>
      <c r="SWR519" s="379"/>
      <c r="SWS519" s="379"/>
      <c r="SWT519" s="379"/>
      <c r="SWU519" s="13"/>
      <c r="SWV519" s="13"/>
      <c r="SWW519" s="193"/>
      <c r="SWX519" s="379"/>
      <c r="SWY519" s="379"/>
      <c r="SWZ519" s="379"/>
      <c r="SXA519" s="379"/>
      <c r="SXB519" s="379"/>
      <c r="SXC519" s="13"/>
      <c r="SXD519" s="13"/>
      <c r="SXE519" s="193"/>
      <c r="SXF519" s="379"/>
      <c r="SXG519" s="379"/>
      <c r="SXH519" s="379"/>
      <c r="SXI519" s="379"/>
      <c r="SXJ519" s="379"/>
      <c r="SXK519" s="13"/>
      <c r="SXL519" s="13"/>
      <c r="SXM519" s="193"/>
      <c r="SXN519" s="379"/>
      <c r="SXO519" s="379"/>
      <c r="SXP519" s="379"/>
      <c r="SXQ519" s="379"/>
      <c r="SXR519" s="379"/>
      <c r="SXS519" s="13"/>
      <c r="SXT519" s="13"/>
      <c r="SXU519" s="193"/>
      <c r="SXV519" s="379"/>
      <c r="SXW519" s="379"/>
      <c r="SXX519" s="379"/>
      <c r="SXY519" s="379"/>
      <c r="SXZ519" s="379"/>
      <c r="SYA519" s="13"/>
      <c r="SYB519" s="13"/>
      <c r="SYC519" s="193"/>
      <c r="SYD519" s="379"/>
      <c r="SYE519" s="379"/>
      <c r="SYF519" s="379"/>
      <c r="SYG519" s="379"/>
      <c r="SYH519" s="379"/>
      <c r="SYI519" s="13"/>
      <c r="SYJ519" s="13"/>
      <c r="SYK519" s="193"/>
      <c r="SYL519" s="379"/>
      <c r="SYM519" s="379"/>
      <c r="SYN519" s="379"/>
      <c r="SYO519" s="379"/>
      <c r="SYP519" s="379"/>
      <c r="SYQ519" s="13"/>
      <c r="SYR519" s="13"/>
      <c r="SYS519" s="193"/>
      <c r="SYT519" s="379"/>
      <c r="SYU519" s="379"/>
      <c r="SYV519" s="379"/>
      <c r="SYW519" s="379"/>
      <c r="SYX519" s="379"/>
      <c r="SYY519" s="13"/>
      <c r="SYZ519" s="13"/>
      <c r="SZA519" s="193"/>
      <c r="SZB519" s="379"/>
      <c r="SZC519" s="379"/>
      <c r="SZD519" s="379"/>
      <c r="SZE519" s="379"/>
      <c r="SZF519" s="379"/>
      <c r="SZG519" s="13"/>
      <c r="SZH519" s="13"/>
      <c r="SZI519" s="193"/>
      <c r="SZJ519" s="379"/>
      <c r="SZK519" s="379"/>
      <c r="SZL519" s="379"/>
      <c r="SZM519" s="379"/>
      <c r="SZN519" s="379"/>
      <c r="SZO519" s="13"/>
      <c r="SZP519" s="13"/>
      <c r="SZQ519" s="193"/>
      <c r="SZR519" s="379"/>
      <c r="SZS519" s="379"/>
      <c r="SZT519" s="379"/>
      <c r="SZU519" s="379"/>
      <c r="SZV519" s="379"/>
      <c r="SZW519" s="13"/>
      <c r="SZX519" s="13"/>
      <c r="SZY519" s="193"/>
      <c r="SZZ519" s="379"/>
      <c r="TAA519" s="379"/>
      <c r="TAB519" s="379"/>
      <c r="TAC519" s="379"/>
      <c r="TAD519" s="379"/>
      <c r="TAE519" s="13"/>
      <c r="TAF519" s="13"/>
      <c r="TAG519" s="193"/>
      <c r="TAH519" s="379"/>
      <c r="TAI519" s="379"/>
      <c r="TAJ519" s="379"/>
      <c r="TAK519" s="379"/>
      <c r="TAL519" s="379"/>
      <c r="TAM519" s="13"/>
      <c r="TAN519" s="13"/>
      <c r="TAO519" s="193"/>
      <c r="TAP519" s="379"/>
      <c r="TAQ519" s="379"/>
      <c r="TAR519" s="379"/>
      <c r="TAS519" s="379"/>
      <c r="TAT519" s="379"/>
      <c r="TAU519" s="13"/>
      <c r="TAV519" s="13"/>
      <c r="TAW519" s="193"/>
      <c r="TAX519" s="379"/>
      <c r="TAY519" s="379"/>
      <c r="TAZ519" s="379"/>
      <c r="TBA519" s="379"/>
      <c r="TBB519" s="379"/>
      <c r="TBC519" s="13"/>
      <c r="TBD519" s="13"/>
      <c r="TBE519" s="193"/>
      <c r="TBF519" s="379"/>
      <c r="TBG519" s="379"/>
      <c r="TBH519" s="379"/>
      <c r="TBI519" s="379"/>
      <c r="TBJ519" s="379"/>
      <c r="TBK519" s="13"/>
      <c r="TBL519" s="13"/>
      <c r="TBM519" s="193"/>
      <c r="TBN519" s="379"/>
      <c r="TBO519" s="379"/>
      <c r="TBP519" s="379"/>
      <c r="TBQ519" s="379"/>
      <c r="TBR519" s="379"/>
      <c r="TBS519" s="13"/>
      <c r="TBT519" s="13"/>
      <c r="TBU519" s="193"/>
      <c r="TBV519" s="379"/>
      <c r="TBW519" s="379"/>
      <c r="TBX519" s="379"/>
      <c r="TBY519" s="379"/>
      <c r="TBZ519" s="379"/>
      <c r="TCA519" s="13"/>
      <c r="TCB519" s="13"/>
      <c r="TCC519" s="193"/>
      <c r="TCD519" s="379"/>
      <c r="TCE519" s="379"/>
      <c r="TCF519" s="379"/>
      <c r="TCG519" s="379"/>
      <c r="TCH519" s="379"/>
      <c r="TCI519" s="13"/>
      <c r="TCJ519" s="13"/>
      <c r="TCK519" s="193"/>
      <c r="TCL519" s="379"/>
      <c r="TCM519" s="379"/>
      <c r="TCN519" s="379"/>
      <c r="TCO519" s="379"/>
      <c r="TCP519" s="379"/>
      <c r="TCQ519" s="13"/>
      <c r="TCR519" s="13"/>
      <c r="TCS519" s="193"/>
      <c r="TCT519" s="379"/>
      <c r="TCU519" s="379"/>
      <c r="TCV519" s="379"/>
      <c r="TCW519" s="379"/>
      <c r="TCX519" s="379"/>
      <c r="TCY519" s="13"/>
      <c r="TCZ519" s="13"/>
      <c r="TDA519" s="193"/>
      <c r="TDB519" s="379"/>
      <c r="TDC519" s="379"/>
      <c r="TDD519" s="379"/>
      <c r="TDE519" s="379"/>
      <c r="TDF519" s="379"/>
      <c r="TDG519" s="13"/>
      <c r="TDH519" s="13"/>
      <c r="TDI519" s="193"/>
      <c r="TDJ519" s="379"/>
      <c r="TDK519" s="379"/>
      <c r="TDL519" s="379"/>
      <c r="TDM519" s="379"/>
      <c r="TDN519" s="379"/>
      <c r="TDO519" s="13"/>
      <c r="TDP519" s="13"/>
      <c r="TDQ519" s="193"/>
      <c r="TDR519" s="379"/>
      <c r="TDS519" s="379"/>
      <c r="TDT519" s="379"/>
      <c r="TDU519" s="379"/>
      <c r="TDV519" s="379"/>
      <c r="TDW519" s="13"/>
      <c r="TDX519" s="13"/>
      <c r="TDY519" s="193"/>
      <c r="TDZ519" s="379"/>
      <c r="TEA519" s="379"/>
      <c r="TEB519" s="379"/>
      <c r="TEC519" s="379"/>
      <c r="TED519" s="379"/>
      <c r="TEE519" s="13"/>
      <c r="TEF519" s="13"/>
      <c r="TEG519" s="193"/>
      <c r="TEH519" s="379"/>
      <c r="TEI519" s="379"/>
      <c r="TEJ519" s="379"/>
      <c r="TEK519" s="379"/>
      <c r="TEL519" s="379"/>
      <c r="TEM519" s="13"/>
      <c r="TEN519" s="13"/>
      <c r="TEO519" s="193"/>
      <c r="TEP519" s="379"/>
      <c r="TEQ519" s="379"/>
      <c r="TER519" s="379"/>
      <c r="TES519" s="379"/>
      <c r="TET519" s="379"/>
      <c r="TEU519" s="13"/>
      <c r="TEV519" s="13"/>
      <c r="TEW519" s="193"/>
      <c r="TEX519" s="379"/>
      <c r="TEY519" s="379"/>
      <c r="TEZ519" s="379"/>
      <c r="TFA519" s="379"/>
      <c r="TFB519" s="379"/>
      <c r="TFC519" s="13"/>
      <c r="TFD519" s="13"/>
      <c r="TFE519" s="193"/>
      <c r="TFF519" s="379"/>
      <c r="TFG519" s="379"/>
      <c r="TFH519" s="379"/>
      <c r="TFI519" s="379"/>
      <c r="TFJ519" s="379"/>
      <c r="TFK519" s="13"/>
      <c r="TFL519" s="13"/>
      <c r="TFM519" s="193"/>
      <c r="TFN519" s="379"/>
      <c r="TFO519" s="379"/>
      <c r="TFP519" s="379"/>
      <c r="TFQ519" s="379"/>
      <c r="TFR519" s="379"/>
      <c r="TFS519" s="13"/>
      <c r="TFT519" s="13"/>
      <c r="TFU519" s="193"/>
      <c r="TFV519" s="379"/>
      <c r="TFW519" s="379"/>
      <c r="TFX519" s="379"/>
      <c r="TFY519" s="379"/>
      <c r="TFZ519" s="379"/>
      <c r="TGA519" s="13"/>
      <c r="TGB519" s="13"/>
      <c r="TGC519" s="193"/>
      <c r="TGD519" s="379"/>
      <c r="TGE519" s="379"/>
      <c r="TGF519" s="379"/>
      <c r="TGG519" s="379"/>
      <c r="TGH519" s="379"/>
      <c r="TGI519" s="13"/>
      <c r="TGJ519" s="13"/>
      <c r="TGK519" s="193"/>
      <c r="TGL519" s="379"/>
      <c r="TGM519" s="379"/>
      <c r="TGN519" s="379"/>
      <c r="TGO519" s="379"/>
      <c r="TGP519" s="379"/>
      <c r="TGQ519" s="13"/>
      <c r="TGR519" s="13"/>
      <c r="TGS519" s="193"/>
      <c r="TGT519" s="379"/>
      <c r="TGU519" s="379"/>
      <c r="TGV519" s="379"/>
      <c r="TGW519" s="379"/>
      <c r="TGX519" s="379"/>
      <c r="TGY519" s="13"/>
      <c r="TGZ519" s="13"/>
      <c r="THA519" s="193"/>
      <c r="THB519" s="379"/>
      <c r="THC519" s="379"/>
      <c r="THD519" s="379"/>
      <c r="THE519" s="379"/>
      <c r="THF519" s="379"/>
      <c r="THG519" s="13"/>
      <c r="THH519" s="13"/>
      <c r="THI519" s="193"/>
      <c r="THJ519" s="379"/>
      <c r="THK519" s="379"/>
      <c r="THL519" s="379"/>
      <c r="THM519" s="379"/>
      <c r="THN519" s="379"/>
      <c r="THO519" s="13"/>
      <c r="THP519" s="13"/>
      <c r="THQ519" s="193"/>
      <c r="THR519" s="379"/>
      <c r="THS519" s="379"/>
      <c r="THT519" s="379"/>
      <c r="THU519" s="379"/>
      <c r="THV519" s="379"/>
      <c r="THW519" s="13"/>
      <c r="THX519" s="13"/>
      <c r="THY519" s="193"/>
      <c r="THZ519" s="379"/>
      <c r="TIA519" s="379"/>
      <c r="TIB519" s="379"/>
      <c r="TIC519" s="379"/>
      <c r="TID519" s="379"/>
      <c r="TIE519" s="13"/>
      <c r="TIF519" s="13"/>
      <c r="TIG519" s="193"/>
      <c r="TIH519" s="379"/>
      <c r="TII519" s="379"/>
      <c r="TIJ519" s="379"/>
      <c r="TIK519" s="379"/>
      <c r="TIL519" s="379"/>
      <c r="TIM519" s="13"/>
      <c r="TIN519" s="13"/>
      <c r="TIO519" s="193"/>
      <c r="TIP519" s="379"/>
      <c r="TIQ519" s="379"/>
      <c r="TIR519" s="379"/>
      <c r="TIS519" s="379"/>
      <c r="TIT519" s="379"/>
      <c r="TIU519" s="13"/>
      <c r="TIV519" s="13"/>
      <c r="TIW519" s="193"/>
      <c r="TIX519" s="379"/>
      <c r="TIY519" s="379"/>
      <c r="TIZ519" s="379"/>
      <c r="TJA519" s="379"/>
      <c r="TJB519" s="379"/>
      <c r="TJC519" s="13"/>
      <c r="TJD519" s="13"/>
      <c r="TJE519" s="193"/>
      <c r="TJF519" s="379"/>
      <c r="TJG519" s="379"/>
      <c r="TJH519" s="379"/>
      <c r="TJI519" s="379"/>
      <c r="TJJ519" s="379"/>
      <c r="TJK519" s="13"/>
      <c r="TJL519" s="13"/>
      <c r="TJM519" s="193"/>
      <c r="TJN519" s="379"/>
      <c r="TJO519" s="379"/>
      <c r="TJP519" s="379"/>
      <c r="TJQ519" s="379"/>
      <c r="TJR519" s="379"/>
      <c r="TJS519" s="13"/>
      <c r="TJT519" s="13"/>
      <c r="TJU519" s="193"/>
      <c r="TJV519" s="379"/>
      <c r="TJW519" s="379"/>
      <c r="TJX519" s="379"/>
      <c r="TJY519" s="379"/>
      <c r="TJZ519" s="379"/>
      <c r="TKA519" s="13"/>
      <c r="TKB519" s="13"/>
      <c r="TKC519" s="193"/>
      <c r="TKD519" s="379"/>
      <c r="TKE519" s="379"/>
      <c r="TKF519" s="379"/>
      <c r="TKG519" s="379"/>
      <c r="TKH519" s="379"/>
      <c r="TKI519" s="13"/>
      <c r="TKJ519" s="13"/>
      <c r="TKK519" s="193"/>
      <c r="TKL519" s="379"/>
      <c r="TKM519" s="379"/>
      <c r="TKN519" s="379"/>
      <c r="TKO519" s="379"/>
      <c r="TKP519" s="379"/>
      <c r="TKQ519" s="13"/>
      <c r="TKR519" s="13"/>
      <c r="TKS519" s="193"/>
      <c r="TKT519" s="379"/>
      <c r="TKU519" s="379"/>
      <c r="TKV519" s="379"/>
      <c r="TKW519" s="379"/>
      <c r="TKX519" s="379"/>
      <c r="TKY519" s="13"/>
      <c r="TKZ519" s="13"/>
      <c r="TLA519" s="193"/>
      <c r="TLB519" s="379"/>
      <c r="TLC519" s="379"/>
      <c r="TLD519" s="379"/>
      <c r="TLE519" s="379"/>
      <c r="TLF519" s="379"/>
      <c r="TLG519" s="13"/>
      <c r="TLH519" s="13"/>
      <c r="TLI519" s="193"/>
      <c r="TLJ519" s="379"/>
      <c r="TLK519" s="379"/>
      <c r="TLL519" s="379"/>
      <c r="TLM519" s="379"/>
      <c r="TLN519" s="379"/>
      <c r="TLO519" s="13"/>
      <c r="TLP519" s="13"/>
      <c r="TLQ519" s="193"/>
      <c r="TLR519" s="379"/>
      <c r="TLS519" s="379"/>
      <c r="TLT519" s="379"/>
      <c r="TLU519" s="379"/>
      <c r="TLV519" s="379"/>
      <c r="TLW519" s="13"/>
      <c r="TLX519" s="13"/>
      <c r="TLY519" s="193"/>
      <c r="TLZ519" s="379"/>
      <c r="TMA519" s="379"/>
      <c r="TMB519" s="379"/>
      <c r="TMC519" s="379"/>
      <c r="TMD519" s="379"/>
      <c r="TME519" s="13"/>
      <c r="TMF519" s="13"/>
      <c r="TMG519" s="193"/>
      <c r="TMH519" s="379"/>
      <c r="TMI519" s="379"/>
      <c r="TMJ519" s="379"/>
      <c r="TMK519" s="379"/>
      <c r="TML519" s="379"/>
      <c r="TMM519" s="13"/>
      <c r="TMN519" s="13"/>
      <c r="TMO519" s="193"/>
      <c r="TMP519" s="379"/>
      <c r="TMQ519" s="379"/>
      <c r="TMR519" s="379"/>
      <c r="TMS519" s="379"/>
      <c r="TMT519" s="379"/>
      <c r="TMU519" s="13"/>
      <c r="TMV519" s="13"/>
      <c r="TMW519" s="193"/>
      <c r="TMX519" s="379"/>
      <c r="TMY519" s="379"/>
      <c r="TMZ519" s="379"/>
      <c r="TNA519" s="379"/>
      <c r="TNB519" s="379"/>
      <c r="TNC519" s="13"/>
      <c r="TND519" s="13"/>
      <c r="TNE519" s="193"/>
      <c r="TNF519" s="379"/>
      <c r="TNG519" s="379"/>
      <c r="TNH519" s="379"/>
      <c r="TNI519" s="379"/>
      <c r="TNJ519" s="379"/>
      <c r="TNK519" s="13"/>
      <c r="TNL519" s="13"/>
      <c r="TNM519" s="193"/>
      <c r="TNN519" s="379"/>
      <c r="TNO519" s="379"/>
      <c r="TNP519" s="379"/>
      <c r="TNQ519" s="379"/>
      <c r="TNR519" s="379"/>
      <c r="TNS519" s="13"/>
      <c r="TNT519" s="13"/>
      <c r="TNU519" s="193"/>
      <c r="TNV519" s="379"/>
      <c r="TNW519" s="379"/>
      <c r="TNX519" s="379"/>
      <c r="TNY519" s="379"/>
      <c r="TNZ519" s="379"/>
      <c r="TOA519" s="13"/>
      <c r="TOB519" s="13"/>
      <c r="TOC519" s="193"/>
      <c r="TOD519" s="379"/>
      <c r="TOE519" s="379"/>
      <c r="TOF519" s="379"/>
      <c r="TOG519" s="379"/>
      <c r="TOH519" s="379"/>
      <c r="TOI519" s="13"/>
      <c r="TOJ519" s="13"/>
      <c r="TOK519" s="193"/>
      <c r="TOL519" s="379"/>
      <c r="TOM519" s="379"/>
      <c r="TON519" s="379"/>
      <c r="TOO519" s="379"/>
      <c r="TOP519" s="379"/>
      <c r="TOQ519" s="13"/>
      <c r="TOR519" s="13"/>
      <c r="TOS519" s="193"/>
      <c r="TOT519" s="379"/>
      <c r="TOU519" s="379"/>
      <c r="TOV519" s="379"/>
      <c r="TOW519" s="379"/>
      <c r="TOX519" s="379"/>
      <c r="TOY519" s="13"/>
      <c r="TOZ519" s="13"/>
      <c r="TPA519" s="193"/>
      <c r="TPB519" s="379"/>
      <c r="TPC519" s="379"/>
      <c r="TPD519" s="379"/>
      <c r="TPE519" s="379"/>
      <c r="TPF519" s="379"/>
      <c r="TPG519" s="13"/>
      <c r="TPH519" s="13"/>
      <c r="TPI519" s="193"/>
      <c r="TPJ519" s="379"/>
      <c r="TPK519" s="379"/>
      <c r="TPL519" s="379"/>
      <c r="TPM519" s="379"/>
      <c r="TPN519" s="379"/>
      <c r="TPO519" s="13"/>
      <c r="TPP519" s="13"/>
      <c r="TPQ519" s="193"/>
      <c r="TPR519" s="379"/>
      <c r="TPS519" s="379"/>
      <c r="TPT519" s="379"/>
      <c r="TPU519" s="379"/>
      <c r="TPV519" s="379"/>
      <c r="TPW519" s="13"/>
      <c r="TPX519" s="13"/>
      <c r="TPY519" s="193"/>
      <c r="TPZ519" s="379"/>
      <c r="TQA519" s="379"/>
      <c r="TQB519" s="379"/>
      <c r="TQC519" s="379"/>
      <c r="TQD519" s="379"/>
      <c r="TQE519" s="13"/>
      <c r="TQF519" s="13"/>
      <c r="TQG519" s="193"/>
      <c r="TQH519" s="379"/>
      <c r="TQI519" s="379"/>
      <c r="TQJ519" s="379"/>
      <c r="TQK519" s="379"/>
      <c r="TQL519" s="379"/>
      <c r="TQM519" s="13"/>
      <c r="TQN519" s="13"/>
      <c r="TQO519" s="193"/>
      <c r="TQP519" s="379"/>
      <c r="TQQ519" s="379"/>
      <c r="TQR519" s="379"/>
      <c r="TQS519" s="379"/>
      <c r="TQT519" s="379"/>
      <c r="TQU519" s="13"/>
      <c r="TQV519" s="13"/>
      <c r="TQW519" s="193"/>
      <c r="TQX519" s="379"/>
      <c r="TQY519" s="379"/>
      <c r="TQZ519" s="379"/>
      <c r="TRA519" s="379"/>
      <c r="TRB519" s="379"/>
      <c r="TRC519" s="13"/>
      <c r="TRD519" s="13"/>
      <c r="TRE519" s="193"/>
      <c r="TRF519" s="379"/>
      <c r="TRG519" s="379"/>
      <c r="TRH519" s="379"/>
      <c r="TRI519" s="379"/>
      <c r="TRJ519" s="379"/>
      <c r="TRK519" s="13"/>
      <c r="TRL519" s="13"/>
      <c r="TRM519" s="193"/>
      <c r="TRN519" s="379"/>
      <c r="TRO519" s="379"/>
      <c r="TRP519" s="379"/>
      <c r="TRQ519" s="379"/>
      <c r="TRR519" s="379"/>
      <c r="TRS519" s="13"/>
      <c r="TRT519" s="13"/>
      <c r="TRU519" s="193"/>
      <c r="TRV519" s="379"/>
      <c r="TRW519" s="379"/>
      <c r="TRX519" s="379"/>
      <c r="TRY519" s="379"/>
      <c r="TRZ519" s="379"/>
      <c r="TSA519" s="13"/>
      <c r="TSB519" s="13"/>
      <c r="TSC519" s="193"/>
      <c r="TSD519" s="379"/>
      <c r="TSE519" s="379"/>
      <c r="TSF519" s="379"/>
      <c r="TSG519" s="379"/>
      <c r="TSH519" s="379"/>
      <c r="TSI519" s="13"/>
      <c r="TSJ519" s="13"/>
      <c r="TSK519" s="193"/>
      <c r="TSL519" s="379"/>
      <c r="TSM519" s="379"/>
      <c r="TSN519" s="379"/>
      <c r="TSO519" s="379"/>
      <c r="TSP519" s="379"/>
      <c r="TSQ519" s="13"/>
      <c r="TSR519" s="13"/>
      <c r="TSS519" s="193"/>
      <c r="TST519" s="379"/>
      <c r="TSU519" s="379"/>
      <c r="TSV519" s="379"/>
      <c r="TSW519" s="379"/>
      <c r="TSX519" s="379"/>
      <c r="TSY519" s="13"/>
      <c r="TSZ519" s="13"/>
      <c r="TTA519" s="193"/>
      <c r="TTB519" s="379"/>
      <c r="TTC519" s="379"/>
      <c r="TTD519" s="379"/>
      <c r="TTE519" s="379"/>
      <c r="TTF519" s="379"/>
      <c r="TTG519" s="13"/>
      <c r="TTH519" s="13"/>
      <c r="TTI519" s="193"/>
      <c r="TTJ519" s="379"/>
      <c r="TTK519" s="379"/>
      <c r="TTL519" s="379"/>
      <c r="TTM519" s="379"/>
      <c r="TTN519" s="379"/>
      <c r="TTO519" s="13"/>
      <c r="TTP519" s="13"/>
      <c r="TTQ519" s="193"/>
      <c r="TTR519" s="379"/>
      <c r="TTS519" s="379"/>
      <c r="TTT519" s="379"/>
      <c r="TTU519" s="379"/>
      <c r="TTV519" s="379"/>
      <c r="TTW519" s="13"/>
      <c r="TTX519" s="13"/>
      <c r="TTY519" s="193"/>
      <c r="TTZ519" s="379"/>
      <c r="TUA519" s="379"/>
      <c r="TUB519" s="379"/>
      <c r="TUC519" s="379"/>
      <c r="TUD519" s="379"/>
      <c r="TUE519" s="13"/>
      <c r="TUF519" s="13"/>
      <c r="TUG519" s="193"/>
      <c r="TUH519" s="379"/>
      <c r="TUI519" s="379"/>
      <c r="TUJ519" s="379"/>
      <c r="TUK519" s="379"/>
      <c r="TUL519" s="379"/>
      <c r="TUM519" s="13"/>
      <c r="TUN519" s="13"/>
      <c r="TUO519" s="193"/>
      <c r="TUP519" s="379"/>
      <c r="TUQ519" s="379"/>
      <c r="TUR519" s="379"/>
      <c r="TUS519" s="379"/>
      <c r="TUT519" s="379"/>
      <c r="TUU519" s="13"/>
      <c r="TUV519" s="13"/>
      <c r="TUW519" s="193"/>
      <c r="TUX519" s="379"/>
      <c r="TUY519" s="379"/>
      <c r="TUZ519" s="379"/>
      <c r="TVA519" s="379"/>
      <c r="TVB519" s="379"/>
      <c r="TVC519" s="13"/>
      <c r="TVD519" s="13"/>
      <c r="TVE519" s="193"/>
      <c r="TVF519" s="379"/>
      <c r="TVG519" s="379"/>
      <c r="TVH519" s="379"/>
      <c r="TVI519" s="379"/>
      <c r="TVJ519" s="379"/>
      <c r="TVK519" s="13"/>
      <c r="TVL519" s="13"/>
      <c r="TVM519" s="193"/>
      <c r="TVN519" s="379"/>
      <c r="TVO519" s="379"/>
      <c r="TVP519" s="379"/>
      <c r="TVQ519" s="379"/>
      <c r="TVR519" s="379"/>
      <c r="TVS519" s="13"/>
      <c r="TVT519" s="13"/>
      <c r="TVU519" s="193"/>
      <c r="TVV519" s="379"/>
      <c r="TVW519" s="379"/>
      <c r="TVX519" s="379"/>
      <c r="TVY519" s="379"/>
      <c r="TVZ519" s="379"/>
      <c r="TWA519" s="13"/>
      <c r="TWB519" s="13"/>
      <c r="TWC519" s="193"/>
      <c r="TWD519" s="379"/>
      <c r="TWE519" s="379"/>
      <c r="TWF519" s="379"/>
      <c r="TWG519" s="379"/>
      <c r="TWH519" s="379"/>
      <c r="TWI519" s="13"/>
      <c r="TWJ519" s="13"/>
      <c r="TWK519" s="193"/>
      <c r="TWL519" s="379"/>
      <c r="TWM519" s="379"/>
      <c r="TWN519" s="379"/>
      <c r="TWO519" s="379"/>
      <c r="TWP519" s="379"/>
      <c r="TWQ519" s="13"/>
      <c r="TWR519" s="13"/>
      <c r="TWS519" s="193"/>
      <c r="TWT519" s="379"/>
      <c r="TWU519" s="379"/>
      <c r="TWV519" s="379"/>
      <c r="TWW519" s="379"/>
      <c r="TWX519" s="379"/>
      <c r="TWY519" s="13"/>
      <c r="TWZ519" s="13"/>
      <c r="TXA519" s="193"/>
      <c r="TXB519" s="379"/>
      <c r="TXC519" s="379"/>
      <c r="TXD519" s="379"/>
      <c r="TXE519" s="379"/>
      <c r="TXF519" s="379"/>
      <c r="TXG519" s="13"/>
      <c r="TXH519" s="13"/>
      <c r="TXI519" s="193"/>
      <c r="TXJ519" s="379"/>
      <c r="TXK519" s="379"/>
      <c r="TXL519" s="379"/>
      <c r="TXM519" s="379"/>
      <c r="TXN519" s="379"/>
      <c r="TXO519" s="13"/>
      <c r="TXP519" s="13"/>
      <c r="TXQ519" s="193"/>
      <c r="TXR519" s="379"/>
      <c r="TXS519" s="379"/>
      <c r="TXT519" s="379"/>
      <c r="TXU519" s="379"/>
      <c r="TXV519" s="379"/>
      <c r="TXW519" s="13"/>
      <c r="TXX519" s="13"/>
      <c r="TXY519" s="193"/>
      <c r="TXZ519" s="379"/>
      <c r="TYA519" s="379"/>
      <c r="TYB519" s="379"/>
      <c r="TYC519" s="379"/>
      <c r="TYD519" s="379"/>
      <c r="TYE519" s="13"/>
      <c r="TYF519" s="13"/>
      <c r="TYG519" s="193"/>
      <c r="TYH519" s="379"/>
      <c r="TYI519" s="379"/>
      <c r="TYJ519" s="379"/>
      <c r="TYK519" s="379"/>
      <c r="TYL519" s="379"/>
      <c r="TYM519" s="13"/>
      <c r="TYN519" s="13"/>
      <c r="TYO519" s="193"/>
      <c r="TYP519" s="379"/>
      <c r="TYQ519" s="379"/>
      <c r="TYR519" s="379"/>
      <c r="TYS519" s="379"/>
      <c r="TYT519" s="379"/>
      <c r="TYU519" s="13"/>
      <c r="TYV519" s="13"/>
      <c r="TYW519" s="193"/>
      <c r="TYX519" s="379"/>
      <c r="TYY519" s="379"/>
      <c r="TYZ519" s="379"/>
      <c r="TZA519" s="379"/>
      <c r="TZB519" s="379"/>
      <c r="TZC519" s="13"/>
      <c r="TZD519" s="13"/>
      <c r="TZE519" s="193"/>
      <c r="TZF519" s="379"/>
      <c r="TZG519" s="379"/>
      <c r="TZH519" s="379"/>
      <c r="TZI519" s="379"/>
      <c r="TZJ519" s="379"/>
      <c r="TZK519" s="13"/>
      <c r="TZL519" s="13"/>
      <c r="TZM519" s="193"/>
      <c r="TZN519" s="379"/>
      <c r="TZO519" s="379"/>
      <c r="TZP519" s="379"/>
      <c r="TZQ519" s="379"/>
      <c r="TZR519" s="379"/>
      <c r="TZS519" s="13"/>
      <c r="TZT519" s="13"/>
      <c r="TZU519" s="193"/>
      <c r="TZV519" s="379"/>
      <c r="TZW519" s="379"/>
      <c r="TZX519" s="379"/>
      <c r="TZY519" s="379"/>
      <c r="TZZ519" s="379"/>
      <c r="UAA519" s="13"/>
      <c r="UAB519" s="13"/>
      <c r="UAC519" s="193"/>
      <c r="UAD519" s="379"/>
      <c r="UAE519" s="379"/>
      <c r="UAF519" s="379"/>
      <c r="UAG519" s="379"/>
      <c r="UAH519" s="379"/>
      <c r="UAI519" s="13"/>
      <c r="UAJ519" s="13"/>
      <c r="UAK519" s="193"/>
      <c r="UAL519" s="379"/>
      <c r="UAM519" s="379"/>
      <c r="UAN519" s="379"/>
      <c r="UAO519" s="379"/>
      <c r="UAP519" s="379"/>
      <c r="UAQ519" s="13"/>
      <c r="UAR519" s="13"/>
      <c r="UAS519" s="193"/>
      <c r="UAT519" s="379"/>
      <c r="UAU519" s="379"/>
      <c r="UAV519" s="379"/>
      <c r="UAW519" s="379"/>
      <c r="UAX519" s="379"/>
      <c r="UAY519" s="13"/>
      <c r="UAZ519" s="13"/>
      <c r="UBA519" s="193"/>
      <c r="UBB519" s="379"/>
      <c r="UBC519" s="379"/>
      <c r="UBD519" s="379"/>
      <c r="UBE519" s="379"/>
      <c r="UBF519" s="379"/>
      <c r="UBG519" s="13"/>
      <c r="UBH519" s="13"/>
      <c r="UBI519" s="193"/>
      <c r="UBJ519" s="379"/>
      <c r="UBK519" s="379"/>
      <c r="UBL519" s="379"/>
      <c r="UBM519" s="379"/>
      <c r="UBN519" s="379"/>
      <c r="UBO519" s="13"/>
      <c r="UBP519" s="13"/>
      <c r="UBQ519" s="193"/>
      <c r="UBR519" s="379"/>
      <c r="UBS519" s="379"/>
      <c r="UBT519" s="379"/>
      <c r="UBU519" s="379"/>
      <c r="UBV519" s="379"/>
      <c r="UBW519" s="13"/>
      <c r="UBX519" s="13"/>
      <c r="UBY519" s="193"/>
      <c r="UBZ519" s="379"/>
      <c r="UCA519" s="379"/>
      <c r="UCB519" s="379"/>
      <c r="UCC519" s="379"/>
      <c r="UCD519" s="379"/>
      <c r="UCE519" s="13"/>
      <c r="UCF519" s="13"/>
      <c r="UCG519" s="193"/>
      <c r="UCH519" s="379"/>
      <c r="UCI519" s="379"/>
      <c r="UCJ519" s="379"/>
      <c r="UCK519" s="379"/>
      <c r="UCL519" s="379"/>
      <c r="UCM519" s="13"/>
      <c r="UCN519" s="13"/>
      <c r="UCO519" s="193"/>
      <c r="UCP519" s="379"/>
      <c r="UCQ519" s="379"/>
      <c r="UCR519" s="379"/>
      <c r="UCS519" s="379"/>
      <c r="UCT519" s="379"/>
      <c r="UCU519" s="13"/>
      <c r="UCV519" s="13"/>
      <c r="UCW519" s="193"/>
      <c r="UCX519" s="379"/>
      <c r="UCY519" s="379"/>
      <c r="UCZ519" s="379"/>
      <c r="UDA519" s="379"/>
      <c r="UDB519" s="379"/>
      <c r="UDC519" s="13"/>
      <c r="UDD519" s="13"/>
      <c r="UDE519" s="193"/>
      <c r="UDF519" s="379"/>
      <c r="UDG519" s="379"/>
      <c r="UDH519" s="379"/>
      <c r="UDI519" s="379"/>
      <c r="UDJ519" s="379"/>
      <c r="UDK519" s="13"/>
      <c r="UDL519" s="13"/>
      <c r="UDM519" s="193"/>
      <c r="UDN519" s="379"/>
      <c r="UDO519" s="379"/>
      <c r="UDP519" s="379"/>
      <c r="UDQ519" s="379"/>
      <c r="UDR519" s="379"/>
      <c r="UDS519" s="13"/>
      <c r="UDT519" s="13"/>
      <c r="UDU519" s="193"/>
      <c r="UDV519" s="379"/>
      <c r="UDW519" s="379"/>
      <c r="UDX519" s="379"/>
      <c r="UDY519" s="379"/>
      <c r="UDZ519" s="379"/>
      <c r="UEA519" s="13"/>
      <c r="UEB519" s="13"/>
      <c r="UEC519" s="193"/>
      <c r="UED519" s="379"/>
      <c r="UEE519" s="379"/>
      <c r="UEF519" s="379"/>
      <c r="UEG519" s="379"/>
      <c r="UEH519" s="379"/>
      <c r="UEI519" s="13"/>
      <c r="UEJ519" s="13"/>
      <c r="UEK519" s="193"/>
      <c r="UEL519" s="379"/>
      <c r="UEM519" s="379"/>
      <c r="UEN519" s="379"/>
      <c r="UEO519" s="379"/>
      <c r="UEP519" s="379"/>
      <c r="UEQ519" s="13"/>
      <c r="UER519" s="13"/>
      <c r="UES519" s="193"/>
      <c r="UET519" s="379"/>
      <c r="UEU519" s="379"/>
      <c r="UEV519" s="379"/>
      <c r="UEW519" s="379"/>
      <c r="UEX519" s="379"/>
      <c r="UEY519" s="13"/>
      <c r="UEZ519" s="13"/>
      <c r="UFA519" s="193"/>
      <c r="UFB519" s="379"/>
      <c r="UFC519" s="379"/>
      <c r="UFD519" s="379"/>
      <c r="UFE519" s="379"/>
      <c r="UFF519" s="379"/>
      <c r="UFG519" s="13"/>
      <c r="UFH519" s="13"/>
      <c r="UFI519" s="193"/>
      <c r="UFJ519" s="379"/>
      <c r="UFK519" s="379"/>
      <c r="UFL519" s="379"/>
      <c r="UFM519" s="379"/>
      <c r="UFN519" s="379"/>
      <c r="UFO519" s="13"/>
      <c r="UFP519" s="13"/>
      <c r="UFQ519" s="193"/>
      <c r="UFR519" s="379"/>
      <c r="UFS519" s="379"/>
      <c r="UFT519" s="379"/>
      <c r="UFU519" s="379"/>
      <c r="UFV519" s="379"/>
      <c r="UFW519" s="13"/>
      <c r="UFX519" s="13"/>
      <c r="UFY519" s="193"/>
      <c r="UFZ519" s="379"/>
      <c r="UGA519" s="379"/>
      <c r="UGB519" s="379"/>
      <c r="UGC519" s="379"/>
      <c r="UGD519" s="379"/>
      <c r="UGE519" s="13"/>
      <c r="UGF519" s="13"/>
      <c r="UGG519" s="193"/>
      <c r="UGH519" s="379"/>
      <c r="UGI519" s="379"/>
      <c r="UGJ519" s="379"/>
      <c r="UGK519" s="379"/>
      <c r="UGL519" s="379"/>
      <c r="UGM519" s="13"/>
      <c r="UGN519" s="13"/>
      <c r="UGO519" s="193"/>
      <c r="UGP519" s="379"/>
      <c r="UGQ519" s="379"/>
      <c r="UGR519" s="379"/>
      <c r="UGS519" s="379"/>
      <c r="UGT519" s="379"/>
      <c r="UGU519" s="13"/>
      <c r="UGV519" s="13"/>
      <c r="UGW519" s="193"/>
      <c r="UGX519" s="379"/>
      <c r="UGY519" s="379"/>
      <c r="UGZ519" s="379"/>
      <c r="UHA519" s="379"/>
      <c r="UHB519" s="379"/>
      <c r="UHC519" s="13"/>
      <c r="UHD519" s="13"/>
      <c r="UHE519" s="193"/>
      <c r="UHF519" s="379"/>
      <c r="UHG519" s="379"/>
      <c r="UHH519" s="379"/>
      <c r="UHI519" s="379"/>
      <c r="UHJ519" s="379"/>
      <c r="UHK519" s="13"/>
      <c r="UHL519" s="13"/>
      <c r="UHM519" s="193"/>
      <c r="UHN519" s="379"/>
      <c r="UHO519" s="379"/>
      <c r="UHP519" s="379"/>
      <c r="UHQ519" s="379"/>
      <c r="UHR519" s="379"/>
      <c r="UHS519" s="13"/>
      <c r="UHT519" s="13"/>
      <c r="UHU519" s="193"/>
      <c r="UHV519" s="379"/>
      <c r="UHW519" s="379"/>
      <c r="UHX519" s="379"/>
      <c r="UHY519" s="379"/>
      <c r="UHZ519" s="379"/>
      <c r="UIA519" s="13"/>
      <c r="UIB519" s="13"/>
      <c r="UIC519" s="193"/>
      <c r="UID519" s="379"/>
      <c r="UIE519" s="379"/>
      <c r="UIF519" s="379"/>
      <c r="UIG519" s="379"/>
      <c r="UIH519" s="379"/>
      <c r="UII519" s="13"/>
      <c r="UIJ519" s="13"/>
      <c r="UIK519" s="193"/>
      <c r="UIL519" s="379"/>
      <c r="UIM519" s="379"/>
      <c r="UIN519" s="379"/>
      <c r="UIO519" s="379"/>
      <c r="UIP519" s="379"/>
      <c r="UIQ519" s="13"/>
      <c r="UIR519" s="13"/>
      <c r="UIS519" s="193"/>
      <c r="UIT519" s="379"/>
      <c r="UIU519" s="379"/>
      <c r="UIV519" s="379"/>
      <c r="UIW519" s="379"/>
      <c r="UIX519" s="379"/>
      <c r="UIY519" s="13"/>
      <c r="UIZ519" s="13"/>
      <c r="UJA519" s="193"/>
      <c r="UJB519" s="379"/>
      <c r="UJC519" s="379"/>
      <c r="UJD519" s="379"/>
      <c r="UJE519" s="379"/>
      <c r="UJF519" s="379"/>
      <c r="UJG519" s="13"/>
      <c r="UJH519" s="13"/>
      <c r="UJI519" s="193"/>
      <c r="UJJ519" s="379"/>
      <c r="UJK519" s="379"/>
      <c r="UJL519" s="379"/>
      <c r="UJM519" s="379"/>
      <c r="UJN519" s="379"/>
      <c r="UJO519" s="13"/>
      <c r="UJP519" s="13"/>
      <c r="UJQ519" s="193"/>
      <c r="UJR519" s="379"/>
      <c r="UJS519" s="379"/>
      <c r="UJT519" s="379"/>
      <c r="UJU519" s="379"/>
      <c r="UJV519" s="379"/>
      <c r="UJW519" s="13"/>
      <c r="UJX519" s="13"/>
      <c r="UJY519" s="193"/>
      <c r="UJZ519" s="379"/>
      <c r="UKA519" s="379"/>
      <c r="UKB519" s="379"/>
      <c r="UKC519" s="379"/>
      <c r="UKD519" s="379"/>
      <c r="UKE519" s="13"/>
      <c r="UKF519" s="13"/>
      <c r="UKG519" s="193"/>
      <c r="UKH519" s="379"/>
      <c r="UKI519" s="379"/>
      <c r="UKJ519" s="379"/>
      <c r="UKK519" s="379"/>
      <c r="UKL519" s="379"/>
      <c r="UKM519" s="13"/>
      <c r="UKN519" s="13"/>
      <c r="UKO519" s="193"/>
      <c r="UKP519" s="379"/>
      <c r="UKQ519" s="379"/>
      <c r="UKR519" s="379"/>
      <c r="UKS519" s="379"/>
      <c r="UKT519" s="379"/>
      <c r="UKU519" s="13"/>
      <c r="UKV519" s="13"/>
      <c r="UKW519" s="193"/>
      <c r="UKX519" s="379"/>
      <c r="UKY519" s="379"/>
      <c r="UKZ519" s="379"/>
      <c r="ULA519" s="379"/>
      <c r="ULB519" s="379"/>
      <c r="ULC519" s="13"/>
      <c r="ULD519" s="13"/>
      <c r="ULE519" s="193"/>
      <c r="ULF519" s="379"/>
      <c r="ULG519" s="379"/>
      <c r="ULH519" s="379"/>
      <c r="ULI519" s="379"/>
      <c r="ULJ519" s="379"/>
      <c r="ULK519" s="13"/>
      <c r="ULL519" s="13"/>
      <c r="ULM519" s="193"/>
      <c r="ULN519" s="379"/>
      <c r="ULO519" s="379"/>
      <c r="ULP519" s="379"/>
      <c r="ULQ519" s="379"/>
      <c r="ULR519" s="379"/>
      <c r="ULS519" s="13"/>
      <c r="ULT519" s="13"/>
      <c r="ULU519" s="193"/>
      <c r="ULV519" s="379"/>
      <c r="ULW519" s="379"/>
      <c r="ULX519" s="379"/>
      <c r="ULY519" s="379"/>
      <c r="ULZ519" s="379"/>
      <c r="UMA519" s="13"/>
      <c r="UMB519" s="13"/>
      <c r="UMC519" s="193"/>
      <c r="UMD519" s="379"/>
      <c r="UME519" s="379"/>
      <c r="UMF519" s="379"/>
      <c r="UMG519" s="379"/>
      <c r="UMH519" s="379"/>
      <c r="UMI519" s="13"/>
      <c r="UMJ519" s="13"/>
      <c r="UMK519" s="193"/>
      <c r="UML519" s="379"/>
      <c r="UMM519" s="379"/>
      <c r="UMN519" s="379"/>
      <c r="UMO519" s="379"/>
      <c r="UMP519" s="379"/>
      <c r="UMQ519" s="13"/>
      <c r="UMR519" s="13"/>
      <c r="UMS519" s="193"/>
      <c r="UMT519" s="379"/>
      <c r="UMU519" s="379"/>
      <c r="UMV519" s="379"/>
      <c r="UMW519" s="379"/>
      <c r="UMX519" s="379"/>
      <c r="UMY519" s="13"/>
      <c r="UMZ519" s="13"/>
      <c r="UNA519" s="193"/>
      <c r="UNB519" s="379"/>
      <c r="UNC519" s="379"/>
      <c r="UND519" s="379"/>
      <c r="UNE519" s="379"/>
      <c r="UNF519" s="379"/>
      <c r="UNG519" s="13"/>
      <c r="UNH519" s="13"/>
      <c r="UNI519" s="193"/>
      <c r="UNJ519" s="379"/>
      <c r="UNK519" s="379"/>
      <c r="UNL519" s="379"/>
      <c r="UNM519" s="379"/>
      <c r="UNN519" s="379"/>
      <c r="UNO519" s="13"/>
      <c r="UNP519" s="13"/>
      <c r="UNQ519" s="193"/>
      <c r="UNR519" s="379"/>
      <c r="UNS519" s="379"/>
      <c r="UNT519" s="379"/>
      <c r="UNU519" s="379"/>
      <c r="UNV519" s="379"/>
      <c r="UNW519" s="13"/>
      <c r="UNX519" s="13"/>
      <c r="UNY519" s="193"/>
      <c r="UNZ519" s="379"/>
      <c r="UOA519" s="379"/>
      <c r="UOB519" s="379"/>
      <c r="UOC519" s="379"/>
      <c r="UOD519" s="379"/>
      <c r="UOE519" s="13"/>
      <c r="UOF519" s="13"/>
      <c r="UOG519" s="193"/>
      <c r="UOH519" s="379"/>
      <c r="UOI519" s="379"/>
      <c r="UOJ519" s="379"/>
      <c r="UOK519" s="379"/>
      <c r="UOL519" s="379"/>
      <c r="UOM519" s="13"/>
      <c r="UON519" s="13"/>
      <c r="UOO519" s="193"/>
      <c r="UOP519" s="379"/>
      <c r="UOQ519" s="379"/>
      <c r="UOR519" s="379"/>
      <c r="UOS519" s="379"/>
      <c r="UOT519" s="379"/>
      <c r="UOU519" s="13"/>
      <c r="UOV519" s="13"/>
      <c r="UOW519" s="193"/>
      <c r="UOX519" s="379"/>
      <c r="UOY519" s="379"/>
      <c r="UOZ519" s="379"/>
      <c r="UPA519" s="379"/>
      <c r="UPB519" s="379"/>
      <c r="UPC519" s="13"/>
      <c r="UPD519" s="13"/>
      <c r="UPE519" s="193"/>
      <c r="UPF519" s="379"/>
      <c r="UPG519" s="379"/>
      <c r="UPH519" s="379"/>
      <c r="UPI519" s="379"/>
      <c r="UPJ519" s="379"/>
      <c r="UPK519" s="13"/>
      <c r="UPL519" s="13"/>
      <c r="UPM519" s="193"/>
      <c r="UPN519" s="379"/>
      <c r="UPO519" s="379"/>
      <c r="UPP519" s="379"/>
      <c r="UPQ519" s="379"/>
      <c r="UPR519" s="379"/>
      <c r="UPS519" s="13"/>
      <c r="UPT519" s="13"/>
      <c r="UPU519" s="193"/>
      <c r="UPV519" s="379"/>
      <c r="UPW519" s="379"/>
      <c r="UPX519" s="379"/>
      <c r="UPY519" s="379"/>
      <c r="UPZ519" s="379"/>
      <c r="UQA519" s="13"/>
      <c r="UQB519" s="13"/>
      <c r="UQC519" s="193"/>
      <c r="UQD519" s="379"/>
      <c r="UQE519" s="379"/>
      <c r="UQF519" s="379"/>
      <c r="UQG519" s="379"/>
      <c r="UQH519" s="379"/>
      <c r="UQI519" s="13"/>
      <c r="UQJ519" s="13"/>
      <c r="UQK519" s="193"/>
      <c r="UQL519" s="379"/>
      <c r="UQM519" s="379"/>
      <c r="UQN519" s="379"/>
      <c r="UQO519" s="379"/>
      <c r="UQP519" s="379"/>
      <c r="UQQ519" s="13"/>
      <c r="UQR519" s="13"/>
      <c r="UQS519" s="193"/>
      <c r="UQT519" s="379"/>
      <c r="UQU519" s="379"/>
      <c r="UQV519" s="379"/>
      <c r="UQW519" s="379"/>
      <c r="UQX519" s="379"/>
      <c r="UQY519" s="13"/>
      <c r="UQZ519" s="13"/>
      <c r="URA519" s="193"/>
      <c r="URB519" s="379"/>
      <c r="URC519" s="379"/>
      <c r="URD519" s="379"/>
      <c r="URE519" s="379"/>
      <c r="URF519" s="379"/>
      <c r="URG519" s="13"/>
      <c r="URH519" s="13"/>
      <c r="URI519" s="193"/>
      <c r="URJ519" s="379"/>
      <c r="URK519" s="379"/>
      <c r="URL519" s="379"/>
      <c r="URM519" s="379"/>
      <c r="URN519" s="379"/>
      <c r="URO519" s="13"/>
      <c r="URP519" s="13"/>
      <c r="URQ519" s="193"/>
      <c r="URR519" s="379"/>
      <c r="URS519" s="379"/>
      <c r="URT519" s="379"/>
      <c r="URU519" s="379"/>
      <c r="URV519" s="379"/>
      <c r="URW519" s="13"/>
      <c r="URX519" s="13"/>
      <c r="URY519" s="193"/>
      <c r="URZ519" s="379"/>
      <c r="USA519" s="379"/>
      <c r="USB519" s="379"/>
      <c r="USC519" s="379"/>
      <c r="USD519" s="379"/>
      <c r="USE519" s="13"/>
      <c r="USF519" s="13"/>
      <c r="USG519" s="193"/>
      <c r="USH519" s="379"/>
      <c r="USI519" s="379"/>
      <c r="USJ519" s="379"/>
      <c r="USK519" s="379"/>
      <c r="USL519" s="379"/>
      <c r="USM519" s="13"/>
      <c r="USN519" s="13"/>
      <c r="USO519" s="193"/>
      <c r="USP519" s="379"/>
      <c r="USQ519" s="379"/>
      <c r="USR519" s="379"/>
      <c r="USS519" s="379"/>
      <c r="UST519" s="379"/>
      <c r="USU519" s="13"/>
      <c r="USV519" s="13"/>
      <c r="USW519" s="193"/>
      <c r="USX519" s="379"/>
      <c r="USY519" s="379"/>
      <c r="USZ519" s="379"/>
      <c r="UTA519" s="379"/>
      <c r="UTB519" s="379"/>
      <c r="UTC519" s="13"/>
      <c r="UTD519" s="13"/>
      <c r="UTE519" s="193"/>
      <c r="UTF519" s="379"/>
      <c r="UTG519" s="379"/>
      <c r="UTH519" s="379"/>
      <c r="UTI519" s="379"/>
      <c r="UTJ519" s="379"/>
      <c r="UTK519" s="13"/>
      <c r="UTL519" s="13"/>
      <c r="UTM519" s="193"/>
      <c r="UTN519" s="379"/>
      <c r="UTO519" s="379"/>
      <c r="UTP519" s="379"/>
      <c r="UTQ519" s="379"/>
      <c r="UTR519" s="379"/>
      <c r="UTS519" s="13"/>
      <c r="UTT519" s="13"/>
      <c r="UTU519" s="193"/>
      <c r="UTV519" s="379"/>
      <c r="UTW519" s="379"/>
      <c r="UTX519" s="379"/>
      <c r="UTY519" s="379"/>
      <c r="UTZ519" s="379"/>
      <c r="UUA519" s="13"/>
      <c r="UUB519" s="13"/>
      <c r="UUC519" s="193"/>
      <c r="UUD519" s="379"/>
      <c r="UUE519" s="379"/>
      <c r="UUF519" s="379"/>
      <c r="UUG519" s="379"/>
      <c r="UUH519" s="379"/>
      <c r="UUI519" s="13"/>
      <c r="UUJ519" s="13"/>
      <c r="UUK519" s="193"/>
      <c r="UUL519" s="379"/>
      <c r="UUM519" s="379"/>
      <c r="UUN519" s="379"/>
      <c r="UUO519" s="379"/>
      <c r="UUP519" s="379"/>
      <c r="UUQ519" s="13"/>
      <c r="UUR519" s="13"/>
      <c r="UUS519" s="193"/>
      <c r="UUT519" s="379"/>
      <c r="UUU519" s="379"/>
      <c r="UUV519" s="379"/>
      <c r="UUW519" s="379"/>
      <c r="UUX519" s="379"/>
      <c r="UUY519" s="13"/>
      <c r="UUZ519" s="13"/>
      <c r="UVA519" s="193"/>
      <c r="UVB519" s="379"/>
      <c r="UVC519" s="379"/>
      <c r="UVD519" s="379"/>
      <c r="UVE519" s="379"/>
      <c r="UVF519" s="379"/>
      <c r="UVG519" s="13"/>
      <c r="UVH519" s="13"/>
      <c r="UVI519" s="193"/>
      <c r="UVJ519" s="379"/>
      <c r="UVK519" s="379"/>
      <c r="UVL519" s="379"/>
      <c r="UVM519" s="379"/>
      <c r="UVN519" s="379"/>
      <c r="UVO519" s="13"/>
      <c r="UVP519" s="13"/>
      <c r="UVQ519" s="193"/>
      <c r="UVR519" s="379"/>
      <c r="UVS519" s="379"/>
      <c r="UVT519" s="379"/>
      <c r="UVU519" s="379"/>
      <c r="UVV519" s="379"/>
      <c r="UVW519" s="13"/>
      <c r="UVX519" s="13"/>
      <c r="UVY519" s="193"/>
      <c r="UVZ519" s="379"/>
      <c r="UWA519" s="379"/>
      <c r="UWB519" s="379"/>
      <c r="UWC519" s="379"/>
      <c r="UWD519" s="379"/>
      <c r="UWE519" s="13"/>
      <c r="UWF519" s="13"/>
      <c r="UWG519" s="193"/>
      <c r="UWH519" s="379"/>
      <c r="UWI519" s="379"/>
      <c r="UWJ519" s="379"/>
      <c r="UWK519" s="379"/>
      <c r="UWL519" s="379"/>
      <c r="UWM519" s="13"/>
      <c r="UWN519" s="13"/>
      <c r="UWO519" s="193"/>
      <c r="UWP519" s="379"/>
      <c r="UWQ519" s="379"/>
      <c r="UWR519" s="379"/>
      <c r="UWS519" s="379"/>
      <c r="UWT519" s="379"/>
      <c r="UWU519" s="13"/>
      <c r="UWV519" s="13"/>
      <c r="UWW519" s="193"/>
      <c r="UWX519" s="379"/>
      <c r="UWY519" s="379"/>
      <c r="UWZ519" s="379"/>
      <c r="UXA519" s="379"/>
      <c r="UXB519" s="379"/>
      <c r="UXC519" s="13"/>
      <c r="UXD519" s="13"/>
      <c r="UXE519" s="193"/>
      <c r="UXF519" s="379"/>
      <c r="UXG519" s="379"/>
      <c r="UXH519" s="379"/>
      <c r="UXI519" s="379"/>
      <c r="UXJ519" s="379"/>
      <c r="UXK519" s="13"/>
      <c r="UXL519" s="13"/>
      <c r="UXM519" s="193"/>
      <c r="UXN519" s="379"/>
      <c r="UXO519" s="379"/>
      <c r="UXP519" s="379"/>
      <c r="UXQ519" s="379"/>
      <c r="UXR519" s="379"/>
      <c r="UXS519" s="13"/>
      <c r="UXT519" s="13"/>
      <c r="UXU519" s="193"/>
      <c r="UXV519" s="379"/>
      <c r="UXW519" s="379"/>
      <c r="UXX519" s="379"/>
      <c r="UXY519" s="379"/>
      <c r="UXZ519" s="379"/>
      <c r="UYA519" s="13"/>
      <c r="UYB519" s="13"/>
      <c r="UYC519" s="193"/>
      <c r="UYD519" s="379"/>
      <c r="UYE519" s="379"/>
      <c r="UYF519" s="379"/>
      <c r="UYG519" s="379"/>
      <c r="UYH519" s="379"/>
      <c r="UYI519" s="13"/>
      <c r="UYJ519" s="13"/>
      <c r="UYK519" s="193"/>
      <c r="UYL519" s="379"/>
      <c r="UYM519" s="379"/>
      <c r="UYN519" s="379"/>
      <c r="UYO519" s="379"/>
      <c r="UYP519" s="379"/>
      <c r="UYQ519" s="13"/>
      <c r="UYR519" s="13"/>
      <c r="UYS519" s="193"/>
      <c r="UYT519" s="379"/>
      <c r="UYU519" s="379"/>
      <c r="UYV519" s="379"/>
      <c r="UYW519" s="379"/>
      <c r="UYX519" s="379"/>
      <c r="UYY519" s="13"/>
      <c r="UYZ519" s="13"/>
      <c r="UZA519" s="193"/>
      <c r="UZB519" s="379"/>
      <c r="UZC519" s="379"/>
      <c r="UZD519" s="379"/>
      <c r="UZE519" s="379"/>
      <c r="UZF519" s="379"/>
      <c r="UZG519" s="13"/>
      <c r="UZH519" s="13"/>
      <c r="UZI519" s="193"/>
      <c r="UZJ519" s="379"/>
      <c r="UZK519" s="379"/>
      <c r="UZL519" s="379"/>
      <c r="UZM519" s="379"/>
      <c r="UZN519" s="379"/>
      <c r="UZO519" s="13"/>
      <c r="UZP519" s="13"/>
      <c r="UZQ519" s="193"/>
      <c r="UZR519" s="379"/>
      <c r="UZS519" s="379"/>
      <c r="UZT519" s="379"/>
      <c r="UZU519" s="379"/>
      <c r="UZV519" s="379"/>
      <c r="UZW519" s="13"/>
      <c r="UZX519" s="13"/>
      <c r="UZY519" s="193"/>
      <c r="UZZ519" s="379"/>
      <c r="VAA519" s="379"/>
      <c r="VAB519" s="379"/>
      <c r="VAC519" s="379"/>
      <c r="VAD519" s="379"/>
      <c r="VAE519" s="13"/>
      <c r="VAF519" s="13"/>
      <c r="VAG519" s="193"/>
      <c r="VAH519" s="379"/>
      <c r="VAI519" s="379"/>
      <c r="VAJ519" s="379"/>
      <c r="VAK519" s="379"/>
      <c r="VAL519" s="379"/>
      <c r="VAM519" s="13"/>
      <c r="VAN519" s="13"/>
      <c r="VAO519" s="193"/>
      <c r="VAP519" s="379"/>
      <c r="VAQ519" s="379"/>
      <c r="VAR519" s="379"/>
      <c r="VAS519" s="379"/>
      <c r="VAT519" s="379"/>
      <c r="VAU519" s="13"/>
      <c r="VAV519" s="13"/>
      <c r="VAW519" s="193"/>
      <c r="VAX519" s="379"/>
      <c r="VAY519" s="379"/>
      <c r="VAZ519" s="379"/>
      <c r="VBA519" s="379"/>
      <c r="VBB519" s="379"/>
      <c r="VBC519" s="13"/>
      <c r="VBD519" s="13"/>
      <c r="VBE519" s="193"/>
      <c r="VBF519" s="379"/>
      <c r="VBG519" s="379"/>
      <c r="VBH519" s="379"/>
      <c r="VBI519" s="379"/>
      <c r="VBJ519" s="379"/>
      <c r="VBK519" s="13"/>
      <c r="VBL519" s="13"/>
      <c r="VBM519" s="193"/>
      <c r="VBN519" s="379"/>
      <c r="VBO519" s="379"/>
      <c r="VBP519" s="379"/>
      <c r="VBQ519" s="379"/>
      <c r="VBR519" s="379"/>
      <c r="VBS519" s="13"/>
      <c r="VBT519" s="13"/>
      <c r="VBU519" s="193"/>
      <c r="VBV519" s="379"/>
      <c r="VBW519" s="379"/>
      <c r="VBX519" s="379"/>
      <c r="VBY519" s="379"/>
      <c r="VBZ519" s="379"/>
      <c r="VCA519" s="13"/>
      <c r="VCB519" s="13"/>
      <c r="VCC519" s="193"/>
      <c r="VCD519" s="379"/>
      <c r="VCE519" s="379"/>
      <c r="VCF519" s="379"/>
      <c r="VCG519" s="379"/>
      <c r="VCH519" s="379"/>
      <c r="VCI519" s="13"/>
      <c r="VCJ519" s="13"/>
      <c r="VCK519" s="193"/>
      <c r="VCL519" s="379"/>
      <c r="VCM519" s="379"/>
      <c r="VCN519" s="379"/>
      <c r="VCO519" s="379"/>
      <c r="VCP519" s="379"/>
      <c r="VCQ519" s="13"/>
      <c r="VCR519" s="13"/>
      <c r="VCS519" s="193"/>
      <c r="VCT519" s="379"/>
      <c r="VCU519" s="379"/>
      <c r="VCV519" s="379"/>
      <c r="VCW519" s="379"/>
      <c r="VCX519" s="379"/>
      <c r="VCY519" s="13"/>
      <c r="VCZ519" s="13"/>
      <c r="VDA519" s="193"/>
      <c r="VDB519" s="379"/>
      <c r="VDC519" s="379"/>
      <c r="VDD519" s="379"/>
      <c r="VDE519" s="379"/>
      <c r="VDF519" s="379"/>
      <c r="VDG519" s="13"/>
      <c r="VDH519" s="13"/>
      <c r="VDI519" s="193"/>
      <c r="VDJ519" s="379"/>
      <c r="VDK519" s="379"/>
      <c r="VDL519" s="379"/>
      <c r="VDM519" s="379"/>
      <c r="VDN519" s="379"/>
      <c r="VDO519" s="13"/>
      <c r="VDP519" s="13"/>
      <c r="VDQ519" s="193"/>
      <c r="VDR519" s="379"/>
      <c r="VDS519" s="379"/>
      <c r="VDT519" s="379"/>
      <c r="VDU519" s="379"/>
      <c r="VDV519" s="379"/>
      <c r="VDW519" s="13"/>
      <c r="VDX519" s="13"/>
      <c r="VDY519" s="193"/>
      <c r="VDZ519" s="379"/>
      <c r="VEA519" s="379"/>
      <c r="VEB519" s="379"/>
      <c r="VEC519" s="379"/>
      <c r="VED519" s="379"/>
      <c r="VEE519" s="13"/>
      <c r="VEF519" s="13"/>
      <c r="VEG519" s="193"/>
      <c r="VEH519" s="379"/>
      <c r="VEI519" s="379"/>
      <c r="VEJ519" s="379"/>
      <c r="VEK519" s="379"/>
      <c r="VEL519" s="379"/>
      <c r="VEM519" s="13"/>
      <c r="VEN519" s="13"/>
      <c r="VEO519" s="193"/>
      <c r="VEP519" s="379"/>
      <c r="VEQ519" s="379"/>
      <c r="VER519" s="379"/>
      <c r="VES519" s="379"/>
      <c r="VET519" s="379"/>
      <c r="VEU519" s="13"/>
      <c r="VEV519" s="13"/>
      <c r="VEW519" s="193"/>
      <c r="VEX519" s="379"/>
      <c r="VEY519" s="379"/>
      <c r="VEZ519" s="379"/>
      <c r="VFA519" s="379"/>
      <c r="VFB519" s="379"/>
      <c r="VFC519" s="13"/>
      <c r="VFD519" s="13"/>
      <c r="VFE519" s="193"/>
      <c r="VFF519" s="379"/>
      <c r="VFG519" s="379"/>
      <c r="VFH519" s="379"/>
      <c r="VFI519" s="379"/>
      <c r="VFJ519" s="379"/>
      <c r="VFK519" s="13"/>
      <c r="VFL519" s="13"/>
      <c r="VFM519" s="193"/>
      <c r="VFN519" s="379"/>
      <c r="VFO519" s="379"/>
      <c r="VFP519" s="379"/>
      <c r="VFQ519" s="379"/>
      <c r="VFR519" s="379"/>
      <c r="VFS519" s="13"/>
      <c r="VFT519" s="13"/>
      <c r="VFU519" s="193"/>
      <c r="VFV519" s="379"/>
      <c r="VFW519" s="379"/>
      <c r="VFX519" s="379"/>
      <c r="VFY519" s="379"/>
      <c r="VFZ519" s="379"/>
      <c r="VGA519" s="13"/>
      <c r="VGB519" s="13"/>
      <c r="VGC519" s="193"/>
      <c r="VGD519" s="379"/>
      <c r="VGE519" s="379"/>
      <c r="VGF519" s="379"/>
      <c r="VGG519" s="379"/>
      <c r="VGH519" s="379"/>
      <c r="VGI519" s="13"/>
      <c r="VGJ519" s="13"/>
      <c r="VGK519" s="193"/>
      <c r="VGL519" s="379"/>
      <c r="VGM519" s="379"/>
      <c r="VGN519" s="379"/>
      <c r="VGO519" s="379"/>
      <c r="VGP519" s="379"/>
      <c r="VGQ519" s="13"/>
      <c r="VGR519" s="13"/>
      <c r="VGS519" s="193"/>
      <c r="VGT519" s="379"/>
      <c r="VGU519" s="379"/>
      <c r="VGV519" s="379"/>
      <c r="VGW519" s="379"/>
      <c r="VGX519" s="379"/>
      <c r="VGY519" s="13"/>
      <c r="VGZ519" s="13"/>
      <c r="VHA519" s="193"/>
      <c r="VHB519" s="379"/>
      <c r="VHC519" s="379"/>
      <c r="VHD519" s="379"/>
      <c r="VHE519" s="379"/>
      <c r="VHF519" s="379"/>
      <c r="VHG519" s="13"/>
      <c r="VHH519" s="13"/>
      <c r="VHI519" s="193"/>
      <c r="VHJ519" s="379"/>
      <c r="VHK519" s="379"/>
      <c r="VHL519" s="379"/>
      <c r="VHM519" s="379"/>
      <c r="VHN519" s="379"/>
      <c r="VHO519" s="13"/>
      <c r="VHP519" s="13"/>
      <c r="VHQ519" s="193"/>
      <c r="VHR519" s="379"/>
      <c r="VHS519" s="379"/>
      <c r="VHT519" s="379"/>
      <c r="VHU519" s="379"/>
      <c r="VHV519" s="379"/>
      <c r="VHW519" s="13"/>
      <c r="VHX519" s="13"/>
      <c r="VHY519" s="193"/>
      <c r="VHZ519" s="379"/>
      <c r="VIA519" s="379"/>
      <c r="VIB519" s="379"/>
      <c r="VIC519" s="379"/>
      <c r="VID519" s="379"/>
      <c r="VIE519" s="13"/>
      <c r="VIF519" s="13"/>
      <c r="VIG519" s="193"/>
      <c r="VIH519" s="379"/>
      <c r="VII519" s="379"/>
      <c r="VIJ519" s="379"/>
      <c r="VIK519" s="379"/>
      <c r="VIL519" s="379"/>
      <c r="VIM519" s="13"/>
      <c r="VIN519" s="13"/>
      <c r="VIO519" s="193"/>
      <c r="VIP519" s="379"/>
      <c r="VIQ519" s="379"/>
      <c r="VIR519" s="379"/>
      <c r="VIS519" s="379"/>
      <c r="VIT519" s="379"/>
      <c r="VIU519" s="13"/>
      <c r="VIV519" s="13"/>
      <c r="VIW519" s="193"/>
      <c r="VIX519" s="379"/>
      <c r="VIY519" s="379"/>
      <c r="VIZ519" s="379"/>
      <c r="VJA519" s="379"/>
      <c r="VJB519" s="379"/>
      <c r="VJC519" s="13"/>
      <c r="VJD519" s="13"/>
      <c r="VJE519" s="193"/>
      <c r="VJF519" s="379"/>
      <c r="VJG519" s="379"/>
      <c r="VJH519" s="379"/>
      <c r="VJI519" s="379"/>
      <c r="VJJ519" s="379"/>
      <c r="VJK519" s="13"/>
      <c r="VJL519" s="13"/>
      <c r="VJM519" s="193"/>
      <c r="VJN519" s="379"/>
      <c r="VJO519" s="379"/>
      <c r="VJP519" s="379"/>
      <c r="VJQ519" s="379"/>
      <c r="VJR519" s="379"/>
      <c r="VJS519" s="13"/>
      <c r="VJT519" s="13"/>
      <c r="VJU519" s="193"/>
      <c r="VJV519" s="379"/>
      <c r="VJW519" s="379"/>
      <c r="VJX519" s="379"/>
      <c r="VJY519" s="379"/>
      <c r="VJZ519" s="379"/>
      <c r="VKA519" s="13"/>
      <c r="VKB519" s="13"/>
      <c r="VKC519" s="193"/>
      <c r="VKD519" s="379"/>
      <c r="VKE519" s="379"/>
      <c r="VKF519" s="379"/>
      <c r="VKG519" s="379"/>
      <c r="VKH519" s="379"/>
      <c r="VKI519" s="13"/>
      <c r="VKJ519" s="13"/>
      <c r="VKK519" s="193"/>
      <c r="VKL519" s="379"/>
      <c r="VKM519" s="379"/>
      <c r="VKN519" s="379"/>
      <c r="VKO519" s="379"/>
      <c r="VKP519" s="379"/>
      <c r="VKQ519" s="13"/>
      <c r="VKR519" s="13"/>
      <c r="VKS519" s="193"/>
      <c r="VKT519" s="379"/>
      <c r="VKU519" s="379"/>
      <c r="VKV519" s="379"/>
      <c r="VKW519" s="379"/>
      <c r="VKX519" s="379"/>
      <c r="VKY519" s="13"/>
      <c r="VKZ519" s="13"/>
      <c r="VLA519" s="193"/>
      <c r="VLB519" s="379"/>
      <c r="VLC519" s="379"/>
      <c r="VLD519" s="379"/>
      <c r="VLE519" s="379"/>
      <c r="VLF519" s="379"/>
      <c r="VLG519" s="13"/>
      <c r="VLH519" s="13"/>
      <c r="VLI519" s="193"/>
      <c r="VLJ519" s="379"/>
      <c r="VLK519" s="379"/>
      <c r="VLL519" s="379"/>
      <c r="VLM519" s="379"/>
      <c r="VLN519" s="379"/>
      <c r="VLO519" s="13"/>
      <c r="VLP519" s="13"/>
      <c r="VLQ519" s="193"/>
      <c r="VLR519" s="379"/>
      <c r="VLS519" s="379"/>
      <c r="VLT519" s="379"/>
      <c r="VLU519" s="379"/>
      <c r="VLV519" s="379"/>
      <c r="VLW519" s="13"/>
      <c r="VLX519" s="13"/>
      <c r="VLY519" s="193"/>
      <c r="VLZ519" s="379"/>
      <c r="VMA519" s="379"/>
      <c r="VMB519" s="379"/>
      <c r="VMC519" s="379"/>
      <c r="VMD519" s="379"/>
      <c r="VME519" s="13"/>
      <c r="VMF519" s="13"/>
      <c r="VMG519" s="193"/>
      <c r="VMH519" s="379"/>
      <c r="VMI519" s="379"/>
      <c r="VMJ519" s="379"/>
      <c r="VMK519" s="379"/>
      <c r="VML519" s="379"/>
      <c r="VMM519" s="13"/>
      <c r="VMN519" s="13"/>
      <c r="VMO519" s="193"/>
      <c r="VMP519" s="379"/>
      <c r="VMQ519" s="379"/>
      <c r="VMR519" s="379"/>
      <c r="VMS519" s="379"/>
      <c r="VMT519" s="379"/>
      <c r="VMU519" s="13"/>
      <c r="VMV519" s="13"/>
      <c r="VMW519" s="193"/>
      <c r="VMX519" s="379"/>
      <c r="VMY519" s="379"/>
      <c r="VMZ519" s="379"/>
      <c r="VNA519" s="379"/>
      <c r="VNB519" s="379"/>
      <c r="VNC519" s="13"/>
      <c r="VND519" s="13"/>
      <c r="VNE519" s="193"/>
      <c r="VNF519" s="379"/>
      <c r="VNG519" s="379"/>
      <c r="VNH519" s="379"/>
      <c r="VNI519" s="379"/>
      <c r="VNJ519" s="379"/>
      <c r="VNK519" s="13"/>
      <c r="VNL519" s="13"/>
      <c r="VNM519" s="193"/>
      <c r="VNN519" s="379"/>
      <c r="VNO519" s="379"/>
      <c r="VNP519" s="379"/>
      <c r="VNQ519" s="379"/>
      <c r="VNR519" s="379"/>
      <c r="VNS519" s="13"/>
      <c r="VNT519" s="13"/>
      <c r="VNU519" s="193"/>
      <c r="VNV519" s="379"/>
      <c r="VNW519" s="379"/>
      <c r="VNX519" s="379"/>
      <c r="VNY519" s="379"/>
      <c r="VNZ519" s="379"/>
      <c r="VOA519" s="13"/>
      <c r="VOB519" s="13"/>
      <c r="VOC519" s="193"/>
      <c r="VOD519" s="379"/>
      <c r="VOE519" s="379"/>
      <c r="VOF519" s="379"/>
      <c r="VOG519" s="379"/>
      <c r="VOH519" s="379"/>
      <c r="VOI519" s="13"/>
      <c r="VOJ519" s="13"/>
      <c r="VOK519" s="193"/>
      <c r="VOL519" s="379"/>
      <c r="VOM519" s="379"/>
      <c r="VON519" s="379"/>
      <c r="VOO519" s="379"/>
      <c r="VOP519" s="379"/>
      <c r="VOQ519" s="13"/>
      <c r="VOR519" s="13"/>
      <c r="VOS519" s="193"/>
      <c r="VOT519" s="379"/>
      <c r="VOU519" s="379"/>
      <c r="VOV519" s="379"/>
      <c r="VOW519" s="379"/>
      <c r="VOX519" s="379"/>
      <c r="VOY519" s="13"/>
      <c r="VOZ519" s="13"/>
      <c r="VPA519" s="193"/>
      <c r="VPB519" s="379"/>
      <c r="VPC519" s="379"/>
      <c r="VPD519" s="379"/>
      <c r="VPE519" s="379"/>
      <c r="VPF519" s="379"/>
      <c r="VPG519" s="13"/>
      <c r="VPH519" s="13"/>
      <c r="VPI519" s="193"/>
      <c r="VPJ519" s="379"/>
      <c r="VPK519" s="379"/>
      <c r="VPL519" s="379"/>
      <c r="VPM519" s="379"/>
      <c r="VPN519" s="379"/>
      <c r="VPO519" s="13"/>
      <c r="VPP519" s="13"/>
      <c r="VPQ519" s="193"/>
      <c r="VPR519" s="379"/>
      <c r="VPS519" s="379"/>
      <c r="VPT519" s="379"/>
      <c r="VPU519" s="379"/>
      <c r="VPV519" s="379"/>
      <c r="VPW519" s="13"/>
      <c r="VPX519" s="13"/>
      <c r="VPY519" s="193"/>
      <c r="VPZ519" s="379"/>
      <c r="VQA519" s="379"/>
      <c r="VQB519" s="379"/>
      <c r="VQC519" s="379"/>
      <c r="VQD519" s="379"/>
      <c r="VQE519" s="13"/>
      <c r="VQF519" s="13"/>
      <c r="VQG519" s="193"/>
      <c r="VQH519" s="379"/>
      <c r="VQI519" s="379"/>
      <c r="VQJ519" s="379"/>
      <c r="VQK519" s="379"/>
      <c r="VQL519" s="379"/>
      <c r="VQM519" s="13"/>
      <c r="VQN519" s="13"/>
      <c r="VQO519" s="193"/>
      <c r="VQP519" s="379"/>
      <c r="VQQ519" s="379"/>
      <c r="VQR519" s="379"/>
      <c r="VQS519" s="379"/>
      <c r="VQT519" s="379"/>
      <c r="VQU519" s="13"/>
      <c r="VQV519" s="13"/>
      <c r="VQW519" s="193"/>
      <c r="VQX519" s="379"/>
      <c r="VQY519" s="379"/>
      <c r="VQZ519" s="379"/>
      <c r="VRA519" s="379"/>
      <c r="VRB519" s="379"/>
      <c r="VRC519" s="13"/>
      <c r="VRD519" s="13"/>
      <c r="VRE519" s="193"/>
      <c r="VRF519" s="379"/>
      <c r="VRG519" s="379"/>
      <c r="VRH519" s="379"/>
      <c r="VRI519" s="379"/>
      <c r="VRJ519" s="379"/>
      <c r="VRK519" s="13"/>
      <c r="VRL519" s="13"/>
      <c r="VRM519" s="193"/>
      <c r="VRN519" s="379"/>
      <c r="VRO519" s="379"/>
      <c r="VRP519" s="379"/>
      <c r="VRQ519" s="379"/>
      <c r="VRR519" s="379"/>
      <c r="VRS519" s="13"/>
      <c r="VRT519" s="13"/>
      <c r="VRU519" s="193"/>
      <c r="VRV519" s="379"/>
      <c r="VRW519" s="379"/>
      <c r="VRX519" s="379"/>
      <c r="VRY519" s="379"/>
      <c r="VRZ519" s="379"/>
      <c r="VSA519" s="13"/>
      <c r="VSB519" s="13"/>
      <c r="VSC519" s="193"/>
      <c r="VSD519" s="379"/>
      <c r="VSE519" s="379"/>
      <c r="VSF519" s="379"/>
      <c r="VSG519" s="379"/>
      <c r="VSH519" s="379"/>
      <c r="VSI519" s="13"/>
      <c r="VSJ519" s="13"/>
      <c r="VSK519" s="193"/>
      <c r="VSL519" s="379"/>
      <c r="VSM519" s="379"/>
      <c r="VSN519" s="379"/>
      <c r="VSO519" s="379"/>
      <c r="VSP519" s="379"/>
      <c r="VSQ519" s="13"/>
      <c r="VSR519" s="13"/>
      <c r="VSS519" s="193"/>
      <c r="VST519" s="379"/>
      <c r="VSU519" s="379"/>
      <c r="VSV519" s="379"/>
      <c r="VSW519" s="379"/>
      <c r="VSX519" s="379"/>
      <c r="VSY519" s="13"/>
      <c r="VSZ519" s="13"/>
      <c r="VTA519" s="193"/>
      <c r="VTB519" s="379"/>
      <c r="VTC519" s="379"/>
      <c r="VTD519" s="379"/>
      <c r="VTE519" s="379"/>
      <c r="VTF519" s="379"/>
      <c r="VTG519" s="13"/>
      <c r="VTH519" s="13"/>
      <c r="VTI519" s="193"/>
      <c r="VTJ519" s="379"/>
      <c r="VTK519" s="379"/>
      <c r="VTL519" s="379"/>
      <c r="VTM519" s="379"/>
      <c r="VTN519" s="379"/>
      <c r="VTO519" s="13"/>
      <c r="VTP519" s="13"/>
      <c r="VTQ519" s="193"/>
      <c r="VTR519" s="379"/>
      <c r="VTS519" s="379"/>
      <c r="VTT519" s="379"/>
      <c r="VTU519" s="379"/>
      <c r="VTV519" s="379"/>
      <c r="VTW519" s="13"/>
      <c r="VTX519" s="13"/>
      <c r="VTY519" s="193"/>
      <c r="VTZ519" s="379"/>
      <c r="VUA519" s="379"/>
      <c r="VUB519" s="379"/>
      <c r="VUC519" s="379"/>
      <c r="VUD519" s="379"/>
      <c r="VUE519" s="13"/>
      <c r="VUF519" s="13"/>
      <c r="VUG519" s="193"/>
      <c r="VUH519" s="379"/>
      <c r="VUI519" s="379"/>
      <c r="VUJ519" s="379"/>
      <c r="VUK519" s="379"/>
      <c r="VUL519" s="379"/>
      <c r="VUM519" s="13"/>
      <c r="VUN519" s="13"/>
      <c r="VUO519" s="193"/>
      <c r="VUP519" s="379"/>
      <c r="VUQ519" s="379"/>
      <c r="VUR519" s="379"/>
      <c r="VUS519" s="379"/>
      <c r="VUT519" s="379"/>
      <c r="VUU519" s="13"/>
      <c r="VUV519" s="13"/>
      <c r="VUW519" s="193"/>
      <c r="VUX519" s="379"/>
      <c r="VUY519" s="379"/>
      <c r="VUZ519" s="379"/>
      <c r="VVA519" s="379"/>
      <c r="VVB519" s="379"/>
      <c r="VVC519" s="13"/>
      <c r="VVD519" s="13"/>
      <c r="VVE519" s="193"/>
      <c r="VVF519" s="379"/>
      <c r="VVG519" s="379"/>
      <c r="VVH519" s="379"/>
      <c r="VVI519" s="379"/>
      <c r="VVJ519" s="379"/>
      <c r="VVK519" s="13"/>
      <c r="VVL519" s="13"/>
      <c r="VVM519" s="193"/>
      <c r="VVN519" s="379"/>
      <c r="VVO519" s="379"/>
      <c r="VVP519" s="379"/>
      <c r="VVQ519" s="379"/>
      <c r="VVR519" s="379"/>
      <c r="VVS519" s="13"/>
      <c r="VVT519" s="13"/>
      <c r="VVU519" s="193"/>
      <c r="VVV519" s="379"/>
      <c r="VVW519" s="379"/>
      <c r="VVX519" s="379"/>
      <c r="VVY519" s="379"/>
      <c r="VVZ519" s="379"/>
      <c r="VWA519" s="13"/>
      <c r="VWB519" s="13"/>
      <c r="VWC519" s="193"/>
      <c r="VWD519" s="379"/>
      <c r="VWE519" s="379"/>
      <c r="VWF519" s="379"/>
      <c r="VWG519" s="379"/>
      <c r="VWH519" s="379"/>
      <c r="VWI519" s="13"/>
      <c r="VWJ519" s="13"/>
      <c r="VWK519" s="193"/>
      <c r="VWL519" s="379"/>
      <c r="VWM519" s="379"/>
      <c r="VWN519" s="379"/>
      <c r="VWO519" s="379"/>
      <c r="VWP519" s="379"/>
      <c r="VWQ519" s="13"/>
      <c r="VWR519" s="13"/>
      <c r="VWS519" s="193"/>
      <c r="VWT519" s="379"/>
      <c r="VWU519" s="379"/>
      <c r="VWV519" s="379"/>
      <c r="VWW519" s="379"/>
      <c r="VWX519" s="379"/>
      <c r="VWY519" s="13"/>
      <c r="VWZ519" s="13"/>
      <c r="VXA519" s="193"/>
      <c r="VXB519" s="379"/>
      <c r="VXC519" s="379"/>
      <c r="VXD519" s="379"/>
      <c r="VXE519" s="379"/>
      <c r="VXF519" s="379"/>
      <c r="VXG519" s="13"/>
      <c r="VXH519" s="13"/>
      <c r="VXI519" s="193"/>
      <c r="VXJ519" s="379"/>
      <c r="VXK519" s="379"/>
      <c r="VXL519" s="379"/>
      <c r="VXM519" s="379"/>
      <c r="VXN519" s="379"/>
      <c r="VXO519" s="13"/>
      <c r="VXP519" s="13"/>
      <c r="VXQ519" s="193"/>
      <c r="VXR519" s="379"/>
      <c r="VXS519" s="379"/>
      <c r="VXT519" s="379"/>
      <c r="VXU519" s="379"/>
      <c r="VXV519" s="379"/>
      <c r="VXW519" s="13"/>
      <c r="VXX519" s="13"/>
      <c r="VXY519" s="193"/>
      <c r="VXZ519" s="379"/>
      <c r="VYA519" s="379"/>
      <c r="VYB519" s="379"/>
      <c r="VYC519" s="379"/>
      <c r="VYD519" s="379"/>
      <c r="VYE519" s="13"/>
      <c r="VYF519" s="13"/>
      <c r="VYG519" s="193"/>
      <c r="VYH519" s="379"/>
      <c r="VYI519" s="379"/>
      <c r="VYJ519" s="379"/>
      <c r="VYK519" s="379"/>
      <c r="VYL519" s="379"/>
      <c r="VYM519" s="13"/>
      <c r="VYN519" s="13"/>
      <c r="VYO519" s="193"/>
      <c r="VYP519" s="379"/>
      <c r="VYQ519" s="379"/>
      <c r="VYR519" s="379"/>
      <c r="VYS519" s="379"/>
      <c r="VYT519" s="379"/>
      <c r="VYU519" s="13"/>
      <c r="VYV519" s="13"/>
      <c r="VYW519" s="193"/>
      <c r="VYX519" s="379"/>
      <c r="VYY519" s="379"/>
      <c r="VYZ519" s="379"/>
      <c r="VZA519" s="379"/>
      <c r="VZB519" s="379"/>
      <c r="VZC519" s="13"/>
      <c r="VZD519" s="13"/>
      <c r="VZE519" s="193"/>
      <c r="VZF519" s="379"/>
      <c r="VZG519" s="379"/>
      <c r="VZH519" s="379"/>
      <c r="VZI519" s="379"/>
      <c r="VZJ519" s="379"/>
      <c r="VZK519" s="13"/>
      <c r="VZL519" s="13"/>
      <c r="VZM519" s="193"/>
      <c r="VZN519" s="379"/>
      <c r="VZO519" s="379"/>
      <c r="VZP519" s="379"/>
      <c r="VZQ519" s="379"/>
      <c r="VZR519" s="379"/>
      <c r="VZS519" s="13"/>
      <c r="VZT519" s="13"/>
      <c r="VZU519" s="193"/>
      <c r="VZV519" s="379"/>
      <c r="VZW519" s="379"/>
      <c r="VZX519" s="379"/>
      <c r="VZY519" s="379"/>
      <c r="VZZ519" s="379"/>
      <c r="WAA519" s="13"/>
      <c r="WAB519" s="13"/>
      <c r="WAC519" s="193"/>
      <c r="WAD519" s="379"/>
      <c r="WAE519" s="379"/>
      <c r="WAF519" s="379"/>
      <c r="WAG519" s="379"/>
      <c r="WAH519" s="379"/>
      <c r="WAI519" s="13"/>
      <c r="WAJ519" s="13"/>
      <c r="WAK519" s="193"/>
      <c r="WAL519" s="379"/>
      <c r="WAM519" s="379"/>
      <c r="WAN519" s="379"/>
      <c r="WAO519" s="379"/>
      <c r="WAP519" s="379"/>
      <c r="WAQ519" s="13"/>
      <c r="WAR519" s="13"/>
      <c r="WAS519" s="193"/>
      <c r="WAT519" s="379"/>
      <c r="WAU519" s="379"/>
      <c r="WAV519" s="379"/>
      <c r="WAW519" s="379"/>
      <c r="WAX519" s="379"/>
      <c r="WAY519" s="13"/>
      <c r="WAZ519" s="13"/>
      <c r="WBA519" s="193"/>
      <c r="WBB519" s="379"/>
      <c r="WBC519" s="379"/>
      <c r="WBD519" s="379"/>
      <c r="WBE519" s="379"/>
      <c r="WBF519" s="379"/>
      <c r="WBG519" s="13"/>
      <c r="WBH519" s="13"/>
      <c r="WBI519" s="193"/>
      <c r="WBJ519" s="379"/>
      <c r="WBK519" s="379"/>
      <c r="WBL519" s="379"/>
      <c r="WBM519" s="379"/>
      <c r="WBN519" s="379"/>
      <c r="WBO519" s="13"/>
      <c r="WBP519" s="13"/>
      <c r="WBQ519" s="193"/>
      <c r="WBR519" s="379"/>
      <c r="WBS519" s="379"/>
      <c r="WBT519" s="379"/>
      <c r="WBU519" s="379"/>
      <c r="WBV519" s="379"/>
      <c r="WBW519" s="13"/>
      <c r="WBX519" s="13"/>
      <c r="WBY519" s="193"/>
      <c r="WBZ519" s="379"/>
      <c r="WCA519" s="379"/>
      <c r="WCB519" s="379"/>
      <c r="WCC519" s="379"/>
      <c r="WCD519" s="379"/>
      <c r="WCE519" s="13"/>
      <c r="WCF519" s="13"/>
      <c r="WCG519" s="193"/>
      <c r="WCH519" s="379"/>
      <c r="WCI519" s="379"/>
      <c r="WCJ519" s="379"/>
      <c r="WCK519" s="379"/>
      <c r="WCL519" s="379"/>
      <c r="WCM519" s="13"/>
      <c r="WCN519" s="13"/>
      <c r="WCO519" s="193"/>
      <c r="WCP519" s="379"/>
      <c r="WCQ519" s="379"/>
      <c r="WCR519" s="379"/>
      <c r="WCS519" s="379"/>
      <c r="WCT519" s="379"/>
      <c r="WCU519" s="13"/>
      <c r="WCV519" s="13"/>
      <c r="WCW519" s="193"/>
      <c r="WCX519" s="379"/>
      <c r="WCY519" s="379"/>
      <c r="WCZ519" s="379"/>
      <c r="WDA519" s="379"/>
      <c r="WDB519" s="379"/>
      <c r="WDC519" s="13"/>
      <c r="WDD519" s="13"/>
      <c r="WDE519" s="193"/>
      <c r="WDF519" s="379"/>
      <c r="WDG519" s="379"/>
      <c r="WDH519" s="379"/>
      <c r="WDI519" s="379"/>
      <c r="WDJ519" s="379"/>
      <c r="WDK519" s="13"/>
      <c r="WDL519" s="13"/>
      <c r="WDM519" s="193"/>
      <c r="WDN519" s="379"/>
      <c r="WDO519" s="379"/>
      <c r="WDP519" s="379"/>
      <c r="WDQ519" s="379"/>
      <c r="WDR519" s="379"/>
      <c r="WDS519" s="13"/>
      <c r="WDT519" s="13"/>
      <c r="WDU519" s="193"/>
      <c r="WDV519" s="379"/>
      <c r="WDW519" s="379"/>
      <c r="WDX519" s="379"/>
      <c r="WDY519" s="379"/>
      <c r="WDZ519" s="379"/>
      <c r="WEA519" s="13"/>
      <c r="WEB519" s="13"/>
      <c r="WEC519" s="193"/>
      <c r="WED519" s="379"/>
      <c r="WEE519" s="379"/>
      <c r="WEF519" s="379"/>
      <c r="WEG519" s="379"/>
      <c r="WEH519" s="379"/>
      <c r="WEI519" s="13"/>
      <c r="WEJ519" s="13"/>
      <c r="WEK519" s="193"/>
      <c r="WEL519" s="379"/>
      <c r="WEM519" s="379"/>
      <c r="WEN519" s="379"/>
      <c r="WEO519" s="379"/>
      <c r="WEP519" s="379"/>
      <c r="WEQ519" s="13"/>
      <c r="WER519" s="13"/>
      <c r="WES519" s="193"/>
      <c r="WET519" s="379"/>
      <c r="WEU519" s="379"/>
      <c r="WEV519" s="379"/>
      <c r="WEW519" s="379"/>
      <c r="WEX519" s="379"/>
      <c r="WEY519" s="13"/>
      <c r="WEZ519" s="13"/>
      <c r="WFA519" s="193"/>
      <c r="WFB519" s="379"/>
      <c r="WFC519" s="379"/>
      <c r="WFD519" s="379"/>
      <c r="WFE519" s="379"/>
      <c r="WFF519" s="379"/>
      <c r="WFG519" s="13"/>
      <c r="WFH519" s="13"/>
      <c r="WFI519" s="193"/>
      <c r="WFJ519" s="379"/>
      <c r="WFK519" s="379"/>
      <c r="WFL519" s="379"/>
      <c r="WFM519" s="379"/>
      <c r="WFN519" s="379"/>
      <c r="WFO519" s="13"/>
      <c r="WFP519" s="13"/>
      <c r="WFQ519" s="193"/>
      <c r="WFR519" s="379"/>
      <c r="WFS519" s="379"/>
      <c r="WFT519" s="379"/>
      <c r="WFU519" s="379"/>
      <c r="WFV519" s="379"/>
      <c r="WFW519" s="13"/>
      <c r="WFX519" s="13"/>
      <c r="WFY519" s="193"/>
      <c r="WFZ519" s="379"/>
      <c r="WGA519" s="379"/>
      <c r="WGB519" s="379"/>
      <c r="WGC519" s="379"/>
      <c r="WGD519" s="379"/>
      <c r="WGE519" s="13"/>
      <c r="WGF519" s="13"/>
      <c r="WGG519" s="193"/>
      <c r="WGH519" s="379"/>
      <c r="WGI519" s="379"/>
      <c r="WGJ519" s="379"/>
      <c r="WGK519" s="379"/>
      <c r="WGL519" s="379"/>
      <c r="WGM519" s="13"/>
      <c r="WGN519" s="13"/>
      <c r="WGO519" s="193"/>
      <c r="WGP519" s="379"/>
      <c r="WGQ519" s="379"/>
      <c r="WGR519" s="379"/>
      <c r="WGS519" s="379"/>
      <c r="WGT519" s="379"/>
      <c r="WGU519" s="13"/>
      <c r="WGV519" s="13"/>
      <c r="WGW519" s="193"/>
      <c r="WGX519" s="379"/>
      <c r="WGY519" s="379"/>
      <c r="WGZ519" s="379"/>
      <c r="WHA519" s="379"/>
      <c r="WHB519" s="379"/>
      <c r="WHC519" s="13"/>
      <c r="WHD519" s="13"/>
      <c r="WHE519" s="193"/>
      <c r="WHF519" s="379"/>
      <c r="WHG519" s="379"/>
      <c r="WHH519" s="379"/>
      <c r="WHI519" s="379"/>
      <c r="WHJ519" s="379"/>
      <c r="WHK519" s="13"/>
      <c r="WHL519" s="13"/>
      <c r="WHM519" s="193"/>
      <c r="WHN519" s="379"/>
      <c r="WHO519" s="379"/>
      <c r="WHP519" s="379"/>
      <c r="WHQ519" s="379"/>
      <c r="WHR519" s="379"/>
      <c r="WHS519" s="13"/>
      <c r="WHT519" s="13"/>
      <c r="WHU519" s="193"/>
      <c r="WHV519" s="379"/>
      <c r="WHW519" s="379"/>
      <c r="WHX519" s="379"/>
      <c r="WHY519" s="379"/>
      <c r="WHZ519" s="379"/>
      <c r="WIA519" s="13"/>
      <c r="WIB519" s="13"/>
      <c r="WIC519" s="193"/>
      <c r="WID519" s="379"/>
      <c r="WIE519" s="379"/>
      <c r="WIF519" s="379"/>
      <c r="WIG519" s="379"/>
      <c r="WIH519" s="379"/>
      <c r="WII519" s="13"/>
      <c r="WIJ519" s="13"/>
      <c r="WIK519" s="193"/>
      <c r="WIL519" s="379"/>
      <c r="WIM519" s="379"/>
      <c r="WIN519" s="379"/>
      <c r="WIO519" s="379"/>
      <c r="WIP519" s="379"/>
      <c r="WIQ519" s="13"/>
      <c r="WIR519" s="13"/>
      <c r="WIS519" s="193"/>
      <c r="WIT519" s="379"/>
      <c r="WIU519" s="379"/>
      <c r="WIV519" s="379"/>
      <c r="WIW519" s="379"/>
      <c r="WIX519" s="379"/>
      <c r="WIY519" s="13"/>
      <c r="WIZ519" s="13"/>
      <c r="WJA519" s="193"/>
      <c r="WJB519" s="379"/>
      <c r="WJC519" s="379"/>
      <c r="WJD519" s="379"/>
      <c r="WJE519" s="379"/>
      <c r="WJF519" s="379"/>
      <c r="WJG519" s="13"/>
      <c r="WJH519" s="13"/>
      <c r="WJI519" s="193"/>
      <c r="WJJ519" s="379"/>
      <c r="WJK519" s="379"/>
      <c r="WJL519" s="379"/>
      <c r="WJM519" s="379"/>
      <c r="WJN519" s="379"/>
      <c r="WJO519" s="13"/>
      <c r="WJP519" s="13"/>
      <c r="WJQ519" s="193"/>
      <c r="WJR519" s="379"/>
      <c r="WJS519" s="379"/>
      <c r="WJT519" s="379"/>
      <c r="WJU519" s="379"/>
      <c r="WJV519" s="379"/>
      <c r="WJW519" s="13"/>
      <c r="WJX519" s="13"/>
      <c r="WJY519" s="193"/>
      <c r="WJZ519" s="379"/>
      <c r="WKA519" s="379"/>
      <c r="WKB519" s="379"/>
      <c r="WKC519" s="379"/>
      <c r="WKD519" s="379"/>
      <c r="WKE519" s="13"/>
      <c r="WKF519" s="13"/>
      <c r="WKG519" s="193"/>
      <c r="WKH519" s="379"/>
      <c r="WKI519" s="379"/>
      <c r="WKJ519" s="379"/>
      <c r="WKK519" s="379"/>
      <c r="WKL519" s="379"/>
      <c r="WKM519" s="13"/>
      <c r="WKN519" s="13"/>
      <c r="WKO519" s="193"/>
      <c r="WKP519" s="379"/>
      <c r="WKQ519" s="379"/>
      <c r="WKR519" s="379"/>
      <c r="WKS519" s="379"/>
      <c r="WKT519" s="379"/>
      <c r="WKU519" s="13"/>
      <c r="WKV519" s="13"/>
      <c r="WKW519" s="193"/>
      <c r="WKX519" s="379"/>
      <c r="WKY519" s="379"/>
      <c r="WKZ519" s="379"/>
      <c r="WLA519" s="379"/>
      <c r="WLB519" s="379"/>
      <c r="WLC519" s="13"/>
      <c r="WLD519" s="13"/>
      <c r="WLE519" s="193"/>
      <c r="WLF519" s="379"/>
      <c r="WLG519" s="379"/>
      <c r="WLH519" s="379"/>
      <c r="WLI519" s="379"/>
      <c r="WLJ519" s="379"/>
      <c r="WLK519" s="13"/>
      <c r="WLL519" s="13"/>
      <c r="WLM519" s="193"/>
      <c r="WLN519" s="379"/>
      <c r="WLO519" s="379"/>
      <c r="WLP519" s="379"/>
      <c r="WLQ519" s="379"/>
      <c r="WLR519" s="379"/>
      <c r="WLS519" s="13"/>
      <c r="WLT519" s="13"/>
      <c r="WLU519" s="193"/>
      <c r="WLV519" s="379"/>
      <c r="WLW519" s="379"/>
      <c r="WLX519" s="379"/>
      <c r="WLY519" s="379"/>
      <c r="WLZ519" s="379"/>
      <c r="WMA519" s="13"/>
      <c r="WMB519" s="13"/>
      <c r="WMC519" s="193"/>
      <c r="WMD519" s="379"/>
      <c r="WME519" s="379"/>
      <c r="WMF519" s="379"/>
      <c r="WMG519" s="379"/>
      <c r="WMH519" s="379"/>
      <c r="WMI519" s="13"/>
      <c r="WMJ519" s="13"/>
      <c r="WMK519" s="193"/>
      <c r="WML519" s="379"/>
      <c r="WMM519" s="379"/>
      <c r="WMN519" s="379"/>
      <c r="WMO519" s="379"/>
      <c r="WMP519" s="379"/>
      <c r="WMQ519" s="13"/>
      <c r="WMR519" s="13"/>
      <c r="WMS519" s="193"/>
      <c r="WMT519" s="379"/>
      <c r="WMU519" s="379"/>
      <c r="WMV519" s="379"/>
      <c r="WMW519" s="379"/>
      <c r="WMX519" s="379"/>
      <c r="WMY519" s="13"/>
      <c r="WMZ519" s="13"/>
      <c r="WNA519" s="193"/>
      <c r="WNB519" s="379"/>
      <c r="WNC519" s="379"/>
      <c r="WND519" s="379"/>
      <c r="WNE519" s="379"/>
      <c r="WNF519" s="379"/>
      <c r="WNG519" s="13"/>
      <c r="WNH519" s="13"/>
      <c r="WNI519" s="193"/>
      <c r="WNJ519" s="379"/>
      <c r="WNK519" s="379"/>
      <c r="WNL519" s="379"/>
      <c r="WNM519" s="379"/>
      <c r="WNN519" s="379"/>
      <c r="WNO519" s="13"/>
      <c r="WNP519" s="13"/>
      <c r="WNQ519" s="193"/>
      <c r="WNR519" s="379"/>
      <c r="WNS519" s="379"/>
      <c r="WNT519" s="379"/>
      <c r="WNU519" s="379"/>
      <c r="WNV519" s="379"/>
      <c r="WNW519" s="13"/>
      <c r="WNX519" s="13"/>
      <c r="WNY519" s="193"/>
      <c r="WNZ519" s="379"/>
      <c r="WOA519" s="379"/>
      <c r="WOB519" s="379"/>
      <c r="WOC519" s="379"/>
      <c r="WOD519" s="379"/>
      <c r="WOE519" s="13"/>
      <c r="WOF519" s="13"/>
      <c r="WOG519" s="193"/>
      <c r="WOH519" s="379"/>
      <c r="WOI519" s="379"/>
      <c r="WOJ519" s="379"/>
      <c r="WOK519" s="379"/>
      <c r="WOL519" s="379"/>
      <c r="WOM519" s="13"/>
      <c r="WON519" s="13"/>
      <c r="WOO519" s="193"/>
      <c r="WOP519" s="379"/>
      <c r="WOQ519" s="379"/>
      <c r="WOR519" s="379"/>
      <c r="WOS519" s="379"/>
      <c r="WOT519" s="379"/>
      <c r="WOU519" s="13"/>
      <c r="WOV519" s="13"/>
      <c r="WOW519" s="193"/>
      <c r="WOX519" s="379"/>
      <c r="WOY519" s="379"/>
      <c r="WOZ519" s="379"/>
      <c r="WPA519" s="379"/>
      <c r="WPB519" s="379"/>
      <c r="WPC519" s="13"/>
      <c r="WPD519" s="13"/>
      <c r="WPE519" s="193"/>
      <c r="WPF519" s="379"/>
      <c r="WPG519" s="379"/>
      <c r="WPH519" s="379"/>
      <c r="WPI519" s="379"/>
      <c r="WPJ519" s="379"/>
      <c r="WPK519" s="13"/>
      <c r="WPL519" s="13"/>
      <c r="WPM519" s="193"/>
      <c r="WPN519" s="379"/>
      <c r="WPO519" s="379"/>
      <c r="WPP519" s="379"/>
      <c r="WPQ519" s="379"/>
      <c r="WPR519" s="379"/>
      <c r="WPS519" s="13"/>
      <c r="WPT519" s="13"/>
      <c r="WPU519" s="193"/>
      <c r="WPV519" s="379"/>
      <c r="WPW519" s="379"/>
      <c r="WPX519" s="379"/>
      <c r="WPY519" s="379"/>
      <c r="WPZ519" s="379"/>
      <c r="WQA519" s="13"/>
      <c r="WQB519" s="13"/>
      <c r="WQC519" s="193"/>
      <c r="WQD519" s="379"/>
      <c r="WQE519" s="379"/>
      <c r="WQF519" s="379"/>
      <c r="WQG519" s="379"/>
      <c r="WQH519" s="379"/>
      <c r="WQI519" s="13"/>
      <c r="WQJ519" s="13"/>
      <c r="WQK519" s="193"/>
      <c r="WQL519" s="379"/>
      <c r="WQM519" s="379"/>
      <c r="WQN519" s="379"/>
      <c r="WQO519" s="379"/>
      <c r="WQP519" s="379"/>
      <c r="WQQ519" s="13"/>
      <c r="WQR519" s="13"/>
      <c r="WQS519" s="193"/>
      <c r="WQT519" s="379"/>
      <c r="WQU519" s="379"/>
      <c r="WQV519" s="379"/>
      <c r="WQW519" s="379"/>
      <c r="WQX519" s="379"/>
      <c r="WQY519" s="13"/>
      <c r="WQZ519" s="13"/>
      <c r="WRA519" s="193"/>
      <c r="WRB519" s="379"/>
      <c r="WRC519" s="379"/>
      <c r="WRD519" s="379"/>
      <c r="WRE519" s="379"/>
      <c r="WRF519" s="379"/>
      <c r="WRG519" s="13"/>
      <c r="WRH519" s="13"/>
      <c r="WRI519" s="193"/>
      <c r="WRJ519" s="379"/>
      <c r="WRK519" s="379"/>
      <c r="WRL519" s="379"/>
      <c r="WRM519" s="379"/>
      <c r="WRN519" s="379"/>
      <c r="WRO519" s="13"/>
      <c r="WRP519" s="13"/>
      <c r="WRQ519" s="193"/>
      <c r="WRR519" s="379"/>
      <c r="WRS519" s="379"/>
      <c r="WRT519" s="379"/>
      <c r="WRU519" s="379"/>
      <c r="WRV519" s="379"/>
      <c r="WRW519" s="13"/>
      <c r="WRX519" s="13"/>
      <c r="WRY519" s="193"/>
      <c r="WRZ519" s="379"/>
      <c r="WSA519" s="379"/>
      <c r="WSB519" s="379"/>
      <c r="WSC519" s="379"/>
      <c r="WSD519" s="379"/>
      <c r="WSE519" s="13"/>
      <c r="WSF519" s="13"/>
      <c r="WSG519" s="193"/>
      <c r="WSH519" s="379"/>
      <c r="WSI519" s="379"/>
      <c r="WSJ519" s="379"/>
      <c r="WSK519" s="379"/>
      <c r="WSL519" s="379"/>
      <c r="WSM519" s="13"/>
      <c r="WSN519" s="13"/>
      <c r="WSO519" s="193"/>
      <c r="WSP519" s="379"/>
      <c r="WSQ519" s="379"/>
      <c r="WSR519" s="379"/>
      <c r="WSS519" s="379"/>
      <c r="WST519" s="379"/>
      <c r="WSU519" s="13"/>
      <c r="WSV519" s="13"/>
      <c r="WSW519" s="193"/>
      <c r="WSX519" s="379"/>
      <c r="WSY519" s="379"/>
      <c r="WSZ519" s="379"/>
      <c r="WTA519" s="379"/>
      <c r="WTB519" s="379"/>
      <c r="WTC519" s="13"/>
      <c r="WTD519" s="13"/>
      <c r="WTE519" s="193"/>
      <c r="WTF519" s="379"/>
      <c r="WTG519" s="379"/>
      <c r="WTH519" s="379"/>
      <c r="WTI519" s="379"/>
      <c r="WTJ519" s="379"/>
      <c r="WTK519" s="13"/>
      <c r="WTL519" s="13"/>
      <c r="WTM519" s="193"/>
      <c r="WTN519" s="379"/>
      <c r="WTO519" s="379"/>
      <c r="WTP519" s="379"/>
      <c r="WTQ519" s="379"/>
      <c r="WTR519" s="379"/>
      <c r="WTS519" s="13"/>
      <c r="WTT519" s="13"/>
      <c r="WTU519" s="193"/>
      <c r="WTV519" s="379"/>
      <c r="WTW519" s="379"/>
      <c r="WTX519" s="379"/>
      <c r="WTY519" s="379"/>
      <c r="WTZ519" s="379"/>
      <c r="WUA519" s="13"/>
      <c r="WUB519" s="13"/>
      <c r="WUC519" s="193"/>
      <c r="WUD519" s="379"/>
      <c r="WUE519" s="379"/>
      <c r="WUF519" s="379"/>
      <c r="WUG519" s="379"/>
      <c r="WUH519" s="379"/>
      <c r="WUI519" s="13"/>
      <c r="WUJ519" s="13"/>
      <c r="WUK519" s="193"/>
      <c r="WUL519" s="379"/>
      <c r="WUM519" s="379"/>
      <c r="WUN519" s="379"/>
      <c r="WUO519" s="379"/>
      <c r="WUP519" s="379"/>
      <c r="WUQ519" s="13"/>
      <c r="WUR519" s="13"/>
      <c r="WUS519" s="193"/>
      <c r="WUT519" s="379"/>
      <c r="WUU519" s="379"/>
      <c r="WUV519" s="379"/>
      <c r="WUW519" s="379"/>
      <c r="WUX519" s="379"/>
      <c r="WUY519" s="13"/>
      <c r="WUZ519" s="13"/>
      <c r="WVA519" s="193"/>
      <c r="WVB519" s="379"/>
      <c r="WVC519" s="379"/>
      <c r="WVD519" s="379"/>
      <c r="WVE519" s="379"/>
      <c r="WVF519" s="379"/>
      <c r="WVG519" s="13"/>
      <c r="WVH519" s="13"/>
      <c r="WVI519" s="193"/>
      <c r="WVJ519" s="379"/>
      <c r="WVK519" s="379"/>
      <c r="WVL519" s="379"/>
      <c r="WVM519" s="379"/>
      <c r="WVN519" s="379"/>
      <c r="WVO519" s="13"/>
      <c r="WVP519" s="13"/>
      <c r="WVQ519" s="193"/>
      <c r="WVR519" s="379"/>
      <c r="WVS519" s="379"/>
      <c r="WVT519" s="379"/>
      <c r="WVU519" s="379"/>
      <c r="WVV519" s="379"/>
      <c r="WVW519" s="13"/>
      <c r="WVX519" s="13"/>
      <c r="WVY519" s="193"/>
      <c r="WVZ519" s="379"/>
      <c r="WWA519" s="379"/>
      <c r="WWB519" s="379"/>
      <c r="WWC519" s="379"/>
      <c r="WWD519" s="379"/>
      <c r="WWE519" s="13"/>
      <c r="WWF519" s="13"/>
      <c r="WWG519" s="193"/>
      <c r="WWH519" s="379"/>
      <c r="WWI519" s="379"/>
      <c r="WWJ519" s="379"/>
      <c r="WWK519" s="379"/>
      <c r="WWL519" s="379"/>
      <c r="WWM519" s="13"/>
      <c r="WWN519" s="13"/>
      <c r="WWO519" s="193"/>
      <c r="WWP519" s="379"/>
      <c r="WWQ519" s="379"/>
      <c r="WWR519" s="379"/>
      <c r="WWS519" s="379"/>
      <c r="WWT519" s="379"/>
      <c r="WWU519" s="13"/>
      <c r="WWV519" s="13"/>
      <c r="WWW519" s="193"/>
      <c r="WWX519" s="379"/>
      <c r="WWY519" s="379"/>
      <c r="WWZ519" s="379"/>
      <c r="WXA519" s="379"/>
      <c r="WXB519" s="379"/>
      <c r="WXC519" s="13"/>
      <c r="WXD519" s="13"/>
      <c r="WXE519" s="193"/>
      <c r="WXF519" s="379"/>
      <c r="WXG519" s="379"/>
      <c r="WXH519" s="379"/>
      <c r="WXI519" s="379"/>
      <c r="WXJ519" s="379"/>
      <c r="WXK519" s="13"/>
      <c r="WXL519" s="13"/>
      <c r="WXM519" s="193"/>
      <c r="WXN519" s="379"/>
      <c r="WXO519" s="379"/>
      <c r="WXP519" s="379"/>
      <c r="WXQ519" s="379"/>
      <c r="WXR519" s="379"/>
      <c r="WXS519" s="13"/>
      <c r="WXT519" s="13"/>
      <c r="WXU519" s="193"/>
      <c r="WXV519" s="379"/>
      <c r="WXW519" s="379"/>
      <c r="WXX519" s="379"/>
      <c r="WXY519" s="379"/>
      <c r="WXZ519" s="379"/>
      <c r="WYA519" s="13"/>
      <c r="WYB519" s="13"/>
      <c r="WYC519" s="193"/>
      <c r="WYD519" s="379"/>
      <c r="WYE519" s="379"/>
      <c r="WYF519" s="379"/>
      <c r="WYG519" s="379"/>
      <c r="WYH519" s="379"/>
      <c r="WYI519" s="13"/>
      <c r="WYJ519" s="13"/>
      <c r="WYK519" s="193"/>
      <c r="WYL519" s="379"/>
      <c r="WYM519" s="379"/>
      <c r="WYN519" s="379"/>
      <c r="WYO519" s="379"/>
      <c r="WYP519" s="379"/>
      <c r="WYQ519" s="13"/>
      <c r="WYR519" s="13"/>
      <c r="WYS519" s="193"/>
      <c r="WYT519" s="379"/>
      <c r="WYU519" s="379"/>
      <c r="WYV519" s="379"/>
      <c r="WYW519" s="379"/>
      <c r="WYX519" s="379"/>
      <c r="WYY519" s="13"/>
      <c r="WYZ519" s="13"/>
      <c r="WZA519" s="193"/>
      <c r="WZB519" s="379"/>
      <c r="WZC519" s="379"/>
      <c r="WZD519" s="379"/>
      <c r="WZE519" s="379"/>
      <c r="WZF519" s="379"/>
      <c r="WZG519" s="13"/>
      <c r="WZH519" s="13"/>
      <c r="WZI519" s="193"/>
      <c r="WZJ519" s="379"/>
      <c r="WZK519" s="379"/>
      <c r="WZL519" s="379"/>
      <c r="WZM519" s="379"/>
      <c r="WZN519" s="379"/>
      <c r="WZO519" s="13"/>
      <c r="WZP519" s="13"/>
      <c r="WZQ519" s="193"/>
      <c r="WZR519" s="379"/>
      <c r="WZS519" s="379"/>
      <c r="WZT519" s="379"/>
      <c r="WZU519" s="379"/>
      <c r="WZV519" s="379"/>
      <c r="WZW519" s="13"/>
      <c r="WZX519" s="13"/>
      <c r="WZY519" s="193"/>
      <c r="WZZ519" s="379"/>
      <c r="XAA519" s="379"/>
      <c r="XAB519" s="379"/>
      <c r="XAC519" s="379"/>
      <c r="XAD519" s="379"/>
      <c r="XAE519" s="13"/>
      <c r="XAF519" s="13"/>
      <c r="XAG519" s="193"/>
      <c r="XAH519" s="379"/>
      <c r="XAI519" s="379"/>
      <c r="XAJ519" s="379"/>
      <c r="XAK519" s="379"/>
      <c r="XAL519" s="379"/>
      <c r="XAM519" s="13"/>
      <c r="XAN519" s="13"/>
      <c r="XAO519" s="193"/>
      <c r="XAP519" s="379"/>
      <c r="XAQ519" s="379"/>
      <c r="XAR519" s="379"/>
      <c r="XAS519" s="379"/>
      <c r="XAT519" s="379"/>
      <c r="XAU519" s="13"/>
      <c r="XAV519" s="13"/>
      <c r="XAW519" s="193"/>
      <c r="XAX519" s="379"/>
      <c r="XAY519" s="379"/>
      <c r="XAZ519" s="379"/>
      <c r="XBA519" s="379"/>
      <c r="XBB519" s="379"/>
      <c r="XBC519" s="13"/>
      <c r="XBD519" s="13"/>
      <c r="XBE519" s="193"/>
      <c r="XBF519" s="379"/>
      <c r="XBG519" s="379"/>
      <c r="XBH519" s="379"/>
      <c r="XBI519" s="379"/>
      <c r="XBJ519" s="379"/>
      <c r="XBK519" s="13"/>
      <c r="XBL519" s="13"/>
      <c r="XBM519" s="193"/>
      <c r="XBN519" s="379"/>
      <c r="XBO519" s="379"/>
      <c r="XBP519" s="379"/>
      <c r="XBQ519" s="379"/>
      <c r="XBR519" s="379"/>
      <c r="XBS519" s="13"/>
      <c r="XBT519" s="13"/>
      <c r="XBU519" s="193"/>
      <c r="XBV519" s="379"/>
      <c r="XBW519" s="379"/>
      <c r="XBX519" s="379"/>
      <c r="XBY519" s="379"/>
      <c r="XBZ519" s="379"/>
      <c r="XCA519" s="13"/>
      <c r="XCB519" s="13"/>
      <c r="XCC519" s="193"/>
      <c r="XCD519" s="379"/>
      <c r="XCE519" s="379"/>
      <c r="XCF519" s="379"/>
      <c r="XCG519" s="379"/>
      <c r="XCH519" s="379"/>
      <c r="XCI519" s="13"/>
      <c r="XCJ519" s="13"/>
      <c r="XCK519" s="193"/>
      <c r="XCL519" s="379"/>
      <c r="XCM519" s="379"/>
      <c r="XCN519" s="379"/>
      <c r="XCO519" s="379"/>
      <c r="XCP519" s="379"/>
      <c r="XCQ519" s="13"/>
      <c r="XCR519" s="13"/>
      <c r="XCS519" s="193"/>
      <c r="XCT519" s="379"/>
      <c r="XCU519" s="379"/>
      <c r="XCV519" s="379"/>
      <c r="XCW519" s="379"/>
      <c r="XCX519" s="379"/>
      <c r="XCY519" s="13"/>
      <c r="XCZ519" s="13"/>
      <c r="XDA519" s="193"/>
      <c r="XDB519" s="379"/>
      <c r="XDC519" s="379"/>
      <c r="XDD519" s="379"/>
      <c r="XDE519" s="379"/>
      <c r="XDF519" s="379"/>
      <c r="XDG519" s="13"/>
      <c r="XDH519" s="13"/>
      <c r="XDI519" s="193"/>
      <c r="XDJ519" s="379"/>
      <c r="XDK519" s="379"/>
      <c r="XDL519" s="379"/>
      <c r="XDM519" s="379"/>
      <c r="XDN519" s="379"/>
      <c r="XDO519" s="13"/>
      <c r="XDP519" s="13"/>
      <c r="XDQ519" s="193"/>
      <c r="XDR519" s="379"/>
      <c r="XDS519" s="379"/>
      <c r="XDT519" s="379"/>
      <c r="XDU519" s="379"/>
      <c r="XDV519" s="379"/>
      <c r="XDW519" s="13"/>
      <c r="XDX519" s="13"/>
      <c r="XDY519" s="193"/>
      <c r="XDZ519" s="379"/>
      <c r="XEA519" s="379"/>
      <c r="XEB519" s="379"/>
      <c r="XEC519" s="379"/>
      <c r="XED519" s="379"/>
      <c r="XEE519" s="13"/>
      <c r="XEF519" s="13"/>
      <c r="XEG519" s="193"/>
      <c r="XEH519" s="379"/>
      <c r="XEI519" s="379"/>
      <c r="XEJ519" s="379"/>
      <c r="XEK519" s="379"/>
      <c r="XEL519" s="379"/>
      <c r="XEM519" s="13"/>
      <c r="XEN519" s="13"/>
      <c r="XEO519" s="193"/>
      <c r="XEP519" s="379"/>
      <c r="XEQ519" s="379"/>
      <c r="XER519" s="379"/>
      <c r="XES519" s="379"/>
      <c r="XET519" s="379"/>
      <c r="XEU519" s="13"/>
      <c r="XEV519" s="13"/>
      <c r="XEW519" s="193"/>
      <c r="XEX519" s="379"/>
      <c r="XEY519" s="379"/>
      <c r="XEZ519" s="379"/>
      <c r="XFA519" s="379"/>
      <c r="XFB519" s="379"/>
      <c r="XFC519" s="13"/>
      <c r="XFD519" s="13"/>
    </row>
    <row r="520" spans="1:16384" s="640" customFormat="1" ht="18" customHeight="1" x14ac:dyDescent="0.3">
      <c r="A520" s="2314"/>
      <c r="B520" s="1718"/>
      <c r="C520" s="1718"/>
      <c r="D520" s="1718"/>
      <c r="E520" s="1718"/>
      <c r="F520" s="385" t="s">
        <v>14</v>
      </c>
      <c r="G520" s="69">
        <f t="shared" si="266"/>
        <v>0</v>
      </c>
      <c r="H520" s="69">
        <v>0</v>
      </c>
      <c r="I520" s="69"/>
      <c r="J520" s="69"/>
      <c r="K520" s="69"/>
      <c r="L520" s="69"/>
      <c r="M520" s="677"/>
      <c r="N520" s="609"/>
      <c r="O520" s="69"/>
      <c r="P520" s="1117"/>
      <c r="Q520" s="193"/>
      <c r="R520" s="379"/>
      <c r="S520" s="379"/>
      <c r="T520" s="379"/>
      <c r="U520" s="379"/>
      <c r="V520" s="379"/>
      <c r="W520" s="13"/>
      <c r="X520" s="13"/>
      <c r="Y520" s="193"/>
      <c r="Z520" s="379"/>
      <c r="AA520" s="379"/>
      <c r="AB520" s="379"/>
      <c r="AC520" s="379"/>
      <c r="AD520" s="379"/>
      <c r="AE520" s="13"/>
      <c r="AF520" s="13"/>
      <c r="AG520" s="193"/>
      <c r="AH520" s="379"/>
      <c r="AI520" s="379"/>
      <c r="AJ520" s="379"/>
      <c r="AK520" s="379"/>
      <c r="AL520" s="379"/>
      <c r="AM520" s="13"/>
      <c r="AN520" s="13"/>
      <c r="AO520" s="193"/>
      <c r="AP520" s="379"/>
      <c r="AQ520" s="379"/>
      <c r="AR520" s="379"/>
      <c r="AS520" s="379"/>
      <c r="AT520" s="379"/>
      <c r="AU520" s="13"/>
      <c r="AV520" s="13"/>
      <c r="AW520" s="193"/>
      <c r="AX520" s="379"/>
      <c r="AY520" s="379"/>
      <c r="AZ520" s="379"/>
      <c r="BA520" s="379"/>
      <c r="BB520" s="379"/>
      <c r="BC520" s="13"/>
      <c r="BD520" s="13"/>
      <c r="BE520" s="193"/>
      <c r="BF520" s="379"/>
      <c r="BG520" s="379"/>
      <c r="BH520" s="379"/>
      <c r="BI520" s="379"/>
      <c r="BJ520" s="379"/>
      <c r="BK520" s="13"/>
      <c r="BL520" s="13"/>
      <c r="BM520" s="193"/>
      <c r="BN520" s="379"/>
      <c r="BO520" s="379"/>
      <c r="BP520" s="379"/>
      <c r="BQ520" s="379"/>
      <c r="BR520" s="379"/>
      <c r="BS520" s="13"/>
      <c r="BT520" s="13"/>
      <c r="BU520" s="193"/>
      <c r="BV520" s="379"/>
      <c r="BW520" s="379"/>
      <c r="BX520" s="379"/>
      <c r="BY520" s="379"/>
      <c r="BZ520" s="379"/>
      <c r="CA520" s="13"/>
      <c r="CB520" s="13"/>
      <c r="CC520" s="193"/>
      <c r="CD520" s="379"/>
      <c r="CE520" s="379"/>
      <c r="CF520" s="379"/>
      <c r="CG520" s="379"/>
      <c r="CH520" s="379"/>
      <c r="CI520" s="13"/>
      <c r="CJ520" s="13"/>
      <c r="CK520" s="193"/>
      <c r="CL520" s="379"/>
      <c r="CM520" s="379"/>
      <c r="CN520" s="379"/>
      <c r="CO520" s="379"/>
      <c r="CP520" s="379"/>
      <c r="CQ520" s="13"/>
      <c r="CR520" s="13"/>
      <c r="CS520" s="193"/>
      <c r="CT520" s="379"/>
      <c r="CU520" s="379"/>
      <c r="CV520" s="379"/>
      <c r="CW520" s="379"/>
      <c r="CX520" s="379"/>
      <c r="CY520" s="13"/>
      <c r="CZ520" s="13"/>
      <c r="DA520" s="193"/>
      <c r="DB520" s="379"/>
      <c r="DC520" s="379"/>
      <c r="DD520" s="379"/>
      <c r="DE520" s="379"/>
      <c r="DF520" s="379"/>
      <c r="DG520" s="13"/>
      <c r="DH520" s="13"/>
      <c r="DI520" s="193"/>
      <c r="DJ520" s="379"/>
      <c r="DK520" s="379"/>
      <c r="DL520" s="379"/>
      <c r="DM520" s="379"/>
      <c r="DN520" s="379"/>
      <c r="DO520" s="13"/>
      <c r="DP520" s="13"/>
      <c r="DQ520" s="193"/>
      <c r="DR520" s="379"/>
      <c r="DS520" s="379"/>
      <c r="DT520" s="379"/>
      <c r="DU520" s="379"/>
      <c r="DV520" s="379"/>
      <c r="DW520" s="13"/>
      <c r="DX520" s="13"/>
      <c r="DY520" s="193"/>
      <c r="DZ520" s="379"/>
      <c r="EA520" s="379"/>
      <c r="EB520" s="379"/>
      <c r="EC520" s="379"/>
      <c r="ED520" s="379"/>
      <c r="EE520" s="13"/>
      <c r="EF520" s="13"/>
      <c r="EG520" s="193"/>
      <c r="EH520" s="379"/>
      <c r="EI520" s="379"/>
      <c r="EJ520" s="379"/>
      <c r="EK520" s="379"/>
      <c r="EL520" s="379"/>
      <c r="EM520" s="13"/>
      <c r="EN520" s="13"/>
      <c r="EO520" s="193"/>
      <c r="EP520" s="379"/>
      <c r="EQ520" s="379"/>
      <c r="ER520" s="379"/>
      <c r="ES520" s="379"/>
      <c r="ET520" s="379"/>
      <c r="EU520" s="13"/>
      <c r="EV520" s="13"/>
      <c r="EW520" s="193"/>
      <c r="EX520" s="379"/>
      <c r="EY520" s="379"/>
      <c r="EZ520" s="379"/>
      <c r="FA520" s="379"/>
      <c r="FB520" s="379"/>
      <c r="FC520" s="13"/>
      <c r="FD520" s="13"/>
      <c r="FE520" s="193"/>
      <c r="FF520" s="379"/>
      <c r="FG520" s="379"/>
      <c r="FH520" s="379"/>
      <c r="FI520" s="379"/>
      <c r="FJ520" s="379"/>
      <c r="FK520" s="13"/>
      <c r="FL520" s="13"/>
      <c r="FM520" s="193"/>
      <c r="FN520" s="379"/>
      <c r="FO520" s="379"/>
      <c r="FP520" s="379"/>
      <c r="FQ520" s="379"/>
      <c r="FR520" s="379"/>
      <c r="FS520" s="13"/>
      <c r="FT520" s="13"/>
      <c r="FU520" s="193"/>
      <c r="FV520" s="379"/>
      <c r="FW520" s="379"/>
      <c r="FX520" s="379"/>
      <c r="FY520" s="379"/>
      <c r="FZ520" s="379"/>
      <c r="GA520" s="13"/>
      <c r="GB520" s="13"/>
      <c r="GC520" s="193"/>
      <c r="GD520" s="379"/>
      <c r="GE520" s="379"/>
      <c r="GF520" s="379"/>
      <c r="GG520" s="379"/>
      <c r="GH520" s="379"/>
      <c r="GI520" s="13"/>
      <c r="GJ520" s="13"/>
      <c r="GK520" s="193"/>
      <c r="GL520" s="379"/>
      <c r="GM520" s="379"/>
      <c r="GN520" s="379"/>
      <c r="GO520" s="379"/>
      <c r="GP520" s="379"/>
      <c r="GQ520" s="13"/>
      <c r="GR520" s="13"/>
      <c r="GS520" s="193"/>
      <c r="GT520" s="379"/>
      <c r="GU520" s="379"/>
      <c r="GV520" s="379"/>
      <c r="GW520" s="379"/>
      <c r="GX520" s="379"/>
      <c r="GY520" s="13"/>
      <c r="GZ520" s="13"/>
      <c r="HA520" s="193"/>
      <c r="HB520" s="379"/>
      <c r="HC520" s="379"/>
      <c r="HD520" s="379"/>
      <c r="HE520" s="379"/>
      <c r="HF520" s="379"/>
      <c r="HG520" s="13"/>
      <c r="HH520" s="13"/>
      <c r="HI520" s="193"/>
      <c r="HJ520" s="379"/>
      <c r="HK520" s="379"/>
      <c r="HL520" s="379"/>
      <c r="HM520" s="379"/>
      <c r="HN520" s="379"/>
      <c r="HO520" s="13"/>
      <c r="HP520" s="13"/>
      <c r="HQ520" s="193"/>
      <c r="HR520" s="379"/>
      <c r="HS520" s="379"/>
      <c r="HT520" s="379"/>
      <c r="HU520" s="379"/>
      <c r="HV520" s="379"/>
      <c r="HW520" s="13"/>
      <c r="HX520" s="13"/>
      <c r="HY520" s="193"/>
      <c r="HZ520" s="379"/>
      <c r="IA520" s="379"/>
      <c r="IB520" s="379"/>
      <c r="IC520" s="379"/>
      <c r="ID520" s="379"/>
      <c r="IE520" s="13"/>
      <c r="IF520" s="13"/>
      <c r="IG520" s="193"/>
      <c r="IH520" s="379"/>
      <c r="II520" s="379"/>
      <c r="IJ520" s="379"/>
      <c r="IK520" s="379"/>
      <c r="IL520" s="379"/>
      <c r="IM520" s="13"/>
      <c r="IN520" s="13"/>
      <c r="IO520" s="193"/>
      <c r="IP520" s="379"/>
      <c r="IQ520" s="379"/>
      <c r="IR520" s="379"/>
      <c r="IS520" s="379"/>
      <c r="IT520" s="379"/>
      <c r="IU520" s="13"/>
      <c r="IV520" s="13"/>
      <c r="IW520" s="193"/>
      <c r="IX520" s="379"/>
      <c r="IY520" s="379"/>
      <c r="IZ520" s="379"/>
      <c r="JA520" s="379"/>
      <c r="JB520" s="379"/>
      <c r="JC520" s="13"/>
      <c r="JD520" s="13"/>
      <c r="JE520" s="193"/>
      <c r="JF520" s="379"/>
      <c r="JG520" s="379"/>
      <c r="JH520" s="379"/>
      <c r="JI520" s="379"/>
      <c r="JJ520" s="379"/>
      <c r="JK520" s="13"/>
      <c r="JL520" s="13"/>
      <c r="JM520" s="193"/>
      <c r="JN520" s="379"/>
      <c r="JO520" s="379"/>
      <c r="JP520" s="379"/>
      <c r="JQ520" s="379"/>
      <c r="JR520" s="379"/>
      <c r="JS520" s="13"/>
      <c r="JT520" s="13"/>
      <c r="JU520" s="193"/>
      <c r="JV520" s="379"/>
      <c r="JW520" s="379"/>
      <c r="JX520" s="379"/>
      <c r="JY520" s="379"/>
      <c r="JZ520" s="379"/>
      <c r="KA520" s="13"/>
      <c r="KB520" s="13"/>
      <c r="KC520" s="193"/>
      <c r="KD520" s="379"/>
      <c r="KE520" s="379"/>
      <c r="KF520" s="379"/>
      <c r="KG520" s="379"/>
      <c r="KH520" s="379"/>
      <c r="KI520" s="13"/>
      <c r="KJ520" s="13"/>
      <c r="KK520" s="193"/>
      <c r="KL520" s="379"/>
      <c r="KM520" s="379"/>
      <c r="KN520" s="379"/>
      <c r="KO520" s="379"/>
      <c r="KP520" s="379"/>
      <c r="KQ520" s="13"/>
      <c r="KR520" s="13"/>
      <c r="KS520" s="193"/>
      <c r="KT520" s="379"/>
      <c r="KU520" s="379"/>
      <c r="KV520" s="379"/>
      <c r="KW520" s="379"/>
      <c r="KX520" s="379"/>
      <c r="KY520" s="13"/>
      <c r="KZ520" s="13"/>
      <c r="LA520" s="193"/>
      <c r="LB520" s="379"/>
      <c r="LC520" s="379"/>
      <c r="LD520" s="379"/>
      <c r="LE520" s="379"/>
      <c r="LF520" s="379"/>
      <c r="LG520" s="13"/>
      <c r="LH520" s="13"/>
      <c r="LI520" s="193"/>
      <c r="LJ520" s="379"/>
      <c r="LK520" s="379"/>
      <c r="LL520" s="379"/>
      <c r="LM520" s="379"/>
      <c r="LN520" s="379"/>
      <c r="LO520" s="13"/>
      <c r="LP520" s="13"/>
      <c r="LQ520" s="193"/>
      <c r="LR520" s="379"/>
      <c r="LS520" s="379"/>
      <c r="LT520" s="379"/>
      <c r="LU520" s="379"/>
      <c r="LV520" s="379"/>
      <c r="LW520" s="13"/>
      <c r="LX520" s="13"/>
      <c r="LY520" s="193"/>
      <c r="LZ520" s="379"/>
      <c r="MA520" s="379"/>
      <c r="MB520" s="379"/>
      <c r="MC520" s="379"/>
      <c r="MD520" s="379"/>
      <c r="ME520" s="13"/>
      <c r="MF520" s="13"/>
      <c r="MG520" s="193"/>
      <c r="MH520" s="379"/>
      <c r="MI520" s="379"/>
      <c r="MJ520" s="379"/>
      <c r="MK520" s="379"/>
      <c r="ML520" s="379"/>
      <c r="MM520" s="13"/>
      <c r="MN520" s="13"/>
      <c r="MO520" s="193"/>
      <c r="MP520" s="379"/>
      <c r="MQ520" s="379"/>
      <c r="MR520" s="379"/>
      <c r="MS520" s="379"/>
      <c r="MT520" s="379"/>
      <c r="MU520" s="13"/>
      <c r="MV520" s="13"/>
      <c r="MW520" s="193"/>
      <c r="MX520" s="379"/>
      <c r="MY520" s="379"/>
      <c r="MZ520" s="379"/>
      <c r="NA520" s="379"/>
      <c r="NB520" s="379"/>
      <c r="NC520" s="13"/>
      <c r="ND520" s="13"/>
      <c r="NE520" s="193"/>
      <c r="NF520" s="379"/>
      <c r="NG520" s="379"/>
      <c r="NH520" s="379"/>
      <c r="NI520" s="379"/>
      <c r="NJ520" s="379"/>
      <c r="NK520" s="13"/>
      <c r="NL520" s="13"/>
      <c r="NM520" s="193"/>
      <c r="NN520" s="379"/>
      <c r="NO520" s="379"/>
      <c r="NP520" s="379"/>
      <c r="NQ520" s="379"/>
      <c r="NR520" s="379"/>
      <c r="NS520" s="13"/>
      <c r="NT520" s="13"/>
      <c r="NU520" s="193"/>
      <c r="NV520" s="379"/>
      <c r="NW520" s="379"/>
      <c r="NX520" s="379"/>
      <c r="NY520" s="379"/>
      <c r="NZ520" s="379"/>
      <c r="OA520" s="13"/>
      <c r="OB520" s="13"/>
      <c r="OC520" s="193"/>
      <c r="OD520" s="379"/>
      <c r="OE520" s="379"/>
      <c r="OF520" s="379"/>
      <c r="OG520" s="379"/>
      <c r="OH520" s="379"/>
      <c r="OI520" s="13"/>
      <c r="OJ520" s="13"/>
      <c r="OK520" s="193"/>
      <c r="OL520" s="379"/>
      <c r="OM520" s="379"/>
      <c r="ON520" s="379"/>
      <c r="OO520" s="379"/>
      <c r="OP520" s="379"/>
      <c r="OQ520" s="13"/>
      <c r="OR520" s="13"/>
      <c r="OS520" s="193"/>
      <c r="OT520" s="379"/>
      <c r="OU520" s="379"/>
      <c r="OV520" s="379"/>
      <c r="OW520" s="379"/>
      <c r="OX520" s="379"/>
      <c r="OY520" s="13"/>
      <c r="OZ520" s="13"/>
      <c r="PA520" s="193"/>
      <c r="PB520" s="379"/>
      <c r="PC520" s="379"/>
      <c r="PD520" s="379"/>
      <c r="PE520" s="379"/>
      <c r="PF520" s="379"/>
      <c r="PG520" s="13"/>
      <c r="PH520" s="13"/>
      <c r="PI520" s="193"/>
      <c r="PJ520" s="379"/>
      <c r="PK520" s="379"/>
      <c r="PL520" s="379"/>
      <c r="PM520" s="379"/>
      <c r="PN520" s="379"/>
      <c r="PO520" s="13"/>
      <c r="PP520" s="13"/>
      <c r="PQ520" s="193"/>
      <c r="PR520" s="379"/>
      <c r="PS520" s="379"/>
      <c r="PT520" s="379"/>
      <c r="PU520" s="379"/>
      <c r="PV520" s="379"/>
      <c r="PW520" s="13"/>
      <c r="PX520" s="13"/>
      <c r="PY520" s="193"/>
      <c r="PZ520" s="379"/>
      <c r="QA520" s="379"/>
      <c r="QB520" s="379"/>
      <c r="QC520" s="379"/>
      <c r="QD520" s="379"/>
      <c r="QE520" s="13"/>
      <c r="QF520" s="13"/>
      <c r="QG520" s="193"/>
      <c r="QH520" s="379"/>
      <c r="QI520" s="379"/>
      <c r="QJ520" s="379"/>
      <c r="QK520" s="379"/>
      <c r="QL520" s="379"/>
      <c r="QM520" s="13"/>
      <c r="QN520" s="13"/>
      <c r="QO520" s="193"/>
      <c r="QP520" s="379"/>
      <c r="QQ520" s="379"/>
      <c r="QR520" s="379"/>
      <c r="QS520" s="379"/>
      <c r="QT520" s="379"/>
      <c r="QU520" s="13"/>
      <c r="QV520" s="13"/>
      <c r="QW520" s="193"/>
      <c r="QX520" s="379"/>
      <c r="QY520" s="379"/>
      <c r="QZ520" s="379"/>
      <c r="RA520" s="379"/>
      <c r="RB520" s="379"/>
      <c r="RC520" s="13"/>
      <c r="RD520" s="13"/>
      <c r="RE520" s="193"/>
      <c r="RF520" s="379"/>
      <c r="RG520" s="379"/>
      <c r="RH520" s="379"/>
      <c r="RI520" s="379"/>
      <c r="RJ520" s="379"/>
      <c r="RK520" s="13"/>
      <c r="RL520" s="13"/>
      <c r="RM520" s="193"/>
      <c r="RN520" s="379"/>
      <c r="RO520" s="379"/>
      <c r="RP520" s="379"/>
      <c r="RQ520" s="379"/>
      <c r="RR520" s="379"/>
      <c r="RS520" s="13"/>
      <c r="RT520" s="13"/>
      <c r="RU520" s="193"/>
      <c r="RV520" s="379"/>
      <c r="RW520" s="379"/>
      <c r="RX520" s="379"/>
      <c r="RY520" s="379"/>
      <c r="RZ520" s="379"/>
      <c r="SA520" s="13"/>
      <c r="SB520" s="13"/>
      <c r="SC520" s="193"/>
      <c r="SD520" s="379"/>
      <c r="SE520" s="379"/>
      <c r="SF520" s="379"/>
      <c r="SG520" s="379"/>
      <c r="SH520" s="379"/>
      <c r="SI520" s="13"/>
      <c r="SJ520" s="13"/>
      <c r="SK520" s="193"/>
      <c r="SL520" s="379"/>
      <c r="SM520" s="379"/>
      <c r="SN520" s="379"/>
      <c r="SO520" s="379"/>
      <c r="SP520" s="379"/>
      <c r="SQ520" s="13"/>
      <c r="SR520" s="13"/>
      <c r="SS520" s="193"/>
      <c r="ST520" s="379"/>
      <c r="SU520" s="379"/>
      <c r="SV520" s="379"/>
      <c r="SW520" s="379"/>
      <c r="SX520" s="379"/>
      <c r="SY520" s="13"/>
      <c r="SZ520" s="13"/>
      <c r="TA520" s="193"/>
      <c r="TB520" s="379"/>
      <c r="TC520" s="379"/>
      <c r="TD520" s="379"/>
      <c r="TE520" s="379"/>
      <c r="TF520" s="379"/>
      <c r="TG520" s="13"/>
      <c r="TH520" s="13"/>
      <c r="TI520" s="193"/>
      <c r="TJ520" s="379"/>
      <c r="TK520" s="379"/>
      <c r="TL520" s="379"/>
      <c r="TM520" s="379"/>
      <c r="TN520" s="379"/>
      <c r="TO520" s="13"/>
      <c r="TP520" s="13"/>
      <c r="TQ520" s="193"/>
      <c r="TR520" s="379"/>
      <c r="TS520" s="379"/>
      <c r="TT520" s="379"/>
      <c r="TU520" s="379"/>
      <c r="TV520" s="379"/>
      <c r="TW520" s="13"/>
      <c r="TX520" s="13"/>
      <c r="TY520" s="193"/>
      <c r="TZ520" s="379"/>
      <c r="UA520" s="379"/>
      <c r="UB520" s="379"/>
      <c r="UC520" s="379"/>
      <c r="UD520" s="379"/>
      <c r="UE520" s="13"/>
      <c r="UF520" s="13"/>
      <c r="UG520" s="193"/>
      <c r="UH520" s="379"/>
      <c r="UI520" s="379"/>
      <c r="UJ520" s="379"/>
      <c r="UK520" s="379"/>
      <c r="UL520" s="379"/>
      <c r="UM520" s="13"/>
      <c r="UN520" s="13"/>
      <c r="UO520" s="193"/>
      <c r="UP520" s="379"/>
      <c r="UQ520" s="379"/>
      <c r="UR520" s="379"/>
      <c r="US520" s="379"/>
      <c r="UT520" s="379"/>
      <c r="UU520" s="13"/>
      <c r="UV520" s="13"/>
      <c r="UW520" s="193"/>
      <c r="UX520" s="379"/>
      <c r="UY520" s="379"/>
      <c r="UZ520" s="379"/>
      <c r="VA520" s="379"/>
      <c r="VB520" s="379"/>
      <c r="VC520" s="13"/>
      <c r="VD520" s="13"/>
      <c r="VE520" s="193"/>
      <c r="VF520" s="379"/>
      <c r="VG520" s="379"/>
      <c r="VH520" s="379"/>
      <c r="VI520" s="379"/>
      <c r="VJ520" s="379"/>
      <c r="VK520" s="13"/>
      <c r="VL520" s="13"/>
      <c r="VM520" s="193"/>
      <c r="VN520" s="379"/>
      <c r="VO520" s="379"/>
      <c r="VP520" s="379"/>
      <c r="VQ520" s="379"/>
      <c r="VR520" s="379"/>
      <c r="VS520" s="13"/>
      <c r="VT520" s="13"/>
      <c r="VU520" s="193"/>
      <c r="VV520" s="379"/>
      <c r="VW520" s="379"/>
      <c r="VX520" s="379"/>
      <c r="VY520" s="379"/>
      <c r="VZ520" s="379"/>
      <c r="WA520" s="13"/>
      <c r="WB520" s="13"/>
      <c r="WC520" s="193"/>
      <c r="WD520" s="379"/>
      <c r="WE520" s="379"/>
      <c r="WF520" s="379"/>
      <c r="WG520" s="379"/>
      <c r="WH520" s="379"/>
      <c r="WI520" s="13"/>
      <c r="WJ520" s="13"/>
      <c r="WK520" s="193"/>
      <c r="WL520" s="379"/>
      <c r="WM520" s="379"/>
      <c r="WN520" s="379"/>
      <c r="WO520" s="379"/>
      <c r="WP520" s="379"/>
      <c r="WQ520" s="13"/>
      <c r="WR520" s="13"/>
      <c r="WS520" s="193"/>
      <c r="WT520" s="379"/>
      <c r="WU520" s="379"/>
      <c r="WV520" s="379"/>
      <c r="WW520" s="379"/>
      <c r="WX520" s="379"/>
      <c r="WY520" s="13"/>
      <c r="WZ520" s="13"/>
      <c r="XA520" s="193"/>
      <c r="XB520" s="379"/>
      <c r="XC520" s="379"/>
      <c r="XD520" s="379"/>
      <c r="XE520" s="379"/>
      <c r="XF520" s="379"/>
      <c r="XG520" s="13"/>
      <c r="XH520" s="13"/>
      <c r="XI520" s="193"/>
      <c r="XJ520" s="379"/>
      <c r="XK520" s="379"/>
      <c r="XL520" s="379"/>
      <c r="XM520" s="379"/>
      <c r="XN520" s="379"/>
      <c r="XO520" s="13"/>
      <c r="XP520" s="13"/>
      <c r="XQ520" s="193"/>
      <c r="XR520" s="379"/>
      <c r="XS520" s="379"/>
      <c r="XT520" s="379"/>
      <c r="XU520" s="379"/>
      <c r="XV520" s="379"/>
      <c r="XW520" s="13"/>
      <c r="XX520" s="13"/>
      <c r="XY520" s="193"/>
      <c r="XZ520" s="379"/>
      <c r="YA520" s="379"/>
      <c r="YB520" s="379"/>
      <c r="YC520" s="379"/>
      <c r="YD520" s="379"/>
      <c r="YE520" s="13"/>
      <c r="YF520" s="13"/>
      <c r="YG520" s="193"/>
      <c r="YH520" s="379"/>
      <c r="YI520" s="379"/>
      <c r="YJ520" s="379"/>
      <c r="YK520" s="379"/>
      <c r="YL520" s="379"/>
      <c r="YM520" s="13"/>
      <c r="YN520" s="13"/>
      <c r="YO520" s="193"/>
      <c r="YP520" s="379"/>
      <c r="YQ520" s="379"/>
      <c r="YR520" s="379"/>
      <c r="YS520" s="379"/>
      <c r="YT520" s="379"/>
      <c r="YU520" s="13"/>
      <c r="YV520" s="13"/>
      <c r="YW520" s="193"/>
      <c r="YX520" s="379"/>
      <c r="YY520" s="379"/>
      <c r="YZ520" s="379"/>
      <c r="ZA520" s="379"/>
      <c r="ZB520" s="379"/>
      <c r="ZC520" s="13"/>
      <c r="ZD520" s="13"/>
      <c r="ZE520" s="193"/>
      <c r="ZF520" s="379"/>
      <c r="ZG520" s="379"/>
      <c r="ZH520" s="379"/>
      <c r="ZI520" s="379"/>
      <c r="ZJ520" s="379"/>
      <c r="ZK520" s="13"/>
      <c r="ZL520" s="13"/>
      <c r="ZM520" s="193"/>
      <c r="ZN520" s="379"/>
      <c r="ZO520" s="379"/>
      <c r="ZP520" s="379"/>
      <c r="ZQ520" s="379"/>
      <c r="ZR520" s="379"/>
      <c r="ZS520" s="13"/>
      <c r="ZT520" s="13"/>
      <c r="ZU520" s="193"/>
      <c r="ZV520" s="379"/>
      <c r="ZW520" s="379"/>
      <c r="ZX520" s="379"/>
      <c r="ZY520" s="379"/>
      <c r="ZZ520" s="379"/>
      <c r="AAA520" s="13"/>
      <c r="AAB520" s="13"/>
      <c r="AAC520" s="193"/>
      <c r="AAD520" s="379"/>
      <c r="AAE520" s="379"/>
      <c r="AAF520" s="379"/>
      <c r="AAG520" s="379"/>
      <c r="AAH520" s="379"/>
      <c r="AAI520" s="13"/>
      <c r="AAJ520" s="13"/>
      <c r="AAK520" s="193"/>
      <c r="AAL520" s="379"/>
      <c r="AAM520" s="379"/>
      <c r="AAN520" s="379"/>
      <c r="AAO520" s="379"/>
      <c r="AAP520" s="379"/>
      <c r="AAQ520" s="13"/>
      <c r="AAR520" s="13"/>
      <c r="AAS520" s="193"/>
      <c r="AAT520" s="379"/>
      <c r="AAU520" s="379"/>
      <c r="AAV520" s="379"/>
      <c r="AAW520" s="379"/>
      <c r="AAX520" s="379"/>
      <c r="AAY520" s="13"/>
      <c r="AAZ520" s="13"/>
      <c r="ABA520" s="193"/>
      <c r="ABB520" s="379"/>
      <c r="ABC520" s="379"/>
      <c r="ABD520" s="379"/>
      <c r="ABE520" s="379"/>
      <c r="ABF520" s="379"/>
      <c r="ABG520" s="13"/>
      <c r="ABH520" s="13"/>
      <c r="ABI520" s="193"/>
      <c r="ABJ520" s="379"/>
      <c r="ABK520" s="379"/>
      <c r="ABL520" s="379"/>
      <c r="ABM520" s="379"/>
      <c r="ABN520" s="379"/>
      <c r="ABO520" s="13"/>
      <c r="ABP520" s="13"/>
      <c r="ABQ520" s="193"/>
      <c r="ABR520" s="379"/>
      <c r="ABS520" s="379"/>
      <c r="ABT520" s="379"/>
      <c r="ABU520" s="379"/>
      <c r="ABV520" s="379"/>
      <c r="ABW520" s="13"/>
      <c r="ABX520" s="13"/>
      <c r="ABY520" s="193"/>
      <c r="ABZ520" s="379"/>
      <c r="ACA520" s="379"/>
      <c r="ACB520" s="379"/>
      <c r="ACC520" s="379"/>
      <c r="ACD520" s="379"/>
      <c r="ACE520" s="13"/>
      <c r="ACF520" s="13"/>
      <c r="ACG520" s="193"/>
      <c r="ACH520" s="379"/>
      <c r="ACI520" s="379"/>
      <c r="ACJ520" s="379"/>
      <c r="ACK520" s="379"/>
      <c r="ACL520" s="379"/>
      <c r="ACM520" s="13"/>
      <c r="ACN520" s="13"/>
      <c r="ACO520" s="193"/>
      <c r="ACP520" s="379"/>
      <c r="ACQ520" s="379"/>
      <c r="ACR520" s="379"/>
      <c r="ACS520" s="379"/>
      <c r="ACT520" s="379"/>
      <c r="ACU520" s="13"/>
      <c r="ACV520" s="13"/>
      <c r="ACW520" s="193"/>
      <c r="ACX520" s="379"/>
      <c r="ACY520" s="379"/>
      <c r="ACZ520" s="379"/>
      <c r="ADA520" s="379"/>
      <c r="ADB520" s="379"/>
      <c r="ADC520" s="13"/>
      <c r="ADD520" s="13"/>
      <c r="ADE520" s="193"/>
      <c r="ADF520" s="379"/>
      <c r="ADG520" s="379"/>
      <c r="ADH520" s="379"/>
      <c r="ADI520" s="379"/>
      <c r="ADJ520" s="379"/>
      <c r="ADK520" s="13"/>
      <c r="ADL520" s="13"/>
      <c r="ADM520" s="193"/>
      <c r="ADN520" s="379"/>
      <c r="ADO520" s="379"/>
      <c r="ADP520" s="379"/>
      <c r="ADQ520" s="379"/>
      <c r="ADR520" s="379"/>
      <c r="ADS520" s="13"/>
      <c r="ADT520" s="13"/>
      <c r="ADU520" s="193"/>
      <c r="ADV520" s="379"/>
      <c r="ADW520" s="379"/>
      <c r="ADX520" s="379"/>
      <c r="ADY520" s="379"/>
      <c r="ADZ520" s="379"/>
      <c r="AEA520" s="13"/>
      <c r="AEB520" s="13"/>
      <c r="AEC520" s="193"/>
      <c r="AED520" s="379"/>
      <c r="AEE520" s="379"/>
      <c r="AEF520" s="379"/>
      <c r="AEG520" s="379"/>
      <c r="AEH520" s="379"/>
      <c r="AEI520" s="13"/>
      <c r="AEJ520" s="13"/>
      <c r="AEK520" s="193"/>
      <c r="AEL520" s="379"/>
      <c r="AEM520" s="379"/>
      <c r="AEN520" s="379"/>
      <c r="AEO520" s="379"/>
      <c r="AEP520" s="379"/>
      <c r="AEQ520" s="13"/>
      <c r="AER520" s="13"/>
      <c r="AES520" s="193"/>
      <c r="AET520" s="379"/>
      <c r="AEU520" s="379"/>
      <c r="AEV520" s="379"/>
      <c r="AEW520" s="379"/>
      <c r="AEX520" s="379"/>
      <c r="AEY520" s="13"/>
      <c r="AEZ520" s="13"/>
      <c r="AFA520" s="193"/>
      <c r="AFB520" s="379"/>
      <c r="AFC520" s="379"/>
      <c r="AFD520" s="379"/>
      <c r="AFE520" s="379"/>
      <c r="AFF520" s="379"/>
      <c r="AFG520" s="13"/>
      <c r="AFH520" s="13"/>
      <c r="AFI520" s="193"/>
      <c r="AFJ520" s="379"/>
      <c r="AFK520" s="379"/>
      <c r="AFL520" s="379"/>
      <c r="AFM520" s="379"/>
      <c r="AFN520" s="379"/>
      <c r="AFO520" s="13"/>
      <c r="AFP520" s="13"/>
      <c r="AFQ520" s="193"/>
      <c r="AFR520" s="379"/>
      <c r="AFS520" s="379"/>
      <c r="AFT520" s="379"/>
      <c r="AFU520" s="379"/>
      <c r="AFV520" s="379"/>
      <c r="AFW520" s="13"/>
      <c r="AFX520" s="13"/>
      <c r="AFY520" s="193"/>
      <c r="AFZ520" s="379"/>
      <c r="AGA520" s="379"/>
      <c r="AGB520" s="379"/>
      <c r="AGC520" s="379"/>
      <c r="AGD520" s="379"/>
      <c r="AGE520" s="13"/>
      <c r="AGF520" s="13"/>
      <c r="AGG520" s="193"/>
      <c r="AGH520" s="379"/>
      <c r="AGI520" s="379"/>
      <c r="AGJ520" s="379"/>
      <c r="AGK520" s="379"/>
      <c r="AGL520" s="379"/>
      <c r="AGM520" s="13"/>
      <c r="AGN520" s="13"/>
      <c r="AGO520" s="193"/>
      <c r="AGP520" s="379"/>
      <c r="AGQ520" s="379"/>
      <c r="AGR520" s="379"/>
      <c r="AGS520" s="379"/>
      <c r="AGT520" s="379"/>
      <c r="AGU520" s="13"/>
      <c r="AGV520" s="13"/>
      <c r="AGW520" s="193"/>
      <c r="AGX520" s="379"/>
      <c r="AGY520" s="379"/>
      <c r="AGZ520" s="379"/>
      <c r="AHA520" s="379"/>
      <c r="AHB520" s="379"/>
      <c r="AHC520" s="13"/>
      <c r="AHD520" s="13"/>
      <c r="AHE520" s="193"/>
      <c r="AHF520" s="379"/>
      <c r="AHG520" s="379"/>
      <c r="AHH520" s="379"/>
      <c r="AHI520" s="379"/>
      <c r="AHJ520" s="379"/>
      <c r="AHK520" s="13"/>
      <c r="AHL520" s="13"/>
      <c r="AHM520" s="193"/>
      <c r="AHN520" s="379"/>
      <c r="AHO520" s="379"/>
      <c r="AHP520" s="379"/>
      <c r="AHQ520" s="379"/>
      <c r="AHR520" s="379"/>
      <c r="AHS520" s="13"/>
      <c r="AHT520" s="13"/>
      <c r="AHU520" s="193"/>
      <c r="AHV520" s="379"/>
      <c r="AHW520" s="379"/>
      <c r="AHX520" s="379"/>
      <c r="AHY520" s="379"/>
      <c r="AHZ520" s="379"/>
      <c r="AIA520" s="13"/>
      <c r="AIB520" s="13"/>
      <c r="AIC520" s="193"/>
      <c r="AID520" s="379"/>
      <c r="AIE520" s="379"/>
      <c r="AIF520" s="379"/>
      <c r="AIG520" s="379"/>
      <c r="AIH520" s="379"/>
      <c r="AII520" s="13"/>
      <c r="AIJ520" s="13"/>
      <c r="AIK520" s="193"/>
      <c r="AIL520" s="379"/>
      <c r="AIM520" s="379"/>
      <c r="AIN520" s="379"/>
      <c r="AIO520" s="379"/>
      <c r="AIP520" s="379"/>
      <c r="AIQ520" s="13"/>
      <c r="AIR520" s="13"/>
      <c r="AIS520" s="193"/>
      <c r="AIT520" s="379"/>
      <c r="AIU520" s="379"/>
      <c r="AIV520" s="379"/>
      <c r="AIW520" s="379"/>
      <c r="AIX520" s="379"/>
      <c r="AIY520" s="13"/>
      <c r="AIZ520" s="13"/>
      <c r="AJA520" s="193"/>
      <c r="AJB520" s="379"/>
      <c r="AJC520" s="379"/>
      <c r="AJD520" s="379"/>
      <c r="AJE520" s="379"/>
      <c r="AJF520" s="379"/>
      <c r="AJG520" s="13"/>
      <c r="AJH520" s="13"/>
      <c r="AJI520" s="193"/>
      <c r="AJJ520" s="379"/>
      <c r="AJK520" s="379"/>
      <c r="AJL520" s="379"/>
      <c r="AJM520" s="379"/>
      <c r="AJN520" s="379"/>
      <c r="AJO520" s="13"/>
      <c r="AJP520" s="13"/>
      <c r="AJQ520" s="193"/>
      <c r="AJR520" s="379"/>
      <c r="AJS520" s="379"/>
      <c r="AJT520" s="379"/>
      <c r="AJU520" s="379"/>
      <c r="AJV520" s="379"/>
      <c r="AJW520" s="13"/>
      <c r="AJX520" s="13"/>
      <c r="AJY520" s="193"/>
      <c r="AJZ520" s="379"/>
      <c r="AKA520" s="379"/>
      <c r="AKB520" s="379"/>
      <c r="AKC520" s="379"/>
      <c r="AKD520" s="379"/>
      <c r="AKE520" s="13"/>
      <c r="AKF520" s="13"/>
      <c r="AKG520" s="193"/>
      <c r="AKH520" s="379"/>
      <c r="AKI520" s="379"/>
      <c r="AKJ520" s="379"/>
      <c r="AKK520" s="379"/>
      <c r="AKL520" s="379"/>
      <c r="AKM520" s="13"/>
      <c r="AKN520" s="13"/>
      <c r="AKO520" s="193"/>
      <c r="AKP520" s="379"/>
      <c r="AKQ520" s="379"/>
      <c r="AKR520" s="379"/>
      <c r="AKS520" s="379"/>
      <c r="AKT520" s="379"/>
      <c r="AKU520" s="13"/>
      <c r="AKV520" s="13"/>
      <c r="AKW520" s="193"/>
      <c r="AKX520" s="379"/>
      <c r="AKY520" s="379"/>
      <c r="AKZ520" s="379"/>
      <c r="ALA520" s="379"/>
      <c r="ALB520" s="379"/>
      <c r="ALC520" s="13"/>
      <c r="ALD520" s="13"/>
      <c r="ALE520" s="193"/>
      <c r="ALF520" s="379"/>
      <c r="ALG520" s="379"/>
      <c r="ALH520" s="379"/>
      <c r="ALI520" s="379"/>
      <c r="ALJ520" s="379"/>
      <c r="ALK520" s="13"/>
      <c r="ALL520" s="13"/>
      <c r="ALM520" s="193"/>
      <c r="ALN520" s="379"/>
      <c r="ALO520" s="379"/>
      <c r="ALP520" s="379"/>
      <c r="ALQ520" s="379"/>
      <c r="ALR520" s="379"/>
      <c r="ALS520" s="13"/>
      <c r="ALT520" s="13"/>
      <c r="ALU520" s="193"/>
      <c r="ALV520" s="379"/>
      <c r="ALW520" s="379"/>
      <c r="ALX520" s="379"/>
      <c r="ALY520" s="379"/>
      <c r="ALZ520" s="379"/>
      <c r="AMA520" s="13"/>
      <c r="AMB520" s="13"/>
      <c r="AMC520" s="193"/>
      <c r="AMD520" s="379"/>
      <c r="AME520" s="379"/>
      <c r="AMF520" s="379"/>
      <c r="AMG520" s="379"/>
      <c r="AMH520" s="379"/>
      <c r="AMI520" s="13"/>
      <c r="AMJ520" s="13"/>
      <c r="AMK520" s="193"/>
      <c r="AML520" s="379"/>
      <c r="AMM520" s="379"/>
      <c r="AMN520" s="379"/>
      <c r="AMO520" s="379"/>
      <c r="AMP520" s="379"/>
      <c r="AMQ520" s="13"/>
      <c r="AMR520" s="13"/>
      <c r="AMS520" s="193"/>
      <c r="AMT520" s="379"/>
      <c r="AMU520" s="379"/>
      <c r="AMV520" s="379"/>
      <c r="AMW520" s="379"/>
      <c r="AMX520" s="379"/>
      <c r="AMY520" s="13"/>
      <c r="AMZ520" s="13"/>
      <c r="ANA520" s="193"/>
      <c r="ANB520" s="379"/>
      <c r="ANC520" s="379"/>
      <c r="AND520" s="379"/>
      <c r="ANE520" s="379"/>
      <c r="ANF520" s="379"/>
      <c r="ANG520" s="13"/>
      <c r="ANH520" s="13"/>
      <c r="ANI520" s="193"/>
      <c r="ANJ520" s="379"/>
      <c r="ANK520" s="379"/>
      <c r="ANL520" s="379"/>
      <c r="ANM520" s="379"/>
      <c r="ANN520" s="379"/>
      <c r="ANO520" s="13"/>
      <c r="ANP520" s="13"/>
      <c r="ANQ520" s="193"/>
      <c r="ANR520" s="379"/>
      <c r="ANS520" s="379"/>
      <c r="ANT520" s="379"/>
      <c r="ANU520" s="379"/>
      <c r="ANV520" s="379"/>
      <c r="ANW520" s="13"/>
      <c r="ANX520" s="13"/>
      <c r="ANY520" s="193"/>
      <c r="ANZ520" s="379"/>
      <c r="AOA520" s="379"/>
      <c r="AOB520" s="379"/>
      <c r="AOC520" s="379"/>
      <c r="AOD520" s="379"/>
      <c r="AOE520" s="13"/>
      <c r="AOF520" s="13"/>
      <c r="AOG520" s="193"/>
      <c r="AOH520" s="379"/>
      <c r="AOI520" s="379"/>
      <c r="AOJ520" s="379"/>
      <c r="AOK520" s="379"/>
      <c r="AOL520" s="379"/>
      <c r="AOM520" s="13"/>
      <c r="AON520" s="13"/>
      <c r="AOO520" s="193"/>
      <c r="AOP520" s="379"/>
      <c r="AOQ520" s="379"/>
      <c r="AOR520" s="379"/>
      <c r="AOS520" s="379"/>
      <c r="AOT520" s="379"/>
      <c r="AOU520" s="13"/>
      <c r="AOV520" s="13"/>
      <c r="AOW520" s="193"/>
      <c r="AOX520" s="379"/>
      <c r="AOY520" s="379"/>
      <c r="AOZ520" s="379"/>
      <c r="APA520" s="379"/>
      <c r="APB520" s="379"/>
      <c r="APC520" s="13"/>
      <c r="APD520" s="13"/>
      <c r="APE520" s="193"/>
      <c r="APF520" s="379"/>
      <c r="APG520" s="379"/>
      <c r="APH520" s="379"/>
      <c r="API520" s="379"/>
      <c r="APJ520" s="379"/>
      <c r="APK520" s="13"/>
      <c r="APL520" s="13"/>
      <c r="APM520" s="193"/>
      <c r="APN520" s="379"/>
      <c r="APO520" s="379"/>
      <c r="APP520" s="379"/>
      <c r="APQ520" s="379"/>
      <c r="APR520" s="379"/>
      <c r="APS520" s="13"/>
      <c r="APT520" s="13"/>
      <c r="APU520" s="193"/>
      <c r="APV520" s="379"/>
      <c r="APW520" s="379"/>
      <c r="APX520" s="379"/>
      <c r="APY520" s="379"/>
      <c r="APZ520" s="379"/>
      <c r="AQA520" s="13"/>
      <c r="AQB520" s="13"/>
      <c r="AQC520" s="193"/>
      <c r="AQD520" s="379"/>
      <c r="AQE520" s="379"/>
      <c r="AQF520" s="379"/>
      <c r="AQG520" s="379"/>
      <c r="AQH520" s="379"/>
      <c r="AQI520" s="13"/>
      <c r="AQJ520" s="13"/>
      <c r="AQK520" s="193"/>
      <c r="AQL520" s="379"/>
      <c r="AQM520" s="379"/>
      <c r="AQN520" s="379"/>
      <c r="AQO520" s="379"/>
      <c r="AQP520" s="379"/>
      <c r="AQQ520" s="13"/>
      <c r="AQR520" s="13"/>
      <c r="AQS520" s="193"/>
      <c r="AQT520" s="379"/>
      <c r="AQU520" s="379"/>
      <c r="AQV520" s="379"/>
      <c r="AQW520" s="379"/>
      <c r="AQX520" s="379"/>
      <c r="AQY520" s="13"/>
      <c r="AQZ520" s="13"/>
      <c r="ARA520" s="193"/>
      <c r="ARB520" s="379"/>
      <c r="ARC520" s="379"/>
      <c r="ARD520" s="379"/>
      <c r="ARE520" s="379"/>
      <c r="ARF520" s="379"/>
      <c r="ARG520" s="13"/>
      <c r="ARH520" s="13"/>
      <c r="ARI520" s="193"/>
      <c r="ARJ520" s="379"/>
      <c r="ARK520" s="379"/>
      <c r="ARL520" s="379"/>
      <c r="ARM520" s="379"/>
      <c r="ARN520" s="379"/>
      <c r="ARO520" s="13"/>
      <c r="ARP520" s="13"/>
      <c r="ARQ520" s="193"/>
      <c r="ARR520" s="379"/>
      <c r="ARS520" s="379"/>
      <c r="ART520" s="379"/>
      <c r="ARU520" s="379"/>
      <c r="ARV520" s="379"/>
      <c r="ARW520" s="13"/>
      <c r="ARX520" s="13"/>
      <c r="ARY520" s="193"/>
      <c r="ARZ520" s="379"/>
      <c r="ASA520" s="379"/>
      <c r="ASB520" s="379"/>
      <c r="ASC520" s="379"/>
      <c r="ASD520" s="379"/>
      <c r="ASE520" s="13"/>
      <c r="ASF520" s="13"/>
      <c r="ASG520" s="193"/>
      <c r="ASH520" s="379"/>
      <c r="ASI520" s="379"/>
      <c r="ASJ520" s="379"/>
      <c r="ASK520" s="379"/>
      <c r="ASL520" s="379"/>
      <c r="ASM520" s="13"/>
      <c r="ASN520" s="13"/>
      <c r="ASO520" s="193"/>
      <c r="ASP520" s="379"/>
      <c r="ASQ520" s="379"/>
      <c r="ASR520" s="379"/>
      <c r="ASS520" s="379"/>
      <c r="AST520" s="379"/>
      <c r="ASU520" s="13"/>
      <c r="ASV520" s="13"/>
      <c r="ASW520" s="193"/>
      <c r="ASX520" s="379"/>
      <c r="ASY520" s="379"/>
      <c r="ASZ520" s="379"/>
      <c r="ATA520" s="379"/>
      <c r="ATB520" s="379"/>
      <c r="ATC520" s="13"/>
      <c r="ATD520" s="13"/>
      <c r="ATE520" s="193"/>
      <c r="ATF520" s="379"/>
      <c r="ATG520" s="379"/>
      <c r="ATH520" s="379"/>
      <c r="ATI520" s="379"/>
      <c r="ATJ520" s="379"/>
      <c r="ATK520" s="13"/>
      <c r="ATL520" s="13"/>
      <c r="ATM520" s="193"/>
      <c r="ATN520" s="379"/>
      <c r="ATO520" s="379"/>
      <c r="ATP520" s="379"/>
      <c r="ATQ520" s="379"/>
      <c r="ATR520" s="379"/>
      <c r="ATS520" s="13"/>
      <c r="ATT520" s="13"/>
      <c r="ATU520" s="193"/>
      <c r="ATV520" s="379"/>
      <c r="ATW520" s="379"/>
      <c r="ATX520" s="379"/>
      <c r="ATY520" s="379"/>
      <c r="ATZ520" s="379"/>
      <c r="AUA520" s="13"/>
      <c r="AUB520" s="13"/>
      <c r="AUC520" s="193"/>
      <c r="AUD520" s="379"/>
      <c r="AUE520" s="379"/>
      <c r="AUF520" s="379"/>
      <c r="AUG520" s="379"/>
      <c r="AUH520" s="379"/>
      <c r="AUI520" s="13"/>
      <c r="AUJ520" s="13"/>
      <c r="AUK520" s="193"/>
      <c r="AUL520" s="379"/>
      <c r="AUM520" s="379"/>
      <c r="AUN520" s="379"/>
      <c r="AUO520" s="379"/>
      <c r="AUP520" s="379"/>
      <c r="AUQ520" s="13"/>
      <c r="AUR520" s="13"/>
      <c r="AUS520" s="193"/>
      <c r="AUT520" s="379"/>
      <c r="AUU520" s="379"/>
      <c r="AUV520" s="379"/>
      <c r="AUW520" s="379"/>
      <c r="AUX520" s="379"/>
      <c r="AUY520" s="13"/>
      <c r="AUZ520" s="13"/>
      <c r="AVA520" s="193"/>
      <c r="AVB520" s="379"/>
      <c r="AVC520" s="379"/>
      <c r="AVD520" s="379"/>
      <c r="AVE520" s="379"/>
      <c r="AVF520" s="379"/>
      <c r="AVG520" s="13"/>
      <c r="AVH520" s="13"/>
      <c r="AVI520" s="193"/>
      <c r="AVJ520" s="379"/>
      <c r="AVK520" s="379"/>
      <c r="AVL520" s="379"/>
      <c r="AVM520" s="379"/>
      <c r="AVN520" s="379"/>
      <c r="AVO520" s="13"/>
      <c r="AVP520" s="13"/>
      <c r="AVQ520" s="193"/>
      <c r="AVR520" s="379"/>
      <c r="AVS520" s="379"/>
      <c r="AVT520" s="379"/>
      <c r="AVU520" s="379"/>
      <c r="AVV520" s="379"/>
      <c r="AVW520" s="13"/>
      <c r="AVX520" s="13"/>
      <c r="AVY520" s="193"/>
      <c r="AVZ520" s="379"/>
      <c r="AWA520" s="379"/>
      <c r="AWB520" s="379"/>
      <c r="AWC520" s="379"/>
      <c r="AWD520" s="379"/>
      <c r="AWE520" s="13"/>
      <c r="AWF520" s="13"/>
      <c r="AWG520" s="193"/>
      <c r="AWH520" s="379"/>
      <c r="AWI520" s="379"/>
      <c r="AWJ520" s="379"/>
      <c r="AWK520" s="379"/>
      <c r="AWL520" s="379"/>
      <c r="AWM520" s="13"/>
      <c r="AWN520" s="13"/>
      <c r="AWO520" s="193"/>
      <c r="AWP520" s="379"/>
      <c r="AWQ520" s="379"/>
      <c r="AWR520" s="379"/>
      <c r="AWS520" s="379"/>
      <c r="AWT520" s="379"/>
      <c r="AWU520" s="13"/>
      <c r="AWV520" s="13"/>
      <c r="AWW520" s="193"/>
      <c r="AWX520" s="379"/>
      <c r="AWY520" s="379"/>
      <c r="AWZ520" s="379"/>
      <c r="AXA520" s="379"/>
      <c r="AXB520" s="379"/>
      <c r="AXC520" s="13"/>
      <c r="AXD520" s="13"/>
      <c r="AXE520" s="193"/>
      <c r="AXF520" s="379"/>
      <c r="AXG520" s="379"/>
      <c r="AXH520" s="379"/>
      <c r="AXI520" s="379"/>
      <c r="AXJ520" s="379"/>
      <c r="AXK520" s="13"/>
      <c r="AXL520" s="13"/>
      <c r="AXM520" s="193"/>
      <c r="AXN520" s="379"/>
      <c r="AXO520" s="379"/>
      <c r="AXP520" s="379"/>
      <c r="AXQ520" s="379"/>
      <c r="AXR520" s="379"/>
      <c r="AXS520" s="13"/>
      <c r="AXT520" s="13"/>
      <c r="AXU520" s="193"/>
      <c r="AXV520" s="379"/>
      <c r="AXW520" s="379"/>
      <c r="AXX520" s="379"/>
      <c r="AXY520" s="379"/>
      <c r="AXZ520" s="379"/>
      <c r="AYA520" s="13"/>
      <c r="AYB520" s="13"/>
      <c r="AYC520" s="193"/>
      <c r="AYD520" s="379"/>
      <c r="AYE520" s="379"/>
      <c r="AYF520" s="379"/>
      <c r="AYG520" s="379"/>
      <c r="AYH520" s="379"/>
      <c r="AYI520" s="13"/>
      <c r="AYJ520" s="13"/>
      <c r="AYK520" s="193"/>
      <c r="AYL520" s="379"/>
      <c r="AYM520" s="379"/>
      <c r="AYN520" s="379"/>
      <c r="AYO520" s="379"/>
      <c r="AYP520" s="379"/>
      <c r="AYQ520" s="13"/>
      <c r="AYR520" s="13"/>
      <c r="AYS520" s="193"/>
      <c r="AYT520" s="379"/>
      <c r="AYU520" s="379"/>
      <c r="AYV520" s="379"/>
      <c r="AYW520" s="379"/>
      <c r="AYX520" s="379"/>
      <c r="AYY520" s="13"/>
      <c r="AYZ520" s="13"/>
      <c r="AZA520" s="193"/>
      <c r="AZB520" s="379"/>
      <c r="AZC520" s="379"/>
      <c r="AZD520" s="379"/>
      <c r="AZE520" s="379"/>
      <c r="AZF520" s="379"/>
      <c r="AZG520" s="13"/>
      <c r="AZH520" s="13"/>
      <c r="AZI520" s="193"/>
      <c r="AZJ520" s="379"/>
      <c r="AZK520" s="379"/>
      <c r="AZL520" s="379"/>
      <c r="AZM520" s="379"/>
      <c r="AZN520" s="379"/>
      <c r="AZO520" s="13"/>
      <c r="AZP520" s="13"/>
      <c r="AZQ520" s="193"/>
      <c r="AZR520" s="379"/>
      <c r="AZS520" s="379"/>
      <c r="AZT520" s="379"/>
      <c r="AZU520" s="379"/>
      <c r="AZV520" s="379"/>
      <c r="AZW520" s="13"/>
      <c r="AZX520" s="13"/>
      <c r="AZY520" s="193"/>
      <c r="AZZ520" s="379"/>
      <c r="BAA520" s="379"/>
      <c r="BAB520" s="379"/>
      <c r="BAC520" s="379"/>
      <c r="BAD520" s="379"/>
      <c r="BAE520" s="13"/>
      <c r="BAF520" s="13"/>
      <c r="BAG520" s="193"/>
      <c r="BAH520" s="379"/>
      <c r="BAI520" s="379"/>
      <c r="BAJ520" s="379"/>
      <c r="BAK520" s="379"/>
      <c r="BAL520" s="379"/>
      <c r="BAM520" s="13"/>
      <c r="BAN520" s="13"/>
      <c r="BAO520" s="193"/>
      <c r="BAP520" s="379"/>
      <c r="BAQ520" s="379"/>
      <c r="BAR520" s="379"/>
      <c r="BAS520" s="379"/>
      <c r="BAT520" s="379"/>
      <c r="BAU520" s="13"/>
      <c r="BAV520" s="13"/>
      <c r="BAW520" s="193"/>
      <c r="BAX520" s="379"/>
      <c r="BAY520" s="379"/>
      <c r="BAZ520" s="379"/>
      <c r="BBA520" s="379"/>
      <c r="BBB520" s="379"/>
      <c r="BBC520" s="13"/>
      <c r="BBD520" s="13"/>
      <c r="BBE520" s="193"/>
      <c r="BBF520" s="379"/>
      <c r="BBG520" s="379"/>
      <c r="BBH520" s="379"/>
      <c r="BBI520" s="379"/>
      <c r="BBJ520" s="379"/>
      <c r="BBK520" s="13"/>
      <c r="BBL520" s="13"/>
      <c r="BBM520" s="193"/>
      <c r="BBN520" s="379"/>
      <c r="BBO520" s="379"/>
      <c r="BBP520" s="379"/>
      <c r="BBQ520" s="379"/>
      <c r="BBR520" s="379"/>
      <c r="BBS520" s="13"/>
      <c r="BBT520" s="13"/>
      <c r="BBU520" s="193"/>
      <c r="BBV520" s="379"/>
      <c r="BBW520" s="379"/>
      <c r="BBX520" s="379"/>
      <c r="BBY520" s="379"/>
      <c r="BBZ520" s="379"/>
      <c r="BCA520" s="13"/>
      <c r="BCB520" s="13"/>
      <c r="BCC520" s="193"/>
      <c r="BCD520" s="379"/>
      <c r="BCE520" s="379"/>
      <c r="BCF520" s="379"/>
      <c r="BCG520" s="379"/>
      <c r="BCH520" s="379"/>
      <c r="BCI520" s="13"/>
      <c r="BCJ520" s="13"/>
      <c r="BCK520" s="193"/>
      <c r="BCL520" s="379"/>
      <c r="BCM520" s="379"/>
      <c r="BCN520" s="379"/>
      <c r="BCO520" s="379"/>
      <c r="BCP520" s="379"/>
      <c r="BCQ520" s="13"/>
      <c r="BCR520" s="13"/>
      <c r="BCS520" s="193"/>
      <c r="BCT520" s="379"/>
      <c r="BCU520" s="379"/>
      <c r="BCV520" s="379"/>
      <c r="BCW520" s="379"/>
      <c r="BCX520" s="379"/>
      <c r="BCY520" s="13"/>
      <c r="BCZ520" s="13"/>
      <c r="BDA520" s="193"/>
      <c r="BDB520" s="379"/>
      <c r="BDC520" s="379"/>
      <c r="BDD520" s="379"/>
      <c r="BDE520" s="379"/>
      <c r="BDF520" s="379"/>
      <c r="BDG520" s="13"/>
      <c r="BDH520" s="13"/>
      <c r="BDI520" s="193"/>
      <c r="BDJ520" s="379"/>
      <c r="BDK520" s="379"/>
      <c r="BDL520" s="379"/>
      <c r="BDM520" s="379"/>
      <c r="BDN520" s="379"/>
      <c r="BDO520" s="13"/>
      <c r="BDP520" s="13"/>
      <c r="BDQ520" s="193"/>
      <c r="BDR520" s="379"/>
      <c r="BDS520" s="379"/>
      <c r="BDT520" s="379"/>
      <c r="BDU520" s="379"/>
      <c r="BDV520" s="379"/>
      <c r="BDW520" s="13"/>
      <c r="BDX520" s="13"/>
      <c r="BDY520" s="193"/>
      <c r="BDZ520" s="379"/>
      <c r="BEA520" s="379"/>
      <c r="BEB520" s="379"/>
      <c r="BEC520" s="379"/>
      <c r="BED520" s="379"/>
      <c r="BEE520" s="13"/>
      <c r="BEF520" s="13"/>
      <c r="BEG520" s="193"/>
      <c r="BEH520" s="379"/>
      <c r="BEI520" s="379"/>
      <c r="BEJ520" s="379"/>
      <c r="BEK520" s="379"/>
      <c r="BEL520" s="379"/>
      <c r="BEM520" s="13"/>
      <c r="BEN520" s="13"/>
      <c r="BEO520" s="193"/>
      <c r="BEP520" s="379"/>
      <c r="BEQ520" s="379"/>
      <c r="BER520" s="379"/>
      <c r="BES520" s="379"/>
      <c r="BET520" s="379"/>
      <c r="BEU520" s="13"/>
      <c r="BEV520" s="13"/>
      <c r="BEW520" s="193"/>
      <c r="BEX520" s="379"/>
      <c r="BEY520" s="379"/>
      <c r="BEZ520" s="379"/>
      <c r="BFA520" s="379"/>
      <c r="BFB520" s="379"/>
      <c r="BFC520" s="13"/>
      <c r="BFD520" s="13"/>
      <c r="BFE520" s="193"/>
      <c r="BFF520" s="379"/>
      <c r="BFG520" s="379"/>
      <c r="BFH520" s="379"/>
      <c r="BFI520" s="379"/>
      <c r="BFJ520" s="379"/>
      <c r="BFK520" s="13"/>
      <c r="BFL520" s="13"/>
      <c r="BFM520" s="193"/>
      <c r="BFN520" s="379"/>
      <c r="BFO520" s="379"/>
      <c r="BFP520" s="379"/>
      <c r="BFQ520" s="379"/>
      <c r="BFR520" s="379"/>
      <c r="BFS520" s="13"/>
      <c r="BFT520" s="13"/>
      <c r="BFU520" s="193"/>
      <c r="BFV520" s="379"/>
      <c r="BFW520" s="379"/>
      <c r="BFX520" s="379"/>
      <c r="BFY520" s="379"/>
      <c r="BFZ520" s="379"/>
      <c r="BGA520" s="13"/>
      <c r="BGB520" s="13"/>
      <c r="BGC520" s="193"/>
      <c r="BGD520" s="379"/>
      <c r="BGE520" s="379"/>
      <c r="BGF520" s="379"/>
      <c r="BGG520" s="379"/>
      <c r="BGH520" s="379"/>
      <c r="BGI520" s="13"/>
      <c r="BGJ520" s="13"/>
      <c r="BGK520" s="193"/>
      <c r="BGL520" s="379"/>
      <c r="BGM520" s="379"/>
      <c r="BGN520" s="379"/>
      <c r="BGO520" s="379"/>
      <c r="BGP520" s="379"/>
      <c r="BGQ520" s="13"/>
      <c r="BGR520" s="13"/>
      <c r="BGS520" s="193"/>
      <c r="BGT520" s="379"/>
      <c r="BGU520" s="379"/>
      <c r="BGV520" s="379"/>
      <c r="BGW520" s="379"/>
      <c r="BGX520" s="379"/>
      <c r="BGY520" s="13"/>
      <c r="BGZ520" s="13"/>
      <c r="BHA520" s="193"/>
      <c r="BHB520" s="379"/>
      <c r="BHC520" s="379"/>
      <c r="BHD520" s="379"/>
      <c r="BHE520" s="379"/>
      <c r="BHF520" s="379"/>
      <c r="BHG520" s="13"/>
      <c r="BHH520" s="13"/>
      <c r="BHI520" s="193"/>
      <c r="BHJ520" s="379"/>
      <c r="BHK520" s="379"/>
      <c r="BHL520" s="379"/>
      <c r="BHM520" s="379"/>
      <c r="BHN520" s="379"/>
      <c r="BHO520" s="13"/>
      <c r="BHP520" s="13"/>
      <c r="BHQ520" s="193"/>
      <c r="BHR520" s="379"/>
      <c r="BHS520" s="379"/>
      <c r="BHT520" s="379"/>
      <c r="BHU520" s="379"/>
      <c r="BHV520" s="379"/>
      <c r="BHW520" s="13"/>
      <c r="BHX520" s="13"/>
      <c r="BHY520" s="193"/>
      <c r="BHZ520" s="379"/>
      <c r="BIA520" s="379"/>
      <c r="BIB520" s="379"/>
      <c r="BIC520" s="379"/>
      <c r="BID520" s="379"/>
      <c r="BIE520" s="13"/>
      <c r="BIF520" s="13"/>
      <c r="BIG520" s="193"/>
      <c r="BIH520" s="379"/>
      <c r="BII520" s="379"/>
      <c r="BIJ520" s="379"/>
      <c r="BIK520" s="379"/>
      <c r="BIL520" s="379"/>
      <c r="BIM520" s="13"/>
      <c r="BIN520" s="13"/>
      <c r="BIO520" s="193"/>
      <c r="BIP520" s="379"/>
      <c r="BIQ520" s="379"/>
      <c r="BIR520" s="379"/>
      <c r="BIS520" s="379"/>
      <c r="BIT520" s="379"/>
      <c r="BIU520" s="13"/>
      <c r="BIV520" s="13"/>
      <c r="BIW520" s="193"/>
      <c r="BIX520" s="379"/>
      <c r="BIY520" s="379"/>
      <c r="BIZ520" s="379"/>
      <c r="BJA520" s="379"/>
      <c r="BJB520" s="379"/>
      <c r="BJC520" s="13"/>
      <c r="BJD520" s="13"/>
      <c r="BJE520" s="193"/>
      <c r="BJF520" s="379"/>
      <c r="BJG520" s="379"/>
      <c r="BJH520" s="379"/>
      <c r="BJI520" s="379"/>
      <c r="BJJ520" s="379"/>
      <c r="BJK520" s="13"/>
      <c r="BJL520" s="13"/>
      <c r="BJM520" s="193"/>
      <c r="BJN520" s="379"/>
      <c r="BJO520" s="379"/>
      <c r="BJP520" s="379"/>
      <c r="BJQ520" s="379"/>
      <c r="BJR520" s="379"/>
      <c r="BJS520" s="13"/>
      <c r="BJT520" s="13"/>
      <c r="BJU520" s="193"/>
      <c r="BJV520" s="379"/>
      <c r="BJW520" s="379"/>
      <c r="BJX520" s="379"/>
      <c r="BJY520" s="379"/>
      <c r="BJZ520" s="379"/>
      <c r="BKA520" s="13"/>
      <c r="BKB520" s="13"/>
      <c r="BKC520" s="193"/>
      <c r="BKD520" s="379"/>
      <c r="BKE520" s="379"/>
      <c r="BKF520" s="379"/>
      <c r="BKG520" s="379"/>
      <c r="BKH520" s="379"/>
      <c r="BKI520" s="13"/>
      <c r="BKJ520" s="13"/>
      <c r="BKK520" s="193"/>
      <c r="BKL520" s="379"/>
      <c r="BKM520" s="379"/>
      <c r="BKN520" s="379"/>
      <c r="BKO520" s="379"/>
      <c r="BKP520" s="379"/>
      <c r="BKQ520" s="13"/>
      <c r="BKR520" s="13"/>
      <c r="BKS520" s="193"/>
      <c r="BKT520" s="379"/>
      <c r="BKU520" s="379"/>
      <c r="BKV520" s="379"/>
      <c r="BKW520" s="379"/>
      <c r="BKX520" s="379"/>
      <c r="BKY520" s="13"/>
      <c r="BKZ520" s="13"/>
      <c r="BLA520" s="193"/>
      <c r="BLB520" s="379"/>
      <c r="BLC520" s="379"/>
      <c r="BLD520" s="379"/>
      <c r="BLE520" s="379"/>
      <c r="BLF520" s="379"/>
      <c r="BLG520" s="13"/>
      <c r="BLH520" s="13"/>
      <c r="BLI520" s="193"/>
      <c r="BLJ520" s="379"/>
      <c r="BLK520" s="379"/>
      <c r="BLL520" s="379"/>
      <c r="BLM520" s="379"/>
      <c r="BLN520" s="379"/>
      <c r="BLO520" s="13"/>
      <c r="BLP520" s="13"/>
      <c r="BLQ520" s="193"/>
      <c r="BLR520" s="379"/>
      <c r="BLS520" s="379"/>
      <c r="BLT520" s="379"/>
      <c r="BLU520" s="379"/>
      <c r="BLV520" s="379"/>
      <c r="BLW520" s="13"/>
      <c r="BLX520" s="13"/>
      <c r="BLY520" s="193"/>
      <c r="BLZ520" s="379"/>
      <c r="BMA520" s="379"/>
      <c r="BMB520" s="379"/>
      <c r="BMC520" s="379"/>
      <c r="BMD520" s="379"/>
      <c r="BME520" s="13"/>
      <c r="BMF520" s="13"/>
      <c r="BMG520" s="193"/>
      <c r="BMH520" s="379"/>
      <c r="BMI520" s="379"/>
      <c r="BMJ520" s="379"/>
      <c r="BMK520" s="379"/>
      <c r="BML520" s="379"/>
      <c r="BMM520" s="13"/>
      <c r="BMN520" s="13"/>
      <c r="BMO520" s="193"/>
      <c r="BMP520" s="379"/>
      <c r="BMQ520" s="379"/>
      <c r="BMR520" s="379"/>
      <c r="BMS520" s="379"/>
      <c r="BMT520" s="379"/>
      <c r="BMU520" s="13"/>
      <c r="BMV520" s="13"/>
      <c r="BMW520" s="193"/>
      <c r="BMX520" s="379"/>
      <c r="BMY520" s="379"/>
      <c r="BMZ520" s="379"/>
      <c r="BNA520" s="379"/>
      <c r="BNB520" s="379"/>
      <c r="BNC520" s="13"/>
      <c r="BND520" s="13"/>
      <c r="BNE520" s="193"/>
      <c r="BNF520" s="379"/>
      <c r="BNG520" s="379"/>
      <c r="BNH520" s="379"/>
      <c r="BNI520" s="379"/>
      <c r="BNJ520" s="379"/>
      <c r="BNK520" s="13"/>
      <c r="BNL520" s="13"/>
      <c r="BNM520" s="193"/>
      <c r="BNN520" s="379"/>
      <c r="BNO520" s="379"/>
      <c r="BNP520" s="379"/>
      <c r="BNQ520" s="379"/>
      <c r="BNR520" s="379"/>
      <c r="BNS520" s="13"/>
      <c r="BNT520" s="13"/>
      <c r="BNU520" s="193"/>
      <c r="BNV520" s="379"/>
      <c r="BNW520" s="379"/>
      <c r="BNX520" s="379"/>
      <c r="BNY520" s="379"/>
      <c r="BNZ520" s="379"/>
      <c r="BOA520" s="13"/>
      <c r="BOB520" s="13"/>
      <c r="BOC520" s="193"/>
      <c r="BOD520" s="379"/>
      <c r="BOE520" s="379"/>
      <c r="BOF520" s="379"/>
      <c r="BOG520" s="379"/>
      <c r="BOH520" s="379"/>
      <c r="BOI520" s="13"/>
      <c r="BOJ520" s="13"/>
      <c r="BOK520" s="193"/>
      <c r="BOL520" s="379"/>
      <c r="BOM520" s="379"/>
      <c r="BON520" s="379"/>
      <c r="BOO520" s="379"/>
      <c r="BOP520" s="379"/>
      <c r="BOQ520" s="13"/>
      <c r="BOR520" s="13"/>
      <c r="BOS520" s="193"/>
      <c r="BOT520" s="379"/>
      <c r="BOU520" s="379"/>
      <c r="BOV520" s="379"/>
      <c r="BOW520" s="379"/>
      <c r="BOX520" s="379"/>
      <c r="BOY520" s="13"/>
      <c r="BOZ520" s="13"/>
      <c r="BPA520" s="193"/>
      <c r="BPB520" s="379"/>
      <c r="BPC520" s="379"/>
      <c r="BPD520" s="379"/>
      <c r="BPE520" s="379"/>
      <c r="BPF520" s="379"/>
      <c r="BPG520" s="13"/>
      <c r="BPH520" s="13"/>
      <c r="BPI520" s="193"/>
      <c r="BPJ520" s="379"/>
      <c r="BPK520" s="379"/>
      <c r="BPL520" s="379"/>
      <c r="BPM520" s="379"/>
      <c r="BPN520" s="379"/>
      <c r="BPO520" s="13"/>
      <c r="BPP520" s="13"/>
      <c r="BPQ520" s="193"/>
      <c r="BPR520" s="379"/>
      <c r="BPS520" s="379"/>
      <c r="BPT520" s="379"/>
      <c r="BPU520" s="379"/>
      <c r="BPV520" s="379"/>
      <c r="BPW520" s="13"/>
      <c r="BPX520" s="13"/>
      <c r="BPY520" s="193"/>
      <c r="BPZ520" s="379"/>
      <c r="BQA520" s="379"/>
      <c r="BQB520" s="379"/>
      <c r="BQC520" s="379"/>
      <c r="BQD520" s="379"/>
      <c r="BQE520" s="13"/>
      <c r="BQF520" s="13"/>
      <c r="BQG520" s="193"/>
      <c r="BQH520" s="379"/>
      <c r="BQI520" s="379"/>
      <c r="BQJ520" s="379"/>
      <c r="BQK520" s="379"/>
      <c r="BQL520" s="379"/>
      <c r="BQM520" s="13"/>
      <c r="BQN520" s="13"/>
      <c r="BQO520" s="193"/>
      <c r="BQP520" s="379"/>
      <c r="BQQ520" s="379"/>
      <c r="BQR520" s="379"/>
      <c r="BQS520" s="379"/>
      <c r="BQT520" s="379"/>
      <c r="BQU520" s="13"/>
      <c r="BQV520" s="13"/>
      <c r="BQW520" s="193"/>
      <c r="BQX520" s="379"/>
      <c r="BQY520" s="379"/>
      <c r="BQZ520" s="379"/>
      <c r="BRA520" s="379"/>
      <c r="BRB520" s="379"/>
      <c r="BRC520" s="13"/>
      <c r="BRD520" s="13"/>
      <c r="BRE520" s="193"/>
      <c r="BRF520" s="379"/>
      <c r="BRG520" s="379"/>
      <c r="BRH520" s="379"/>
      <c r="BRI520" s="379"/>
      <c r="BRJ520" s="379"/>
      <c r="BRK520" s="13"/>
      <c r="BRL520" s="13"/>
      <c r="BRM520" s="193"/>
      <c r="BRN520" s="379"/>
      <c r="BRO520" s="379"/>
      <c r="BRP520" s="379"/>
      <c r="BRQ520" s="379"/>
      <c r="BRR520" s="379"/>
      <c r="BRS520" s="13"/>
      <c r="BRT520" s="13"/>
      <c r="BRU520" s="193"/>
      <c r="BRV520" s="379"/>
      <c r="BRW520" s="379"/>
      <c r="BRX520" s="379"/>
      <c r="BRY520" s="379"/>
      <c r="BRZ520" s="379"/>
      <c r="BSA520" s="13"/>
      <c r="BSB520" s="13"/>
      <c r="BSC520" s="193"/>
      <c r="BSD520" s="379"/>
      <c r="BSE520" s="379"/>
      <c r="BSF520" s="379"/>
      <c r="BSG520" s="379"/>
      <c r="BSH520" s="379"/>
      <c r="BSI520" s="13"/>
      <c r="BSJ520" s="13"/>
      <c r="BSK520" s="193"/>
      <c r="BSL520" s="379"/>
      <c r="BSM520" s="379"/>
      <c r="BSN520" s="379"/>
      <c r="BSO520" s="379"/>
      <c r="BSP520" s="379"/>
      <c r="BSQ520" s="13"/>
      <c r="BSR520" s="13"/>
      <c r="BSS520" s="193"/>
      <c r="BST520" s="379"/>
      <c r="BSU520" s="379"/>
      <c r="BSV520" s="379"/>
      <c r="BSW520" s="379"/>
      <c r="BSX520" s="379"/>
      <c r="BSY520" s="13"/>
      <c r="BSZ520" s="13"/>
      <c r="BTA520" s="193"/>
      <c r="BTB520" s="379"/>
      <c r="BTC520" s="379"/>
      <c r="BTD520" s="379"/>
      <c r="BTE520" s="379"/>
      <c r="BTF520" s="379"/>
      <c r="BTG520" s="13"/>
      <c r="BTH520" s="13"/>
      <c r="BTI520" s="193"/>
      <c r="BTJ520" s="379"/>
      <c r="BTK520" s="379"/>
      <c r="BTL520" s="379"/>
      <c r="BTM520" s="379"/>
      <c r="BTN520" s="379"/>
      <c r="BTO520" s="13"/>
      <c r="BTP520" s="13"/>
      <c r="BTQ520" s="193"/>
      <c r="BTR520" s="379"/>
      <c r="BTS520" s="379"/>
      <c r="BTT520" s="379"/>
      <c r="BTU520" s="379"/>
      <c r="BTV520" s="379"/>
      <c r="BTW520" s="13"/>
      <c r="BTX520" s="13"/>
      <c r="BTY520" s="193"/>
      <c r="BTZ520" s="379"/>
      <c r="BUA520" s="379"/>
      <c r="BUB520" s="379"/>
      <c r="BUC520" s="379"/>
      <c r="BUD520" s="379"/>
      <c r="BUE520" s="13"/>
      <c r="BUF520" s="13"/>
      <c r="BUG520" s="193"/>
      <c r="BUH520" s="379"/>
      <c r="BUI520" s="379"/>
      <c r="BUJ520" s="379"/>
      <c r="BUK520" s="379"/>
      <c r="BUL520" s="379"/>
      <c r="BUM520" s="13"/>
      <c r="BUN520" s="13"/>
      <c r="BUO520" s="193"/>
      <c r="BUP520" s="379"/>
      <c r="BUQ520" s="379"/>
      <c r="BUR520" s="379"/>
      <c r="BUS520" s="379"/>
      <c r="BUT520" s="379"/>
      <c r="BUU520" s="13"/>
      <c r="BUV520" s="13"/>
      <c r="BUW520" s="193"/>
      <c r="BUX520" s="379"/>
      <c r="BUY520" s="379"/>
      <c r="BUZ520" s="379"/>
      <c r="BVA520" s="379"/>
      <c r="BVB520" s="379"/>
      <c r="BVC520" s="13"/>
      <c r="BVD520" s="13"/>
      <c r="BVE520" s="193"/>
      <c r="BVF520" s="379"/>
      <c r="BVG520" s="379"/>
      <c r="BVH520" s="379"/>
      <c r="BVI520" s="379"/>
      <c r="BVJ520" s="379"/>
      <c r="BVK520" s="13"/>
      <c r="BVL520" s="13"/>
      <c r="BVM520" s="193"/>
      <c r="BVN520" s="379"/>
      <c r="BVO520" s="379"/>
      <c r="BVP520" s="379"/>
      <c r="BVQ520" s="379"/>
      <c r="BVR520" s="379"/>
      <c r="BVS520" s="13"/>
      <c r="BVT520" s="13"/>
      <c r="BVU520" s="193"/>
      <c r="BVV520" s="379"/>
      <c r="BVW520" s="379"/>
      <c r="BVX520" s="379"/>
      <c r="BVY520" s="379"/>
      <c r="BVZ520" s="379"/>
      <c r="BWA520" s="13"/>
      <c r="BWB520" s="13"/>
      <c r="BWC520" s="193"/>
      <c r="BWD520" s="379"/>
      <c r="BWE520" s="379"/>
      <c r="BWF520" s="379"/>
      <c r="BWG520" s="379"/>
      <c r="BWH520" s="379"/>
      <c r="BWI520" s="13"/>
      <c r="BWJ520" s="13"/>
      <c r="BWK520" s="193"/>
      <c r="BWL520" s="379"/>
      <c r="BWM520" s="379"/>
      <c r="BWN520" s="379"/>
      <c r="BWO520" s="379"/>
      <c r="BWP520" s="379"/>
      <c r="BWQ520" s="13"/>
      <c r="BWR520" s="13"/>
      <c r="BWS520" s="193"/>
      <c r="BWT520" s="379"/>
      <c r="BWU520" s="379"/>
      <c r="BWV520" s="379"/>
      <c r="BWW520" s="379"/>
      <c r="BWX520" s="379"/>
      <c r="BWY520" s="13"/>
      <c r="BWZ520" s="13"/>
      <c r="BXA520" s="193"/>
      <c r="BXB520" s="379"/>
      <c r="BXC520" s="379"/>
      <c r="BXD520" s="379"/>
      <c r="BXE520" s="379"/>
      <c r="BXF520" s="379"/>
      <c r="BXG520" s="13"/>
      <c r="BXH520" s="13"/>
      <c r="BXI520" s="193"/>
      <c r="BXJ520" s="379"/>
      <c r="BXK520" s="379"/>
      <c r="BXL520" s="379"/>
      <c r="BXM520" s="379"/>
      <c r="BXN520" s="379"/>
      <c r="BXO520" s="13"/>
      <c r="BXP520" s="13"/>
      <c r="BXQ520" s="193"/>
      <c r="BXR520" s="379"/>
      <c r="BXS520" s="379"/>
      <c r="BXT520" s="379"/>
      <c r="BXU520" s="379"/>
      <c r="BXV520" s="379"/>
      <c r="BXW520" s="13"/>
      <c r="BXX520" s="13"/>
      <c r="BXY520" s="193"/>
      <c r="BXZ520" s="379"/>
      <c r="BYA520" s="379"/>
      <c r="BYB520" s="379"/>
      <c r="BYC520" s="379"/>
      <c r="BYD520" s="379"/>
      <c r="BYE520" s="13"/>
      <c r="BYF520" s="13"/>
      <c r="BYG520" s="193"/>
      <c r="BYH520" s="379"/>
      <c r="BYI520" s="379"/>
      <c r="BYJ520" s="379"/>
      <c r="BYK520" s="379"/>
      <c r="BYL520" s="379"/>
      <c r="BYM520" s="13"/>
      <c r="BYN520" s="13"/>
      <c r="BYO520" s="193"/>
      <c r="BYP520" s="379"/>
      <c r="BYQ520" s="379"/>
      <c r="BYR520" s="379"/>
      <c r="BYS520" s="379"/>
      <c r="BYT520" s="379"/>
      <c r="BYU520" s="13"/>
      <c r="BYV520" s="13"/>
      <c r="BYW520" s="193"/>
      <c r="BYX520" s="379"/>
      <c r="BYY520" s="379"/>
      <c r="BYZ520" s="379"/>
      <c r="BZA520" s="379"/>
      <c r="BZB520" s="379"/>
      <c r="BZC520" s="13"/>
      <c r="BZD520" s="13"/>
      <c r="BZE520" s="193"/>
      <c r="BZF520" s="379"/>
      <c r="BZG520" s="379"/>
      <c r="BZH520" s="379"/>
      <c r="BZI520" s="379"/>
      <c r="BZJ520" s="379"/>
      <c r="BZK520" s="13"/>
      <c r="BZL520" s="13"/>
      <c r="BZM520" s="193"/>
      <c r="BZN520" s="379"/>
      <c r="BZO520" s="379"/>
      <c r="BZP520" s="379"/>
      <c r="BZQ520" s="379"/>
      <c r="BZR520" s="379"/>
      <c r="BZS520" s="13"/>
      <c r="BZT520" s="13"/>
      <c r="BZU520" s="193"/>
      <c r="BZV520" s="379"/>
      <c r="BZW520" s="379"/>
      <c r="BZX520" s="379"/>
      <c r="BZY520" s="379"/>
      <c r="BZZ520" s="379"/>
      <c r="CAA520" s="13"/>
      <c r="CAB520" s="13"/>
      <c r="CAC520" s="193"/>
      <c r="CAD520" s="379"/>
      <c r="CAE520" s="379"/>
      <c r="CAF520" s="379"/>
      <c r="CAG520" s="379"/>
      <c r="CAH520" s="379"/>
      <c r="CAI520" s="13"/>
      <c r="CAJ520" s="13"/>
      <c r="CAK520" s="193"/>
      <c r="CAL520" s="379"/>
      <c r="CAM520" s="379"/>
      <c r="CAN520" s="379"/>
      <c r="CAO520" s="379"/>
      <c r="CAP520" s="379"/>
      <c r="CAQ520" s="13"/>
      <c r="CAR520" s="13"/>
      <c r="CAS520" s="193"/>
      <c r="CAT520" s="379"/>
      <c r="CAU520" s="379"/>
      <c r="CAV520" s="379"/>
      <c r="CAW520" s="379"/>
      <c r="CAX520" s="379"/>
      <c r="CAY520" s="13"/>
      <c r="CAZ520" s="13"/>
      <c r="CBA520" s="193"/>
      <c r="CBB520" s="379"/>
      <c r="CBC520" s="379"/>
      <c r="CBD520" s="379"/>
      <c r="CBE520" s="379"/>
      <c r="CBF520" s="379"/>
      <c r="CBG520" s="13"/>
      <c r="CBH520" s="13"/>
      <c r="CBI520" s="193"/>
      <c r="CBJ520" s="379"/>
      <c r="CBK520" s="379"/>
      <c r="CBL520" s="379"/>
      <c r="CBM520" s="379"/>
      <c r="CBN520" s="379"/>
      <c r="CBO520" s="13"/>
      <c r="CBP520" s="13"/>
      <c r="CBQ520" s="193"/>
      <c r="CBR520" s="379"/>
      <c r="CBS520" s="379"/>
      <c r="CBT520" s="379"/>
      <c r="CBU520" s="379"/>
      <c r="CBV520" s="379"/>
      <c r="CBW520" s="13"/>
      <c r="CBX520" s="13"/>
      <c r="CBY520" s="193"/>
      <c r="CBZ520" s="379"/>
      <c r="CCA520" s="379"/>
      <c r="CCB520" s="379"/>
      <c r="CCC520" s="379"/>
      <c r="CCD520" s="379"/>
      <c r="CCE520" s="13"/>
      <c r="CCF520" s="13"/>
      <c r="CCG520" s="193"/>
      <c r="CCH520" s="379"/>
      <c r="CCI520" s="379"/>
      <c r="CCJ520" s="379"/>
      <c r="CCK520" s="379"/>
      <c r="CCL520" s="379"/>
      <c r="CCM520" s="13"/>
      <c r="CCN520" s="13"/>
      <c r="CCO520" s="193"/>
      <c r="CCP520" s="379"/>
      <c r="CCQ520" s="379"/>
      <c r="CCR520" s="379"/>
      <c r="CCS520" s="379"/>
      <c r="CCT520" s="379"/>
      <c r="CCU520" s="13"/>
      <c r="CCV520" s="13"/>
      <c r="CCW520" s="193"/>
      <c r="CCX520" s="379"/>
      <c r="CCY520" s="379"/>
      <c r="CCZ520" s="379"/>
      <c r="CDA520" s="379"/>
      <c r="CDB520" s="379"/>
      <c r="CDC520" s="13"/>
      <c r="CDD520" s="13"/>
      <c r="CDE520" s="193"/>
      <c r="CDF520" s="379"/>
      <c r="CDG520" s="379"/>
      <c r="CDH520" s="379"/>
      <c r="CDI520" s="379"/>
      <c r="CDJ520" s="379"/>
      <c r="CDK520" s="13"/>
      <c r="CDL520" s="13"/>
      <c r="CDM520" s="193"/>
      <c r="CDN520" s="379"/>
      <c r="CDO520" s="379"/>
      <c r="CDP520" s="379"/>
      <c r="CDQ520" s="379"/>
      <c r="CDR520" s="379"/>
      <c r="CDS520" s="13"/>
      <c r="CDT520" s="13"/>
      <c r="CDU520" s="193"/>
      <c r="CDV520" s="379"/>
      <c r="CDW520" s="379"/>
      <c r="CDX520" s="379"/>
      <c r="CDY520" s="379"/>
      <c r="CDZ520" s="379"/>
      <c r="CEA520" s="13"/>
      <c r="CEB520" s="13"/>
      <c r="CEC520" s="193"/>
      <c r="CED520" s="379"/>
      <c r="CEE520" s="379"/>
      <c r="CEF520" s="379"/>
      <c r="CEG520" s="379"/>
      <c r="CEH520" s="379"/>
      <c r="CEI520" s="13"/>
      <c r="CEJ520" s="13"/>
      <c r="CEK520" s="193"/>
      <c r="CEL520" s="379"/>
      <c r="CEM520" s="379"/>
      <c r="CEN520" s="379"/>
      <c r="CEO520" s="379"/>
      <c r="CEP520" s="379"/>
      <c r="CEQ520" s="13"/>
      <c r="CER520" s="13"/>
      <c r="CES520" s="193"/>
      <c r="CET520" s="379"/>
      <c r="CEU520" s="379"/>
      <c r="CEV520" s="379"/>
      <c r="CEW520" s="379"/>
      <c r="CEX520" s="379"/>
      <c r="CEY520" s="13"/>
      <c r="CEZ520" s="13"/>
      <c r="CFA520" s="193"/>
      <c r="CFB520" s="379"/>
      <c r="CFC520" s="379"/>
      <c r="CFD520" s="379"/>
      <c r="CFE520" s="379"/>
      <c r="CFF520" s="379"/>
      <c r="CFG520" s="13"/>
      <c r="CFH520" s="13"/>
      <c r="CFI520" s="193"/>
      <c r="CFJ520" s="379"/>
      <c r="CFK520" s="379"/>
      <c r="CFL520" s="379"/>
      <c r="CFM520" s="379"/>
      <c r="CFN520" s="379"/>
      <c r="CFO520" s="13"/>
      <c r="CFP520" s="13"/>
      <c r="CFQ520" s="193"/>
      <c r="CFR520" s="379"/>
      <c r="CFS520" s="379"/>
      <c r="CFT520" s="379"/>
      <c r="CFU520" s="379"/>
      <c r="CFV520" s="379"/>
      <c r="CFW520" s="13"/>
      <c r="CFX520" s="13"/>
      <c r="CFY520" s="193"/>
      <c r="CFZ520" s="379"/>
      <c r="CGA520" s="379"/>
      <c r="CGB520" s="379"/>
      <c r="CGC520" s="379"/>
      <c r="CGD520" s="379"/>
      <c r="CGE520" s="13"/>
      <c r="CGF520" s="13"/>
      <c r="CGG520" s="193"/>
      <c r="CGH520" s="379"/>
      <c r="CGI520" s="379"/>
      <c r="CGJ520" s="379"/>
      <c r="CGK520" s="379"/>
      <c r="CGL520" s="379"/>
      <c r="CGM520" s="13"/>
      <c r="CGN520" s="13"/>
      <c r="CGO520" s="193"/>
      <c r="CGP520" s="379"/>
      <c r="CGQ520" s="379"/>
      <c r="CGR520" s="379"/>
      <c r="CGS520" s="379"/>
      <c r="CGT520" s="379"/>
      <c r="CGU520" s="13"/>
      <c r="CGV520" s="13"/>
      <c r="CGW520" s="193"/>
      <c r="CGX520" s="379"/>
      <c r="CGY520" s="379"/>
      <c r="CGZ520" s="379"/>
      <c r="CHA520" s="379"/>
      <c r="CHB520" s="379"/>
      <c r="CHC520" s="13"/>
      <c r="CHD520" s="13"/>
      <c r="CHE520" s="193"/>
      <c r="CHF520" s="379"/>
      <c r="CHG520" s="379"/>
      <c r="CHH520" s="379"/>
      <c r="CHI520" s="379"/>
      <c r="CHJ520" s="379"/>
      <c r="CHK520" s="13"/>
      <c r="CHL520" s="13"/>
      <c r="CHM520" s="193"/>
      <c r="CHN520" s="379"/>
      <c r="CHO520" s="379"/>
      <c r="CHP520" s="379"/>
      <c r="CHQ520" s="379"/>
      <c r="CHR520" s="379"/>
      <c r="CHS520" s="13"/>
      <c r="CHT520" s="13"/>
      <c r="CHU520" s="193"/>
      <c r="CHV520" s="379"/>
      <c r="CHW520" s="379"/>
      <c r="CHX520" s="379"/>
      <c r="CHY520" s="379"/>
      <c r="CHZ520" s="379"/>
      <c r="CIA520" s="13"/>
      <c r="CIB520" s="13"/>
      <c r="CIC520" s="193"/>
      <c r="CID520" s="379"/>
      <c r="CIE520" s="379"/>
      <c r="CIF520" s="379"/>
      <c r="CIG520" s="379"/>
      <c r="CIH520" s="379"/>
      <c r="CII520" s="13"/>
      <c r="CIJ520" s="13"/>
      <c r="CIK520" s="193"/>
      <c r="CIL520" s="379"/>
      <c r="CIM520" s="379"/>
      <c r="CIN520" s="379"/>
      <c r="CIO520" s="379"/>
      <c r="CIP520" s="379"/>
      <c r="CIQ520" s="13"/>
      <c r="CIR520" s="13"/>
      <c r="CIS520" s="193"/>
      <c r="CIT520" s="379"/>
      <c r="CIU520" s="379"/>
      <c r="CIV520" s="379"/>
      <c r="CIW520" s="379"/>
      <c r="CIX520" s="379"/>
      <c r="CIY520" s="13"/>
      <c r="CIZ520" s="13"/>
      <c r="CJA520" s="193"/>
      <c r="CJB520" s="379"/>
      <c r="CJC520" s="379"/>
      <c r="CJD520" s="379"/>
      <c r="CJE520" s="379"/>
      <c r="CJF520" s="379"/>
      <c r="CJG520" s="13"/>
      <c r="CJH520" s="13"/>
      <c r="CJI520" s="193"/>
      <c r="CJJ520" s="379"/>
      <c r="CJK520" s="379"/>
      <c r="CJL520" s="379"/>
      <c r="CJM520" s="379"/>
      <c r="CJN520" s="379"/>
      <c r="CJO520" s="13"/>
      <c r="CJP520" s="13"/>
      <c r="CJQ520" s="193"/>
      <c r="CJR520" s="379"/>
      <c r="CJS520" s="379"/>
      <c r="CJT520" s="379"/>
      <c r="CJU520" s="379"/>
      <c r="CJV520" s="379"/>
      <c r="CJW520" s="13"/>
      <c r="CJX520" s="13"/>
      <c r="CJY520" s="193"/>
      <c r="CJZ520" s="379"/>
      <c r="CKA520" s="379"/>
      <c r="CKB520" s="379"/>
      <c r="CKC520" s="379"/>
      <c r="CKD520" s="379"/>
      <c r="CKE520" s="13"/>
      <c r="CKF520" s="13"/>
      <c r="CKG520" s="193"/>
      <c r="CKH520" s="379"/>
      <c r="CKI520" s="379"/>
      <c r="CKJ520" s="379"/>
      <c r="CKK520" s="379"/>
      <c r="CKL520" s="379"/>
      <c r="CKM520" s="13"/>
      <c r="CKN520" s="13"/>
      <c r="CKO520" s="193"/>
      <c r="CKP520" s="379"/>
      <c r="CKQ520" s="379"/>
      <c r="CKR520" s="379"/>
      <c r="CKS520" s="379"/>
      <c r="CKT520" s="379"/>
      <c r="CKU520" s="13"/>
      <c r="CKV520" s="13"/>
      <c r="CKW520" s="193"/>
      <c r="CKX520" s="379"/>
      <c r="CKY520" s="379"/>
      <c r="CKZ520" s="379"/>
      <c r="CLA520" s="379"/>
      <c r="CLB520" s="379"/>
      <c r="CLC520" s="13"/>
      <c r="CLD520" s="13"/>
      <c r="CLE520" s="193"/>
      <c r="CLF520" s="379"/>
      <c r="CLG520" s="379"/>
      <c r="CLH520" s="379"/>
      <c r="CLI520" s="379"/>
      <c r="CLJ520" s="379"/>
      <c r="CLK520" s="13"/>
      <c r="CLL520" s="13"/>
      <c r="CLM520" s="193"/>
      <c r="CLN520" s="379"/>
      <c r="CLO520" s="379"/>
      <c r="CLP520" s="379"/>
      <c r="CLQ520" s="379"/>
      <c r="CLR520" s="379"/>
      <c r="CLS520" s="13"/>
      <c r="CLT520" s="13"/>
      <c r="CLU520" s="193"/>
      <c r="CLV520" s="379"/>
      <c r="CLW520" s="379"/>
      <c r="CLX520" s="379"/>
      <c r="CLY520" s="379"/>
      <c r="CLZ520" s="379"/>
      <c r="CMA520" s="13"/>
      <c r="CMB520" s="13"/>
      <c r="CMC520" s="193"/>
      <c r="CMD520" s="379"/>
      <c r="CME520" s="379"/>
      <c r="CMF520" s="379"/>
      <c r="CMG520" s="379"/>
      <c r="CMH520" s="379"/>
      <c r="CMI520" s="13"/>
      <c r="CMJ520" s="13"/>
      <c r="CMK520" s="193"/>
      <c r="CML520" s="379"/>
      <c r="CMM520" s="379"/>
      <c r="CMN520" s="379"/>
      <c r="CMO520" s="379"/>
      <c r="CMP520" s="379"/>
      <c r="CMQ520" s="13"/>
      <c r="CMR520" s="13"/>
      <c r="CMS520" s="193"/>
      <c r="CMT520" s="379"/>
      <c r="CMU520" s="379"/>
      <c r="CMV520" s="379"/>
      <c r="CMW520" s="379"/>
      <c r="CMX520" s="379"/>
      <c r="CMY520" s="13"/>
      <c r="CMZ520" s="13"/>
      <c r="CNA520" s="193"/>
      <c r="CNB520" s="379"/>
      <c r="CNC520" s="379"/>
      <c r="CND520" s="379"/>
      <c r="CNE520" s="379"/>
      <c r="CNF520" s="379"/>
      <c r="CNG520" s="13"/>
      <c r="CNH520" s="13"/>
      <c r="CNI520" s="193"/>
      <c r="CNJ520" s="379"/>
      <c r="CNK520" s="379"/>
      <c r="CNL520" s="379"/>
      <c r="CNM520" s="379"/>
      <c r="CNN520" s="379"/>
      <c r="CNO520" s="13"/>
      <c r="CNP520" s="13"/>
      <c r="CNQ520" s="193"/>
      <c r="CNR520" s="379"/>
      <c r="CNS520" s="379"/>
      <c r="CNT520" s="379"/>
      <c r="CNU520" s="379"/>
      <c r="CNV520" s="379"/>
      <c r="CNW520" s="13"/>
      <c r="CNX520" s="13"/>
      <c r="CNY520" s="193"/>
      <c r="CNZ520" s="379"/>
      <c r="COA520" s="379"/>
      <c r="COB520" s="379"/>
      <c r="COC520" s="379"/>
      <c r="COD520" s="379"/>
      <c r="COE520" s="13"/>
      <c r="COF520" s="13"/>
      <c r="COG520" s="193"/>
      <c r="COH520" s="379"/>
      <c r="COI520" s="379"/>
      <c r="COJ520" s="379"/>
      <c r="COK520" s="379"/>
      <c r="COL520" s="379"/>
      <c r="COM520" s="13"/>
      <c r="CON520" s="13"/>
      <c r="COO520" s="193"/>
      <c r="COP520" s="379"/>
      <c r="COQ520" s="379"/>
      <c r="COR520" s="379"/>
      <c r="COS520" s="379"/>
      <c r="COT520" s="379"/>
      <c r="COU520" s="13"/>
      <c r="COV520" s="13"/>
      <c r="COW520" s="193"/>
      <c r="COX520" s="379"/>
      <c r="COY520" s="379"/>
      <c r="COZ520" s="379"/>
      <c r="CPA520" s="379"/>
      <c r="CPB520" s="379"/>
      <c r="CPC520" s="13"/>
      <c r="CPD520" s="13"/>
      <c r="CPE520" s="193"/>
      <c r="CPF520" s="379"/>
      <c r="CPG520" s="379"/>
      <c r="CPH520" s="379"/>
      <c r="CPI520" s="379"/>
      <c r="CPJ520" s="379"/>
      <c r="CPK520" s="13"/>
      <c r="CPL520" s="13"/>
      <c r="CPM520" s="193"/>
      <c r="CPN520" s="379"/>
      <c r="CPO520" s="379"/>
      <c r="CPP520" s="379"/>
      <c r="CPQ520" s="379"/>
      <c r="CPR520" s="379"/>
      <c r="CPS520" s="13"/>
      <c r="CPT520" s="13"/>
      <c r="CPU520" s="193"/>
      <c r="CPV520" s="379"/>
      <c r="CPW520" s="379"/>
      <c r="CPX520" s="379"/>
      <c r="CPY520" s="379"/>
      <c r="CPZ520" s="379"/>
      <c r="CQA520" s="13"/>
      <c r="CQB520" s="13"/>
      <c r="CQC520" s="193"/>
      <c r="CQD520" s="379"/>
      <c r="CQE520" s="379"/>
      <c r="CQF520" s="379"/>
      <c r="CQG520" s="379"/>
      <c r="CQH520" s="379"/>
      <c r="CQI520" s="13"/>
      <c r="CQJ520" s="13"/>
      <c r="CQK520" s="193"/>
      <c r="CQL520" s="379"/>
      <c r="CQM520" s="379"/>
      <c r="CQN520" s="379"/>
      <c r="CQO520" s="379"/>
      <c r="CQP520" s="379"/>
      <c r="CQQ520" s="13"/>
      <c r="CQR520" s="13"/>
      <c r="CQS520" s="193"/>
      <c r="CQT520" s="379"/>
      <c r="CQU520" s="379"/>
      <c r="CQV520" s="379"/>
      <c r="CQW520" s="379"/>
      <c r="CQX520" s="379"/>
      <c r="CQY520" s="13"/>
      <c r="CQZ520" s="13"/>
      <c r="CRA520" s="193"/>
      <c r="CRB520" s="379"/>
      <c r="CRC520" s="379"/>
      <c r="CRD520" s="379"/>
      <c r="CRE520" s="379"/>
      <c r="CRF520" s="379"/>
      <c r="CRG520" s="13"/>
      <c r="CRH520" s="13"/>
      <c r="CRI520" s="193"/>
      <c r="CRJ520" s="379"/>
      <c r="CRK520" s="379"/>
      <c r="CRL520" s="379"/>
      <c r="CRM520" s="379"/>
      <c r="CRN520" s="379"/>
      <c r="CRO520" s="13"/>
      <c r="CRP520" s="13"/>
      <c r="CRQ520" s="193"/>
      <c r="CRR520" s="379"/>
      <c r="CRS520" s="379"/>
      <c r="CRT520" s="379"/>
      <c r="CRU520" s="379"/>
      <c r="CRV520" s="379"/>
      <c r="CRW520" s="13"/>
      <c r="CRX520" s="13"/>
      <c r="CRY520" s="193"/>
      <c r="CRZ520" s="379"/>
      <c r="CSA520" s="379"/>
      <c r="CSB520" s="379"/>
      <c r="CSC520" s="379"/>
      <c r="CSD520" s="379"/>
      <c r="CSE520" s="13"/>
      <c r="CSF520" s="13"/>
      <c r="CSG520" s="193"/>
      <c r="CSH520" s="379"/>
      <c r="CSI520" s="379"/>
      <c r="CSJ520" s="379"/>
      <c r="CSK520" s="379"/>
      <c r="CSL520" s="379"/>
      <c r="CSM520" s="13"/>
      <c r="CSN520" s="13"/>
      <c r="CSO520" s="193"/>
      <c r="CSP520" s="379"/>
      <c r="CSQ520" s="379"/>
      <c r="CSR520" s="379"/>
      <c r="CSS520" s="379"/>
      <c r="CST520" s="379"/>
      <c r="CSU520" s="13"/>
      <c r="CSV520" s="13"/>
      <c r="CSW520" s="193"/>
      <c r="CSX520" s="379"/>
      <c r="CSY520" s="379"/>
      <c r="CSZ520" s="379"/>
      <c r="CTA520" s="379"/>
      <c r="CTB520" s="379"/>
      <c r="CTC520" s="13"/>
      <c r="CTD520" s="13"/>
      <c r="CTE520" s="193"/>
      <c r="CTF520" s="379"/>
      <c r="CTG520" s="379"/>
      <c r="CTH520" s="379"/>
      <c r="CTI520" s="379"/>
      <c r="CTJ520" s="379"/>
      <c r="CTK520" s="13"/>
      <c r="CTL520" s="13"/>
      <c r="CTM520" s="193"/>
      <c r="CTN520" s="379"/>
      <c r="CTO520" s="379"/>
      <c r="CTP520" s="379"/>
      <c r="CTQ520" s="379"/>
      <c r="CTR520" s="379"/>
      <c r="CTS520" s="13"/>
      <c r="CTT520" s="13"/>
      <c r="CTU520" s="193"/>
      <c r="CTV520" s="379"/>
      <c r="CTW520" s="379"/>
      <c r="CTX520" s="379"/>
      <c r="CTY520" s="379"/>
      <c r="CTZ520" s="379"/>
      <c r="CUA520" s="13"/>
      <c r="CUB520" s="13"/>
      <c r="CUC520" s="193"/>
      <c r="CUD520" s="379"/>
      <c r="CUE520" s="379"/>
      <c r="CUF520" s="379"/>
      <c r="CUG520" s="379"/>
      <c r="CUH520" s="379"/>
      <c r="CUI520" s="13"/>
      <c r="CUJ520" s="13"/>
      <c r="CUK520" s="193"/>
      <c r="CUL520" s="379"/>
      <c r="CUM520" s="379"/>
      <c r="CUN520" s="379"/>
      <c r="CUO520" s="379"/>
      <c r="CUP520" s="379"/>
      <c r="CUQ520" s="13"/>
      <c r="CUR520" s="13"/>
      <c r="CUS520" s="193"/>
      <c r="CUT520" s="379"/>
      <c r="CUU520" s="379"/>
      <c r="CUV520" s="379"/>
      <c r="CUW520" s="379"/>
      <c r="CUX520" s="379"/>
      <c r="CUY520" s="13"/>
      <c r="CUZ520" s="13"/>
      <c r="CVA520" s="193"/>
      <c r="CVB520" s="379"/>
      <c r="CVC520" s="379"/>
      <c r="CVD520" s="379"/>
      <c r="CVE520" s="379"/>
      <c r="CVF520" s="379"/>
      <c r="CVG520" s="13"/>
      <c r="CVH520" s="13"/>
      <c r="CVI520" s="193"/>
      <c r="CVJ520" s="379"/>
      <c r="CVK520" s="379"/>
      <c r="CVL520" s="379"/>
      <c r="CVM520" s="379"/>
      <c r="CVN520" s="379"/>
      <c r="CVO520" s="13"/>
      <c r="CVP520" s="13"/>
      <c r="CVQ520" s="193"/>
      <c r="CVR520" s="379"/>
      <c r="CVS520" s="379"/>
      <c r="CVT520" s="379"/>
      <c r="CVU520" s="379"/>
      <c r="CVV520" s="379"/>
      <c r="CVW520" s="13"/>
      <c r="CVX520" s="13"/>
      <c r="CVY520" s="193"/>
      <c r="CVZ520" s="379"/>
      <c r="CWA520" s="379"/>
      <c r="CWB520" s="379"/>
      <c r="CWC520" s="379"/>
      <c r="CWD520" s="379"/>
      <c r="CWE520" s="13"/>
      <c r="CWF520" s="13"/>
      <c r="CWG520" s="193"/>
      <c r="CWH520" s="379"/>
      <c r="CWI520" s="379"/>
      <c r="CWJ520" s="379"/>
      <c r="CWK520" s="379"/>
      <c r="CWL520" s="379"/>
      <c r="CWM520" s="13"/>
      <c r="CWN520" s="13"/>
      <c r="CWO520" s="193"/>
      <c r="CWP520" s="379"/>
      <c r="CWQ520" s="379"/>
      <c r="CWR520" s="379"/>
      <c r="CWS520" s="379"/>
      <c r="CWT520" s="379"/>
      <c r="CWU520" s="13"/>
      <c r="CWV520" s="13"/>
      <c r="CWW520" s="193"/>
      <c r="CWX520" s="379"/>
      <c r="CWY520" s="379"/>
      <c r="CWZ520" s="379"/>
      <c r="CXA520" s="379"/>
      <c r="CXB520" s="379"/>
      <c r="CXC520" s="13"/>
      <c r="CXD520" s="13"/>
      <c r="CXE520" s="193"/>
      <c r="CXF520" s="379"/>
      <c r="CXG520" s="379"/>
      <c r="CXH520" s="379"/>
      <c r="CXI520" s="379"/>
      <c r="CXJ520" s="379"/>
      <c r="CXK520" s="13"/>
      <c r="CXL520" s="13"/>
      <c r="CXM520" s="193"/>
      <c r="CXN520" s="379"/>
      <c r="CXO520" s="379"/>
      <c r="CXP520" s="379"/>
      <c r="CXQ520" s="379"/>
      <c r="CXR520" s="379"/>
      <c r="CXS520" s="13"/>
      <c r="CXT520" s="13"/>
      <c r="CXU520" s="193"/>
      <c r="CXV520" s="379"/>
      <c r="CXW520" s="379"/>
      <c r="CXX520" s="379"/>
      <c r="CXY520" s="379"/>
      <c r="CXZ520" s="379"/>
      <c r="CYA520" s="13"/>
      <c r="CYB520" s="13"/>
      <c r="CYC520" s="193"/>
      <c r="CYD520" s="379"/>
      <c r="CYE520" s="379"/>
      <c r="CYF520" s="379"/>
      <c r="CYG520" s="379"/>
      <c r="CYH520" s="379"/>
      <c r="CYI520" s="13"/>
      <c r="CYJ520" s="13"/>
      <c r="CYK520" s="193"/>
      <c r="CYL520" s="379"/>
      <c r="CYM520" s="379"/>
      <c r="CYN520" s="379"/>
      <c r="CYO520" s="379"/>
      <c r="CYP520" s="379"/>
      <c r="CYQ520" s="13"/>
      <c r="CYR520" s="13"/>
      <c r="CYS520" s="193"/>
      <c r="CYT520" s="379"/>
      <c r="CYU520" s="379"/>
      <c r="CYV520" s="379"/>
      <c r="CYW520" s="379"/>
      <c r="CYX520" s="379"/>
      <c r="CYY520" s="13"/>
      <c r="CYZ520" s="13"/>
      <c r="CZA520" s="193"/>
      <c r="CZB520" s="379"/>
      <c r="CZC520" s="379"/>
      <c r="CZD520" s="379"/>
      <c r="CZE520" s="379"/>
      <c r="CZF520" s="379"/>
      <c r="CZG520" s="13"/>
      <c r="CZH520" s="13"/>
      <c r="CZI520" s="193"/>
      <c r="CZJ520" s="379"/>
      <c r="CZK520" s="379"/>
      <c r="CZL520" s="379"/>
      <c r="CZM520" s="379"/>
      <c r="CZN520" s="379"/>
      <c r="CZO520" s="13"/>
      <c r="CZP520" s="13"/>
      <c r="CZQ520" s="193"/>
      <c r="CZR520" s="379"/>
      <c r="CZS520" s="379"/>
      <c r="CZT520" s="379"/>
      <c r="CZU520" s="379"/>
      <c r="CZV520" s="379"/>
      <c r="CZW520" s="13"/>
      <c r="CZX520" s="13"/>
      <c r="CZY520" s="193"/>
      <c r="CZZ520" s="379"/>
      <c r="DAA520" s="379"/>
      <c r="DAB520" s="379"/>
      <c r="DAC520" s="379"/>
      <c r="DAD520" s="379"/>
      <c r="DAE520" s="13"/>
      <c r="DAF520" s="13"/>
      <c r="DAG520" s="193"/>
      <c r="DAH520" s="379"/>
      <c r="DAI520" s="379"/>
      <c r="DAJ520" s="379"/>
      <c r="DAK520" s="379"/>
      <c r="DAL520" s="379"/>
      <c r="DAM520" s="13"/>
      <c r="DAN520" s="13"/>
      <c r="DAO520" s="193"/>
      <c r="DAP520" s="379"/>
      <c r="DAQ520" s="379"/>
      <c r="DAR520" s="379"/>
      <c r="DAS520" s="379"/>
      <c r="DAT520" s="379"/>
      <c r="DAU520" s="13"/>
      <c r="DAV520" s="13"/>
      <c r="DAW520" s="193"/>
      <c r="DAX520" s="379"/>
      <c r="DAY520" s="379"/>
      <c r="DAZ520" s="379"/>
      <c r="DBA520" s="379"/>
      <c r="DBB520" s="379"/>
      <c r="DBC520" s="13"/>
      <c r="DBD520" s="13"/>
      <c r="DBE520" s="193"/>
      <c r="DBF520" s="379"/>
      <c r="DBG520" s="379"/>
      <c r="DBH520" s="379"/>
      <c r="DBI520" s="379"/>
      <c r="DBJ520" s="379"/>
      <c r="DBK520" s="13"/>
      <c r="DBL520" s="13"/>
      <c r="DBM520" s="193"/>
      <c r="DBN520" s="379"/>
      <c r="DBO520" s="379"/>
      <c r="DBP520" s="379"/>
      <c r="DBQ520" s="379"/>
      <c r="DBR520" s="379"/>
      <c r="DBS520" s="13"/>
      <c r="DBT520" s="13"/>
      <c r="DBU520" s="193"/>
      <c r="DBV520" s="379"/>
      <c r="DBW520" s="379"/>
      <c r="DBX520" s="379"/>
      <c r="DBY520" s="379"/>
      <c r="DBZ520" s="379"/>
      <c r="DCA520" s="13"/>
      <c r="DCB520" s="13"/>
      <c r="DCC520" s="193"/>
      <c r="DCD520" s="379"/>
      <c r="DCE520" s="379"/>
      <c r="DCF520" s="379"/>
      <c r="DCG520" s="379"/>
      <c r="DCH520" s="379"/>
      <c r="DCI520" s="13"/>
      <c r="DCJ520" s="13"/>
      <c r="DCK520" s="193"/>
      <c r="DCL520" s="379"/>
      <c r="DCM520" s="379"/>
      <c r="DCN520" s="379"/>
      <c r="DCO520" s="379"/>
      <c r="DCP520" s="379"/>
      <c r="DCQ520" s="13"/>
      <c r="DCR520" s="13"/>
      <c r="DCS520" s="193"/>
      <c r="DCT520" s="379"/>
      <c r="DCU520" s="379"/>
      <c r="DCV520" s="379"/>
      <c r="DCW520" s="379"/>
      <c r="DCX520" s="379"/>
      <c r="DCY520" s="13"/>
      <c r="DCZ520" s="13"/>
      <c r="DDA520" s="193"/>
      <c r="DDB520" s="379"/>
      <c r="DDC520" s="379"/>
      <c r="DDD520" s="379"/>
      <c r="DDE520" s="379"/>
      <c r="DDF520" s="379"/>
      <c r="DDG520" s="13"/>
      <c r="DDH520" s="13"/>
      <c r="DDI520" s="193"/>
      <c r="DDJ520" s="379"/>
      <c r="DDK520" s="379"/>
      <c r="DDL520" s="379"/>
      <c r="DDM520" s="379"/>
      <c r="DDN520" s="379"/>
      <c r="DDO520" s="13"/>
      <c r="DDP520" s="13"/>
      <c r="DDQ520" s="193"/>
      <c r="DDR520" s="379"/>
      <c r="DDS520" s="379"/>
      <c r="DDT520" s="379"/>
      <c r="DDU520" s="379"/>
      <c r="DDV520" s="379"/>
      <c r="DDW520" s="13"/>
      <c r="DDX520" s="13"/>
      <c r="DDY520" s="193"/>
      <c r="DDZ520" s="379"/>
      <c r="DEA520" s="379"/>
      <c r="DEB520" s="379"/>
      <c r="DEC520" s="379"/>
      <c r="DED520" s="379"/>
      <c r="DEE520" s="13"/>
      <c r="DEF520" s="13"/>
      <c r="DEG520" s="193"/>
      <c r="DEH520" s="379"/>
      <c r="DEI520" s="379"/>
      <c r="DEJ520" s="379"/>
      <c r="DEK520" s="379"/>
      <c r="DEL520" s="379"/>
      <c r="DEM520" s="13"/>
      <c r="DEN520" s="13"/>
      <c r="DEO520" s="193"/>
      <c r="DEP520" s="379"/>
      <c r="DEQ520" s="379"/>
      <c r="DER520" s="379"/>
      <c r="DES520" s="379"/>
      <c r="DET520" s="379"/>
      <c r="DEU520" s="13"/>
      <c r="DEV520" s="13"/>
      <c r="DEW520" s="193"/>
      <c r="DEX520" s="379"/>
      <c r="DEY520" s="379"/>
      <c r="DEZ520" s="379"/>
      <c r="DFA520" s="379"/>
      <c r="DFB520" s="379"/>
      <c r="DFC520" s="13"/>
      <c r="DFD520" s="13"/>
      <c r="DFE520" s="193"/>
      <c r="DFF520" s="379"/>
      <c r="DFG520" s="379"/>
      <c r="DFH520" s="379"/>
      <c r="DFI520" s="379"/>
      <c r="DFJ520" s="379"/>
      <c r="DFK520" s="13"/>
      <c r="DFL520" s="13"/>
      <c r="DFM520" s="193"/>
      <c r="DFN520" s="379"/>
      <c r="DFO520" s="379"/>
      <c r="DFP520" s="379"/>
      <c r="DFQ520" s="379"/>
      <c r="DFR520" s="379"/>
      <c r="DFS520" s="13"/>
      <c r="DFT520" s="13"/>
      <c r="DFU520" s="193"/>
      <c r="DFV520" s="379"/>
      <c r="DFW520" s="379"/>
      <c r="DFX520" s="379"/>
      <c r="DFY520" s="379"/>
      <c r="DFZ520" s="379"/>
      <c r="DGA520" s="13"/>
      <c r="DGB520" s="13"/>
      <c r="DGC520" s="193"/>
      <c r="DGD520" s="379"/>
      <c r="DGE520" s="379"/>
      <c r="DGF520" s="379"/>
      <c r="DGG520" s="379"/>
      <c r="DGH520" s="379"/>
      <c r="DGI520" s="13"/>
      <c r="DGJ520" s="13"/>
      <c r="DGK520" s="193"/>
      <c r="DGL520" s="379"/>
      <c r="DGM520" s="379"/>
      <c r="DGN520" s="379"/>
      <c r="DGO520" s="379"/>
      <c r="DGP520" s="379"/>
      <c r="DGQ520" s="13"/>
      <c r="DGR520" s="13"/>
      <c r="DGS520" s="193"/>
      <c r="DGT520" s="379"/>
      <c r="DGU520" s="379"/>
      <c r="DGV520" s="379"/>
      <c r="DGW520" s="379"/>
      <c r="DGX520" s="379"/>
      <c r="DGY520" s="13"/>
      <c r="DGZ520" s="13"/>
      <c r="DHA520" s="193"/>
      <c r="DHB520" s="379"/>
      <c r="DHC520" s="379"/>
      <c r="DHD520" s="379"/>
      <c r="DHE520" s="379"/>
      <c r="DHF520" s="379"/>
      <c r="DHG520" s="13"/>
      <c r="DHH520" s="13"/>
      <c r="DHI520" s="193"/>
      <c r="DHJ520" s="379"/>
      <c r="DHK520" s="379"/>
      <c r="DHL520" s="379"/>
      <c r="DHM520" s="379"/>
      <c r="DHN520" s="379"/>
      <c r="DHO520" s="13"/>
      <c r="DHP520" s="13"/>
      <c r="DHQ520" s="193"/>
      <c r="DHR520" s="379"/>
      <c r="DHS520" s="379"/>
      <c r="DHT520" s="379"/>
      <c r="DHU520" s="379"/>
      <c r="DHV520" s="379"/>
      <c r="DHW520" s="13"/>
      <c r="DHX520" s="13"/>
      <c r="DHY520" s="193"/>
      <c r="DHZ520" s="379"/>
      <c r="DIA520" s="379"/>
      <c r="DIB520" s="379"/>
      <c r="DIC520" s="379"/>
      <c r="DID520" s="379"/>
      <c r="DIE520" s="13"/>
      <c r="DIF520" s="13"/>
      <c r="DIG520" s="193"/>
      <c r="DIH520" s="379"/>
      <c r="DII520" s="379"/>
      <c r="DIJ520" s="379"/>
      <c r="DIK520" s="379"/>
      <c r="DIL520" s="379"/>
      <c r="DIM520" s="13"/>
      <c r="DIN520" s="13"/>
      <c r="DIO520" s="193"/>
      <c r="DIP520" s="379"/>
      <c r="DIQ520" s="379"/>
      <c r="DIR520" s="379"/>
      <c r="DIS520" s="379"/>
      <c r="DIT520" s="379"/>
      <c r="DIU520" s="13"/>
      <c r="DIV520" s="13"/>
      <c r="DIW520" s="193"/>
      <c r="DIX520" s="379"/>
      <c r="DIY520" s="379"/>
      <c r="DIZ520" s="379"/>
      <c r="DJA520" s="379"/>
      <c r="DJB520" s="379"/>
      <c r="DJC520" s="13"/>
      <c r="DJD520" s="13"/>
      <c r="DJE520" s="193"/>
      <c r="DJF520" s="379"/>
      <c r="DJG520" s="379"/>
      <c r="DJH520" s="379"/>
      <c r="DJI520" s="379"/>
      <c r="DJJ520" s="379"/>
      <c r="DJK520" s="13"/>
      <c r="DJL520" s="13"/>
      <c r="DJM520" s="193"/>
      <c r="DJN520" s="379"/>
      <c r="DJO520" s="379"/>
      <c r="DJP520" s="379"/>
      <c r="DJQ520" s="379"/>
      <c r="DJR520" s="379"/>
      <c r="DJS520" s="13"/>
      <c r="DJT520" s="13"/>
      <c r="DJU520" s="193"/>
      <c r="DJV520" s="379"/>
      <c r="DJW520" s="379"/>
      <c r="DJX520" s="379"/>
      <c r="DJY520" s="379"/>
      <c r="DJZ520" s="379"/>
      <c r="DKA520" s="13"/>
      <c r="DKB520" s="13"/>
      <c r="DKC520" s="193"/>
      <c r="DKD520" s="379"/>
      <c r="DKE520" s="379"/>
      <c r="DKF520" s="379"/>
      <c r="DKG520" s="379"/>
      <c r="DKH520" s="379"/>
      <c r="DKI520" s="13"/>
      <c r="DKJ520" s="13"/>
      <c r="DKK520" s="193"/>
      <c r="DKL520" s="379"/>
      <c r="DKM520" s="379"/>
      <c r="DKN520" s="379"/>
      <c r="DKO520" s="379"/>
      <c r="DKP520" s="379"/>
      <c r="DKQ520" s="13"/>
      <c r="DKR520" s="13"/>
      <c r="DKS520" s="193"/>
      <c r="DKT520" s="379"/>
      <c r="DKU520" s="379"/>
      <c r="DKV520" s="379"/>
      <c r="DKW520" s="379"/>
      <c r="DKX520" s="379"/>
      <c r="DKY520" s="13"/>
      <c r="DKZ520" s="13"/>
      <c r="DLA520" s="193"/>
      <c r="DLB520" s="379"/>
      <c r="DLC520" s="379"/>
      <c r="DLD520" s="379"/>
      <c r="DLE520" s="379"/>
      <c r="DLF520" s="379"/>
      <c r="DLG520" s="13"/>
      <c r="DLH520" s="13"/>
      <c r="DLI520" s="193"/>
      <c r="DLJ520" s="379"/>
      <c r="DLK520" s="379"/>
      <c r="DLL520" s="379"/>
      <c r="DLM520" s="379"/>
      <c r="DLN520" s="379"/>
      <c r="DLO520" s="13"/>
      <c r="DLP520" s="13"/>
      <c r="DLQ520" s="193"/>
      <c r="DLR520" s="379"/>
      <c r="DLS520" s="379"/>
      <c r="DLT520" s="379"/>
      <c r="DLU520" s="379"/>
      <c r="DLV520" s="379"/>
      <c r="DLW520" s="13"/>
      <c r="DLX520" s="13"/>
      <c r="DLY520" s="193"/>
      <c r="DLZ520" s="379"/>
      <c r="DMA520" s="379"/>
      <c r="DMB520" s="379"/>
      <c r="DMC520" s="379"/>
      <c r="DMD520" s="379"/>
      <c r="DME520" s="13"/>
      <c r="DMF520" s="13"/>
      <c r="DMG520" s="193"/>
      <c r="DMH520" s="379"/>
      <c r="DMI520" s="379"/>
      <c r="DMJ520" s="379"/>
      <c r="DMK520" s="379"/>
      <c r="DML520" s="379"/>
      <c r="DMM520" s="13"/>
      <c r="DMN520" s="13"/>
      <c r="DMO520" s="193"/>
      <c r="DMP520" s="379"/>
      <c r="DMQ520" s="379"/>
      <c r="DMR520" s="379"/>
      <c r="DMS520" s="379"/>
      <c r="DMT520" s="379"/>
      <c r="DMU520" s="13"/>
      <c r="DMV520" s="13"/>
      <c r="DMW520" s="193"/>
      <c r="DMX520" s="379"/>
      <c r="DMY520" s="379"/>
      <c r="DMZ520" s="379"/>
      <c r="DNA520" s="379"/>
      <c r="DNB520" s="379"/>
      <c r="DNC520" s="13"/>
      <c r="DND520" s="13"/>
      <c r="DNE520" s="193"/>
      <c r="DNF520" s="379"/>
      <c r="DNG520" s="379"/>
      <c r="DNH520" s="379"/>
      <c r="DNI520" s="379"/>
      <c r="DNJ520" s="379"/>
      <c r="DNK520" s="13"/>
      <c r="DNL520" s="13"/>
      <c r="DNM520" s="193"/>
      <c r="DNN520" s="379"/>
      <c r="DNO520" s="379"/>
      <c r="DNP520" s="379"/>
      <c r="DNQ520" s="379"/>
      <c r="DNR520" s="379"/>
      <c r="DNS520" s="13"/>
      <c r="DNT520" s="13"/>
      <c r="DNU520" s="193"/>
      <c r="DNV520" s="379"/>
      <c r="DNW520" s="379"/>
      <c r="DNX520" s="379"/>
      <c r="DNY520" s="379"/>
      <c r="DNZ520" s="379"/>
      <c r="DOA520" s="13"/>
      <c r="DOB520" s="13"/>
      <c r="DOC520" s="193"/>
      <c r="DOD520" s="379"/>
      <c r="DOE520" s="379"/>
      <c r="DOF520" s="379"/>
      <c r="DOG520" s="379"/>
      <c r="DOH520" s="379"/>
      <c r="DOI520" s="13"/>
      <c r="DOJ520" s="13"/>
      <c r="DOK520" s="193"/>
      <c r="DOL520" s="379"/>
      <c r="DOM520" s="379"/>
      <c r="DON520" s="379"/>
      <c r="DOO520" s="379"/>
      <c r="DOP520" s="379"/>
      <c r="DOQ520" s="13"/>
      <c r="DOR520" s="13"/>
      <c r="DOS520" s="193"/>
      <c r="DOT520" s="379"/>
      <c r="DOU520" s="379"/>
      <c r="DOV520" s="379"/>
      <c r="DOW520" s="379"/>
      <c r="DOX520" s="379"/>
      <c r="DOY520" s="13"/>
      <c r="DOZ520" s="13"/>
      <c r="DPA520" s="193"/>
      <c r="DPB520" s="379"/>
      <c r="DPC520" s="379"/>
      <c r="DPD520" s="379"/>
      <c r="DPE520" s="379"/>
      <c r="DPF520" s="379"/>
      <c r="DPG520" s="13"/>
      <c r="DPH520" s="13"/>
      <c r="DPI520" s="193"/>
      <c r="DPJ520" s="379"/>
      <c r="DPK520" s="379"/>
      <c r="DPL520" s="379"/>
      <c r="DPM520" s="379"/>
      <c r="DPN520" s="379"/>
      <c r="DPO520" s="13"/>
      <c r="DPP520" s="13"/>
      <c r="DPQ520" s="193"/>
      <c r="DPR520" s="379"/>
      <c r="DPS520" s="379"/>
      <c r="DPT520" s="379"/>
      <c r="DPU520" s="379"/>
      <c r="DPV520" s="379"/>
      <c r="DPW520" s="13"/>
      <c r="DPX520" s="13"/>
      <c r="DPY520" s="193"/>
      <c r="DPZ520" s="379"/>
      <c r="DQA520" s="379"/>
      <c r="DQB520" s="379"/>
      <c r="DQC520" s="379"/>
      <c r="DQD520" s="379"/>
      <c r="DQE520" s="13"/>
      <c r="DQF520" s="13"/>
      <c r="DQG520" s="193"/>
      <c r="DQH520" s="379"/>
      <c r="DQI520" s="379"/>
      <c r="DQJ520" s="379"/>
      <c r="DQK520" s="379"/>
      <c r="DQL520" s="379"/>
      <c r="DQM520" s="13"/>
      <c r="DQN520" s="13"/>
      <c r="DQO520" s="193"/>
      <c r="DQP520" s="379"/>
      <c r="DQQ520" s="379"/>
      <c r="DQR520" s="379"/>
      <c r="DQS520" s="379"/>
      <c r="DQT520" s="379"/>
      <c r="DQU520" s="13"/>
      <c r="DQV520" s="13"/>
      <c r="DQW520" s="193"/>
      <c r="DQX520" s="379"/>
      <c r="DQY520" s="379"/>
      <c r="DQZ520" s="379"/>
      <c r="DRA520" s="379"/>
      <c r="DRB520" s="379"/>
      <c r="DRC520" s="13"/>
      <c r="DRD520" s="13"/>
      <c r="DRE520" s="193"/>
      <c r="DRF520" s="379"/>
      <c r="DRG520" s="379"/>
      <c r="DRH520" s="379"/>
      <c r="DRI520" s="379"/>
      <c r="DRJ520" s="379"/>
      <c r="DRK520" s="13"/>
      <c r="DRL520" s="13"/>
      <c r="DRM520" s="193"/>
      <c r="DRN520" s="379"/>
      <c r="DRO520" s="379"/>
      <c r="DRP520" s="379"/>
      <c r="DRQ520" s="379"/>
      <c r="DRR520" s="379"/>
      <c r="DRS520" s="13"/>
      <c r="DRT520" s="13"/>
      <c r="DRU520" s="193"/>
      <c r="DRV520" s="379"/>
      <c r="DRW520" s="379"/>
      <c r="DRX520" s="379"/>
      <c r="DRY520" s="379"/>
      <c r="DRZ520" s="379"/>
      <c r="DSA520" s="13"/>
      <c r="DSB520" s="13"/>
      <c r="DSC520" s="193"/>
      <c r="DSD520" s="379"/>
      <c r="DSE520" s="379"/>
      <c r="DSF520" s="379"/>
      <c r="DSG520" s="379"/>
      <c r="DSH520" s="379"/>
      <c r="DSI520" s="13"/>
      <c r="DSJ520" s="13"/>
      <c r="DSK520" s="193"/>
      <c r="DSL520" s="379"/>
      <c r="DSM520" s="379"/>
      <c r="DSN520" s="379"/>
      <c r="DSO520" s="379"/>
      <c r="DSP520" s="379"/>
      <c r="DSQ520" s="13"/>
      <c r="DSR520" s="13"/>
      <c r="DSS520" s="193"/>
      <c r="DST520" s="379"/>
      <c r="DSU520" s="379"/>
      <c r="DSV520" s="379"/>
      <c r="DSW520" s="379"/>
      <c r="DSX520" s="379"/>
      <c r="DSY520" s="13"/>
      <c r="DSZ520" s="13"/>
      <c r="DTA520" s="193"/>
      <c r="DTB520" s="379"/>
      <c r="DTC520" s="379"/>
      <c r="DTD520" s="379"/>
      <c r="DTE520" s="379"/>
      <c r="DTF520" s="379"/>
      <c r="DTG520" s="13"/>
      <c r="DTH520" s="13"/>
      <c r="DTI520" s="193"/>
      <c r="DTJ520" s="379"/>
      <c r="DTK520" s="379"/>
      <c r="DTL520" s="379"/>
      <c r="DTM520" s="379"/>
      <c r="DTN520" s="379"/>
      <c r="DTO520" s="13"/>
      <c r="DTP520" s="13"/>
      <c r="DTQ520" s="193"/>
      <c r="DTR520" s="379"/>
      <c r="DTS520" s="379"/>
      <c r="DTT520" s="379"/>
      <c r="DTU520" s="379"/>
      <c r="DTV520" s="379"/>
      <c r="DTW520" s="13"/>
      <c r="DTX520" s="13"/>
      <c r="DTY520" s="193"/>
      <c r="DTZ520" s="379"/>
      <c r="DUA520" s="379"/>
      <c r="DUB520" s="379"/>
      <c r="DUC520" s="379"/>
      <c r="DUD520" s="379"/>
      <c r="DUE520" s="13"/>
      <c r="DUF520" s="13"/>
      <c r="DUG520" s="193"/>
      <c r="DUH520" s="379"/>
      <c r="DUI520" s="379"/>
      <c r="DUJ520" s="379"/>
      <c r="DUK520" s="379"/>
      <c r="DUL520" s="379"/>
      <c r="DUM520" s="13"/>
      <c r="DUN520" s="13"/>
      <c r="DUO520" s="193"/>
      <c r="DUP520" s="379"/>
      <c r="DUQ520" s="379"/>
      <c r="DUR520" s="379"/>
      <c r="DUS520" s="379"/>
      <c r="DUT520" s="379"/>
      <c r="DUU520" s="13"/>
      <c r="DUV520" s="13"/>
      <c r="DUW520" s="193"/>
      <c r="DUX520" s="379"/>
      <c r="DUY520" s="379"/>
      <c r="DUZ520" s="379"/>
      <c r="DVA520" s="379"/>
      <c r="DVB520" s="379"/>
      <c r="DVC520" s="13"/>
      <c r="DVD520" s="13"/>
      <c r="DVE520" s="193"/>
      <c r="DVF520" s="379"/>
      <c r="DVG520" s="379"/>
      <c r="DVH520" s="379"/>
      <c r="DVI520" s="379"/>
      <c r="DVJ520" s="379"/>
      <c r="DVK520" s="13"/>
      <c r="DVL520" s="13"/>
      <c r="DVM520" s="193"/>
      <c r="DVN520" s="379"/>
      <c r="DVO520" s="379"/>
      <c r="DVP520" s="379"/>
      <c r="DVQ520" s="379"/>
      <c r="DVR520" s="379"/>
      <c r="DVS520" s="13"/>
      <c r="DVT520" s="13"/>
      <c r="DVU520" s="193"/>
      <c r="DVV520" s="379"/>
      <c r="DVW520" s="379"/>
      <c r="DVX520" s="379"/>
      <c r="DVY520" s="379"/>
      <c r="DVZ520" s="379"/>
      <c r="DWA520" s="13"/>
      <c r="DWB520" s="13"/>
      <c r="DWC520" s="193"/>
      <c r="DWD520" s="379"/>
      <c r="DWE520" s="379"/>
      <c r="DWF520" s="379"/>
      <c r="DWG520" s="379"/>
      <c r="DWH520" s="379"/>
      <c r="DWI520" s="13"/>
      <c r="DWJ520" s="13"/>
      <c r="DWK520" s="193"/>
      <c r="DWL520" s="379"/>
      <c r="DWM520" s="379"/>
      <c r="DWN520" s="379"/>
      <c r="DWO520" s="379"/>
      <c r="DWP520" s="379"/>
      <c r="DWQ520" s="13"/>
      <c r="DWR520" s="13"/>
      <c r="DWS520" s="193"/>
      <c r="DWT520" s="379"/>
      <c r="DWU520" s="379"/>
      <c r="DWV520" s="379"/>
      <c r="DWW520" s="379"/>
      <c r="DWX520" s="379"/>
      <c r="DWY520" s="13"/>
      <c r="DWZ520" s="13"/>
      <c r="DXA520" s="193"/>
      <c r="DXB520" s="379"/>
      <c r="DXC520" s="379"/>
      <c r="DXD520" s="379"/>
      <c r="DXE520" s="379"/>
      <c r="DXF520" s="379"/>
      <c r="DXG520" s="13"/>
      <c r="DXH520" s="13"/>
      <c r="DXI520" s="193"/>
      <c r="DXJ520" s="379"/>
      <c r="DXK520" s="379"/>
      <c r="DXL520" s="379"/>
      <c r="DXM520" s="379"/>
      <c r="DXN520" s="379"/>
      <c r="DXO520" s="13"/>
      <c r="DXP520" s="13"/>
      <c r="DXQ520" s="193"/>
      <c r="DXR520" s="379"/>
      <c r="DXS520" s="379"/>
      <c r="DXT520" s="379"/>
      <c r="DXU520" s="379"/>
      <c r="DXV520" s="379"/>
      <c r="DXW520" s="13"/>
      <c r="DXX520" s="13"/>
      <c r="DXY520" s="193"/>
      <c r="DXZ520" s="379"/>
      <c r="DYA520" s="379"/>
      <c r="DYB520" s="379"/>
      <c r="DYC520" s="379"/>
      <c r="DYD520" s="379"/>
      <c r="DYE520" s="13"/>
      <c r="DYF520" s="13"/>
      <c r="DYG520" s="193"/>
      <c r="DYH520" s="379"/>
      <c r="DYI520" s="379"/>
      <c r="DYJ520" s="379"/>
      <c r="DYK520" s="379"/>
      <c r="DYL520" s="379"/>
      <c r="DYM520" s="13"/>
      <c r="DYN520" s="13"/>
      <c r="DYO520" s="193"/>
      <c r="DYP520" s="379"/>
      <c r="DYQ520" s="379"/>
      <c r="DYR520" s="379"/>
      <c r="DYS520" s="379"/>
      <c r="DYT520" s="379"/>
      <c r="DYU520" s="13"/>
      <c r="DYV520" s="13"/>
      <c r="DYW520" s="193"/>
      <c r="DYX520" s="379"/>
      <c r="DYY520" s="379"/>
      <c r="DYZ520" s="379"/>
      <c r="DZA520" s="379"/>
      <c r="DZB520" s="379"/>
      <c r="DZC520" s="13"/>
      <c r="DZD520" s="13"/>
      <c r="DZE520" s="193"/>
      <c r="DZF520" s="379"/>
      <c r="DZG520" s="379"/>
      <c r="DZH520" s="379"/>
      <c r="DZI520" s="379"/>
      <c r="DZJ520" s="379"/>
      <c r="DZK520" s="13"/>
      <c r="DZL520" s="13"/>
      <c r="DZM520" s="193"/>
      <c r="DZN520" s="379"/>
      <c r="DZO520" s="379"/>
      <c r="DZP520" s="379"/>
      <c r="DZQ520" s="379"/>
      <c r="DZR520" s="379"/>
      <c r="DZS520" s="13"/>
      <c r="DZT520" s="13"/>
      <c r="DZU520" s="193"/>
      <c r="DZV520" s="379"/>
      <c r="DZW520" s="379"/>
      <c r="DZX520" s="379"/>
      <c r="DZY520" s="379"/>
      <c r="DZZ520" s="379"/>
      <c r="EAA520" s="13"/>
      <c r="EAB520" s="13"/>
      <c r="EAC520" s="193"/>
      <c r="EAD520" s="379"/>
      <c r="EAE520" s="379"/>
      <c r="EAF520" s="379"/>
      <c r="EAG520" s="379"/>
      <c r="EAH520" s="379"/>
      <c r="EAI520" s="13"/>
      <c r="EAJ520" s="13"/>
      <c r="EAK520" s="193"/>
      <c r="EAL520" s="379"/>
      <c r="EAM520" s="379"/>
      <c r="EAN520" s="379"/>
      <c r="EAO520" s="379"/>
      <c r="EAP520" s="379"/>
      <c r="EAQ520" s="13"/>
      <c r="EAR520" s="13"/>
      <c r="EAS520" s="193"/>
      <c r="EAT520" s="379"/>
      <c r="EAU520" s="379"/>
      <c r="EAV520" s="379"/>
      <c r="EAW520" s="379"/>
      <c r="EAX520" s="379"/>
      <c r="EAY520" s="13"/>
      <c r="EAZ520" s="13"/>
      <c r="EBA520" s="193"/>
      <c r="EBB520" s="379"/>
      <c r="EBC520" s="379"/>
      <c r="EBD520" s="379"/>
      <c r="EBE520" s="379"/>
      <c r="EBF520" s="379"/>
      <c r="EBG520" s="13"/>
      <c r="EBH520" s="13"/>
      <c r="EBI520" s="193"/>
      <c r="EBJ520" s="379"/>
      <c r="EBK520" s="379"/>
      <c r="EBL520" s="379"/>
      <c r="EBM520" s="379"/>
      <c r="EBN520" s="379"/>
      <c r="EBO520" s="13"/>
      <c r="EBP520" s="13"/>
      <c r="EBQ520" s="193"/>
      <c r="EBR520" s="379"/>
      <c r="EBS520" s="379"/>
      <c r="EBT520" s="379"/>
      <c r="EBU520" s="379"/>
      <c r="EBV520" s="379"/>
      <c r="EBW520" s="13"/>
      <c r="EBX520" s="13"/>
      <c r="EBY520" s="193"/>
      <c r="EBZ520" s="379"/>
      <c r="ECA520" s="379"/>
      <c r="ECB520" s="379"/>
      <c r="ECC520" s="379"/>
      <c r="ECD520" s="379"/>
      <c r="ECE520" s="13"/>
      <c r="ECF520" s="13"/>
      <c r="ECG520" s="193"/>
      <c r="ECH520" s="379"/>
      <c r="ECI520" s="379"/>
      <c r="ECJ520" s="379"/>
      <c r="ECK520" s="379"/>
      <c r="ECL520" s="379"/>
      <c r="ECM520" s="13"/>
      <c r="ECN520" s="13"/>
      <c r="ECO520" s="193"/>
      <c r="ECP520" s="379"/>
      <c r="ECQ520" s="379"/>
      <c r="ECR520" s="379"/>
      <c r="ECS520" s="379"/>
      <c r="ECT520" s="379"/>
      <c r="ECU520" s="13"/>
      <c r="ECV520" s="13"/>
      <c r="ECW520" s="193"/>
      <c r="ECX520" s="379"/>
      <c r="ECY520" s="379"/>
      <c r="ECZ520" s="379"/>
      <c r="EDA520" s="379"/>
      <c r="EDB520" s="379"/>
      <c r="EDC520" s="13"/>
      <c r="EDD520" s="13"/>
      <c r="EDE520" s="193"/>
      <c r="EDF520" s="379"/>
      <c r="EDG520" s="379"/>
      <c r="EDH520" s="379"/>
      <c r="EDI520" s="379"/>
      <c r="EDJ520" s="379"/>
      <c r="EDK520" s="13"/>
      <c r="EDL520" s="13"/>
      <c r="EDM520" s="193"/>
      <c r="EDN520" s="379"/>
      <c r="EDO520" s="379"/>
      <c r="EDP520" s="379"/>
      <c r="EDQ520" s="379"/>
      <c r="EDR520" s="379"/>
      <c r="EDS520" s="13"/>
      <c r="EDT520" s="13"/>
      <c r="EDU520" s="193"/>
      <c r="EDV520" s="379"/>
      <c r="EDW520" s="379"/>
      <c r="EDX520" s="379"/>
      <c r="EDY520" s="379"/>
      <c r="EDZ520" s="379"/>
      <c r="EEA520" s="13"/>
      <c r="EEB520" s="13"/>
      <c r="EEC520" s="193"/>
      <c r="EED520" s="379"/>
      <c r="EEE520" s="379"/>
      <c r="EEF520" s="379"/>
      <c r="EEG520" s="379"/>
      <c r="EEH520" s="379"/>
      <c r="EEI520" s="13"/>
      <c r="EEJ520" s="13"/>
      <c r="EEK520" s="193"/>
      <c r="EEL520" s="379"/>
      <c r="EEM520" s="379"/>
      <c r="EEN520" s="379"/>
      <c r="EEO520" s="379"/>
      <c r="EEP520" s="379"/>
      <c r="EEQ520" s="13"/>
      <c r="EER520" s="13"/>
      <c r="EES520" s="193"/>
      <c r="EET520" s="379"/>
      <c r="EEU520" s="379"/>
      <c r="EEV520" s="379"/>
      <c r="EEW520" s="379"/>
      <c r="EEX520" s="379"/>
      <c r="EEY520" s="13"/>
      <c r="EEZ520" s="13"/>
      <c r="EFA520" s="193"/>
      <c r="EFB520" s="379"/>
      <c r="EFC520" s="379"/>
      <c r="EFD520" s="379"/>
      <c r="EFE520" s="379"/>
      <c r="EFF520" s="379"/>
      <c r="EFG520" s="13"/>
      <c r="EFH520" s="13"/>
      <c r="EFI520" s="193"/>
      <c r="EFJ520" s="379"/>
      <c r="EFK520" s="379"/>
      <c r="EFL520" s="379"/>
      <c r="EFM520" s="379"/>
      <c r="EFN520" s="379"/>
      <c r="EFO520" s="13"/>
      <c r="EFP520" s="13"/>
      <c r="EFQ520" s="193"/>
      <c r="EFR520" s="379"/>
      <c r="EFS520" s="379"/>
      <c r="EFT520" s="379"/>
      <c r="EFU520" s="379"/>
      <c r="EFV520" s="379"/>
      <c r="EFW520" s="13"/>
      <c r="EFX520" s="13"/>
      <c r="EFY520" s="193"/>
      <c r="EFZ520" s="379"/>
      <c r="EGA520" s="379"/>
      <c r="EGB520" s="379"/>
      <c r="EGC520" s="379"/>
      <c r="EGD520" s="379"/>
      <c r="EGE520" s="13"/>
      <c r="EGF520" s="13"/>
      <c r="EGG520" s="193"/>
      <c r="EGH520" s="379"/>
      <c r="EGI520" s="379"/>
      <c r="EGJ520" s="379"/>
      <c r="EGK520" s="379"/>
      <c r="EGL520" s="379"/>
      <c r="EGM520" s="13"/>
      <c r="EGN520" s="13"/>
      <c r="EGO520" s="193"/>
      <c r="EGP520" s="379"/>
      <c r="EGQ520" s="379"/>
      <c r="EGR520" s="379"/>
      <c r="EGS520" s="379"/>
      <c r="EGT520" s="379"/>
      <c r="EGU520" s="13"/>
      <c r="EGV520" s="13"/>
      <c r="EGW520" s="193"/>
      <c r="EGX520" s="379"/>
      <c r="EGY520" s="379"/>
      <c r="EGZ520" s="379"/>
      <c r="EHA520" s="379"/>
      <c r="EHB520" s="379"/>
      <c r="EHC520" s="13"/>
      <c r="EHD520" s="13"/>
      <c r="EHE520" s="193"/>
      <c r="EHF520" s="379"/>
      <c r="EHG520" s="379"/>
      <c r="EHH520" s="379"/>
      <c r="EHI520" s="379"/>
      <c r="EHJ520" s="379"/>
      <c r="EHK520" s="13"/>
      <c r="EHL520" s="13"/>
      <c r="EHM520" s="193"/>
      <c r="EHN520" s="379"/>
      <c r="EHO520" s="379"/>
      <c r="EHP520" s="379"/>
      <c r="EHQ520" s="379"/>
      <c r="EHR520" s="379"/>
      <c r="EHS520" s="13"/>
      <c r="EHT520" s="13"/>
      <c r="EHU520" s="193"/>
      <c r="EHV520" s="379"/>
      <c r="EHW520" s="379"/>
      <c r="EHX520" s="379"/>
      <c r="EHY520" s="379"/>
      <c r="EHZ520" s="379"/>
      <c r="EIA520" s="13"/>
      <c r="EIB520" s="13"/>
      <c r="EIC520" s="193"/>
      <c r="EID520" s="379"/>
      <c r="EIE520" s="379"/>
      <c r="EIF520" s="379"/>
      <c r="EIG520" s="379"/>
      <c r="EIH520" s="379"/>
      <c r="EII520" s="13"/>
      <c r="EIJ520" s="13"/>
      <c r="EIK520" s="193"/>
      <c r="EIL520" s="379"/>
      <c r="EIM520" s="379"/>
      <c r="EIN520" s="379"/>
      <c r="EIO520" s="379"/>
      <c r="EIP520" s="379"/>
      <c r="EIQ520" s="13"/>
      <c r="EIR520" s="13"/>
      <c r="EIS520" s="193"/>
      <c r="EIT520" s="379"/>
      <c r="EIU520" s="379"/>
      <c r="EIV520" s="379"/>
      <c r="EIW520" s="379"/>
      <c r="EIX520" s="379"/>
      <c r="EIY520" s="13"/>
      <c r="EIZ520" s="13"/>
      <c r="EJA520" s="193"/>
      <c r="EJB520" s="379"/>
      <c r="EJC520" s="379"/>
      <c r="EJD520" s="379"/>
      <c r="EJE520" s="379"/>
      <c r="EJF520" s="379"/>
      <c r="EJG520" s="13"/>
      <c r="EJH520" s="13"/>
      <c r="EJI520" s="193"/>
      <c r="EJJ520" s="379"/>
      <c r="EJK520" s="379"/>
      <c r="EJL520" s="379"/>
      <c r="EJM520" s="379"/>
      <c r="EJN520" s="379"/>
      <c r="EJO520" s="13"/>
      <c r="EJP520" s="13"/>
      <c r="EJQ520" s="193"/>
      <c r="EJR520" s="379"/>
      <c r="EJS520" s="379"/>
      <c r="EJT520" s="379"/>
      <c r="EJU520" s="379"/>
      <c r="EJV520" s="379"/>
      <c r="EJW520" s="13"/>
      <c r="EJX520" s="13"/>
      <c r="EJY520" s="193"/>
      <c r="EJZ520" s="379"/>
      <c r="EKA520" s="379"/>
      <c r="EKB520" s="379"/>
      <c r="EKC520" s="379"/>
      <c r="EKD520" s="379"/>
      <c r="EKE520" s="13"/>
      <c r="EKF520" s="13"/>
      <c r="EKG520" s="193"/>
      <c r="EKH520" s="379"/>
      <c r="EKI520" s="379"/>
      <c r="EKJ520" s="379"/>
      <c r="EKK520" s="379"/>
      <c r="EKL520" s="379"/>
      <c r="EKM520" s="13"/>
      <c r="EKN520" s="13"/>
      <c r="EKO520" s="193"/>
      <c r="EKP520" s="379"/>
      <c r="EKQ520" s="379"/>
      <c r="EKR520" s="379"/>
      <c r="EKS520" s="379"/>
      <c r="EKT520" s="379"/>
      <c r="EKU520" s="13"/>
      <c r="EKV520" s="13"/>
      <c r="EKW520" s="193"/>
      <c r="EKX520" s="379"/>
      <c r="EKY520" s="379"/>
      <c r="EKZ520" s="379"/>
      <c r="ELA520" s="379"/>
      <c r="ELB520" s="379"/>
      <c r="ELC520" s="13"/>
      <c r="ELD520" s="13"/>
      <c r="ELE520" s="193"/>
      <c r="ELF520" s="379"/>
      <c r="ELG520" s="379"/>
      <c r="ELH520" s="379"/>
      <c r="ELI520" s="379"/>
      <c r="ELJ520" s="379"/>
      <c r="ELK520" s="13"/>
      <c r="ELL520" s="13"/>
      <c r="ELM520" s="193"/>
      <c r="ELN520" s="379"/>
      <c r="ELO520" s="379"/>
      <c r="ELP520" s="379"/>
      <c r="ELQ520" s="379"/>
      <c r="ELR520" s="379"/>
      <c r="ELS520" s="13"/>
      <c r="ELT520" s="13"/>
      <c r="ELU520" s="193"/>
      <c r="ELV520" s="379"/>
      <c r="ELW520" s="379"/>
      <c r="ELX520" s="379"/>
      <c r="ELY520" s="379"/>
      <c r="ELZ520" s="379"/>
      <c r="EMA520" s="13"/>
      <c r="EMB520" s="13"/>
      <c r="EMC520" s="193"/>
      <c r="EMD520" s="379"/>
      <c r="EME520" s="379"/>
      <c r="EMF520" s="379"/>
      <c r="EMG520" s="379"/>
      <c r="EMH520" s="379"/>
      <c r="EMI520" s="13"/>
      <c r="EMJ520" s="13"/>
      <c r="EMK520" s="193"/>
      <c r="EML520" s="379"/>
      <c r="EMM520" s="379"/>
      <c r="EMN520" s="379"/>
      <c r="EMO520" s="379"/>
      <c r="EMP520" s="379"/>
      <c r="EMQ520" s="13"/>
      <c r="EMR520" s="13"/>
      <c r="EMS520" s="193"/>
      <c r="EMT520" s="379"/>
      <c r="EMU520" s="379"/>
      <c r="EMV520" s="379"/>
      <c r="EMW520" s="379"/>
      <c r="EMX520" s="379"/>
      <c r="EMY520" s="13"/>
      <c r="EMZ520" s="13"/>
      <c r="ENA520" s="193"/>
      <c r="ENB520" s="379"/>
      <c r="ENC520" s="379"/>
      <c r="END520" s="379"/>
      <c r="ENE520" s="379"/>
      <c r="ENF520" s="379"/>
      <c r="ENG520" s="13"/>
      <c r="ENH520" s="13"/>
      <c r="ENI520" s="193"/>
      <c r="ENJ520" s="379"/>
      <c r="ENK520" s="379"/>
      <c r="ENL520" s="379"/>
      <c r="ENM520" s="379"/>
      <c r="ENN520" s="379"/>
      <c r="ENO520" s="13"/>
      <c r="ENP520" s="13"/>
      <c r="ENQ520" s="193"/>
      <c r="ENR520" s="379"/>
      <c r="ENS520" s="379"/>
      <c r="ENT520" s="379"/>
      <c r="ENU520" s="379"/>
      <c r="ENV520" s="379"/>
      <c r="ENW520" s="13"/>
      <c r="ENX520" s="13"/>
      <c r="ENY520" s="193"/>
      <c r="ENZ520" s="379"/>
      <c r="EOA520" s="379"/>
      <c r="EOB520" s="379"/>
      <c r="EOC520" s="379"/>
      <c r="EOD520" s="379"/>
      <c r="EOE520" s="13"/>
      <c r="EOF520" s="13"/>
      <c r="EOG520" s="193"/>
      <c r="EOH520" s="379"/>
      <c r="EOI520" s="379"/>
      <c r="EOJ520" s="379"/>
      <c r="EOK520" s="379"/>
      <c r="EOL520" s="379"/>
      <c r="EOM520" s="13"/>
      <c r="EON520" s="13"/>
      <c r="EOO520" s="193"/>
      <c r="EOP520" s="379"/>
      <c r="EOQ520" s="379"/>
      <c r="EOR520" s="379"/>
      <c r="EOS520" s="379"/>
      <c r="EOT520" s="379"/>
      <c r="EOU520" s="13"/>
      <c r="EOV520" s="13"/>
      <c r="EOW520" s="193"/>
      <c r="EOX520" s="379"/>
      <c r="EOY520" s="379"/>
      <c r="EOZ520" s="379"/>
      <c r="EPA520" s="379"/>
      <c r="EPB520" s="379"/>
      <c r="EPC520" s="13"/>
      <c r="EPD520" s="13"/>
      <c r="EPE520" s="193"/>
      <c r="EPF520" s="379"/>
      <c r="EPG520" s="379"/>
      <c r="EPH520" s="379"/>
      <c r="EPI520" s="379"/>
      <c r="EPJ520" s="379"/>
      <c r="EPK520" s="13"/>
      <c r="EPL520" s="13"/>
      <c r="EPM520" s="193"/>
      <c r="EPN520" s="379"/>
      <c r="EPO520" s="379"/>
      <c r="EPP520" s="379"/>
      <c r="EPQ520" s="379"/>
      <c r="EPR520" s="379"/>
      <c r="EPS520" s="13"/>
      <c r="EPT520" s="13"/>
      <c r="EPU520" s="193"/>
      <c r="EPV520" s="379"/>
      <c r="EPW520" s="379"/>
      <c r="EPX520" s="379"/>
      <c r="EPY520" s="379"/>
      <c r="EPZ520" s="379"/>
      <c r="EQA520" s="13"/>
      <c r="EQB520" s="13"/>
      <c r="EQC520" s="193"/>
      <c r="EQD520" s="379"/>
      <c r="EQE520" s="379"/>
      <c r="EQF520" s="379"/>
      <c r="EQG520" s="379"/>
      <c r="EQH520" s="379"/>
      <c r="EQI520" s="13"/>
      <c r="EQJ520" s="13"/>
      <c r="EQK520" s="193"/>
      <c r="EQL520" s="379"/>
      <c r="EQM520" s="379"/>
      <c r="EQN520" s="379"/>
      <c r="EQO520" s="379"/>
      <c r="EQP520" s="379"/>
      <c r="EQQ520" s="13"/>
      <c r="EQR520" s="13"/>
      <c r="EQS520" s="193"/>
      <c r="EQT520" s="379"/>
      <c r="EQU520" s="379"/>
      <c r="EQV520" s="379"/>
      <c r="EQW520" s="379"/>
      <c r="EQX520" s="379"/>
      <c r="EQY520" s="13"/>
      <c r="EQZ520" s="13"/>
      <c r="ERA520" s="193"/>
      <c r="ERB520" s="379"/>
      <c r="ERC520" s="379"/>
      <c r="ERD520" s="379"/>
      <c r="ERE520" s="379"/>
      <c r="ERF520" s="379"/>
      <c r="ERG520" s="13"/>
      <c r="ERH520" s="13"/>
      <c r="ERI520" s="193"/>
      <c r="ERJ520" s="379"/>
      <c r="ERK520" s="379"/>
      <c r="ERL520" s="379"/>
      <c r="ERM520" s="379"/>
      <c r="ERN520" s="379"/>
      <c r="ERO520" s="13"/>
      <c r="ERP520" s="13"/>
      <c r="ERQ520" s="193"/>
      <c r="ERR520" s="379"/>
      <c r="ERS520" s="379"/>
      <c r="ERT520" s="379"/>
      <c r="ERU520" s="379"/>
      <c r="ERV520" s="379"/>
      <c r="ERW520" s="13"/>
      <c r="ERX520" s="13"/>
      <c r="ERY520" s="193"/>
      <c r="ERZ520" s="379"/>
      <c r="ESA520" s="379"/>
      <c r="ESB520" s="379"/>
      <c r="ESC520" s="379"/>
      <c r="ESD520" s="379"/>
      <c r="ESE520" s="13"/>
      <c r="ESF520" s="13"/>
      <c r="ESG520" s="193"/>
      <c r="ESH520" s="379"/>
      <c r="ESI520" s="379"/>
      <c r="ESJ520" s="379"/>
      <c r="ESK520" s="379"/>
      <c r="ESL520" s="379"/>
      <c r="ESM520" s="13"/>
      <c r="ESN520" s="13"/>
      <c r="ESO520" s="193"/>
      <c r="ESP520" s="379"/>
      <c r="ESQ520" s="379"/>
      <c r="ESR520" s="379"/>
      <c r="ESS520" s="379"/>
      <c r="EST520" s="379"/>
      <c r="ESU520" s="13"/>
      <c r="ESV520" s="13"/>
      <c r="ESW520" s="193"/>
      <c r="ESX520" s="379"/>
      <c r="ESY520" s="379"/>
      <c r="ESZ520" s="379"/>
      <c r="ETA520" s="379"/>
      <c r="ETB520" s="379"/>
      <c r="ETC520" s="13"/>
      <c r="ETD520" s="13"/>
      <c r="ETE520" s="193"/>
      <c r="ETF520" s="379"/>
      <c r="ETG520" s="379"/>
      <c r="ETH520" s="379"/>
      <c r="ETI520" s="379"/>
      <c r="ETJ520" s="379"/>
      <c r="ETK520" s="13"/>
      <c r="ETL520" s="13"/>
      <c r="ETM520" s="193"/>
      <c r="ETN520" s="379"/>
      <c r="ETO520" s="379"/>
      <c r="ETP520" s="379"/>
      <c r="ETQ520" s="379"/>
      <c r="ETR520" s="379"/>
      <c r="ETS520" s="13"/>
      <c r="ETT520" s="13"/>
      <c r="ETU520" s="193"/>
      <c r="ETV520" s="379"/>
      <c r="ETW520" s="379"/>
      <c r="ETX520" s="379"/>
      <c r="ETY520" s="379"/>
      <c r="ETZ520" s="379"/>
      <c r="EUA520" s="13"/>
      <c r="EUB520" s="13"/>
      <c r="EUC520" s="193"/>
      <c r="EUD520" s="379"/>
      <c r="EUE520" s="379"/>
      <c r="EUF520" s="379"/>
      <c r="EUG520" s="379"/>
      <c r="EUH520" s="379"/>
      <c r="EUI520" s="13"/>
      <c r="EUJ520" s="13"/>
      <c r="EUK520" s="193"/>
      <c r="EUL520" s="379"/>
      <c r="EUM520" s="379"/>
      <c r="EUN520" s="379"/>
      <c r="EUO520" s="379"/>
      <c r="EUP520" s="379"/>
      <c r="EUQ520" s="13"/>
      <c r="EUR520" s="13"/>
      <c r="EUS520" s="193"/>
      <c r="EUT520" s="379"/>
      <c r="EUU520" s="379"/>
      <c r="EUV520" s="379"/>
      <c r="EUW520" s="379"/>
      <c r="EUX520" s="379"/>
      <c r="EUY520" s="13"/>
      <c r="EUZ520" s="13"/>
      <c r="EVA520" s="193"/>
      <c r="EVB520" s="379"/>
      <c r="EVC520" s="379"/>
      <c r="EVD520" s="379"/>
      <c r="EVE520" s="379"/>
      <c r="EVF520" s="379"/>
      <c r="EVG520" s="13"/>
      <c r="EVH520" s="13"/>
      <c r="EVI520" s="193"/>
      <c r="EVJ520" s="379"/>
      <c r="EVK520" s="379"/>
      <c r="EVL520" s="379"/>
      <c r="EVM520" s="379"/>
      <c r="EVN520" s="379"/>
      <c r="EVO520" s="13"/>
      <c r="EVP520" s="13"/>
      <c r="EVQ520" s="193"/>
      <c r="EVR520" s="379"/>
      <c r="EVS520" s="379"/>
      <c r="EVT520" s="379"/>
      <c r="EVU520" s="379"/>
      <c r="EVV520" s="379"/>
      <c r="EVW520" s="13"/>
      <c r="EVX520" s="13"/>
      <c r="EVY520" s="193"/>
      <c r="EVZ520" s="379"/>
      <c r="EWA520" s="379"/>
      <c r="EWB520" s="379"/>
      <c r="EWC520" s="379"/>
      <c r="EWD520" s="379"/>
      <c r="EWE520" s="13"/>
      <c r="EWF520" s="13"/>
      <c r="EWG520" s="193"/>
      <c r="EWH520" s="379"/>
      <c r="EWI520" s="379"/>
      <c r="EWJ520" s="379"/>
      <c r="EWK520" s="379"/>
      <c r="EWL520" s="379"/>
      <c r="EWM520" s="13"/>
      <c r="EWN520" s="13"/>
      <c r="EWO520" s="193"/>
      <c r="EWP520" s="379"/>
      <c r="EWQ520" s="379"/>
      <c r="EWR520" s="379"/>
      <c r="EWS520" s="379"/>
      <c r="EWT520" s="379"/>
      <c r="EWU520" s="13"/>
      <c r="EWV520" s="13"/>
      <c r="EWW520" s="193"/>
      <c r="EWX520" s="379"/>
      <c r="EWY520" s="379"/>
      <c r="EWZ520" s="379"/>
      <c r="EXA520" s="379"/>
      <c r="EXB520" s="379"/>
      <c r="EXC520" s="13"/>
      <c r="EXD520" s="13"/>
      <c r="EXE520" s="193"/>
      <c r="EXF520" s="379"/>
      <c r="EXG520" s="379"/>
      <c r="EXH520" s="379"/>
      <c r="EXI520" s="379"/>
      <c r="EXJ520" s="379"/>
      <c r="EXK520" s="13"/>
      <c r="EXL520" s="13"/>
      <c r="EXM520" s="193"/>
      <c r="EXN520" s="379"/>
      <c r="EXO520" s="379"/>
      <c r="EXP520" s="379"/>
      <c r="EXQ520" s="379"/>
      <c r="EXR520" s="379"/>
      <c r="EXS520" s="13"/>
      <c r="EXT520" s="13"/>
      <c r="EXU520" s="193"/>
      <c r="EXV520" s="379"/>
      <c r="EXW520" s="379"/>
      <c r="EXX520" s="379"/>
      <c r="EXY520" s="379"/>
      <c r="EXZ520" s="379"/>
      <c r="EYA520" s="13"/>
      <c r="EYB520" s="13"/>
      <c r="EYC520" s="193"/>
      <c r="EYD520" s="379"/>
      <c r="EYE520" s="379"/>
      <c r="EYF520" s="379"/>
      <c r="EYG520" s="379"/>
      <c r="EYH520" s="379"/>
      <c r="EYI520" s="13"/>
      <c r="EYJ520" s="13"/>
      <c r="EYK520" s="193"/>
      <c r="EYL520" s="379"/>
      <c r="EYM520" s="379"/>
      <c r="EYN520" s="379"/>
      <c r="EYO520" s="379"/>
      <c r="EYP520" s="379"/>
      <c r="EYQ520" s="13"/>
      <c r="EYR520" s="13"/>
      <c r="EYS520" s="193"/>
      <c r="EYT520" s="379"/>
      <c r="EYU520" s="379"/>
      <c r="EYV520" s="379"/>
      <c r="EYW520" s="379"/>
      <c r="EYX520" s="379"/>
      <c r="EYY520" s="13"/>
      <c r="EYZ520" s="13"/>
      <c r="EZA520" s="193"/>
      <c r="EZB520" s="379"/>
      <c r="EZC520" s="379"/>
      <c r="EZD520" s="379"/>
      <c r="EZE520" s="379"/>
      <c r="EZF520" s="379"/>
      <c r="EZG520" s="13"/>
      <c r="EZH520" s="13"/>
      <c r="EZI520" s="193"/>
      <c r="EZJ520" s="379"/>
      <c r="EZK520" s="379"/>
      <c r="EZL520" s="379"/>
      <c r="EZM520" s="379"/>
      <c r="EZN520" s="379"/>
      <c r="EZO520" s="13"/>
      <c r="EZP520" s="13"/>
      <c r="EZQ520" s="193"/>
      <c r="EZR520" s="379"/>
      <c r="EZS520" s="379"/>
      <c r="EZT520" s="379"/>
      <c r="EZU520" s="379"/>
      <c r="EZV520" s="379"/>
      <c r="EZW520" s="13"/>
      <c r="EZX520" s="13"/>
      <c r="EZY520" s="193"/>
      <c r="EZZ520" s="379"/>
      <c r="FAA520" s="379"/>
      <c r="FAB520" s="379"/>
      <c r="FAC520" s="379"/>
      <c r="FAD520" s="379"/>
      <c r="FAE520" s="13"/>
      <c r="FAF520" s="13"/>
      <c r="FAG520" s="193"/>
      <c r="FAH520" s="379"/>
      <c r="FAI520" s="379"/>
      <c r="FAJ520" s="379"/>
      <c r="FAK520" s="379"/>
      <c r="FAL520" s="379"/>
      <c r="FAM520" s="13"/>
      <c r="FAN520" s="13"/>
      <c r="FAO520" s="193"/>
      <c r="FAP520" s="379"/>
      <c r="FAQ520" s="379"/>
      <c r="FAR520" s="379"/>
      <c r="FAS520" s="379"/>
      <c r="FAT520" s="379"/>
      <c r="FAU520" s="13"/>
      <c r="FAV520" s="13"/>
      <c r="FAW520" s="193"/>
      <c r="FAX520" s="379"/>
      <c r="FAY520" s="379"/>
      <c r="FAZ520" s="379"/>
      <c r="FBA520" s="379"/>
      <c r="FBB520" s="379"/>
      <c r="FBC520" s="13"/>
      <c r="FBD520" s="13"/>
      <c r="FBE520" s="193"/>
      <c r="FBF520" s="379"/>
      <c r="FBG520" s="379"/>
      <c r="FBH520" s="379"/>
      <c r="FBI520" s="379"/>
      <c r="FBJ520" s="379"/>
      <c r="FBK520" s="13"/>
      <c r="FBL520" s="13"/>
      <c r="FBM520" s="193"/>
      <c r="FBN520" s="379"/>
      <c r="FBO520" s="379"/>
      <c r="FBP520" s="379"/>
      <c r="FBQ520" s="379"/>
      <c r="FBR520" s="379"/>
      <c r="FBS520" s="13"/>
      <c r="FBT520" s="13"/>
      <c r="FBU520" s="193"/>
      <c r="FBV520" s="379"/>
      <c r="FBW520" s="379"/>
      <c r="FBX520" s="379"/>
      <c r="FBY520" s="379"/>
      <c r="FBZ520" s="379"/>
      <c r="FCA520" s="13"/>
      <c r="FCB520" s="13"/>
      <c r="FCC520" s="193"/>
      <c r="FCD520" s="379"/>
      <c r="FCE520" s="379"/>
      <c r="FCF520" s="379"/>
      <c r="FCG520" s="379"/>
      <c r="FCH520" s="379"/>
      <c r="FCI520" s="13"/>
      <c r="FCJ520" s="13"/>
      <c r="FCK520" s="193"/>
      <c r="FCL520" s="379"/>
      <c r="FCM520" s="379"/>
      <c r="FCN520" s="379"/>
      <c r="FCO520" s="379"/>
      <c r="FCP520" s="379"/>
      <c r="FCQ520" s="13"/>
      <c r="FCR520" s="13"/>
      <c r="FCS520" s="193"/>
      <c r="FCT520" s="379"/>
      <c r="FCU520" s="379"/>
      <c r="FCV520" s="379"/>
      <c r="FCW520" s="379"/>
      <c r="FCX520" s="379"/>
      <c r="FCY520" s="13"/>
      <c r="FCZ520" s="13"/>
      <c r="FDA520" s="193"/>
      <c r="FDB520" s="379"/>
      <c r="FDC520" s="379"/>
      <c r="FDD520" s="379"/>
      <c r="FDE520" s="379"/>
      <c r="FDF520" s="379"/>
      <c r="FDG520" s="13"/>
      <c r="FDH520" s="13"/>
      <c r="FDI520" s="193"/>
      <c r="FDJ520" s="379"/>
      <c r="FDK520" s="379"/>
      <c r="FDL520" s="379"/>
      <c r="FDM520" s="379"/>
      <c r="FDN520" s="379"/>
      <c r="FDO520" s="13"/>
      <c r="FDP520" s="13"/>
      <c r="FDQ520" s="193"/>
      <c r="FDR520" s="379"/>
      <c r="FDS520" s="379"/>
      <c r="FDT520" s="379"/>
      <c r="FDU520" s="379"/>
      <c r="FDV520" s="379"/>
      <c r="FDW520" s="13"/>
      <c r="FDX520" s="13"/>
      <c r="FDY520" s="193"/>
      <c r="FDZ520" s="379"/>
      <c r="FEA520" s="379"/>
      <c r="FEB520" s="379"/>
      <c r="FEC520" s="379"/>
      <c r="FED520" s="379"/>
      <c r="FEE520" s="13"/>
      <c r="FEF520" s="13"/>
      <c r="FEG520" s="193"/>
      <c r="FEH520" s="379"/>
      <c r="FEI520" s="379"/>
      <c r="FEJ520" s="379"/>
      <c r="FEK520" s="379"/>
      <c r="FEL520" s="379"/>
      <c r="FEM520" s="13"/>
      <c r="FEN520" s="13"/>
      <c r="FEO520" s="193"/>
      <c r="FEP520" s="379"/>
      <c r="FEQ520" s="379"/>
      <c r="FER520" s="379"/>
      <c r="FES520" s="379"/>
      <c r="FET520" s="379"/>
      <c r="FEU520" s="13"/>
      <c r="FEV520" s="13"/>
      <c r="FEW520" s="193"/>
      <c r="FEX520" s="379"/>
      <c r="FEY520" s="379"/>
      <c r="FEZ520" s="379"/>
      <c r="FFA520" s="379"/>
      <c r="FFB520" s="379"/>
      <c r="FFC520" s="13"/>
      <c r="FFD520" s="13"/>
      <c r="FFE520" s="193"/>
      <c r="FFF520" s="379"/>
      <c r="FFG520" s="379"/>
      <c r="FFH520" s="379"/>
      <c r="FFI520" s="379"/>
      <c r="FFJ520" s="379"/>
      <c r="FFK520" s="13"/>
      <c r="FFL520" s="13"/>
      <c r="FFM520" s="193"/>
      <c r="FFN520" s="379"/>
      <c r="FFO520" s="379"/>
      <c r="FFP520" s="379"/>
      <c r="FFQ520" s="379"/>
      <c r="FFR520" s="379"/>
      <c r="FFS520" s="13"/>
      <c r="FFT520" s="13"/>
      <c r="FFU520" s="193"/>
      <c r="FFV520" s="379"/>
      <c r="FFW520" s="379"/>
      <c r="FFX520" s="379"/>
      <c r="FFY520" s="379"/>
      <c r="FFZ520" s="379"/>
      <c r="FGA520" s="13"/>
      <c r="FGB520" s="13"/>
      <c r="FGC520" s="193"/>
      <c r="FGD520" s="379"/>
      <c r="FGE520" s="379"/>
      <c r="FGF520" s="379"/>
      <c r="FGG520" s="379"/>
      <c r="FGH520" s="379"/>
      <c r="FGI520" s="13"/>
      <c r="FGJ520" s="13"/>
      <c r="FGK520" s="193"/>
      <c r="FGL520" s="379"/>
      <c r="FGM520" s="379"/>
      <c r="FGN520" s="379"/>
      <c r="FGO520" s="379"/>
      <c r="FGP520" s="379"/>
      <c r="FGQ520" s="13"/>
      <c r="FGR520" s="13"/>
      <c r="FGS520" s="193"/>
      <c r="FGT520" s="379"/>
      <c r="FGU520" s="379"/>
      <c r="FGV520" s="379"/>
      <c r="FGW520" s="379"/>
      <c r="FGX520" s="379"/>
      <c r="FGY520" s="13"/>
      <c r="FGZ520" s="13"/>
      <c r="FHA520" s="193"/>
      <c r="FHB520" s="379"/>
      <c r="FHC520" s="379"/>
      <c r="FHD520" s="379"/>
      <c r="FHE520" s="379"/>
      <c r="FHF520" s="379"/>
      <c r="FHG520" s="13"/>
      <c r="FHH520" s="13"/>
      <c r="FHI520" s="193"/>
      <c r="FHJ520" s="379"/>
      <c r="FHK520" s="379"/>
      <c r="FHL520" s="379"/>
      <c r="FHM520" s="379"/>
      <c r="FHN520" s="379"/>
      <c r="FHO520" s="13"/>
      <c r="FHP520" s="13"/>
      <c r="FHQ520" s="193"/>
      <c r="FHR520" s="379"/>
      <c r="FHS520" s="379"/>
      <c r="FHT520" s="379"/>
      <c r="FHU520" s="379"/>
      <c r="FHV520" s="379"/>
      <c r="FHW520" s="13"/>
      <c r="FHX520" s="13"/>
      <c r="FHY520" s="193"/>
      <c r="FHZ520" s="379"/>
      <c r="FIA520" s="379"/>
      <c r="FIB520" s="379"/>
      <c r="FIC520" s="379"/>
      <c r="FID520" s="379"/>
      <c r="FIE520" s="13"/>
      <c r="FIF520" s="13"/>
      <c r="FIG520" s="193"/>
      <c r="FIH520" s="379"/>
      <c r="FII520" s="379"/>
      <c r="FIJ520" s="379"/>
      <c r="FIK520" s="379"/>
      <c r="FIL520" s="379"/>
      <c r="FIM520" s="13"/>
      <c r="FIN520" s="13"/>
      <c r="FIO520" s="193"/>
      <c r="FIP520" s="379"/>
      <c r="FIQ520" s="379"/>
      <c r="FIR520" s="379"/>
      <c r="FIS520" s="379"/>
      <c r="FIT520" s="379"/>
      <c r="FIU520" s="13"/>
      <c r="FIV520" s="13"/>
      <c r="FIW520" s="193"/>
      <c r="FIX520" s="379"/>
      <c r="FIY520" s="379"/>
      <c r="FIZ520" s="379"/>
      <c r="FJA520" s="379"/>
      <c r="FJB520" s="379"/>
      <c r="FJC520" s="13"/>
      <c r="FJD520" s="13"/>
      <c r="FJE520" s="193"/>
      <c r="FJF520" s="379"/>
      <c r="FJG520" s="379"/>
      <c r="FJH520" s="379"/>
      <c r="FJI520" s="379"/>
      <c r="FJJ520" s="379"/>
      <c r="FJK520" s="13"/>
      <c r="FJL520" s="13"/>
      <c r="FJM520" s="193"/>
      <c r="FJN520" s="379"/>
      <c r="FJO520" s="379"/>
      <c r="FJP520" s="379"/>
      <c r="FJQ520" s="379"/>
      <c r="FJR520" s="379"/>
      <c r="FJS520" s="13"/>
      <c r="FJT520" s="13"/>
      <c r="FJU520" s="193"/>
      <c r="FJV520" s="379"/>
      <c r="FJW520" s="379"/>
      <c r="FJX520" s="379"/>
      <c r="FJY520" s="379"/>
      <c r="FJZ520" s="379"/>
      <c r="FKA520" s="13"/>
      <c r="FKB520" s="13"/>
      <c r="FKC520" s="193"/>
      <c r="FKD520" s="379"/>
      <c r="FKE520" s="379"/>
      <c r="FKF520" s="379"/>
      <c r="FKG520" s="379"/>
      <c r="FKH520" s="379"/>
      <c r="FKI520" s="13"/>
      <c r="FKJ520" s="13"/>
      <c r="FKK520" s="193"/>
      <c r="FKL520" s="379"/>
      <c r="FKM520" s="379"/>
      <c r="FKN520" s="379"/>
      <c r="FKO520" s="379"/>
      <c r="FKP520" s="379"/>
      <c r="FKQ520" s="13"/>
      <c r="FKR520" s="13"/>
      <c r="FKS520" s="193"/>
      <c r="FKT520" s="379"/>
      <c r="FKU520" s="379"/>
      <c r="FKV520" s="379"/>
      <c r="FKW520" s="379"/>
      <c r="FKX520" s="379"/>
      <c r="FKY520" s="13"/>
      <c r="FKZ520" s="13"/>
      <c r="FLA520" s="193"/>
      <c r="FLB520" s="379"/>
      <c r="FLC520" s="379"/>
      <c r="FLD520" s="379"/>
      <c r="FLE520" s="379"/>
      <c r="FLF520" s="379"/>
      <c r="FLG520" s="13"/>
      <c r="FLH520" s="13"/>
      <c r="FLI520" s="193"/>
      <c r="FLJ520" s="379"/>
      <c r="FLK520" s="379"/>
      <c r="FLL520" s="379"/>
      <c r="FLM520" s="379"/>
      <c r="FLN520" s="379"/>
      <c r="FLO520" s="13"/>
      <c r="FLP520" s="13"/>
      <c r="FLQ520" s="193"/>
      <c r="FLR520" s="379"/>
      <c r="FLS520" s="379"/>
      <c r="FLT520" s="379"/>
      <c r="FLU520" s="379"/>
      <c r="FLV520" s="379"/>
      <c r="FLW520" s="13"/>
      <c r="FLX520" s="13"/>
      <c r="FLY520" s="193"/>
      <c r="FLZ520" s="379"/>
      <c r="FMA520" s="379"/>
      <c r="FMB520" s="379"/>
      <c r="FMC520" s="379"/>
      <c r="FMD520" s="379"/>
      <c r="FME520" s="13"/>
      <c r="FMF520" s="13"/>
      <c r="FMG520" s="193"/>
      <c r="FMH520" s="379"/>
      <c r="FMI520" s="379"/>
      <c r="FMJ520" s="379"/>
      <c r="FMK520" s="379"/>
      <c r="FML520" s="379"/>
      <c r="FMM520" s="13"/>
      <c r="FMN520" s="13"/>
      <c r="FMO520" s="193"/>
      <c r="FMP520" s="379"/>
      <c r="FMQ520" s="379"/>
      <c r="FMR520" s="379"/>
      <c r="FMS520" s="379"/>
      <c r="FMT520" s="379"/>
      <c r="FMU520" s="13"/>
      <c r="FMV520" s="13"/>
      <c r="FMW520" s="193"/>
      <c r="FMX520" s="379"/>
      <c r="FMY520" s="379"/>
      <c r="FMZ520" s="379"/>
      <c r="FNA520" s="379"/>
      <c r="FNB520" s="379"/>
      <c r="FNC520" s="13"/>
      <c r="FND520" s="13"/>
      <c r="FNE520" s="193"/>
      <c r="FNF520" s="379"/>
      <c r="FNG520" s="379"/>
      <c r="FNH520" s="379"/>
      <c r="FNI520" s="379"/>
      <c r="FNJ520" s="379"/>
      <c r="FNK520" s="13"/>
      <c r="FNL520" s="13"/>
      <c r="FNM520" s="193"/>
      <c r="FNN520" s="379"/>
      <c r="FNO520" s="379"/>
      <c r="FNP520" s="379"/>
      <c r="FNQ520" s="379"/>
      <c r="FNR520" s="379"/>
      <c r="FNS520" s="13"/>
      <c r="FNT520" s="13"/>
      <c r="FNU520" s="193"/>
      <c r="FNV520" s="379"/>
      <c r="FNW520" s="379"/>
      <c r="FNX520" s="379"/>
      <c r="FNY520" s="379"/>
      <c r="FNZ520" s="379"/>
      <c r="FOA520" s="13"/>
      <c r="FOB520" s="13"/>
      <c r="FOC520" s="193"/>
      <c r="FOD520" s="379"/>
      <c r="FOE520" s="379"/>
      <c r="FOF520" s="379"/>
      <c r="FOG520" s="379"/>
      <c r="FOH520" s="379"/>
      <c r="FOI520" s="13"/>
      <c r="FOJ520" s="13"/>
      <c r="FOK520" s="193"/>
      <c r="FOL520" s="379"/>
      <c r="FOM520" s="379"/>
      <c r="FON520" s="379"/>
      <c r="FOO520" s="379"/>
      <c r="FOP520" s="379"/>
      <c r="FOQ520" s="13"/>
      <c r="FOR520" s="13"/>
      <c r="FOS520" s="193"/>
      <c r="FOT520" s="379"/>
      <c r="FOU520" s="379"/>
      <c r="FOV520" s="379"/>
      <c r="FOW520" s="379"/>
      <c r="FOX520" s="379"/>
      <c r="FOY520" s="13"/>
      <c r="FOZ520" s="13"/>
      <c r="FPA520" s="193"/>
      <c r="FPB520" s="379"/>
      <c r="FPC520" s="379"/>
      <c r="FPD520" s="379"/>
      <c r="FPE520" s="379"/>
      <c r="FPF520" s="379"/>
      <c r="FPG520" s="13"/>
      <c r="FPH520" s="13"/>
      <c r="FPI520" s="193"/>
      <c r="FPJ520" s="379"/>
      <c r="FPK520" s="379"/>
      <c r="FPL520" s="379"/>
      <c r="FPM520" s="379"/>
      <c r="FPN520" s="379"/>
      <c r="FPO520" s="13"/>
      <c r="FPP520" s="13"/>
      <c r="FPQ520" s="193"/>
      <c r="FPR520" s="379"/>
      <c r="FPS520" s="379"/>
      <c r="FPT520" s="379"/>
      <c r="FPU520" s="379"/>
      <c r="FPV520" s="379"/>
      <c r="FPW520" s="13"/>
      <c r="FPX520" s="13"/>
      <c r="FPY520" s="193"/>
      <c r="FPZ520" s="379"/>
      <c r="FQA520" s="379"/>
      <c r="FQB520" s="379"/>
      <c r="FQC520" s="379"/>
      <c r="FQD520" s="379"/>
      <c r="FQE520" s="13"/>
      <c r="FQF520" s="13"/>
      <c r="FQG520" s="193"/>
      <c r="FQH520" s="379"/>
      <c r="FQI520" s="379"/>
      <c r="FQJ520" s="379"/>
      <c r="FQK520" s="379"/>
      <c r="FQL520" s="379"/>
      <c r="FQM520" s="13"/>
      <c r="FQN520" s="13"/>
      <c r="FQO520" s="193"/>
      <c r="FQP520" s="379"/>
      <c r="FQQ520" s="379"/>
      <c r="FQR520" s="379"/>
      <c r="FQS520" s="379"/>
      <c r="FQT520" s="379"/>
      <c r="FQU520" s="13"/>
      <c r="FQV520" s="13"/>
      <c r="FQW520" s="193"/>
      <c r="FQX520" s="379"/>
      <c r="FQY520" s="379"/>
      <c r="FQZ520" s="379"/>
      <c r="FRA520" s="379"/>
      <c r="FRB520" s="379"/>
      <c r="FRC520" s="13"/>
      <c r="FRD520" s="13"/>
      <c r="FRE520" s="193"/>
      <c r="FRF520" s="379"/>
      <c r="FRG520" s="379"/>
      <c r="FRH520" s="379"/>
      <c r="FRI520" s="379"/>
      <c r="FRJ520" s="379"/>
      <c r="FRK520" s="13"/>
      <c r="FRL520" s="13"/>
      <c r="FRM520" s="193"/>
      <c r="FRN520" s="379"/>
      <c r="FRO520" s="379"/>
      <c r="FRP520" s="379"/>
      <c r="FRQ520" s="379"/>
      <c r="FRR520" s="379"/>
      <c r="FRS520" s="13"/>
      <c r="FRT520" s="13"/>
      <c r="FRU520" s="193"/>
      <c r="FRV520" s="379"/>
      <c r="FRW520" s="379"/>
      <c r="FRX520" s="379"/>
      <c r="FRY520" s="379"/>
      <c r="FRZ520" s="379"/>
      <c r="FSA520" s="13"/>
      <c r="FSB520" s="13"/>
      <c r="FSC520" s="193"/>
      <c r="FSD520" s="379"/>
      <c r="FSE520" s="379"/>
      <c r="FSF520" s="379"/>
      <c r="FSG520" s="379"/>
      <c r="FSH520" s="379"/>
      <c r="FSI520" s="13"/>
      <c r="FSJ520" s="13"/>
      <c r="FSK520" s="193"/>
      <c r="FSL520" s="379"/>
      <c r="FSM520" s="379"/>
      <c r="FSN520" s="379"/>
      <c r="FSO520" s="379"/>
      <c r="FSP520" s="379"/>
      <c r="FSQ520" s="13"/>
      <c r="FSR520" s="13"/>
      <c r="FSS520" s="193"/>
      <c r="FST520" s="379"/>
      <c r="FSU520" s="379"/>
      <c r="FSV520" s="379"/>
      <c r="FSW520" s="379"/>
      <c r="FSX520" s="379"/>
      <c r="FSY520" s="13"/>
      <c r="FSZ520" s="13"/>
      <c r="FTA520" s="193"/>
      <c r="FTB520" s="379"/>
      <c r="FTC520" s="379"/>
      <c r="FTD520" s="379"/>
      <c r="FTE520" s="379"/>
      <c r="FTF520" s="379"/>
      <c r="FTG520" s="13"/>
      <c r="FTH520" s="13"/>
      <c r="FTI520" s="193"/>
      <c r="FTJ520" s="379"/>
      <c r="FTK520" s="379"/>
      <c r="FTL520" s="379"/>
      <c r="FTM520" s="379"/>
      <c r="FTN520" s="379"/>
      <c r="FTO520" s="13"/>
      <c r="FTP520" s="13"/>
      <c r="FTQ520" s="193"/>
      <c r="FTR520" s="379"/>
      <c r="FTS520" s="379"/>
      <c r="FTT520" s="379"/>
      <c r="FTU520" s="379"/>
      <c r="FTV520" s="379"/>
      <c r="FTW520" s="13"/>
      <c r="FTX520" s="13"/>
      <c r="FTY520" s="193"/>
      <c r="FTZ520" s="379"/>
      <c r="FUA520" s="379"/>
      <c r="FUB520" s="379"/>
      <c r="FUC520" s="379"/>
      <c r="FUD520" s="379"/>
      <c r="FUE520" s="13"/>
      <c r="FUF520" s="13"/>
      <c r="FUG520" s="193"/>
      <c r="FUH520" s="379"/>
      <c r="FUI520" s="379"/>
      <c r="FUJ520" s="379"/>
      <c r="FUK520" s="379"/>
      <c r="FUL520" s="379"/>
      <c r="FUM520" s="13"/>
      <c r="FUN520" s="13"/>
      <c r="FUO520" s="193"/>
      <c r="FUP520" s="379"/>
      <c r="FUQ520" s="379"/>
      <c r="FUR520" s="379"/>
      <c r="FUS520" s="379"/>
      <c r="FUT520" s="379"/>
      <c r="FUU520" s="13"/>
      <c r="FUV520" s="13"/>
      <c r="FUW520" s="193"/>
      <c r="FUX520" s="379"/>
      <c r="FUY520" s="379"/>
      <c r="FUZ520" s="379"/>
      <c r="FVA520" s="379"/>
      <c r="FVB520" s="379"/>
      <c r="FVC520" s="13"/>
      <c r="FVD520" s="13"/>
      <c r="FVE520" s="193"/>
      <c r="FVF520" s="379"/>
      <c r="FVG520" s="379"/>
      <c r="FVH520" s="379"/>
      <c r="FVI520" s="379"/>
      <c r="FVJ520" s="379"/>
      <c r="FVK520" s="13"/>
      <c r="FVL520" s="13"/>
      <c r="FVM520" s="193"/>
      <c r="FVN520" s="379"/>
      <c r="FVO520" s="379"/>
      <c r="FVP520" s="379"/>
      <c r="FVQ520" s="379"/>
      <c r="FVR520" s="379"/>
      <c r="FVS520" s="13"/>
      <c r="FVT520" s="13"/>
      <c r="FVU520" s="193"/>
      <c r="FVV520" s="379"/>
      <c r="FVW520" s="379"/>
      <c r="FVX520" s="379"/>
      <c r="FVY520" s="379"/>
      <c r="FVZ520" s="379"/>
      <c r="FWA520" s="13"/>
      <c r="FWB520" s="13"/>
      <c r="FWC520" s="193"/>
      <c r="FWD520" s="379"/>
      <c r="FWE520" s="379"/>
      <c r="FWF520" s="379"/>
      <c r="FWG520" s="379"/>
      <c r="FWH520" s="379"/>
      <c r="FWI520" s="13"/>
      <c r="FWJ520" s="13"/>
      <c r="FWK520" s="193"/>
      <c r="FWL520" s="379"/>
      <c r="FWM520" s="379"/>
      <c r="FWN520" s="379"/>
      <c r="FWO520" s="379"/>
      <c r="FWP520" s="379"/>
      <c r="FWQ520" s="13"/>
      <c r="FWR520" s="13"/>
      <c r="FWS520" s="193"/>
      <c r="FWT520" s="379"/>
      <c r="FWU520" s="379"/>
      <c r="FWV520" s="379"/>
      <c r="FWW520" s="379"/>
      <c r="FWX520" s="379"/>
      <c r="FWY520" s="13"/>
      <c r="FWZ520" s="13"/>
      <c r="FXA520" s="193"/>
      <c r="FXB520" s="379"/>
      <c r="FXC520" s="379"/>
      <c r="FXD520" s="379"/>
      <c r="FXE520" s="379"/>
      <c r="FXF520" s="379"/>
      <c r="FXG520" s="13"/>
      <c r="FXH520" s="13"/>
      <c r="FXI520" s="193"/>
      <c r="FXJ520" s="379"/>
      <c r="FXK520" s="379"/>
      <c r="FXL520" s="379"/>
      <c r="FXM520" s="379"/>
      <c r="FXN520" s="379"/>
      <c r="FXO520" s="13"/>
      <c r="FXP520" s="13"/>
      <c r="FXQ520" s="193"/>
      <c r="FXR520" s="379"/>
      <c r="FXS520" s="379"/>
      <c r="FXT520" s="379"/>
      <c r="FXU520" s="379"/>
      <c r="FXV520" s="379"/>
      <c r="FXW520" s="13"/>
      <c r="FXX520" s="13"/>
      <c r="FXY520" s="193"/>
      <c r="FXZ520" s="379"/>
      <c r="FYA520" s="379"/>
      <c r="FYB520" s="379"/>
      <c r="FYC520" s="379"/>
      <c r="FYD520" s="379"/>
      <c r="FYE520" s="13"/>
      <c r="FYF520" s="13"/>
      <c r="FYG520" s="193"/>
      <c r="FYH520" s="379"/>
      <c r="FYI520" s="379"/>
      <c r="FYJ520" s="379"/>
      <c r="FYK520" s="379"/>
      <c r="FYL520" s="379"/>
      <c r="FYM520" s="13"/>
      <c r="FYN520" s="13"/>
      <c r="FYO520" s="193"/>
      <c r="FYP520" s="379"/>
      <c r="FYQ520" s="379"/>
      <c r="FYR520" s="379"/>
      <c r="FYS520" s="379"/>
      <c r="FYT520" s="379"/>
      <c r="FYU520" s="13"/>
      <c r="FYV520" s="13"/>
      <c r="FYW520" s="193"/>
      <c r="FYX520" s="379"/>
      <c r="FYY520" s="379"/>
      <c r="FYZ520" s="379"/>
      <c r="FZA520" s="379"/>
      <c r="FZB520" s="379"/>
      <c r="FZC520" s="13"/>
      <c r="FZD520" s="13"/>
      <c r="FZE520" s="193"/>
      <c r="FZF520" s="379"/>
      <c r="FZG520" s="379"/>
      <c r="FZH520" s="379"/>
      <c r="FZI520" s="379"/>
      <c r="FZJ520" s="379"/>
      <c r="FZK520" s="13"/>
      <c r="FZL520" s="13"/>
      <c r="FZM520" s="193"/>
      <c r="FZN520" s="379"/>
      <c r="FZO520" s="379"/>
      <c r="FZP520" s="379"/>
      <c r="FZQ520" s="379"/>
      <c r="FZR520" s="379"/>
      <c r="FZS520" s="13"/>
      <c r="FZT520" s="13"/>
      <c r="FZU520" s="193"/>
      <c r="FZV520" s="379"/>
      <c r="FZW520" s="379"/>
      <c r="FZX520" s="379"/>
      <c r="FZY520" s="379"/>
      <c r="FZZ520" s="379"/>
      <c r="GAA520" s="13"/>
      <c r="GAB520" s="13"/>
      <c r="GAC520" s="193"/>
      <c r="GAD520" s="379"/>
      <c r="GAE520" s="379"/>
      <c r="GAF520" s="379"/>
      <c r="GAG520" s="379"/>
      <c r="GAH520" s="379"/>
      <c r="GAI520" s="13"/>
      <c r="GAJ520" s="13"/>
      <c r="GAK520" s="193"/>
      <c r="GAL520" s="379"/>
      <c r="GAM520" s="379"/>
      <c r="GAN520" s="379"/>
      <c r="GAO520" s="379"/>
      <c r="GAP520" s="379"/>
      <c r="GAQ520" s="13"/>
      <c r="GAR520" s="13"/>
      <c r="GAS520" s="193"/>
      <c r="GAT520" s="379"/>
      <c r="GAU520" s="379"/>
      <c r="GAV520" s="379"/>
      <c r="GAW520" s="379"/>
      <c r="GAX520" s="379"/>
      <c r="GAY520" s="13"/>
      <c r="GAZ520" s="13"/>
      <c r="GBA520" s="193"/>
      <c r="GBB520" s="379"/>
      <c r="GBC520" s="379"/>
      <c r="GBD520" s="379"/>
      <c r="GBE520" s="379"/>
      <c r="GBF520" s="379"/>
      <c r="GBG520" s="13"/>
      <c r="GBH520" s="13"/>
      <c r="GBI520" s="193"/>
      <c r="GBJ520" s="379"/>
      <c r="GBK520" s="379"/>
      <c r="GBL520" s="379"/>
      <c r="GBM520" s="379"/>
      <c r="GBN520" s="379"/>
      <c r="GBO520" s="13"/>
      <c r="GBP520" s="13"/>
      <c r="GBQ520" s="193"/>
      <c r="GBR520" s="379"/>
      <c r="GBS520" s="379"/>
      <c r="GBT520" s="379"/>
      <c r="GBU520" s="379"/>
      <c r="GBV520" s="379"/>
      <c r="GBW520" s="13"/>
      <c r="GBX520" s="13"/>
      <c r="GBY520" s="193"/>
      <c r="GBZ520" s="379"/>
      <c r="GCA520" s="379"/>
      <c r="GCB520" s="379"/>
      <c r="GCC520" s="379"/>
      <c r="GCD520" s="379"/>
      <c r="GCE520" s="13"/>
      <c r="GCF520" s="13"/>
      <c r="GCG520" s="193"/>
      <c r="GCH520" s="379"/>
      <c r="GCI520" s="379"/>
      <c r="GCJ520" s="379"/>
      <c r="GCK520" s="379"/>
      <c r="GCL520" s="379"/>
      <c r="GCM520" s="13"/>
      <c r="GCN520" s="13"/>
      <c r="GCO520" s="193"/>
      <c r="GCP520" s="379"/>
      <c r="GCQ520" s="379"/>
      <c r="GCR520" s="379"/>
      <c r="GCS520" s="379"/>
      <c r="GCT520" s="379"/>
      <c r="GCU520" s="13"/>
      <c r="GCV520" s="13"/>
      <c r="GCW520" s="193"/>
      <c r="GCX520" s="379"/>
      <c r="GCY520" s="379"/>
      <c r="GCZ520" s="379"/>
      <c r="GDA520" s="379"/>
      <c r="GDB520" s="379"/>
      <c r="GDC520" s="13"/>
      <c r="GDD520" s="13"/>
      <c r="GDE520" s="193"/>
      <c r="GDF520" s="379"/>
      <c r="GDG520" s="379"/>
      <c r="GDH520" s="379"/>
      <c r="GDI520" s="379"/>
      <c r="GDJ520" s="379"/>
      <c r="GDK520" s="13"/>
      <c r="GDL520" s="13"/>
      <c r="GDM520" s="193"/>
      <c r="GDN520" s="379"/>
      <c r="GDO520" s="379"/>
      <c r="GDP520" s="379"/>
      <c r="GDQ520" s="379"/>
      <c r="GDR520" s="379"/>
      <c r="GDS520" s="13"/>
      <c r="GDT520" s="13"/>
      <c r="GDU520" s="193"/>
      <c r="GDV520" s="379"/>
      <c r="GDW520" s="379"/>
      <c r="GDX520" s="379"/>
      <c r="GDY520" s="379"/>
      <c r="GDZ520" s="379"/>
      <c r="GEA520" s="13"/>
      <c r="GEB520" s="13"/>
      <c r="GEC520" s="193"/>
      <c r="GED520" s="379"/>
      <c r="GEE520" s="379"/>
      <c r="GEF520" s="379"/>
      <c r="GEG520" s="379"/>
      <c r="GEH520" s="379"/>
      <c r="GEI520" s="13"/>
      <c r="GEJ520" s="13"/>
      <c r="GEK520" s="193"/>
      <c r="GEL520" s="379"/>
      <c r="GEM520" s="379"/>
      <c r="GEN520" s="379"/>
      <c r="GEO520" s="379"/>
      <c r="GEP520" s="379"/>
      <c r="GEQ520" s="13"/>
      <c r="GER520" s="13"/>
      <c r="GES520" s="193"/>
      <c r="GET520" s="379"/>
      <c r="GEU520" s="379"/>
      <c r="GEV520" s="379"/>
      <c r="GEW520" s="379"/>
      <c r="GEX520" s="379"/>
      <c r="GEY520" s="13"/>
      <c r="GEZ520" s="13"/>
      <c r="GFA520" s="193"/>
      <c r="GFB520" s="379"/>
      <c r="GFC520" s="379"/>
      <c r="GFD520" s="379"/>
      <c r="GFE520" s="379"/>
      <c r="GFF520" s="379"/>
      <c r="GFG520" s="13"/>
      <c r="GFH520" s="13"/>
      <c r="GFI520" s="193"/>
      <c r="GFJ520" s="379"/>
      <c r="GFK520" s="379"/>
      <c r="GFL520" s="379"/>
      <c r="GFM520" s="379"/>
      <c r="GFN520" s="379"/>
      <c r="GFO520" s="13"/>
      <c r="GFP520" s="13"/>
      <c r="GFQ520" s="193"/>
      <c r="GFR520" s="379"/>
      <c r="GFS520" s="379"/>
      <c r="GFT520" s="379"/>
      <c r="GFU520" s="379"/>
      <c r="GFV520" s="379"/>
      <c r="GFW520" s="13"/>
      <c r="GFX520" s="13"/>
      <c r="GFY520" s="193"/>
      <c r="GFZ520" s="379"/>
      <c r="GGA520" s="379"/>
      <c r="GGB520" s="379"/>
      <c r="GGC520" s="379"/>
      <c r="GGD520" s="379"/>
      <c r="GGE520" s="13"/>
      <c r="GGF520" s="13"/>
      <c r="GGG520" s="193"/>
      <c r="GGH520" s="379"/>
      <c r="GGI520" s="379"/>
      <c r="GGJ520" s="379"/>
      <c r="GGK520" s="379"/>
      <c r="GGL520" s="379"/>
      <c r="GGM520" s="13"/>
      <c r="GGN520" s="13"/>
      <c r="GGO520" s="193"/>
      <c r="GGP520" s="379"/>
      <c r="GGQ520" s="379"/>
      <c r="GGR520" s="379"/>
      <c r="GGS520" s="379"/>
      <c r="GGT520" s="379"/>
      <c r="GGU520" s="13"/>
      <c r="GGV520" s="13"/>
      <c r="GGW520" s="193"/>
      <c r="GGX520" s="379"/>
      <c r="GGY520" s="379"/>
      <c r="GGZ520" s="379"/>
      <c r="GHA520" s="379"/>
      <c r="GHB520" s="379"/>
      <c r="GHC520" s="13"/>
      <c r="GHD520" s="13"/>
      <c r="GHE520" s="193"/>
      <c r="GHF520" s="379"/>
      <c r="GHG520" s="379"/>
      <c r="GHH520" s="379"/>
      <c r="GHI520" s="379"/>
      <c r="GHJ520" s="379"/>
      <c r="GHK520" s="13"/>
      <c r="GHL520" s="13"/>
      <c r="GHM520" s="193"/>
      <c r="GHN520" s="379"/>
      <c r="GHO520" s="379"/>
      <c r="GHP520" s="379"/>
      <c r="GHQ520" s="379"/>
      <c r="GHR520" s="379"/>
      <c r="GHS520" s="13"/>
      <c r="GHT520" s="13"/>
      <c r="GHU520" s="193"/>
      <c r="GHV520" s="379"/>
      <c r="GHW520" s="379"/>
      <c r="GHX520" s="379"/>
      <c r="GHY520" s="379"/>
      <c r="GHZ520" s="379"/>
      <c r="GIA520" s="13"/>
      <c r="GIB520" s="13"/>
      <c r="GIC520" s="193"/>
      <c r="GID520" s="379"/>
      <c r="GIE520" s="379"/>
      <c r="GIF520" s="379"/>
      <c r="GIG520" s="379"/>
      <c r="GIH520" s="379"/>
      <c r="GII520" s="13"/>
      <c r="GIJ520" s="13"/>
      <c r="GIK520" s="193"/>
      <c r="GIL520" s="379"/>
      <c r="GIM520" s="379"/>
      <c r="GIN520" s="379"/>
      <c r="GIO520" s="379"/>
      <c r="GIP520" s="379"/>
      <c r="GIQ520" s="13"/>
      <c r="GIR520" s="13"/>
      <c r="GIS520" s="193"/>
      <c r="GIT520" s="379"/>
      <c r="GIU520" s="379"/>
      <c r="GIV520" s="379"/>
      <c r="GIW520" s="379"/>
      <c r="GIX520" s="379"/>
      <c r="GIY520" s="13"/>
      <c r="GIZ520" s="13"/>
      <c r="GJA520" s="193"/>
      <c r="GJB520" s="379"/>
      <c r="GJC520" s="379"/>
      <c r="GJD520" s="379"/>
      <c r="GJE520" s="379"/>
      <c r="GJF520" s="379"/>
      <c r="GJG520" s="13"/>
      <c r="GJH520" s="13"/>
      <c r="GJI520" s="193"/>
      <c r="GJJ520" s="379"/>
      <c r="GJK520" s="379"/>
      <c r="GJL520" s="379"/>
      <c r="GJM520" s="379"/>
      <c r="GJN520" s="379"/>
      <c r="GJO520" s="13"/>
      <c r="GJP520" s="13"/>
      <c r="GJQ520" s="193"/>
      <c r="GJR520" s="379"/>
      <c r="GJS520" s="379"/>
      <c r="GJT520" s="379"/>
      <c r="GJU520" s="379"/>
      <c r="GJV520" s="379"/>
      <c r="GJW520" s="13"/>
      <c r="GJX520" s="13"/>
      <c r="GJY520" s="193"/>
      <c r="GJZ520" s="379"/>
      <c r="GKA520" s="379"/>
      <c r="GKB520" s="379"/>
      <c r="GKC520" s="379"/>
      <c r="GKD520" s="379"/>
      <c r="GKE520" s="13"/>
      <c r="GKF520" s="13"/>
      <c r="GKG520" s="193"/>
      <c r="GKH520" s="379"/>
      <c r="GKI520" s="379"/>
      <c r="GKJ520" s="379"/>
      <c r="GKK520" s="379"/>
      <c r="GKL520" s="379"/>
      <c r="GKM520" s="13"/>
      <c r="GKN520" s="13"/>
      <c r="GKO520" s="193"/>
      <c r="GKP520" s="379"/>
      <c r="GKQ520" s="379"/>
      <c r="GKR520" s="379"/>
      <c r="GKS520" s="379"/>
      <c r="GKT520" s="379"/>
      <c r="GKU520" s="13"/>
      <c r="GKV520" s="13"/>
      <c r="GKW520" s="193"/>
      <c r="GKX520" s="379"/>
      <c r="GKY520" s="379"/>
      <c r="GKZ520" s="379"/>
      <c r="GLA520" s="379"/>
      <c r="GLB520" s="379"/>
      <c r="GLC520" s="13"/>
      <c r="GLD520" s="13"/>
      <c r="GLE520" s="193"/>
      <c r="GLF520" s="379"/>
      <c r="GLG520" s="379"/>
      <c r="GLH520" s="379"/>
      <c r="GLI520" s="379"/>
      <c r="GLJ520" s="379"/>
      <c r="GLK520" s="13"/>
      <c r="GLL520" s="13"/>
      <c r="GLM520" s="193"/>
      <c r="GLN520" s="379"/>
      <c r="GLO520" s="379"/>
      <c r="GLP520" s="379"/>
      <c r="GLQ520" s="379"/>
      <c r="GLR520" s="379"/>
      <c r="GLS520" s="13"/>
      <c r="GLT520" s="13"/>
      <c r="GLU520" s="193"/>
      <c r="GLV520" s="379"/>
      <c r="GLW520" s="379"/>
      <c r="GLX520" s="379"/>
      <c r="GLY520" s="379"/>
      <c r="GLZ520" s="379"/>
      <c r="GMA520" s="13"/>
      <c r="GMB520" s="13"/>
      <c r="GMC520" s="193"/>
      <c r="GMD520" s="379"/>
      <c r="GME520" s="379"/>
      <c r="GMF520" s="379"/>
      <c r="GMG520" s="379"/>
      <c r="GMH520" s="379"/>
      <c r="GMI520" s="13"/>
      <c r="GMJ520" s="13"/>
      <c r="GMK520" s="193"/>
      <c r="GML520" s="379"/>
      <c r="GMM520" s="379"/>
      <c r="GMN520" s="379"/>
      <c r="GMO520" s="379"/>
      <c r="GMP520" s="379"/>
      <c r="GMQ520" s="13"/>
      <c r="GMR520" s="13"/>
      <c r="GMS520" s="193"/>
      <c r="GMT520" s="379"/>
      <c r="GMU520" s="379"/>
      <c r="GMV520" s="379"/>
      <c r="GMW520" s="379"/>
      <c r="GMX520" s="379"/>
      <c r="GMY520" s="13"/>
      <c r="GMZ520" s="13"/>
      <c r="GNA520" s="193"/>
      <c r="GNB520" s="379"/>
      <c r="GNC520" s="379"/>
      <c r="GND520" s="379"/>
      <c r="GNE520" s="379"/>
      <c r="GNF520" s="379"/>
      <c r="GNG520" s="13"/>
      <c r="GNH520" s="13"/>
      <c r="GNI520" s="193"/>
      <c r="GNJ520" s="379"/>
      <c r="GNK520" s="379"/>
      <c r="GNL520" s="379"/>
      <c r="GNM520" s="379"/>
      <c r="GNN520" s="379"/>
      <c r="GNO520" s="13"/>
      <c r="GNP520" s="13"/>
      <c r="GNQ520" s="193"/>
      <c r="GNR520" s="379"/>
      <c r="GNS520" s="379"/>
      <c r="GNT520" s="379"/>
      <c r="GNU520" s="379"/>
      <c r="GNV520" s="379"/>
      <c r="GNW520" s="13"/>
      <c r="GNX520" s="13"/>
      <c r="GNY520" s="193"/>
      <c r="GNZ520" s="379"/>
      <c r="GOA520" s="379"/>
      <c r="GOB520" s="379"/>
      <c r="GOC520" s="379"/>
      <c r="GOD520" s="379"/>
      <c r="GOE520" s="13"/>
      <c r="GOF520" s="13"/>
      <c r="GOG520" s="193"/>
      <c r="GOH520" s="379"/>
      <c r="GOI520" s="379"/>
      <c r="GOJ520" s="379"/>
      <c r="GOK520" s="379"/>
      <c r="GOL520" s="379"/>
      <c r="GOM520" s="13"/>
      <c r="GON520" s="13"/>
      <c r="GOO520" s="193"/>
      <c r="GOP520" s="379"/>
      <c r="GOQ520" s="379"/>
      <c r="GOR520" s="379"/>
      <c r="GOS520" s="379"/>
      <c r="GOT520" s="379"/>
      <c r="GOU520" s="13"/>
      <c r="GOV520" s="13"/>
      <c r="GOW520" s="193"/>
      <c r="GOX520" s="379"/>
      <c r="GOY520" s="379"/>
      <c r="GOZ520" s="379"/>
      <c r="GPA520" s="379"/>
      <c r="GPB520" s="379"/>
      <c r="GPC520" s="13"/>
      <c r="GPD520" s="13"/>
      <c r="GPE520" s="193"/>
      <c r="GPF520" s="379"/>
      <c r="GPG520" s="379"/>
      <c r="GPH520" s="379"/>
      <c r="GPI520" s="379"/>
      <c r="GPJ520" s="379"/>
      <c r="GPK520" s="13"/>
      <c r="GPL520" s="13"/>
      <c r="GPM520" s="193"/>
      <c r="GPN520" s="379"/>
      <c r="GPO520" s="379"/>
      <c r="GPP520" s="379"/>
      <c r="GPQ520" s="379"/>
      <c r="GPR520" s="379"/>
      <c r="GPS520" s="13"/>
      <c r="GPT520" s="13"/>
      <c r="GPU520" s="193"/>
      <c r="GPV520" s="379"/>
      <c r="GPW520" s="379"/>
      <c r="GPX520" s="379"/>
      <c r="GPY520" s="379"/>
      <c r="GPZ520" s="379"/>
      <c r="GQA520" s="13"/>
      <c r="GQB520" s="13"/>
      <c r="GQC520" s="193"/>
      <c r="GQD520" s="379"/>
      <c r="GQE520" s="379"/>
      <c r="GQF520" s="379"/>
      <c r="GQG520" s="379"/>
      <c r="GQH520" s="379"/>
      <c r="GQI520" s="13"/>
      <c r="GQJ520" s="13"/>
      <c r="GQK520" s="193"/>
      <c r="GQL520" s="379"/>
      <c r="GQM520" s="379"/>
      <c r="GQN520" s="379"/>
      <c r="GQO520" s="379"/>
      <c r="GQP520" s="379"/>
      <c r="GQQ520" s="13"/>
      <c r="GQR520" s="13"/>
      <c r="GQS520" s="193"/>
      <c r="GQT520" s="379"/>
      <c r="GQU520" s="379"/>
      <c r="GQV520" s="379"/>
      <c r="GQW520" s="379"/>
      <c r="GQX520" s="379"/>
      <c r="GQY520" s="13"/>
      <c r="GQZ520" s="13"/>
      <c r="GRA520" s="193"/>
      <c r="GRB520" s="379"/>
      <c r="GRC520" s="379"/>
      <c r="GRD520" s="379"/>
      <c r="GRE520" s="379"/>
      <c r="GRF520" s="379"/>
      <c r="GRG520" s="13"/>
      <c r="GRH520" s="13"/>
      <c r="GRI520" s="193"/>
      <c r="GRJ520" s="379"/>
      <c r="GRK520" s="379"/>
      <c r="GRL520" s="379"/>
      <c r="GRM520" s="379"/>
      <c r="GRN520" s="379"/>
      <c r="GRO520" s="13"/>
      <c r="GRP520" s="13"/>
      <c r="GRQ520" s="193"/>
      <c r="GRR520" s="379"/>
      <c r="GRS520" s="379"/>
      <c r="GRT520" s="379"/>
      <c r="GRU520" s="379"/>
      <c r="GRV520" s="379"/>
      <c r="GRW520" s="13"/>
      <c r="GRX520" s="13"/>
      <c r="GRY520" s="193"/>
      <c r="GRZ520" s="379"/>
      <c r="GSA520" s="379"/>
      <c r="GSB520" s="379"/>
      <c r="GSC520" s="379"/>
      <c r="GSD520" s="379"/>
      <c r="GSE520" s="13"/>
      <c r="GSF520" s="13"/>
      <c r="GSG520" s="193"/>
      <c r="GSH520" s="379"/>
      <c r="GSI520" s="379"/>
      <c r="GSJ520" s="379"/>
      <c r="GSK520" s="379"/>
      <c r="GSL520" s="379"/>
      <c r="GSM520" s="13"/>
      <c r="GSN520" s="13"/>
      <c r="GSO520" s="193"/>
      <c r="GSP520" s="379"/>
      <c r="GSQ520" s="379"/>
      <c r="GSR520" s="379"/>
      <c r="GSS520" s="379"/>
      <c r="GST520" s="379"/>
      <c r="GSU520" s="13"/>
      <c r="GSV520" s="13"/>
      <c r="GSW520" s="193"/>
      <c r="GSX520" s="379"/>
      <c r="GSY520" s="379"/>
      <c r="GSZ520" s="379"/>
      <c r="GTA520" s="379"/>
      <c r="GTB520" s="379"/>
      <c r="GTC520" s="13"/>
      <c r="GTD520" s="13"/>
      <c r="GTE520" s="193"/>
      <c r="GTF520" s="379"/>
      <c r="GTG520" s="379"/>
      <c r="GTH520" s="379"/>
      <c r="GTI520" s="379"/>
      <c r="GTJ520" s="379"/>
      <c r="GTK520" s="13"/>
      <c r="GTL520" s="13"/>
      <c r="GTM520" s="193"/>
      <c r="GTN520" s="379"/>
      <c r="GTO520" s="379"/>
      <c r="GTP520" s="379"/>
      <c r="GTQ520" s="379"/>
      <c r="GTR520" s="379"/>
      <c r="GTS520" s="13"/>
      <c r="GTT520" s="13"/>
      <c r="GTU520" s="193"/>
      <c r="GTV520" s="379"/>
      <c r="GTW520" s="379"/>
      <c r="GTX520" s="379"/>
      <c r="GTY520" s="379"/>
      <c r="GTZ520" s="379"/>
      <c r="GUA520" s="13"/>
      <c r="GUB520" s="13"/>
      <c r="GUC520" s="193"/>
      <c r="GUD520" s="379"/>
      <c r="GUE520" s="379"/>
      <c r="GUF520" s="379"/>
      <c r="GUG520" s="379"/>
      <c r="GUH520" s="379"/>
      <c r="GUI520" s="13"/>
      <c r="GUJ520" s="13"/>
      <c r="GUK520" s="193"/>
      <c r="GUL520" s="379"/>
      <c r="GUM520" s="379"/>
      <c r="GUN520" s="379"/>
      <c r="GUO520" s="379"/>
      <c r="GUP520" s="379"/>
      <c r="GUQ520" s="13"/>
      <c r="GUR520" s="13"/>
      <c r="GUS520" s="193"/>
      <c r="GUT520" s="379"/>
      <c r="GUU520" s="379"/>
      <c r="GUV520" s="379"/>
      <c r="GUW520" s="379"/>
      <c r="GUX520" s="379"/>
      <c r="GUY520" s="13"/>
      <c r="GUZ520" s="13"/>
      <c r="GVA520" s="193"/>
      <c r="GVB520" s="379"/>
      <c r="GVC520" s="379"/>
      <c r="GVD520" s="379"/>
      <c r="GVE520" s="379"/>
      <c r="GVF520" s="379"/>
      <c r="GVG520" s="13"/>
      <c r="GVH520" s="13"/>
      <c r="GVI520" s="193"/>
      <c r="GVJ520" s="379"/>
      <c r="GVK520" s="379"/>
      <c r="GVL520" s="379"/>
      <c r="GVM520" s="379"/>
      <c r="GVN520" s="379"/>
      <c r="GVO520" s="13"/>
      <c r="GVP520" s="13"/>
      <c r="GVQ520" s="193"/>
      <c r="GVR520" s="379"/>
      <c r="GVS520" s="379"/>
      <c r="GVT520" s="379"/>
      <c r="GVU520" s="379"/>
      <c r="GVV520" s="379"/>
      <c r="GVW520" s="13"/>
      <c r="GVX520" s="13"/>
      <c r="GVY520" s="193"/>
      <c r="GVZ520" s="379"/>
      <c r="GWA520" s="379"/>
      <c r="GWB520" s="379"/>
      <c r="GWC520" s="379"/>
      <c r="GWD520" s="379"/>
      <c r="GWE520" s="13"/>
      <c r="GWF520" s="13"/>
      <c r="GWG520" s="193"/>
      <c r="GWH520" s="379"/>
      <c r="GWI520" s="379"/>
      <c r="GWJ520" s="379"/>
      <c r="GWK520" s="379"/>
      <c r="GWL520" s="379"/>
      <c r="GWM520" s="13"/>
      <c r="GWN520" s="13"/>
      <c r="GWO520" s="193"/>
      <c r="GWP520" s="379"/>
      <c r="GWQ520" s="379"/>
      <c r="GWR520" s="379"/>
      <c r="GWS520" s="379"/>
      <c r="GWT520" s="379"/>
      <c r="GWU520" s="13"/>
      <c r="GWV520" s="13"/>
      <c r="GWW520" s="193"/>
      <c r="GWX520" s="379"/>
      <c r="GWY520" s="379"/>
      <c r="GWZ520" s="379"/>
      <c r="GXA520" s="379"/>
      <c r="GXB520" s="379"/>
      <c r="GXC520" s="13"/>
      <c r="GXD520" s="13"/>
      <c r="GXE520" s="193"/>
      <c r="GXF520" s="379"/>
      <c r="GXG520" s="379"/>
      <c r="GXH520" s="379"/>
      <c r="GXI520" s="379"/>
      <c r="GXJ520" s="379"/>
      <c r="GXK520" s="13"/>
      <c r="GXL520" s="13"/>
      <c r="GXM520" s="193"/>
      <c r="GXN520" s="379"/>
      <c r="GXO520" s="379"/>
      <c r="GXP520" s="379"/>
      <c r="GXQ520" s="379"/>
      <c r="GXR520" s="379"/>
      <c r="GXS520" s="13"/>
      <c r="GXT520" s="13"/>
      <c r="GXU520" s="193"/>
      <c r="GXV520" s="379"/>
      <c r="GXW520" s="379"/>
      <c r="GXX520" s="379"/>
      <c r="GXY520" s="379"/>
      <c r="GXZ520" s="379"/>
      <c r="GYA520" s="13"/>
      <c r="GYB520" s="13"/>
      <c r="GYC520" s="193"/>
      <c r="GYD520" s="379"/>
      <c r="GYE520" s="379"/>
      <c r="GYF520" s="379"/>
      <c r="GYG520" s="379"/>
      <c r="GYH520" s="379"/>
      <c r="GYI520" s="13"/>
      <c r="GYJ520" s="13"/>
      <c r="GYK520" s="193"/>
      <c r="GYL520" s="379"/>
      <c r="GYM520" s="379"/>
      <c r="GYN520" s="379"/>
      <c r="GYO520" s="379"/>
      <c r="GYP520" s="379"/>
      <c r="GYQ520" s="13"/>
      <c r="GYR520" s="13"/>
      <c r="GYS520" s="193"/>
      <c r="GYT520" s="379"/>
      <c r="GYU520" s="379"/>
      <c r="GYV520" s="379"/>
      <c r="GYW520" s="379"/>
      <c r="GYX520" s="379"/>
      <c r="GYY520" s="13"/>
      <c r="GYZ520" s="13"/>
      <c r="GZA520" s="193"/>
      <c r="GZB520" s="379"/>
      <c r="GZC520" s="379"/>
      <c r="GZD520" s="379"/>
      <c r="GZE520" s="379"/>
      <c r="GZF520" s="379"/>
      <c r="GZG520" s="13"/>
      <c r="GZH520" s="13"/>
      <c r="GZI520" s="193"/>
      <c r="GZJ520" s="379"/>
      <c r="GZK520" s="379"/>
      <c r="GZL520" s="379"/>
      <c r="GZM520" s="379"/>
      <c r="GZN520" s="379"/>
      <c r="GZO520" s="13"/>
      <c r="GZP520" s="13"/>
      <c r="GZQ520" s="193"/>
      <c r="GZR520" s="379"/>
      <c r="GZS520" s="379"/>
      <c r="GZT520" s="379"/>
      <c r="GZU520" s="379"/>
      <c r="GZV520" s="379"/>
      <c r="GZW520" s="13"/>
      <c r="GZX520" s="13"/>
      <c r="GZY520" s="193"/>
      <c r="GZZ520" s="379"/>
      <c r="HAA520" s="379"/>
      <c r="HAB520" s="379"/>
      <c r="HAC520" s="379"/>
      <c r="HAD520" s="379"/>
      <c r="HAE520" s="13"/>
      <c r="HAF520" s="13"/>
      <c r="HAG520" s="193"/>
      <c r="HAH520" s="379"/>
      <c r="HAI520" s="379"/>
      <c r="HAJ520" s="379"/>
      <c r="HAK520" s="379"/>
      <c r="HAL520" s="379"/>
      <c r="HAM520" s="13"/>
      <c r="HAN520" s="13"/>
      <c r="HAO520" s="193"/>
      <c r="HAP520" s="379"/>
      <c r="HAQ520" s="379"/>
      <c r="HAR520" s="379"/>
      <c r="HAS520" s="379"/>
      <c r="HAT520" s="379"/>
      <c r="HAU520" s="13"/>
      <c r="HAV520" s="13"/>
      <c r="HAW520" s="193"/>
      <c r="HAX520" s="379"/>
      <c r="HAY520" s="379"/>
      <c r="HAZ520" s="379"/>
      <c r="HBA520" s="379"/>
      <c r="HBB520" s="379"/>
      <c r="HBC520" s="13"/>
      <c r="HBD520" s="13"/>
      <c r="HBE520" s="193"/>
      <c r="HBF520" s="379"/>
      <c r="HBG520" s="379"/>
      <c r="HBH520" s="379"/>
      <c r="HBI520" s="379"/>
      <c r="HBJ520" s="379"/>
      <c r="HBK520" s="13"/>
      <c r="HBL520" s="13"/>
      <c r="HBM520" s="193"/>
      <c r="HBN520" s="379"/>
      <c r="HBO520" s="379"/>
      <c r="HBP520" s="379"/>
      <c r="HBQ520" s="379"/>
      <c r="HBR520" s="379"/>
      <c r="HBS520" s="13"/>
      <c r="HBT520" s="13"/>
      <c r="HBU520" s="193"/>
      <c r="HBV520" s="379"/>
      <c r="HBW520" s="379"/>
      <c r="HBX520" s="379"/>
      <c r="HBY520" s="379"/>
      <c r="HBZ520" s="379"/>
      <c r="HCA520" s="13"/>
      <c r="HCB520" s="13"/>
      <c r="HCC520" s="193"/>
      <c r="HCD520" s="379"/>
      <c r="HCE520" s="379"/>
      <c r="HCF520" s="379"/>
      <c r="HCG520" s="379"/>
      <c r="HCH520" s="379"/>
      <c r="HCI520" s="13"/>
      <c r="HCJ520" s="13"/>
      <c r="HCK520" s="193"/>
      <c r="HCL520" s="379"/>
      <c r="HCM520" s="379"/>
      <c r="HCN520" s="379"/>
      <c r="HCO520" s="379"/>
      <c r="HCP520" s="379"/>
      <c r="HCQ520" s="13"/>
      <c r="HCR520" s="13"/>
      <c r="HCS520" s="193"/>
      <c r="HCT520" s="379"/>
      <c r="HCU520" s="379"/>
      <c r="HCV520" s="379"/>
      <c r="HCW520" s="379"/>
      <c r="HCX520" s="379"/>
      <c r="HCY520" s="13"/>
      <c r="HCZ520" s="13"/>
      <c r="HDA520" s="193"/>
      <c r="HDB520" s="379"/>
      <c r="HDC520" s="379"/>
      <c r="HDD520" s="379"/>
      <c r="HDE520" s="379"/>
      <c r="HDF520" s="379"/>
      <c r="HDG520" s="13"/>
      <c r="HDH520" s="13"/>
      <c r="HDI520" s="193"/>
      <c r="HDJ520" s="379"/>
      <c r="HDK520" s="379"/>
      <c r="HDL520" s="379"/>
      <c r="HDM520" s="379"/>
      <c r="HDN520" s="379"/>
      <c r="HDO520" s="13"/>
      <c r="HDP520" s="13"/>
      <c r="HDQ520" s="193"/>
      <c r="HDR520" s="379"/>
      <c r="HDS520" s="379"/>
      <c r="HDT520" s="379"/>
      <c r="HDU520" s="379"/>
      <c r="HDV520" s="379"/>
      <c r="HDW520" s="13"/>
      <c r="HDX520" s="13"/>
      <c r="HDY520" s="193"/>
      <c r="HDZ520" s="379"/>
      <c r="HEA520" s="379"/>
      <c r="HEB520" s="379"/>
      <c r="HEC520" s="379"/>
      <c r="HED520" s="379"/>
      <c r="HEE520" s="13"/>
      <c r="HEF520" s="13"/>
      <c r="HEG520" s="193"/>
      <c r="HEH520" s="379"/>
      <c r="HEI520" s="379"/>
      <c r="HEJ520" s="379"/>
      <c r="HEK520" s="379"/>
      <c r="HEL520" s="379"/>
      <c r="HEM520" s="13"/>
      <c r="HEN520" s="13"/>
      <c r="HEO520" s="193"/>
      <c r="HEP520" s="379"/>
      <c r="HEQ520" s="379"/>
      <c r="HER520" s="379"/>
      <c r="HES520" s="379"/>
      <c r="HET520" s="379"/>
      <c r="HEU520" s="13"/>
      <c r="HEV520" s="13"/>
      <c r="HEW520" s="193"/>
      <c r="HEX520" s="379"/>
      <c r="HEY520" s="379"/>
      <c r="HEZ520" s="379"/>
      <c r="HFA520" s="379"/>
      <c r="HFB520" s="379"/>
      <c r="HFC520" s="13"/>
      <c r="HFD520" s="13"/>
      <c r="HFE520" s="193"/>
      <c r="HFF520" s="379"/>
      <c r="HFG520" s="379"/>
      <c r="HFH520" s="379"/>
      <c r="HFI520" s="379"/>
      <c r="HFJ520" s="379"/>
      <c r="HFK520" s="13"/>
      <c r="HFL520" s="13"/>
      <c r="HFM520" s="193"/>
      <c r="HFN520" s="379"/>
      <c r="HFO520" s="379"/>
      <c r="HFP520" s="379"/>
      <c r="HFQ520" s="379"/>
      <c r="HFR520" s="379"/>
      <c r="HFS520" s="13"/>
      <c r="HFT520" s="13"/>
      <c r="HFU520" s="193"/>
      <c r="HFV520" s="379"/>
      <c r="HFW520" s="379"/>
      <c r="HFX520" s="379"/>
      <c r="HFY520" s="379"/>
      <c r="HFZ520" s="379"/>
      <c r="HGA520" s="13"/>
      <c r="HGB520" s="13"/>
      <c r="HGC520" s="193"/>
      <c r="HGD520" s="379"/>
      <c r="HGE520" s="379"/>
      <c r="HGF520" s="379"/>
      <c r="HGG520" s="379"/>
      <c r="HGH520" s="379"/>
      <c r="HGI520" s="13"/>
      <c r="HGJ520" s="13"/>
      <c r="HGK520" s="193"/>
      <c r="HGL520" s="379"/>
      <c r="HGM520" s="379"/>
      <c r="HGN520" s="379"/>
      <c r="HGO520" s="379"/>
      <c r="HGP520" s="379"/>
      <c r="HGQ520" s="13"/>
      <c r="HGR520" s="13"/>
      <c r="HGS520" s="193"/>
      <c r="HGT520" s="379"/>
      <c r="HGU520" s="379"/>
      <c r="HGV520" s="379"/>
      <c r="HGW520" s="379"/>
      <c r="HGX520" s="379"/>
      <c r="HGY520" s="13"/>
      <c r="HGZ520" s="13"/>
      <c r="HHA520" s="193"/>
      <c r="HHB520" s="379"/>
      <c r="HHC520" s="379"/>
      <c r="HHD520" s="379"/>
      <c r="HHE520" s="379"/>
      <c r="HHF520" s="379"/>
      <c r="HHG520" s="13"/>
      <c r="HHH520" s="13"/>
      <c r="HHI520" s="193"/>
      <c r="HHJ520" s="379"/>
      <c r="HHK520" s="379"/>
      <c r="HHL520" s="379"/>
      <c r="HHM520" s="379"/>
      <c r="HHN520" s="379"/>
      <c r="HHO520" s="13"/>
      <c r="HHP520" s="13"/>
      <c r="HHQ520" s="193"/>
      <c r="HHR520" s="379"/>
      <c r="HHS520" s="379"/>
      <c r="HHT520" s="379"/>
      <c r="HHU520" s="379"/>
      <c r="HHV520" s="379"/>
      <c r="HHW520" s="13"/>
      <c r="HHX520" s="13"/>
      <c r="HHY520" s="193"/>
      <c r="HHZ520" s="379"/>
      <c r="HIA520" s="379"/>
      <c r="HIB520" s="379"/>
      <c r="HIC520" s="379"/>
      <c r="HID520" s="379"/>
      <c r="HIE520" s="13"/>
      <c r="HIF520" s="13"/>
      <c r="HIG520" s="193"/>
      <c r="HIH520" s="379"/>
      <c r="HII520" s="379"/>
      <c r="HIJ520" s="379"/>
      <c r="HIK520" s="379"/>
      <c r="HIL520" s="379"/>
      <c r="HIM520" s="13"/>
      <c r="HIN520" s="13"/>
      <c r="HIO520" s="193"/>
      <c r="HIP520" s="379"/>
      <c r="HIQ520" s="379"/>
      <c r="HIR520" s="379"/>
      <c r="HIS520" s="379"/>
      <c r="HIT520" s="379"/>
      <c r="HIU520" s="13"/>
      <c r="HIV520" s="13"/>
      <c r="HIW520" s="193"/>
      <c r="HIX520" s="379"/>
      <c r="HIY520" s="379"/>
      <c r="HIZ520" s="379"/>
      <c r="HJA520" s="379"/>
      <c r="HJB520" s="379"/>
      <c r="HJC520" s="13"/>
      <c r="HJD520" s="13"/>
      <c r="HJE520" s="193"/>
      <c r="HJF520" s="379"/>
      <c r="HJG520" s="379"/>
      <c r="HJH520" s="379"/>
      <c r="HJI520" s="379"/>
      <c r="HJJ520" s="379"/>
      <c r="HJK520" s="13"/>
      <c r="HJL520" s="13"/>
      <c r="HJM520" s="193"/>
      <c r="HJN520" s="379"/>
      <c r="HJO520" s="379"/>
      <c r="HJP520" s="379"/>
      <c r="HJQ520" s="379"/>
      <c r="HJR520" s="379"/>
      <c r="HJS520" s="13"/>
      <c r="HJT520" s="13"/>
      <c r="HJU520" s="193"/>
      <c r="HJV520" s="379"/>
      <c r="HJW520" s="379"/>
      <c r="HJX520" s="379"/>
      <c r="HJY520" s="379"/>
      <c r="HJZ520" s="379"/>
      <c r="HKA520" s="13"/>
      <c r="HKB520" s="13"/>
      <c r="HKC520" s="193"/>
      <c r="HKD520" s="379"/>
      <c r="HKE520" s="379"/>
      <c r="HKF520" s="379"/>
      <c r="HKG520" s="379"/>
      <c r="HKH520" s="379"/>
      <c r="HKI520" s="13"/>
      <c r="HKJ520" s="13"/>
      <c r="HKK520" s="193"/>
      <c r="HKL520" s="379"/>
      <c r="HKM520" s="379"/>
      <c r="HKN520" s="379"/>
      <c r="HKO520" s="379"/>
      <c r="HKP520" s="379"/>
      <c r="HKQ520" s="13"/>
      <c r="HKR520" s="13"/>
      <c r="HKS520" s="193"/>
      <c r="HKT520" s="379"/>
      <c r="HKU520" s="379"/>
      <c r="HKV520" s="379"/>
      <c r="HKW520" s="379"/>
      <c r="HKX520" s="379"/>
      <c r="HKY520" s="13"/>
      <c r="HKZ520" s="13"/>
      <c r="HLA520" s="193"/>
      <c r="HLB520" s="379"/>
      <c r="HLC520" s="379"/>
      <c r="HLD520" s="379"/>
      <c r="HLE520" s="379"/>
      <c r="HLF520" s="379"/>
      <c r="HLG520" s="13"/>
      <c r="HLH520" s="13"/>
      <c r="HLI520" s="193"/>
      <c r="HLJ520" s="379"/>
      <c r="HLK520" s="379"/>
      <c r="HLL520" s="379"/>
      <c r="HLM520" s="379"/>
      <c r="HLN520" s="379"/>
      <c r="HLO520" s="13"/>
      <c r="HLP520" s="13"/>
      <c r="HLQ520" s="193"/>
      <c r="HLR520" s="379"/>
      <c r="HLS520" s="379"/>
      <c r="HLT520" s="379"/>
      <c r="HLU520" s="379"/>
      <c r="HLV520" s="379"/>
      <c r="HLW520" s="13"/>
      <c r="HLX520" s="13"/>
      <c r="HLY520" s="193"/>
      <c r="HLZ520" s="379"/>
      <c r="HMA520" s="379"/>
      <c r="HMB520" s="379"/>
      <c r="HMC520" s="379"/>
      <c r="HMD520" s="379"/>
      <c r="HME520" s="13"/>
      <c r="HMF520" s="13"/>
      <c r="HMG520" s="193"/>
      <c r="HMH520" s="379"/>
      <c r="HMI520" s="379"/>
      <c r="HMJ520" s="379"/>
      <c r="HMK520" s="379"/>
      <c r="HML520" s="379"/>
      <c r="HMM520" s="13"/>
      <c r="HMN520" s="13"/>
      <c r="HMO520" s="193"/>
      <c r="HMP520" s="379"/>
      <c r="HMQ520" s="379"/>
      <c r="HMR520" s="379"/>
      <c r="HMS520" s="379"/>
      <c r="HMT520" s="379"/>
      <c r="HMU520" s="13"/>
      <c r="HMV520" s="13"/>
      <c r="HMW520" s="193"/>
      <c r="HMX520" s="379"/>
      <c r="HMY520" s="379"/>
      <c r="HMZ520" s="379"/>
      <c r="HNA520" s="379"/>
      <c r="HNB520" s="379"/>
      <c r="HNC520" s="13"/>
      <c r="HND520" s="13"/>
      <c r="HNE520" s="193"/>
      <c r="HNF520" s="379"/>
      <c r="HNG520" s="379"/>
      <c r="HNH520" s="379"/>
      <c r="HNI520" s="379"/>
      <c r="HNJ520" s="379"/>
      <c r="HNK520" s="13"/>
      <c r="HNL520" s="13"/>
      <c r="HNM520" s="193"/>
      <c r="HNN520" s="379"/>
      <c r="HNO520" s="379"/>
      <c r="HNP520" s="379"/>
      <c r="HNQ520" s="379"/>
      <c r="HNR520" s="379"/>
      <c r="HNS520" s="13"/>
      <c r="HNT520" s="13"/>
      <c r="HNU520" s="193"/>
      <c r="HNV520" s="379"/>
      <c r="HNW520" s="379"/>
      <c r="HNX520" s="379"/>
      <c r="HNY520" s="379"/>
      <c r="HNZ520" s="379"/>
      <c r="HOA520" s="13"/>
      <c r="HOB520" s="13"/>
      <c r="HOC520" s="193"/>
      <c r="HOD520" s="379"/>
      <c r="HOE520" s="379"/>
      <c r="HOF520" s="379"/>
      <c r="HOG520" s="379"/>
      <c r="HOH520" s="379"/>
      <c r="HOI520" s="13"/>
      <c r="HOJ520" s="13"/>
      <c r="HOK520" s="193"/>
      <c r="HOL520" s="379"/>
      <c r="HOM520" s="379"/>
      <c r="HON520" s="379"/>
      <c r="HOO520" s="379"/>
      <c r="HOP520" s="379"/>
      <c r="HOQ520" s="13"/>
      <c r="HOR520" s="13"/>
      <c r="HOS520" s="193"/>
      <c r="HOT520" s="379"/>
      <c r="HOU520" s="379"/>
      <c r="HOV520" s="379"/>
      <c r="HOW520" s="379"/>
      <c r="HOX520" s="379"/>
      <c r="HOY520" s="13"/>
      <c r="HOZ520" s="13"/>
      <c r="HPA520" s="193"/>
      <c r="HPB520" s="379"/>
      <c r="HPC520" s="379"/>
      <c r="HPD520" s="379"/>
      <c r="HPE520" s="379"/>
      <c r="HPF520" s="379"/>
      <c r="HPG520" s="13"/>
      <c r="HPH520" s="13"/>
      <c r="HPI520" s="193"/>
      <c r="HPJ520" s="379"/>
      <c r="HPK520" s="379"/>
      <c r="HPL520" s="379"/>
      <c r="HPM520" s="379"/>
      <c r="HPN520" s="379"/>
      <c r="HPO520" s="13"/>
      <c r="HPP520" s="13"/>
      <c r="HPQ520" s="193"/>
      <c r="HPR520" s="379"/>
      <c r="HPS520" s="379"/>
      <c r="HPT520" s="379"/>
      <c r="HPU520" s="379"/>
      <c r="HPV520" s="379"/>
      <c r="HPW520" s="13"/>
      <c r="HPX520" s="13"/>
      <c r="HPY520" s="193"/>
      <c r="HPZ520" s="379"/>
      <c r="HQA520" s="379"/>
      <c r="HQB520" s="379"/>
      <c r="HQC520" s="379"/>
      <c r="HQD520" s="379"/>
      <c r="HQE520" s="13"/>
      <c r="HQF520" s="13"/>
      <c r="HQG520" s="193"/>
      <c r="HQH520" s="379"/>
      <c r="HQI520" s="379"/>
      <c r="HQJ520" s="379"/>
      <c r="HQK520" s="379"/>
      <c r="HQL520" s="379"/>
      <c r="HQM520" s="13"/>
      <c r="HQN520" s="13"/>
      <c r="HQO520" s="193"/>
      <c r="HQP520" s="379"/>
      <c r="HQQ520" s="379"/>
      <c r="HQR520" s="379"/>
      <c r="HQS520" s="379"/>
      <c r="HQT520" s="379"/>
      <c r="HQU520" s="13"/>
      <c r="HQV520" s="13"/>
      <c r="HQW520" s="193"/>
      <c r="HQX520" s="379"/>
      <c r="HQY520" s="379"/>
      <c r="HQZ520" s="379"/>
      <c r="HRA520" s="379"/>
      <c r="HRB520" s="379"/>
      <c r="HRC520" s="13"/>
      <c r="HRD520" s="13"/>
      <c r="HRE520" s="193"/>
      <c r="HRF520" s="379"/>
      <c r="HRG520" s="379"/>
      <c r="HRH520" s="379"/>
      <c r="HRI520" s="379"/>
      <c r="HRJ520" s="379"/>
      <c r="HRK520" s="13"/>
      <c r="HRL520" s="13"/>
      <c r="HRM520" s="193"/>
      <c r="HRN520" s="379"/>
      <c r="HRO520" s="379"/>
      <c r="HRP520" s="379"/>
      <c r="HRQ520" s="379"/>
      <c r="HRR520" s="379"/>
      <c r="HRS520" s="13"/>
      <c r="HRT520" s="13"/>
      <c r="HRU520" s="193"/>
      <c r="HRV520" s="379"/>
      <c r="HRW520" s="379"/>
      <c r="HRX520" s="379"/>
      <c r="HRY520" s="379"/>
      <c r="HRZ520" s="379"/>
      <c r="HSA520" s="13"/>
      <c r="HSB520" s="13"/>
      <c r="HSC520" s="193"/>
      <c r="HSD520" s="379"/>
      <c r="HSE520" s="379"/>
      <c r="HSF520" s="379"/>
      <c r="HSG520" s="379"/>
      <c r="HSH520" s="379"/>
      <c r="HSI520" s="13"/>
      <c r="HSJ520" s="13"/>
      <c r="HSK520" s="193"/>
      <c r="HSL520" s="379"/>
      <c r="HSM520" s="379"/>
      <c r="HSN520" s="379"/>
      <c r="HSO520" s="379"/>
      <c r="HSP520" s="379"/>
      <c r="HSQ520" s="13"/>
      <c r="HSR520" s="13"/>
      <c r="HSS520" s="193"/>
      <c r="HST520" s="379"/>
      <c r="HSU520" s="379"/>
      <c r="HSV520" s="379"/>
      <c r="HSW520" s="379"/>
      <c r="HSX520" s="379"/>
      <c r="HSY520" s="13"/>
      <c r="HSZ520" s="13"/>
      <c r="HTA520" s="193"/>
      <c r="HTB520" s="379"/>
      <c r="HTC520" s="379"/>
      <c r="HTD520" s="379"/>
      <c r="HTE520" s="379"/>
      <c r="HTF520" s="379"/>
      <c r="HTG520" s="13"/>
      <c r="HTH520" s="13"/>
      <c r="HTI520" s="193"/>
      <c r="HTJ520" s="379"/>
      <c r="HTK520" s="379"/>
      <c r="HTL520" s="379"/>
      <c r="HTM520" s="379"/>
      <c r="HTN520" s="379"/>
      <c r="HTO520" s="13"/>
      <c r="HTP520" s="13"/>
      <c r="HTQ520" s="193"/>
      <c r="HTR520" s="379"/>
      <c r="HTS520" s="379"/>
      <c r="HTT520" s="379"/>
      <c r="HTU520" s="379"/>
      <c r="HTV520" s="379"/>
      <c r="HTW520" s="13"/>
      <c r="HTX520" s="13"/>
      <c r="HTY520" s="193"/>
      <c r="HTZ520" s="379"/>
      <c r="HUA520" s="379"/>
      <c r="HUB520" s="379"/>
      <c r="HUC520" s="379"/>
      <c r="HUD520" s="379"/>
      <c r="HUE520" s="13"/>
      <c r="HUF520" s="13"/>
      <c r="HUG520" s="193"/>
      <c r="HUH520" s="379"/>
      <c r="HUI520" s="379"/>
      <c r="HUJ520" s="379"/>
      <c r="HUK520" s="379"/>
      <c r="HUL520" s="379"/>
      <c r="HUM520" s="13"/>
      <c r="HUN520" s="13"/>
      <c r="HUO520" s="193"/>
      <c r="HUP520" s="379"/>
      <c r="HUQ520" s="379"/>
      <c r="HUR520" s="379"/>
      <c r="HUS520" s="379"/>
      <c r="HUT520" s="379"/>
      <c r="HUU520" s="13"/>
      <c r="HUV520" s="13"/>
      <c r="HUW520" s="193"/>
      <c r="HUX520" s="379"/>
      <c r="HUY520" s="379"/>
      <c r="HUZ520" s="379"/>
      <c r="HVA520" s="379"/>
      <c r="HVB520" s="379"/>
      <c r="HVC520" s="13"/>
      <c r="HVD520" s="13"/>
      <c r="HVE520" s="193"/>
      <c r="HVF520" s="379"/>
      <c r="HVG520" s="379"/>
      <c r="HVH520" s="379"/>
      <c r="HVI520" s="379"/>
      <c r="HVJ520" s="379"/>
      <c r="HVK520" s="13"/>
      <c r="HVL520" s="13"/>
      <c r="HVM520" s="193"/>
      <c r="HVN520" s="379"/>
      <c r="HVO520" s="379"/>
      <c r="HVP520" s="379"/>
      <c r="HVQ520" s="379"/>
      <c r="HVR520" s="379"/>
      <c r="HVS520" s="13"/>
      <c r="HVT520" s="13"/>
      <c r="HVU520" s="193"/>
      <c r="HVV520" s="379"/>
      <c r="HVW520" s="379"/>
      <c r="HVX520" s="379"/>
      <c r="HVY520" s="379"/>
      <c r="HVZ520" s="379"/>
      <c r="HWA520" s="13"/>
      <c r="HWB520" s="13"/>
      <c r="HWC520" s="193"/>
      <c r="HWD520" s="379"/>
      <c r="HWE520" s="379"/>
      <c r="HWF520" s="379"/>
      <c r="HWG520" s="379"/>
      <c r="HWH520" s="379"/>
      <c r="HWI520" s="13"/>
      <c r="HWJ520" s="13"/>
      <c r="HWK520" s="193"/>
      <c r="HWL520" s="379"/>
      <c r="HWM520" s="379"/>
      <c r="HWN520" s="379"/>
      <c r="HWO520" s="379"/>
      <c r="HWP520" s="379"/>
      <c r="HWQ520" s="13"/>
      <c r="HWR520" s="13"/>
      <c r="HWS520" s="193"/>
      <c r="HWT520" s="379"/>
      <c r="HWU520" s="379"/>
      <c r="HWV520" s="379"/>
      <c r="HWW520" s="379"/>
      <c r="HWX520" s="379"/>
      <c r="HWY520" s="13"/>
      <c r="HWZ520" s="13"/>
      <c r="HXA520" s="193"/>
      <c r="HXB520" s="379"/>
      <c r="HXC520" s="379"/>
      <c r="HXD520" s="379"/>
      <c r="HXE520" s="379"/>
      <c r="HXF520" s="379"/>
      <c r="HXG520" s="13"/>
      <c r="HXH520" s="13"/>
      <c r="HXI520" s="193"/>
      <c r="HXJ520" s="379"/>
      <c r="HXK520" s="379"/>
      <c r="HXL520" s="379"/>
      <c r="HXM520" s="379"/>
      <c r="HXN520" s="379"/>
      <c r="HXO520" s="13"/>
      <c r="HXP520" s="13"/>
      <c r="HXQ520" s="193"/>
      <c r="HXR520" s="379"/>
      <c r="HXS520" s="379"/>
      <c r="HXT520" s="379"/>
      <c r="HXU520" s="379"/>
      <c r="HXV520" s="379"/>
      <c r="HXW520" s="13"/>
      <c r="HXX520" s="13"/>
      <c r="HXY520" s="193"/>
      <c r="HXZ520" s="379"/>
      <c r="HYA520" s="379"/>
      <c r="HYB520" s="379"/>
      <c r="HYC520" s="379"/>
      <c r="HYD520" s="379"/>
      <c r="HYE520" s="13"/>
      <c r="HYF520" s="13"/>
      <c r="HYG520" s="193"/>
      <c r="HYH520" s="379"/>
      <c r="HYI520" s="379"/>
      <c r="HYJ520" s="379"/>
      <c r="HYK520" s="379"/>
      <c r="HYL520" s="379"/>
      <c r="HYM520" s="13"/>
      <c r="HYN520" s="13"/>
      <c r="HYO520" s="193"/>
      <c r="HYP520" s="379"/>
      <c r="HYQ520" s="379"/>
      <c r="HYR520" s="379"/>
      <c r="HYS520" s="379"/>
      <c r="HYT520" s="379"/>
      <c r="HYU520" s="13"/>
      <c r="HYV520" s="13"/>
      <c r="HYW520" s="193"/>
      <c r="HYX520" s="379"/>
      <c r="HYY520" s="379"/>
      <c r="HYZ520" s="379"/>
      <c r="HZA520" s="379"/>
      <c r="HZB520" s="379"/>
      <c r="HZC520" s="13"/>
      <c r="HZD520" s="13"/>
      <c r="HZE520" s="193"/>
      <c r="HZF520" s="379"/>
      <c r="HZG520" s="379"/>
      <c r="HZH520" s="379"/>
      <c r="HZI520" s="379"/>
      <c r="HZJ520" s="379"/>
      <c r="HZK520" s="13"/>
      <c r="HZL520" s="13"/>
      <c r="HZM520" s="193"/>
      <c r="HZN520" s="379"/>
      <c r="HZO520" s="379"/>
      <c r="HZP520" s="379"/>
      <c r="HZQ520" s="379"/>
      <c r="HZR520" s="379"/>
      <c r="HZS520" s="13"/>
      <c r="HZT520" s="13"/>
      <c r="HZU520" s="193"/>
      <c r="HZV520" s="379"/>
      <c r="HZW520" s="379"/>
      <c r="HZX520" s="379"/>
      <c r="HZY520" s="379"/>
      <c r="HZZ520" s="379"/>
      <c r="IAA520" s="13"/>
      <c r="IAB520" s="13"/>
      <c r="IAC520" s="193"/>
      <c r="IAD520" s="379"/>
      <c r="IAE520" s="379"/>
      <c r="IAF520" s="379"/>
      <c r="IAG520" s="379"/>
      <c r="IAH520" s="379"/>
      <c r="IAI520" s="13"/>
      <c r="IAJ520" s="13"/>
      <c r="IAK520" s="193"/>
      <c r="IAL520" s="379"/>
      <c r="IAM520" s="379"/>
      <c r="IAN520" s="379"/>
      <c r="IAO520" s="379"/>
      <c r="IAP520" s="379"/>
      <c r="IAQ520" s="13"/>
      <c r="IAR520" s="13"/>
      <c r="IAS520" s="193"/>
      <c r="IAT520" s="379"/>
      <c r="IAU520" s="379"/>
      <c r="IAV520" s="379"/>
      <c r="IAW520" s="379"/>
      <c r="IAX520" s="379"/>
      <c r="IAY520" s="13"/>
      <c r="IAZ520" s="13"/>
      <c r="IBA520" s="193"/>
      <c r="IBB520" s="379"/>
      <c r="IBC520" s="379"/>
      <c r="IBD520" s="379"/>
      <c r="IBE520" s="379"/>
      <c r="IBF520" s="379"/>
      <c r="IBG520" s="13"/>
      <c r="IBH520" s="13"/>
      <c r="IBI520" s="193"/>
      <c r="IBJ520" s="379"/>
      <c r="IBK520" s="379"/>
      <c r="IBL520" s="379"/>
      <c r="IBM520" s="379"/>
      <c r="IBN520" s="379"/>
      <c r="IBO520" s="13"/>
      <c r="IBP520" s="13"/>
      <c r="IBQ520" s="193"/>
      <c r="IBR520" s="379"/>
      <c r="IBS520" s="379"/>
      <c r="IBT520" s="379"/>
      <c r="IBU520" s="379"/>
      <c r="IBV520" s="379"/>
      <c r="IBW520" s="13"/>
      <c r="IBX520" s="13"/>
      <c r="IBY520" s="193"/>
      <c r="IBZ520" s="379"/>
      <c r="ICA520" s="379"/>
      <c r="ICB520" s="379"/>
      <c r="ICC520" s="379"/>
      <c r="ICD520" s="379"/>
      <c r="ICE520" s="13"/>
      <c r="ICF520" s="13"/>
      <c r="ICG520" s="193"/>
      <c r="ICH520" s="379"/>
      <c r="ICI520" s="379"/>
      <c r="ICJ520" s="379"/>
      <c r="ICK520" s="379"/>
      <c r="ICL520" s="379"/>
      <c r="ICM520" s="13"/>
      <c r="ICN520" s="13"/>
      <c r="ICO520" s="193"/>
      <c r="ICP520" s="379"/>
      <c r="ICQ520" s="379"/>
      <c r="ICR520" s="379"/>
      <c r="ICS520" s="379"/>
      <c r="ICT520" s="379"/>
      <c r="ICU520" s="13"/>
      <c r="ICV520" s="13"/>
      <c r="ICW520" s="193"/>
      <c r="ICX520" s="379"/>
      <c r="ICY520" s="379"/>
      <c r="ICZ520" s="379"/>
      <c r="IDA520" s="379"/>
      <c r="IDB520" s="379"/>
      <c r="IDC520" s="13"/>
      <c r="IDD520" s="13"/>
      <c r="IDE520" s="193"/>
      <c r="IDF520" s="379"/>
      <c r="IDG520" s="379"/>
      <c r="IDH520" s="379"/>
      <c r="IDI520" s="379"/>
      <c r="IDJ520" s="379"/>
      <c r="IDK520" s="13"/>
      <c r="IDL520" s="13"/>
      <c r="IDM520" s="193"/>
      <c r="IDN520" s="379"/>
      <c r="IDO520" s="379"/>
      <c r="IDP520" s="379"/>
      <c r="IDQ520" s="379"/>
      <c r="IDR520" s="379"/>
      <c r="IDS520" s="13"/>
      <c r="IDT520" s="13"/>
      <c r="IDU520" s="193"/>
      <c r="IDV520" s="379"/>
      <c r="IDW520" s="379"/>
      <c r="IDX520" s="379"/>
      <c r="IDY520" s="379"/>
      <c r="IDZ520" s="379"/>
      <c r="IEA520" s="13"/>
      <c r="IEB520" s="13"/>
      <c r="IEC520" s="193"/>
      <c r="IED520" s="379"/>
      <c r="IEE520" s="379"/>
      <c r="IEF520" s="379"/>
      <c r="IEG520" s="379"/>
      <c r="IEH520" s="379"/>
      <c r="IEI520" s="13"/>
      <c r="IEJ520" s="13"/>
      <c r="IEK520" s="193"/>
      <c r="IEL520" s="379"/>
      <c r="IEM520" s="379"/>
      <c r="IEN520" s="379"/>
      <c r="IEO520" s="379"/>
      <c r="IEP520" s="379"/>
      <c r="IEQ520" s="13"/>
      <c r="IER520" s="13"/>
      <c r="IES520" s="193"/>
      <c r="IET520" s="379"/>
      <c r="IEU520" s="379"/>
      <c r="IEV520" s="379"/>
      <c r="IEW520" s="379"/>
      <c r="IEX520" s="379"/>
      <c r="IEY520" s="13"/>
      <c r="IEZ520" s="13"/>
      <c r="IFA520" s="193"/>
      <c r="IFB520" s="379"/>
      <c r="IFC520" s="379"/>
      <c r="IFD520" s="379"/>
      <c r="IFE520" s="379"/>
      <c r="IFF520" s="379"/>
      <c r="IFG520" s="13"/>
      <c r="IFH520" s="13"/>
      <c r="IFI520" s="193"/>
      <c r="IFJ520" s="379"/>
      <c r="IFK520" s="379"/>
      <c r="IFL520" s="379"/>
      <c r="IFM520" s="379"/>
      <c r="IFN520" s="379"/>
      <c r="IFO520" s="13"/>
      <c r="IFP520" s="13"/>
      <c r="IFQ520" s="193"/>
      <c r="IFR520" s="379"/>
      <c r="IFS520" s="379"/>
      <c r="IFT520" s="379"/>
      <c r="IFU520" s="379"/>
      <c r="IFV520" s="379"/>
      <c r="IFW520" s="13"/>
      <c r="IFX520" s="13"/>
      <c r="IFY520" s="193"/>
      <c r="IFZ520" s="379"/>
      <c r="IGA520" s="379"/>
      <c r="IGB520" s="379"/>
      <c r="IGC520" s="379"/>
      <c r="IGD520" s="379"/>
      <c r="IGE520" s="13"/>
      <c r="IGF520" s="13"/>
      <c r="IGG520" s="193"/>
      <c r="IGH520" s="379"/>
      <c r="IGI520" s="379"/>
      <c r="IGJ520" s="379"/>
      <c r="IGK520" s="379"/>
      <c r="IGL520" s="379"/>
      <c r="IGM520" s="13"/>
      <c r="IGN520" s="13"/>
      <c r="IGO520" s="193"/>
      <c r="IGP520" s="379"/>
      <c r="IGQ520" s="379"/>
      <c r="IGR520" s="379"/>
      <c r="IGS520" s="379"/>
      <c r="IGT520" s="379"/>
      <c r="IGU520" s="13"/>
      <c r="IGV520" s="13"/>
      <c r="IGW520" s="193"/>
      <c r="IGX520" s="379"/>
      <c r="IGY520" s="379"/>
      <c r="IGZ520" s="379"/>
      <c r="IHA520" s="379"/>
      <c r="IHB520" s="379"/>
      <c r="IHC520" s="13"/>
      <c r="IHD520" s="13"/>
      <c r="IHE520" s="193"/>
      <c r="IHF520" s="379"/>
      <c r="IHG520" s="379"/>
      <c r="IHH520" s="379"/>
      <c r="IHI520" s="379"/>
      <c r="IHJ520" s="379"/>
      <c r="IHK520" s="13"/>
      <c r="IHL520" s="13"/>
      <c r="IHM520" s="193"/>
      <c r="IHN520" s="379"/>
      <c r="IHO520" s="379"/>
      <c r="IHP520" s="379"/>
      <c r="IHQ520" s="379"/>
      <c r="IHR520" s="379"/>
      <c r="IHS520" s="13"/>
      <c r="IHT520" s="13"/>
      <c r="IHU520" s="193"/>
      <c r="IHV520" s="379"/>
      <c r="IHW520" s="379"/>
      <c r="IHX520" s="379"/>
      <c r="IHY520" s="379"/>
      <c r="IHZ520" s="379"/>
      <c r="IIA520" s="13"/>
      <c r="IIB520" s="13"/>
      <c r="IIC520" s="193"/>
      <c r="IID520" s="379"/>
      <c r="IIE520" s="379"/>
      <c r="IIF520" s="379"/>
      <c r="IIG520" s="379"/>
      <c r="IIH520" s="379"/>
      <c r="III520" s="13"/>
      <c r="IIJ520" s="13"/>
      <c r="IIK520" s="193"/>
      <c r="IIL520" s="379"/>
      <c r="IIM520" s="379"/>
      <c r="IIN520" s="379"/>
      <c r="IIO520" s="379"/>
      <c r="IIP520" s="379"/>
      <c r="IIQ520" s="13"/>
      <c r="IIR520" s="13"/>
      <c r="IIS520" s="193"/>
      <c r="IIT520" s="379"/>
      <c r="IIU520" s="379"/>
      <c r="IIV520" s="379"/>
      <c r="IIW520" s="379"/>
      <c r="IIX520" s="379"/>
      <c r="IIY520" s="13"/>
      <c r="IIZ520" s="13"/>
      <c r="IJA520" s="193"/>
      <c r="IJB520" s="379"/>
      <c r="IJC520" s="379"/>
      <c r="IJD520" s="379"/>
      <c r="IJE520" s="379"/>
      <c r="IJF520" s="379"/>
      <c r="IJG520" s="13"/>
      <c r="IJH520" s="13"/>
      <c r="IJI520" s="193"/>
      <c r="IJJ520" s="379"/>
      <c r="IJK520" s="379"/>
      <c r="IJL520" s="379"/>
      <c r="IJM520" s="379"/>
      <c r="IJN520" s="379"/>
      <c r="IJO520" s="13"/>
      <c r="IJP520" s="13"/>
      <c r="IJQ520" s="193"/>
      <c r="IJR520" s="379"/>
      <c r="IJS520" s="379"/>
      <c r="IJT520" s="379"/>
      <c r="IJU520" s="379"/>
      <c r="IJV520" s="379"/>
      <c r="IJW520" s="13"/>
      <c r="IJX520" s="13"/>
      <c r="IJY520" s="193"/>
      <c r="IJZ520" s="379"/>
      <c r="IKA520" s="379"/>
      <c r="IKB520" s="379"/>
      <c r="IKC520" s="379"/>
      <c r="IKD520" s="379"/>
      <c r="IKE520" s="13"/>
      <c r="IKF520" s="13"/>
      <c r="IKG520" s="193"/>
      <c r="IKH520" s="379"/>
      <c r="IKI520" s="379"/>
      <c r="IKJ520" s="379"/>
      <c r="IKK520" s="379"/>
      <c r="IKL520" s="379"/>
      <c r="IKM520" s="13"/>
      <c r="IKN520" s="13"/>
      <c r="IKO520" s="193"/>
      <c r="IKP520" s="379"/>
      <c r="IKQ520" s="379"/>
      <c r="IKR520" s="379"/>
      <c r="IKS520" s="379"/>
      <c r="IKT520" s="379"/>
      <c r="IKU520" s="13"/>
      <c r="IKV520" s="13"/>
      <c r="IKW520" s="193"/>
      <c r="IKX520" s="379"/>
      <c r="IKY520" s="379"/>
      <c r="IKZ520" s="379"/>
      <c r="ILA520" s="379"/>
      <c r="ILB520" s="379"/>
      <c r="ILC520" s="13"/>
      <c r="ILD520" s="13"/>
      <c r="ILE520" s="193"/>
      <c r="ILF520" s="379"/>
      <c r="ILG520" s="379"/>
      <c r="ILH520" s="379"/>
      <c r="ILI520" s="379"/>
      <c r="ILJ520" s="379"/>
      <c r="ILK520" s="13"/>
      <c r="ILL520" s="13"/>
      <c r="ILM520" s="193"/>
      <c r="ILN520" s="379"/>
      <c r="ILO520" s="379"/>
      <c r="ILP520" s="379"/>
      <c r="ILQ520" s="379"/>
      <c r="ILR520" s="379"/>
      <c r="ILS520" s="13"/>
      <c r="ILT520" s="13"/>
      <c r="ILU520" s="193"/>
      <c r="ILV520" s="379"/>
      <c r="ILW520" s="379"/>
      <c r="ILX520" s="379"/>
      <c r="ILY520" s="379"/>
      <c r="ILZ520" s="379"/>
      <c r="IMA520" s="13"/>
      <c r="IMB520" s="13"/>
      <c r="IMC520" s="193"/>
      <c r="IMD520" s="379"/>
      <c r="IME520" s="379"/>
      <c r="IMF520" s="379"/>
      <c r="IMG520" s="379"/>
      <c r="IMH520" s="379"/>
      <c r="IMI520" s="13"/>
      <c r="IMJ520" s="13"/>
      <c r="IMK520" s="193"/>
      <c r="IML520" s="379"/>
      <c r="IMM520" s="379"/>
      <c r="IMN520" s="379"/>
      <c r="IMO520" s="379"/>
      <c r="IMP520" s="379"/>
      <c r="IMQ520" s="13"/>
      <c r="IMR520" s="13"/>
      <c r="IMS520" s="193"/>
      <c r="IMT520" s="379"/>
      <c r="IMU520" s="379"/>
      <c r="IMV520" s="379"/>
      <c r="IMW520" s="379"/>
      <c r="IMX520" s="379"/>
      <c r="IMY520" s="13"/>
      <c r="IMZ520" s="13"/>
      <c r="INA520" s="193"/>
      <c r="INB520" s="379"/>
      <c r="INC520" s="379"/>
      <c r="IND520" s="379"/>
      <c r="INE520" s="379"/>
      <c r="INF520" s="379"/>
      <c r="ING520" s="13"/>
      <c r="INH520" s="13"/>
      <c r="INI520" s="193"/>
      <c r="INJ520" s="379"/>
      <c r="INK520" s="379"/>
      <c r="INL520" s="379"/>
      <c r="INM520" s="379"/>
      <c r="INN520" s="379"/>
      <c r="INO520" s="13"/>
      <c r="INP520" s="13"/>
      <c r="INQ520" s="193"/>
      <c r="INR520" s="379"/>
      <c r="INS520" s="379"/>
      <c r="INT520" s="379"/>
      <c r="INU520" s="379"/>
      <c r="INV520" s="379"/>
      <c r="INW520" s="13"/>
      <c r="INX520" s="13"/>
      <c r="INY520" s="193"/>
      <c r="INZ520" s="379"/>
      <c r="IOA520" s="379"/>
      <c r="IOB520" s="379"/>
      <c r="IOC520" s="379"/>
      <c r="IOD520" s="379"/>
      <c r="IOE520" s="13"/>
      <c r="IOF520" s="13"/>
      <c r="IOG520" s="193"/>
      <c r="IOH520" s="379"/>
      <c r="IOI520" s="379"/>
      <c r="IOJ520" s="379"/>
      <c r="IOK520" s="379"/>
      <c r="IOL520" s="379"/>
      <c r="IOM520" s="13"/>
      <c r="ION520" s="13"/>
      <c r="IOO520" s="193"/>
      <c r="IOP520" s="379"/>
      <c r="IOQ520" s="379"/>
      <c r="IOR520" s="379"/>
      <c r="IOS520" s="379"/>
      <c r="IOT520" s="379"/>
      <c r="IOU520" s="13"/>
      <c r="IOV520" s="13"/>
      <c r="IOW520" s="193"/>
      <c r="IOX520" s="379"/>
      <c r="IOY520" s="379"/>
      <c r="IOZ520" s="379"/>
      <c r="IPA520" s="379"/>
      <c r="IPB520" s="379"/>
      <c r="IPC520" s="13"/>
      <c r="IPD520" s="13"/>
      <c r="IPE520" s="193"/>
      <c r="IPF520" s="379"/>
      <c r="IPG520" s="379"/>
      <c r="IPH520" s="379"/>
      <c r="IPI520" s="379"/>
      <c r="IPJ520" s="379"/>
      <c r="IPK520" s="13"/>
      <c r="IPL520" s="13"/>
      <c r="IPM520" s="193"/>
      <c r="IPN520" s="379"/>
      <c r="IPO520" s="379"/>
      <c r="IPP520" s="379"/>
      <c r="IPQ520" s="379"/>
      <c r="IPR520" s="379"/>
      <c r="IPS520" s="13"/>
      <c r="IPT520" s="13"/>
      <c r="IPU520" s="193"/>
      <c r="IPV520" s="379"/>
      <c r="IPW520" s="379"/>
      <c r="IPX520" s="379"/>
      <c r="IPY520" s="379"/>
      <c r="IPZ520" s="379"/>
      <c r="IQA520" s="13"/>
      <c r="IQB520" s="13"/>
      <c r="IQC520" s="193"/>
      <c r="IQD520" s="379"/>
      <c r="IQE520" s="379"/>
      <c r="IQF520" s="379"/>
      <c r="IQG520" s="379"/>
      <c r="IQH520" s="379"/>
      <c r="IQI520" s="13"/>
      <c r="IQJ520" s="13"/>
      <c r="IQK520" s="193"/>
      <c r="IQL520" s="379"/>
      <c r="IQM520" s="379"/>
      <c r="IQN520" s="379"/>
      <c r="IQO520" s="379"/>
      <c r="IQP520" s="379"/>
      <c r="IQQ520" s="13"/>
      <c r="IQR520" s="13"/>
      <c r="IQS520" s="193"/>
      <c r="IQT520" s="379"/>
      <c r="IQU520" s="379"/>
      <c r="IQV520" s="379"/>
      <c r="IQW520" s="379"/>
      <c r="IQX520" s="379"/>
      <c r="IQY520" s="13"/>
      <c r="IQZ520" s="13"/>
      <c r="IRA520" s="193"/>
      <c r="IRB520" s="379"/>
      <c r="IRC520" s="379"/>
      <c r="IRD520" s="379"/>
      <c r="IRE520" s="379"/>
      <c r="IRF520" s="379"/>
      <c r="IRG520" s="13"/>
      <c r="IRH520" s="13"/>
      <c r="IRI520" s="193"/>
      <c r="IRJ520" s="379"/>
      <c r="IRK520" s="379"/>
      <c r="IRL520" s="379"/>
      <c r="IRM520" s="379"/>
      <c r="IRN520" s="379"/>
      <c r="IRO520" s="13"/>
      <c r="IRP520" s="13"/>
      <c r="IRQ520" s="193"/>
      <c r="IRR520" s="379"/>
      <c r="IRS520" s="379"/>
      <c r="IRT520" s="379"/>
      <c r="IRU520" s="379"/>
      <c r="IRV520" s="379"/>
      <c r="IRW520" s="13"/>
      <c r="IRX520" s="13"/>
      <c r="IRY520" s="193"/>
      <c r="IRZ520" s="379"/>
      <c r="ISA520" s="379"/>
      <c r="ISB520" s="379"/>
      <c r="ISC520" s="379"/>
      <c r="ISD520" s="379"/>
      <c r="ISE520" s="13"/>
      <c r="ISF520" s="13"/>
      <c r="ISG520" s="193"/>
      <c r="ISH520" s="379"/>
      <c r="ISI520" s="379"/>
      <c r="ISJ520" s="379"/>
      <c r="ISK520" s="379"/>
      <c r="ISL520" s="379"/>
      <c r="ISM520" s="13"/>
      <c r="ISN520" s="13"/>
      <c r="ISO520" s="193"/>
      <c r="ISP520" s="379"/>
      <c r="ISQ520" s="379"/>
      <c r="ISR520" s="379"/>
      <c r="ISS520" s="379"/>
      <c r="IST520" s="379"/>
      <c r="ISU520" s="13"/>
      <c r="ISV520" s="13"/>
      <c r="ISW520" s="193"/>
      <c r="ISX520" s="379"/>
      <c r="ISY520" s="379"/>
      <c r="ISZ520" s="379"/>
      <c r="ITA520" s="379"/>
      <c r="ITB520" s="379"/>
      <c r="ITC520" s="13"/>
      <c r="ITD520" s="13"/>
      <c r="ITE520" s="193"/>
      <c r="ITF520" s="379"/>
      <c r="ITG520" s="379"/>
      <c r="ITH520" s="379"/>
      <c r="ITI520" s="379"/>
      <c r="ITJ520" s="379"/>
      <c r="ITK520" s="13"/>
      <c r="ITL520" s="13"/>
      <c r="ITM520" s="193"/>
      <c r="ITN520" s="379"/>
      <c r="ITO520" s="379"/>
      <c r="ITP520" s="379"/>
      <c r="ITQ520" s="379"/>
      <c r="ITR520" s="379"/>
      <c r="ITS520" s="13"/>
      <c r="ITT520" s="13"/>
      <c r="ITU520" s="193"/>
      <c r="ITV520" s="379"/>
      <c r="ITW520" s="379"/>
      <c r="ITX520" s="379"/>
      <c r="ITY520" s="379"/>
      <c r="ITZ520" s="379"/>
      <c r="IUA520" s="13"/>
      <c r="IUB520" s="13"/>
      <c r="IUC520" s="193"/>
      <c r="IUD520" s="379"/>
      <c r="IUE520" s="379"/>
      <c r="IUF520" s="379"/>
      <c r="IUG520" s="379"/>
      <c r="IUH520" s="379"/>
      <c r="IUI520" s="13"/>
      <c r="IUJ520" s="13"/>
      <c r="IUK520" s="193"/>
      <c r="IUL520" s="379"/>
      <c r="IUM520" s="379"/>
      <c r="IUN520" s="379"/>
      <c r="IUO520" s="379"/>
      <c r="IUP520" s="379"/>
      <c r="IUQ520" s="13"/>
      <c r="IUR520" s="13"/>
      <c r="IUS520" s="193"/>
      <c r="IUT520" s="379"/>
      <c r="IUU520" s="379"/>
      <c r="IUV520" s="379"/>
      <c r="IUW520" s="379"/>
      <c r="IUX520" s="379"/>
      <c r="IUY520" s="13"/>
      <c r="IUZ520" s="13"/>
      <c r="IVA520" s="193"/>
      <c r="IVB520" s="379"/>
      <c r="IVC520" s="379"/>
      <c r="IVD520" s="379"/>
      <c r="IVE520" s="379"/>
      <c r="IVF520" s="379"/>
      <c r="IVG520" s="13"/>
      <c r="IVH520" s="13"/>
      <c r="IVI520" s="193"/>
      <c r="IVJ520" s="379"/>
      <c r="IVK520" s="379"/>
      <c r="IVL520" s="379"/>
      <c r="IVM520" s="379"/>
      <c r="IVN520" s="379"/>
      <c r="IVO520" s="13"/>
      <c r="IVP520" s="13"/>
      <c r="IVQ520" s="193"/>
      <c r="IVR520" s="379"/>
      <c r="IVS520" s="379"/>
      <c r="IVT520" s="379"/>
      <c r="IVU520" s="379"/>
      <c r="IVV520" s="379"/>
      <c r="IVW520" s="13"/>
      <c r="IVX520" s="13"/>
      <c r="IVY520" s="193"/>
      <c r="IVZ520" s="379"/>
      <c r="IWA520" s="379"/>
      <c r="IWB520" s="379"/>
      <c r="IWC520" s="379"/>
      <c r="IWD520" s="379"/>
      <c r="IWE520" s="13"/>
      <c r="IWF520" s="13"/>
      <c r="IWG520" s="193"/>
      <c r="IWH520" s="379"/>
      <c r="IWI520" s="379"/>
      <c r="IWJ520" s="379"/>
      <c r="IWK520" s="379"/>
      <c r="IWL520" s="379"/>
      <c r="IWM520" s="13"/>
      <c r="IWN520" s="13"/>
      <c r="IWO520" s="193"/>
      <c r="IWP520" s="379"/>
      <c r="IWQ520" s="379"/>
      <c r="IWR520" s="379"/>
      <c r="IWS520" s="379"/>
      <c r="IWT520" s="379"/>
      <c r="IWU520" s="13"/>
      <c r="IWV520" s="13"/>
      <c r="IWW520" s="193"/>
      <c r="IWX520" s="379"/>
      <c r="IWY520" s="379"/>
      <c r="IWZ520" s="379"/>
      <c r="IXA520" s="379"/>
      <c r="IXB520" s="379"/>
      <c r="IXC520" s="13"/>
      <c r="IXD520" s="13"/>
      <c r="IXE520" s="193"/>
      <c r="IXF520" s="379"/>
      <c r="IXG520" s="379"/>
      <c r="IXH520" s="379"/>
      <c r="IXI520" s="379"/>
      <c r="IXJ520" s="379"/>
      <c r="IXK520" s="13"/>
      <c r="IXL520" s="13"/>
      <c r="IXM520" s="193"/>
      <c r="IXN520" s="379"/>
      <c r="IXO520" s="379"/>
      <c r="IXP520" s="379"/>
      <c r="IXQ520" s="379"/>
      <c r="IXR520" s="379"/>
      <c r="IXS520" s="13"/>
      <c r="IXT520" s="13"/>
      <c r="IXU520" s="193"/>
      <c r="IXV520" s="379"/>
      <c r="IXW520" s="379"/>
      <c r="IXX520" s="379"/>
      <c r="IXY520" s="379"/>
      <c r="IXZ520" s="379"/>
      <c r="IYA520" s="13"/>
      <c r="IYB520" s="13"/>
      <c r="IYC520" s="193"/>
      <c r="IYD520" s="379"/>
      <c r="IYE520" s="379"/>
      <c r="IYF520" s="379"/>
      <c r="IYG520" s="379"/>
      <c r="IYH520" s="379"/>
      <c r="IYI520" s="13"/>
      <c r="IYJ520" s="13"/>
      <c r="IYK520" s="193"/>
      <c r="IYL520" s="379"/>
      <c r="IYM520" s="379"/>
      <c r="IYN520" s="379"/>
      <c r="IYO520" s="379"/>
      <c r="IYP520" s="379"/>
      <c r="IYQ520" s="13"/>
      <c r="IYR520" s="13"/>
      <c r="IYS520" s="193"/>
      <c r="IYT520" s="379"/>
      <c r="IYU520" s="379"/>
      <c r="IYV520" s="379"/>
      <c r="IYW520" s="379"/>
      <c r="IYX520" s="379"/>
      <c r="IYY520" s="13"/>
      <c r="IYZ520" s="13"/>
      <c r="IZA520" s="193"/>
      <c r="IZB520" s="379"/>
      <c r="IZC520" s="379"/>
      <c r="IZD520" s="379"/>
      <c r="IZE520" s="379"/>
      <c r="IZF520" s="379"/>
      <c r="IZG520" s="13"/>
      <c r="IZH520" s="13"/>
      <c r="IZI520" s="193"/>
      <c r="IZJ520" s="379"/>
      <c r="IZK520" s="379"/>
      <c r="IZL520" s="379"/>
      <c r="IZM520" s="379"/>
      <c r="IZN520" s="379"/>
      <c r="IZO520" s="13"/>
      <c r="IZP520" s="13"/>
      <c r="IZQ520" s="193"/>
      <c r="IZR520" s="379"/>
      <c r="IZS520" s="379"/>
      <c r="IZT520" s="379"/>
      <c r="IZU520" s="379"/>
      <c r="IZV520" s="379"/>
      <c r="IZW520" s="13"/>
      <c r="IZX520" s="13"/>
      <c r="IZY520" s="193"/>
      <c r="IZZ520" s="379"/>
      <c r="JAA520" s="379"/>
      <c r="JAB520" s="379"/>
      <c r="JAC520" s="379"/>
      <c r="JAD520" s="379"/>
      <c r="JAE520" s="13"/>
      <c r="JAF520" s="13"/>
      <c r="JAG520" s="193"/>
      <c r="JAH520" s="379"/>
      <c r="JAI520" s="379"/>
      <c r="JAJ520" s="379"/>
      <c r="JAK520" s="379"/>
      <c r="JAL520" s="379"/>
      <c r="JAM520" s="13"/>
      <c r="JAN520" s="13"/>
      <c r="JAO520" s="193"/>
      <c r="JAP520" s="379"/>
      <c r="JAQ520" s="379"/>
      <c r="JAR520" s="379"/>
      <c r="JAS520" s="379"/>
      <c r="JAT520" s="379"/>
      <c r="JAU520" s="13"/>
      <c r="JAV520" s="13"/>
      <c r="JAW520" s="193"/>
      <c r="JAX520" s="379"/>
      <c r="JAY520" s="379"/>
      <c r="JAZ520" s="379"/>
      <c r="JBA520" s="379"/>
      <c r="JBB520" s="379"/>
      <c r="JBC520" s="13"/>
      <c r="JBD520" s="13"/>
      <c r="JBE520" s="193"/>
      <c r="JBF520" s="379"/>
      <c r="JBG520" s="379"/>
      <c r="JBH520" s="379"/>
      <c r="JBI520" s="379"/>
      <c r="JBJ520" s="379"/>
      <c r="JBK520" s="13"/>
      <c r="JBL520" s="13"/>
      <c r="JBM520" s="193"/>
      <c r="JBN520" s="379"/>
      <c r="JBO520" s="379"/>
      <c r="JBP520" s="379"/>
      <c r="JBQ520" s="379"/>
      <c r="JBR520" s="379"/>
      <c r="JBS520" s="13"/>
      <c r="JBT520" s="13"/>
      <c r="JBU520" s="193"/>
      <c r="JBV520" s="379"/>
      <c r="JBW520" s="379"/>
      <c r="JBX520" s="379"/>
      <c r="JBY520" s="379"/>
      <c r="JBZ520" s="379"/>
      <c r="JCA520" s="13"/>
      <c r="JCB520" s="13"/>
      <c r="JCC520" s="193"/>
      <c r="JCD520" s="379"/>
      <c r="JCE520" s="379"/>
      <c r="JCF520" s="379"/>
      <c r="JCG520" s="379"/>
      <c r="JCH520" s="379"/>
      <c r="JCI520" s="13"/>
      <c r="JCJ520" s="13"/>
      <c r="JCK520" s="193"/>
      <c r="JCL520" s="379"/>
      <c r="JCM520" s="379"/>
      <c r="JCN520" s="379"/>
      <c r="JCO520" s="379"/>
      <c r="JCP520" s="379"/>
      <c r="JCQ520" s="13"/>
      <c r="JCR520" s="13"/>
      <c r="JCS520" s="193"/>
      <c r="JCT520" s="379"/>
      <c r="JCU520" s="379"/>
      <c r="JCV520" s="379"/>
      <c r="JCW520" s="379"/>
      <c r="JCX520" s="379"/>
      <c r="JCY520" s="13"/>
      <c r="JCZ520" s="13"/>
      <c r="JDA520" s="193"/>
      <c r="JDB520" s="379"/>
      <c r="JDC520" s="379"/>
      <c r="JDD520" s="379"/>
      <c r="JDE520" s="379"/>
      <c r="JDF520" s="379"/>
      <c r="JDG520" s="13"/>
      <c r="JDH520" s="13"/>
      <c r="JDI520" s="193"/>
      <c r="JDJ520" s="379"/>
      <c r="JDK520" s="379"/>
      <c r="JDL520" s="379"/>
      <c r="JDM520" s="379"/>
      <c r="JDN520" s="379"/>
      <c r="JDO520" s="13"/>
      <c r="JDP520" s="13"/>
      <c r="JDQ520" s="193"/>
      <c r="JDR520" s="379"/>
      <c r="JDS520" s="379"/>
      <c r="JDT520" s="379"/>
      <c r="JDU520" s="379"/>
      <c r="JDV520" s="379"/>
      <c r="JDW520" s="13"/>
      <c r="JDX520" s="13"/>
      <c r="JDY520" s="193"/>
      <c r="JDZ520" s="379"/>
      <c r="JEA520" s="379"/>
      <c r="JEB520" s="379"/>
      <c r="JEC520" s="379"/>
      <c r="JED520" s="379"/>
      <c r="JEE520" s="13"/>
      <c r="JEF520" s="13"/>
      <c r="JEG520" s="193"/>
      <c r="JEH520" s="379"/>
      <c r="JEI520" s="379"/>
      <c r="JEJ520" s="379"/>
      <c r="JEK520" s="379"/>
      <c r="JEL520" s="379"/>
      <c r="JEM520" s="13"/>
      <c r="JEN520" s="13"/>
      <c r="JEO520" s="193"/>
      <c r="JEP520" s="379"/>
      <c r="JEQ520" s="379"/>
      <c r="JER520" s="379"/>
      <c r="JES520" s="379"/>
      <c r="JET520" s="379"/>
      <c r="JEU520" s="13"/>
      <c r="JEV520" s="13"/>
      <c r="JEW520" s="193"/>
      <c r="JEX520" s="379"/>
      <c r="JEY520" s="379"/>
      <c r="JEZ520" s="379"/>
      <c r="JFA520" s="379"/>
      <c r="JFB520" s="379"/>
      <c r="JFC520" s="13"/>
      <c r="JFD520" s="13"/>
      <c r="JFE520" s="193"/>
      <c r="JFF520" s="379"/>
      <c r="JFG520" s="379"/>
      <c r="JFH520" s="379"/>
      <c r="JFI520" s="379"/>
      <c r="JFJ520" s="379"/>
      <c r="JFK520" s="13"/>
      <c r="JFL520" s="13"/>
      <c r="JFM520" s="193"/>
      <c r="JFN520" s="379"/>
      <c r="JFO520" s="379"/>
      <c r="JFP520" s="379"/>
      <c r="JFQ520" s="379"/>
      <c r="JFR520" s="379"/>
      <c r="JFS520" s="13"/>
      <c r="JFT520" s="13"/>
      <c r="JFU520" s="193"/>
      <c r="JFV520" s="379"/>
      <c r="JFW520" s="379"/>
      <c r="JFX520" s="379"/>
      <c r="JFY520" s="379"/>
      <c r="JFZ520" s="379"/>
      <c r="JGA520" s="13"/>
      <c r="JGB520" s="13"/>
      <c r="JGC520" s="193"/>
      <c r="JGD520" s="379"/>
      <c r="JGE520" s="379"/>
      <c r="JGF520" s="379"/>
      <c r="JGG520" s="379"/>
      <c r="JGH520" s="379"/>
      <c r="JGI520" s="13"/>
      <c r="JGJ520" s="13"/>
      <c r="JGK520" s="193"/>
      <c r="JGL520" s="379"/>
      <c r="JGM520" s="379"/>
      <c r="JGN520" s="379"/>
      <c r="JGO520" s="379"/>
      <c r="JGP520" s="379"/>
      <c r="JGQ520" s="13"/>
      <c r="JGR520" s="13"/>
      <c r="JGS520" s="193"/>
      <c r="JGT520" s="379"/>
      <c r="JGU520" s="379"/>
      <c r="JGV520" s="379"/>
      <c r="JGW520" s="379"/>
      <c r="JGX520" s="379"/>
      <c r="JGY520" s="13"/>
      <c r="JGZ520" s="13"/>
      <c r="JHA520" s="193"/>
      <c r="JHB520" s="379"/>
      <c r="JHC520" s="379"/>
      <c r="JHD520" s="379"/>
      <c r="JHE520" s="379"/>
      <c r="JHF520" s="379"/>
      <c r="JHG520" s="13"/>
      <c r="JHH520" s="13"/>
      <c r="JHI520" s="193"/>
      <c r="JHJ520" s="379"/>
      <c r="JHK520" s="379"/>
      <c r="JHL520" s="379"/>
      <c r="JHM520" s="379"/>
      <c r="JHN520" s="379"/>
      <c r="JHO520" s="13"/>
      <c r="JHP520" s="13"/>
      <c r="JHQ520" s="193"/>
      <c r="JHR520" s="379"/>
      <c r="JHS520" s="379"/>
      <c r="JHT520" s="379"/>
      <c r="JHU520" s="379"/>
      <c r="JHV520" s="379"/>
      <c r="JHW520" s="13"/>
      <c r="JHX520" s="13"/>
      <c r="JHY520" s="193"/>
      <c r="JHZ520" s="379"/>
      <c r="JIA520" s="379"/>
      <c r="JIB520" s="379"/>
      <c r="JIC520" s="379"/>
      <c r="JID520" s="379"/>
      <c r="JIE520" s="13"/>
      <c r="JIF520" s="13"/>
      <c r="JIG520" s="193"/>
      <c r="JIH520" s="379"/>
      <c r="JII520" s="379"/>
      <c r="JIJ520" s="379"/>
      <c r="JIK520" s="379"/>
      <c r="JIL520" s="379"/>
      <c r="JIM520" s="13"/>
      <c r="JIN520" s="13"/>
      <c r="JIO520" s="193"/>
      <c r="JIP520" s="379"/>
      <c r="JIQ520" s="379"/>
      <c r="JIR520" s="379"/>
      <c r="JIS520" s="379"/>
      <c r="JIT520" s="379"/>
      <c r="JIU520" s="13"/>
      <c r="JIV520" s="13"/>
      <c r="JIW520" s="193"/>
      <c r="JIX520" s="379"/>
      <c r="JIY520" s="379"/>
      <c r="JIZ520" s="379"/>
      <c r="JJA520" s="379"/>
      <c r="JJB520" s="379"/>
      <c r="JJC520" s="13"/>
      <c r="JJD520" s="13"/>
      <c r="JJE520" s="193"/>
      <c r="JJF520" s="379"/>
      <c r="JJG520" s="379"/>
      <c r="JJH520" s="379"/>
      <c r="JJI520" s="379"/>
      <c r="JJJ520" s="379"/>
      <c r="JJK520" s="13"/>
      <c r="JJL520" s="13"/>
      <c r="JJM520" s="193"/>
      <c r="JJN520" s="379"/>
      <c r="JJO520" s="379"/>
      <c r="JJP520" s="379"/>
      <c r="JJQ520" s="379"/>
      <c r="JJR520" s="379"/>
      <c r="JJS520" s="13"/>
      <c r="JJT520" s="13"/>
      <c r="JJU520" s="193"/>
      <c r="JJV520" s="379"/>
      <c r="JJW520" s="379"/>
      <c r="JJX520" s="379"/>
      <c r="JJY520" s="379"/>
      <c r="JJZ520" s="379"/>
      <c r="JKA520" s="13"/>
      <c r="JKB520" s="13"/>
      <c r="JKC520" s="193"/>
      <c r="JKD520" s="379"/>
      <c r="JKE520" s="379"/>
      <c r="JKF520" s="379"/>
      <c r="JKG520" s="379"/>
      <c r="JKH520" s="379"/>
      <c r="JKI520" s="13"/>
      <c r="JKJ520" s="13"/>
      <c r="JKK520" s="193"/>
      <c r="JKL520" s="379"/>
      <c r="JKM520" s="379"/>
      <c r="JKN520" s="379"/>
      <c r="JKO520" s="379"/>
      <c r="JKP520" s="379"/>
      <c r="JKQ520" s="13"/>
      <c r="JKR520" s="13"/>
      <c r="JKS520" s="193"/>
      <c r="JKT520" s="379"/>
      <c r="JKU520" s="379"/>
      <c r="JKV520" s="379"/>
      <c r="JKW520" s="379"/>
      <c r="JKX520" s="379"/>
      <c r="JKY520" s="13"/>
      <c r="JKZ520" s="13"/>
      <c r="JLA520" s="193"/>
      <c r="JLB520" s="379"/>
      <c r="JLC520" s="379"/>
      <c r="JLD520" s="379"/>
      <c r="JLE520" s="379"/>
      <c r="JLF520" s="379"/>
      <c r="JLG520" s="13"/>
      <c r="JLH520" s="13"/>
      <c r="JLI520" s="193"/>
      <c r="JLJ520" s="379"/>
      <c r="JLK520" s="379"/>
      <c r="JLL520" s="379"/>
      <c r="JLM520" s="379"/>
      <c r="JLN520" s="379"/>
      <c r="JLO520" s="13"/>
      <c r="JLP520" s="13"/>
      <c r="JLQ520" s="193"/>
      <c r="JLR520" s="379"/>
      <c r="JLS520" s="379"/>
      <c r="JLT520" s="379"/>
      <c r="JLU520" s="379"/>
      <c r="JLV520" s="379"/>
      <c r="JLW520" s="13"/>
      <c r="JLX520" s="13"/>
      <c r="JLY520" s="193"/>
      <c r="JLZ520" s="379"/>
      <c r="JMA520" s="379"/>
      <c r="JMB520" s="379"/>
      <c r="JMC520" s="379"/>
      <c r="JMD520" s="379"/>
      <c r="JME520" s="13"/>
      <c r="JMF520" s="13"/>
      <c r="JMG520" s="193"/>
      <c r="JMH520" s="379"/>
      <c r="JMI520" s="379"/>
      <c r="JMJ520" s="379"/>
      <c r="JMK520" s="379"/>
      <c r="JML520" s="379"/>
      <c r="JMM520" s="13"/>
      <c r="JMN520" s="13"/>
      <c r="JMO520" s="193"/>
      <c r="JMP520" s="379"/>
      <c r="JMQ520" s="379"/>
      <c r="JMR520" s="379"/>
      <c r="JMS520" s="379"/>
      <c r="JMT520" s="379"/>
      <c r="JMU520" s="13"/>
      <c r="JMV520" s="13"/>
      <c r="JMW520" s="193"/>
      <c r="JMX520" s="379"/>
      <c r="JMY520" s="379"/>
      <c r="JMZ520" s="379"/>
      <c r="JNA520" s="379"/>
      <c r="JNB520" s="379"/>
      <c r="JNC520" s="13"/>
      <c r="JND520" s="13"/>
      <c r="JNE520" s="193"/>
      <c r="JNF520" s="379"/>
      <c r="JNG520" s="379"/>
      <c r="JNH520" s="379"/>
      <c r="JNI520" s="379"/>
      <c r="JNJ520" s="379"/>
      <c r="JNK520" s="13"/>
      <c r="JNL520" s="13"/>
      <c r="JNM520" s="193"/>
      <c r="JNN520" s="379"/>
      <c r="JNO520" s="379"/>
      <c r="JNP520" s="379"/>
      <c r="JNQ520" s="379"/>
      <c r="JNR520" s="379"/>
      <c r="JNS520" s="13"/>
      <c r="JNT520" s="13"/>
      <c r="JNU520" s="193"/>
      <c r="JNV520" s="379"/>
      <c r="JNW520" s="379"/>
      <c r="JNX520" s="379"/>
      <c r="JNY520" s="379"/>
      <c r="JNZ520" s="379"/>
      <c r="JOA520" s="13"/>
      <c r="JOB520" s="13"/>
      <c r="JOC520" s="193"/>
      <c r="JOD520" s="379"/>
      <c r="JOE520" s="379"/>
      <c r="JOF520" s="379"/>
      <c r="JOG520" s="379"/>
      <c r="JOH520" s="379"/>
      <c r="JOI520" s="13"/>
      <c r="JOJ520" s="13"/>
      <c r="JOK520" s="193"/>
      <c r="JOL520" s="379"/>
      <c r="JOM520" s="379"/>
      <c r="JON520" s="379"/>
      <c r="JOO520" s="379"/>
      <c r="JOP520" s="379"/>
      <c r="JOQ520" s="13"/>
      <c r="JOR520" s="13"/>
      <c r="JOS520" s="193"/>
      <c r="JOT520" s="379"/>
      <c r="JOU520" s="379"/>
      <c r="JOV520" s="379"/>
      <c r="JOW520" s="379"/>
      <c r="JOX520" s="379"/>
      <c r="JOY520" s="13"/>
      <c r="JOZ520" s="13"/>
      <c r="JPA520" s="193"/>
      <c r="JPB520" s="379"/>
      <c r="JPC520" s="379"/>
      <c r="JPD520" s="379"/>
      <c r="JPE520" s="379"/>
      <c r="JPF520" s="379"/>
      <c r="JPG520" s="13"/>
      <c r="JPH520" s="13"/>
      <c r="JPI520" s="193"/>
      <c r="JPJ520" s="379"/>
      <c r="JPK520" s="379"/>
      <c r="JPL520" s="379"/>
      <c r="JPM520" s="379"/>
      <c r="JPN520" s="379"/>
      <c r="JPO520" s="13"/>
      <c r="JPP520" s="13"/>
      <c r="JPQ520" s="193"/>
      <c r="JPR520" s="379"/>
      <c r="JPS520" s="379"/>
      <c r="JPT520" s="379"/>
      <c r="JPU520" s="379"/>
      <c r="JPV520" s="379"/>
      <c r="JPW520" s="13"/>
      <c r="JPX520" s="13"/>
      <c r="JPY520" s="193"/>
      <c r="JPZ520" s="379"/>
      <c r="JQA520" s="379"/>
      <c r="JQB520" s="379"/>
      <c r="JQC520" s="379"/>
      <c r="JQD520" s="379"/>
      <c r="JQE520" s="13"/>
      <c r="JQF520" s="13"/>
      <c r="JQG520" s="193"/>
      <c r="JQH520" s="379"/>
      <c r="JQI520" s="379"/>
      <c r="JQJ520" s="379"/>
      <c r="JQK520" s="379"/>
      <c r="JQL520" s="379"/>
      <c r="JQM520" s="13"/>
      <c r="JQN520" s="13"/>
      <c r="JQO520" s="193"/>
      <c r="JQP520" s="379"/>
      <c r="JQQ520" s="379"/>
      <c r="JQR520" s="379"/>
      <c r="JQS520" s="379"/>
      <c r="JQT520" s="379"/>
      <c r="JQU520" s="13"/>
      <c r="JQV520" s="13"/>
      <c r="JQW520" s="193"/>
      <c r="JQX520" s="379"/>
      <c r="JQY520" s="379"/>
      <c r="JQZ520" s="379"/>
      <c r="JRA520" s="379"/>
      <c r="JRB520" s="379"/>
      <c r="JRC520" s="13"/>
      <c r="JRD520" s="13"/>
      <c r="JRE520" s="193"/>
      <c r="JRF520" s="379"/>
      <c r="JRG520" s="379"/>
      <c r="JRH520" s="379"/>
      <c r="JRI520" s="379"/>
      <c r="JRJ520" s="379"/>
      <c r="JRK520" s="13"/>
      <c r="JRL520" s="13"/>
      <c r="JRM520" s="193"/>
      <c r="JRN520" s="379"/>
      <c r="JRO520" s="379"/>
      <c r="JRP520" s="379"/>
      <c r="JRQ520" s="379"/>
      <c r="JRR520" s="379"/>
      <c r="JRS520" s="13"/>
      <c r="JRT520" s="13"/>
      <c r="JRU520" s="193"/>
      <c r="JRV520" s="379"/>
      <c r="JRW520" s="379"/>
      <c r="JRX520" s="379"/>
      <c r="JRY520" s="379"/>
      <c r="JRZ520" s="379"/>
      <c r="JSA520" s="13"/>
      <c r="JSB520" s="13"/>
      <c r="JSC520" s="193"/>
      <c r="JSD520" s="379"/>
      <c r="JSE520" s="379"/>
      <c r="JSF520" s="379"/>
      <c r="JSG520" s="379"/>
      <c r="JSH520" s="379"/>
      <c r="JSI520" s="13"/>
      <c r="JSJ520" s="13"/>
      <c r="JSK520" s="193"/>
      <c r="JSL520" s="379"/>
      <c r="JSM520" s="379"/>
      <c r="JSN520" s="379"/>
      <c r="JSO520" s="379"/>
      <c r="JSP520" s="379"/>
      <c r="JSQ520" s="13"/>
      <c r="JSR520" s="13"/>
      <c r="JSS520" s="193"/>
      <c r="JST520" s="379"/>
      <c r="JSU520" s="379"/>
      <c r="JSV520" s="379"/>
      <c r="JSW520" s="379"/>
      <c r="JSX520" s="379"/>
      <c r="JSY520" s="13"/>
      <c r="JSZ520" s="13"/>
      <c r="JTA520" s="193"/>
      <c r="JTB520" s="379"/>
      <c r="JTC520" s="379"/>
      <c r="JTD520" s="379"/>
      <c r="JTE520" s="379"/>
      <c r="JTF520" s="379"/>
      <c r="JTG520" s="13"/>
      <c r="JTH520" s="13"/>
      <c r="JTI520" s="193"/>
      <c r="JTJ520" s="379"/>
      <c r="JTK520" s="379"/>
      <c r="JTL520" s="379"/>
      <c r="JTM520" s="379"/>
      <c r="JTN520" s="379"/>
      <c r="JTO520" s="13"/>
      <c r="JTP520" s="13"/>
      <c r="JTQ520" s="193"/>
      <c r="JTR520" s="379"/>
      <c r="JTS520" s="379"/>
      <c r="JTT520" s="379"/>
      <c r="JTU520" s="379"/>
      <c r="JTV520" s="379"/>
      <c r="JTW520" s="13"/>
      <c r="JTX520" s="13"/>
      <c r="JTY520" s="193"/>
      <c r="JTZ520" s="379"/>
      <c r="JUA520" s="379"/>
      <c r="JUB520" s="379"/>
      <c r="JUC520" s="379"/>
      <c r="JUD520" s="379"/>
      <c r="JUE520" s="13"/>
      <c r="JUF520" s="13"/>
      <c r="JUG520" s="193"/>
      <c r="JUH520" s="379"/>
      <c r="JUI520" s="379"/>
      <c r="JUJ520" s="379"/>
      <c r="JUK520" s="379"/>
      <c r="JUL520" s="379"/>
      <c r="JUM520" s="13"/>
      <c r="JUN520" s="13"/>
      <c r="JUO520" s="193"/>
      <c r="JUP520" s="379"/>
      <c r="JUQ520" s="379"/>
      <c r="JUR520" s="379"/>
      <c r="JUS520" s="379"/>
      <c r="JUT520" s="379"/>
      <c r="JUU520" s="13"/>
      <c r="JUV520" s="13"/>
      <c r="JUW520" s="193"/>
      <c r="JUX520" s="379"/>
      <c r="JUY520" s="379"/>
      <c r="JUZ520" s="379"/>
      <c r="JVA520" s="379"/>
      <c r="JVB520" s="379"/>
      <c r="JVC520" s="13"/>
      <c r="JVD520" s="13"/>
      <c r="JVE520" s="193"/>
      <c r="JVF520" s="379"/>
      <c r="JVG520" s="379"/>
      <c r="JVH520" s="379"/>
      <c r="JVI520" s="379"/>
      <c r="JVJ520" s="379"/>
      <c r="JVK520" s="13"/>
      <c r="JVL520" s="13"/>
      <c r="JVM520" s="193"/>
      <c r="JVN520" s="379"/>
      <c r="JVO520" s="379"/>
      <c r="JVP520" s="379"/>
      <c r="JVQ520" s="379"/>
      <c r="JVR520" s="379"/>
      <c r="JVS520" s="13"/>
      <c r="JVT520" s="13"/>
      <c r="JVU520" s="193"/>
      <c r="JVV520" s="379"/>
      <c r="JVW520" s="379"/>
      <c r="JVX520" s="379"/>
      <c r="JVY520" s="379"/>
      <c r="JVZ520" s="379"/>
      <c r="JWA520" s="13"/>
      <c r="JWB520" s="13"/>
      <c r="JWC520" s="193"/>
      <c r="JWD520" s="379"/>
      <c r="JWE520" s="379"/>
      <c r="JWF520" s="379"/>
      <c r="JWG520" s="379"/>
      <c r="JWH520" s="379"/>
      <c r="JWI520" s="13"/>
      <c r="JWJ520" s="13"/>
      <c r="JWK520" s="193"/>
      <c r="JWL520" s="379"/>
      <c r="JWM520" s="379"/>
      <c r="JWN520" s="379"/>
      <c r="JWO520" s="379"/>
      <c r="JWP520" s="379"/>
      <c r="JWQ520" s="13"/>
      <c r="JWR520" s="13"/>
      <c r="JWS520" s="193"/>
      <c r="JWT520" s="379"/>
      <c r="JWU520" s="379"/>
      <c r="JWV520" s="379"/>
      <c r="JWW520" s="379"/>
      <c r="JWX520" s="379"/>
      <c r="JWY520" s="13"/>
      <c r="JWZ520" s="13"/>
      <c r="JXA520" s="193"/>
      <c r="JXB520" s="379"/>
      <c r="JXC520" s="379"/>
      <c r="JXD520" s="379"/>
      <c r="JXE520" s="379"/>
      <c r="JXF520" s="379"/>
      <c r="JXG520" s="13"/>
      <c r="JXH520" s="13"/>
      <c r="JXI520" s="193"/>
      <c r="JXJ520" s="379"/>
      <c r="JXK520" s="379"/>
      <c r="JXL520" s="379"/>
      <c r="JXM520" s="379"/>
      <c r="JXN520" s="379"/>
      <c r="JXO520" s="13"/>
      <c r="JXP520" s="13"/>
      <c r="JXQ520" s="193"/>
      <c r="JXR520" s="379"/>
      <c r="JXS520" s="379"/>
      <c r="JXT520" s="379"/>
      <c r="JXU520" s="379"/>
      <c r="JXV520" s="379"/>
      <c r="JXW520" s="13"/>
      <c r="JXX520" s="13"/>
      <c r="JXY520" s="193"/>
      <c r="JXZ520" s="379"/>
      <c r="JYA520" s="379"/>
      <c r="JYB520" s="379"/>
      <c r="JYC520" s="379"/>
      <c r="JYD520" s="379"/>
      <c r="JYE520" s="13"/>
      <c r="JYF520" s="13"/>
      <c r="JYG520" s="193"/>
      <c r="JYH520" s="379"/>
      <c r="JYI520" s="379"/>
      <c r="JYJ520" s="379"/>
      <c r="JYK520" s="379"/>
      <c r="JYL520" s="379"/>
      <c r="JYM520" s="13"/>
      <c r="JYN520" s="13"/>
      <c r="JYO520" s="193"/>
      <c r="JYP520" s="379"/>
      <c r="JYQ520" s="379"/>
      <c r="JYR520" s="379"/>
      <c r="JYS520" s="379"/>
      <c r="JYT520" s="379"/>
      <c r="JYU520" s="13"/>
      <c r="JYV520" s="13"/>
      <c r="JYW520" s="193"/>
      <c r="JYX520" s="379"/>
      <c r="JYY520" s="379"/>
      <c r="JYZ520" s="379"/>
      <c r="JZA520" s="379"/>
      <c r="JZB520" s="379"/>
      <c r="JZC520" s="13"/>
      <c r="JZD520" s="13"/>
      <c r="JZE520" s="193"/>
      <c r="JZF520" s="379"/>
      <c r="JZG520" s="379"/>
      <c r="JZH520" s="379"/>
      <c r="JZI520" s="379"/>
      <c r="JZJ520" s="379"/>
      <c r="JZK520" s="13"/>
      <c r="JZL520" s="13"/>
      <c r="JZM520" s="193"/>
      <c r="JZN520" s="379"/>
      <c r="JZO520" s="379"/>
      <c r="JZP520" s="379"/>
      <c r="JZQ520" s="379"/>
      <c r="JZR520" s="379"/>
      <c r="JZS520" s="13"/>
      <c r="JZT520" s="13"/>
      <c r="JZU520" s="193"/>
      <c r="JZV520" s="379"/>
      <c r="JZW520" s="379"/>
      <c r="JZX520" s="379"/>
      <c r="JZY520" s="379"/>
      <c r="JZZ520" s="379"/>
      <c r="KAA520" s="13"/>
      <c r="KAB520" s="13"/>
      <c r="KAC520" s="193"/>
      <c r="KAD520" s="379"/>
      <c r="KAE520" s="379"/>
      <c r="KAF520" s="379"/>
      <c r="KAG520" s="379"/>
      <c r="KAH520" s="379"/>
      <c r="KAI520" s="13"/>
      <c r="KAJ520" s="13"/>
      <c r="KAK520" s="193"/>
      <c r="KAL520" s="379"/>
      <c r="KAM520" s="379"/>
      <c r="KAN520" s="379"/>
      <c r="KAO520" s="379"/>
      <c r="KAP520" s="379"/>
      <c r="KAQ520" s="13"/>
      <c r="KAR520" s="13"/>
      <c r="KAS520" s="193"/>
      <c r="KAT520" s="379"/>
      <c r="KAU520" s="379"/>
      <c r="KAV520" s="379"/>
      <c r="KAW520" s="379"/>
      <c r="KAX520" s="379"/>
      <c r="KAY520" s="13"/>
      <c r="KAZ520" s="13"/>
      <c r="KBA520" s="193"/>
      <c r="KBB520" s="379"/>
      <c r="KBC520" s="379"/>
      <c r="KBD520" s="379"/>
      <c r="KBE520" s="379"/>
      <c r="KBF520" s="379"/>
      <c r="KBG520" s="13"/>
      <c r="KBH520" s="13"/>
      <c r="KBI520" s="193"/>
      <c r="KBJ520" s="379"/>
      <c r="KBK520" s="379"/>
      <c r="KBL520" s="379"/>
      <c r="KBM520" s="379"/>
      <c r="KBN520" s="379"/>
      <c r="KBO520" s="13"/>
      <c r="KBP520" s="13"/>
      <c r="KBQ520" s="193"/>
      <c r="KBR520" s="379"/>
      <c r="KBS520" s="379"/>
      <c r="KBT520" s="379"/>
      <c r="KBU520" s="379"/>
      <c r="KBV520" s="379"/>
      <c r="KBW520" s="13"/>
      <c r="KBX520" s="13"/>
      <c r="KBY520" s="193"/>
      <c r="KBZ520" s="379"/>
      <c r="KCA520" s="379"/>
      <c r="KCB520" s="379"/>
      <c r="KCC520" s="379"/>
      <c r="KCD520" s="379"/>
      <c r="KCE520" s="13"/>
      <c r="KCF520" s="13"/>
      <c r="KCG520" s="193"/>
      <c r="KCH520" s="379"/>
      <c r="KCI520" s="379"/>
      <c r="KCJ520" s="379"/>
      <c r="KCK520" s="379"/>
      <c r="KCL520" s="379"/>
      <c r="KCM520" s="13"/>
      <c r="KCN520" s="13"/>
      <c r="KCO520" s="193"/>
      <c r="KCP520" s="379"/>
      <c r="KCQ520" s="379"/>
      <c r="KCR520" s="379"/>
      <c r="KCS520" s="379"/>
      <c r="KCT520" s="379"/>
      <c r="KCU520" s="13"/>
      <c r="KCV520" s="13"/>
      <c r="KCW520" s="193"/>
      <c r="KCX520" s="379"/>
      <c r="KCY520" s="379"/>
      <c r="KCZ520" s="379"/>
      <c r="KDA520" s="379"/>
      <c r="KDB520" s="379"/>
      <c r="KDC520" s="13"/>
      <c r="KDD520" s="13"/>
      <c r="KDE520" s="193"/>
      <c r="KDF520" s="379"/>
      <c r="KDG520" s="379"/>
      <c r="KDH520" s="379"/>
      <c r="KDI520" s="379"/>
      <c r="KDJ520" s="379"/>
      <c r="KDK520" s="13"/>
      <c r="KDL520" s="13"/>
      <c r="KDM520" s="193"/>
      <c r="KDN520" s="379"/>
      <c r="KDO520" s="379"/>
      <c r="KDP520" s="379"/>
      <c r="KDQ520" s="379"/>
      <c r="KDR520" s="379"/>
      <c r="KDS520" s="13"/>
      <c r="KDT520" s="13"/>
      <c r="KDU520" s="193"/>
      <c r="KDV520" s="379"/>
      <c r="KDW520" s="379"/>
      <c r="KDX520" s="379"/>
      <c r="KDY520" s="379"/>
      <c r="KDZ520" s="379"/>
      <c r="KEA520" s="13"/>
      <c r="KEB520" s="13"/>
      <c r="KEC520" s="193"/>
      <c r="KED520" s="379"/>
      <c r="KEE520" s="379"/>
      <c r="KEF520" s="379"/>
      <c r="KEG520" s="379"/>
      <c r="KEH520" s="379"/>
      <c r="KEI520" s="13"/>
      <c r="KEJ520" s="13"/>
      <c r="KEK520" s="193"/>
      <c r="KEL520" s="379"/>
      <c r="KEM520" s="379"/>
      <c r="KEN520" s="379"/>
      <c r="KEO520" s="379"/>
      <c r="KEP520" s="379"/>
      <c r="KEQ520" s="13"/>
      <c r="KER520" s="13"/>
      <c r="KES520" s="193"/>
      <c r="KET520" s="379"/>
      <c r="KEU520" s="379"/>
      <c r="KEV520" s="379"/>
      <c r="KEW520" s="379"/>
      <c r="KEX520" s="379"/>
      <c r="KEY520" s="13"/>
      <c r="KEZ520" s="13"/>
      <c r="KFA520" s="193"/>
      <c r="KFB520" s="379"/>
      <c r="KFC520" s="379"/>
      <c r="KFD520" s="379"/>
      <c r="KFE520" s="379"/>
      <c r="KFF520" s="379"/>
      <c r="KFG520" s="13"/>
      <c r="KFH520" s="13"/>
      <c r="KFI520" s="193"/>
      <c r="KFJ520" s="379"/>
      <c r="KFK520" s="379"/>
      <c r="KFL520" s="379"/>
      <c r="KFM520" s="379"/>
      <c r="KFN520" s="379"/>
      <c r="KFO520" s="13"/>
      <c r="KFP520" s="13"/>
      <c r="KFQ520" s="193"/>
      <c r="KFR520" s="379"/>
      <c r="KFS520" s="379"/>
      <c r="KFT520" s="379"/>
      <c r="KFU520" s="379"/>
      <c r="KFV520" s="379"/>
      <c r="KFW520" s="13"/>
      <c r="KFX520" s="13"/>
      <c r="KFY520" s="193"/>
      <c r="KFZ520" s="379"/>
      <c r="KGA520" s="379"/>
      <c r="KGB520" s="379"/>
      <c r="KGC520" s="379"/>
      <c r="KGD520" s="379"/>
      <c r="KGE520" s="13"/>
      <c r="KGF520" s="13"/>
      <c r="KGG520" s="193"/>
      <c r="KGH520" s="379"/>
      <c r="KGI520" s="379"/>
      <c r="KGJ520" s="379"/>
      <c r="KGK520" s="379"/>
      <c r="KGL520" s="379"/>
      <c r="KGM520" s="13"/>
      <c r="KGN520" s="13"/>
      <c r="KGO520" s="193"/>
      <c r="KGP520" s="379"/>
      <c r="KGQ520" s="379"/>
      <c r="KGR520" s="379"/>
      <c r="KGS520" s="379"/>
      <c r="KGT520" s="379"/>
      <c r="KGU520" s="13"/>
      <c r="KGV520" s="13"/>
      <c r="KGW520" s="193"/>
      <c r="KGX520" s="379"/>
      <c r="KGY520" s="379"/>
      <c r="KGZ520" s="379"/>
      <c r="KHA520" s="379"/>
      <c r="KHB520" s="379"/>
      <c r="KHC520" s="13"/>
      <c r="KHD520" s="13"/>
      <c r="KHE520" s="193"/>
      <c r="KHF520" s="379"/>
      <c r="KHG520" s="379"/>
      <c r="KHH520" s="379"/>
      <c r="KHI520" s="379"/>
      <c r="KHJ520" s="379"/>
      <c r="KHK520" s="13"/>
      <c r="KHL520" s="13"/>
      <c r="KHM520" s="193"/>
      <c r="KHN520" s="379"/>
      <c r="KHO520" s="379"/>
      <c r="KHP520" s="379"/>
      <c r="KHQ520" s="379"/>
      <c r="KHR520" s="379"/>
      <c r="KHS520" s="13"/>
      <c r="KHT520" s="13"/>
      <c r="KHU520" s="193"/>
      <c r="KHV520" s="379"/>
      <c r="KHW520" s="379"/>
      <c r="KHX520" s="379"/>
      <c r="KHY520" s="379"/>
      <c r="KHZ520" s="379"/>
      <c r="KIA520" s="13"/>
      <c r="KIB520" s="13"/>
      <c r="KIC520" s="193"/>
      <c r="KID520" s="379"/>
      <c r="KIE520" s="379"/>
      <c r="KIF520" s="379"/>
      <c r="KIG520" s="379"/>
      <c r="KIH520" s="379"/>
      <c r="KII520" s="13"/>
      <c r="KIJ520" s="13"/>
      <c r="KIK520" s="193"/>
      <c r="KIL520" s="379"/>
      <c r="KIM520" s="379"/>
      <c r="KIN520" s="379"/>
      <c r="KIO520" s="379"/>
      <c r="KIP520" s="379"/>
      <c r="KIQ520" s="13"/>
      <c r="KIR520" s="13"/>
      <c r="KIS520" s="193"/>
      <c r="KIT520" s="379"/>
      <c r="KIU520" s="379"/>
      <c r="KIV520" s="379"/>
      <c r="KIW520" s="379"/>
      <c r="KIX520" s="379"/>
      <c r="KIY520" s="13"/>
      <c r="KIZ520" s="13"/>
      <c r="KJA520" s="193"/>
      <c r="KJB520" s="379"/>
      <c r="KJC520" s="379"/>
      <c r="KJD520" s="379"/>
      <c r="KJE520" s="379"/>
      <c r="KJF520" s="379"/>
      <c r="KJG520" s="13"/>
      <c r="KJH520" s="13"/>
      <c r="KJI520" s="193"/>
      <c r="KJJ520" s="379"/>
      <c r="KJK520" s="379"/>
      <c r="KJL520" s="379"/>
      <c r="KJM520" s="379"/>
      <c r="KJN520" s="379"/>
      <c r="KJO520" s="13"/>
      <c r="KJP520" s="13"/>
      <c r="KJQ520" s="193"/>
      <c r="KJR520" s="379"/>
      <c r="KJS520" s="379"/>
      <c r="KJT520" s="379"/>
      <c r="KJU520" s="379"/>
      <c r="KJV520" s="379"/>
      <c r="KJW520" s="13"/>
      <c r="KJX520" s="13"/>
      <c r="KJY520" s="193"/>
      <c r="KJZ520" s="379"/>
      <c r="KKA520" s="379"/>
      <c r="KKB520" s="379"/>
      <c r="KKC520" s="379"/>
      <c r="KKD520" s="379"/>
      <c r="KKE520" s="13"/>
      <c r="KKF520" s="13"/>
      <c r="KKG520" s="193"/>
      <c r="KKH520" s="379"/>
      <c r="KKI520" s="379"/>
      <c r="KKJ520" s="379"/>
      <c r="KKK520" s="379"/>
      <c r="KKL520" s="379"/>
      <c r="KKM520" s="13"/>
      <c r="KKN520" s="13"/>
      <c r="KKO520" s="193"/>
      <c r="KKP520" s="379"/>
      <c r="KKQ520" s="379"/>
      <c r="KKR520" s="379"/>
      <c r="KKS520" s="379"/>
      <c r="KKT520" s="379"/>
      <c r="KKU520" s="13"/>
      <c r="KKV520" s="13"/>
      <c r="KKW520" s="193"/>
      <c r="KKX520" s="379"/>
      <c r="KKY520" s="379"/>
      <c r="KKZ520" s="379"/>
      <c r="KLA520" s="379"/>
      <c r="KLB520" s="379"/>
      <c r="KLC520" s="13"/>
      <c r="KLD520" s="13"/>
      <c r="KLE520" s="193"/>
      <c r="KLF520" s="379"/>
      <c r="KLG520" s="379"/>
      <c r="KLH520" s="379"/>
      <c r="KLI520" s="379"/>
      <c r="KLJ520" s="379"/>
      <c r="KLK520" s="13"/>
      <c r="KLL520" s="13"/>
      <c r="KLM520" s="193"/>
      <c r="KLN520" s="379"/>
      <c r="KLO520" s="379"/>
      <c r="KLP520" s="379"/>
      <c r="KLQ520" s="379"/>
      <c r="KLR520" s="379"/>
      <c r="KLS520" s="13"/>
      <c r="KLT520" s="13"/>
      <c r="KLU520" s="193"/>
      <c r="KLV520" s="379"/>
      <c r="KLW520" s="379"/>
      <c r="KLX520" s="379"/>
      <c r="KLY520" s="379"/>
      <c r="KLZ520" s="379"/>
      <c r="KMA520" s="13"/>
      <c r="KMB520" s="13"/>
      <c r="KMC520" s="193"/>
      <c r="KMD520" s="379"/>
      <c r="KME520" s="379"/>
      <c r="KMF520" s="379"/>
      <c r="KMG520" s="379"/>
      <c r="KMH520" s="379"/>
      <c r="KMI520" s="13"/>
      <c r="KMJ520" s="13"/>
      <c r="KMK520" s="193"/>
      <c r="KML520" s="379"/>
      <c r="KMM520" s="379"/>
      <c r="KMN520" s="379"/>
      <c r="KMO520" s="379"/>
      <c r="KMP520" s="379"/>
      <c r="KMQ520" s="13"/>
      <c r="KMR520" s="13"/>
      <c r="KMS520" s="193"/>
      <c r="KMT520" s="379"/>
      <c r="KMU520" s="379"/>
      <c r="KMV520" s="379"/>
      <c r="KMW520" s="379"/>
      <c r="KMX520" s="379"/>
      <c r="KMY520" s="13"/>
      <c r="KMZ520" s="13"/>
      <c r="KNA520" s="193"/>
      <c r="KNB520" s="379"/>
      <c r="KNC520" s="379"/>
      <c r="KND520" s="379"/>
      <c r="KNE520" s="379"/>
      <c r="KNF520" s="379"/>
      <c r="KNG520" s="13"/>
      <c r="KNH520" s="13"/>
      <c r="KNI520" s="193"/>
      <c r="KNJ520" s="379"/>
      <c r="KNK520" s="379"/>
      <c r="KNL520" s="379"/>
      <c r="KNM520" s="379"/>
      <c r="KNN520" s="379"/>
      <c r="KNO520" s="13"/>
      <c r="KNP520" s="13"/>
      <c r="KNQ520" s="193"/>
      <c r="KNR520" s="379"/>
      <c r="KNS520" s="379"/>
      <c r="KNT520" s="379"/>
      <c r="KNU520" s="379"/>
      <c r="KNV520" s="379"/>
      <c r="KNW520" s="13"/>
      <c r="KNX520" s="13"/>
      <c r="KNY520" s="193"/>
      <c r="KNZ520" s="379"/>
      <c r="KOA520" s="379"/>
      <c r="KOB520" s="379"/>
      <c r="KOC520" s="379"/>
      <c r="KOD520" s="379"/>
      <c r="KOE520" s="13"/>
      <c r="KOF520" s="13"/>
      <c r="KOG520" s="193"/>
      <c r="KOH520" s="379"/>
      <c r="KOI520" s="379"/>
      <c r="KOJ520" s="379"/>
      <c r="KOK520" s="379"/>
      <c r="KOL520" s="379"/>
      <c r="KOM520" s="13"/>
      <c r="KON520" s="13"/>
      <c r="KOO520" s="193"/>
      <c r="KOP520" s="379"/>
      <c r="KOQ520" s="379"/>
      <c r="KOR520" s="379"/>
      <c r="KOS520" s="379"/>
      <c r="KOT520" s="379"/>
      <c r="KOU520" s="13"/>
      <c r="KOV520" s="13"/>
      <c r="KOW520" s="193"/>
      <c r="KOX520" s="379"/>
      <c r="KOY520" s="379"/>
      <c r="KOZ520" s="379"/>
      <c r="KPA520" s="379"/>
      <c r="KPB520" s="379"/>
      <c r="KPC520" s="13"/>
      <c r="KPD520" s="13"/>
      <c r="KPE520" s="193"/>
      <c r="KPF520" s="379"/>
      <c r="KPG520" s="379"/>
      <c r="KPH520" s="379"/>
      <c r="KPI520" s="379"/>
      <c r="KPJ520" s="379"/>
      <c r="KPK520" s="13"/>
      <c r="KPL520" s="13"/>
      <c r="KPM520" s="193"/>
      <c r="KPN520" s="379"/>
      <c r="KPO520" s="379"/>
      <c r="KPP520" s="379"/>
      <c r="KPQ520" s="379"/>
      <c r="KPR520" s="379"/>
      <c r="KPS520" s="13"/>
      <c r="KPT520" s="13"/>
      <c r="KPU520" s="193"/>
      <c r="KPV520" s="379"/>
      <c r="KPW520" s="379"/>
      <c r="KPX520" s="379"/>
      <c r="KPY520" s="379"/>
      <c r="KPZ520" s="379"/>
      <c r="KQA520" s="13"/>
      <c r="KQB520" s="13"/>
      <c r="KQC520" s="193"/>
      <c r="KQD520" s="379"/>
      <c r="KQE520" s="379"/>
      <c r="KQF520" s="379"/>
      <c r="KQG520" s="379"/>
      <c r="KQH520" s="379"/>
      <c r="KQI520" s="13"/>
      <c r="KQJ520" s="13"/>
      <c r="KQK520" s="193"/>
      <c r="KQL520" s="379"/>
      <c r="KQM520" s="379"/>
      <c r="KQN520" s="379"/>
      <c r="KQO520" s="379"/>
      <c r="KQP520" s="379"/>
      <c r="KQQ520" s="13"/>
      <c r="KQR520" s="13"/>
      <c r="KQS520" s="193"/>
      <c r="KQT520" s="379"/>
      <c r="KQU520" s="379"/>
      <c r="KQV520" s="379"/>
      <c r="KQW520" s="379"/>
      <c r="KQX520" s="379"/>
      <c r="KQY520" s="13"/>
      <c r="KQZ520" s="13"/>
      <c r="KRA520" s="193"/>
      <c r="KRB520" s="379"/>
      <c r="KRC520" s="379"/>
      <c r="KRD520" s="379"/>
      <c r="KRE520" s="379"/>
      <c r="KRF520" s="379"/>
      <c r="KRG520" s="13"/>
      <c r="KRH520" s="13"/>
      <c r="KRI520" s="193"/>
      <c r="KRJ520" s="379"/>
      <c r="KRK520" s="379"/>
      <c r="KRL520" s="379"/>
      <c r="KRM520" s="379"/>
      <c r="KRN520" s="379"/>
      <c r="KRO520" s="13"/>
      <c r="KRP520" s="13"/>
      <c r="KRQ520" s="193"/>
      <c r="KRR520" s="379"/>
      <c r="KRS520" s="379"/>
      <c r="KRT520" s="379"/>
      <c r="KRU520" s="379"/>
      <c r="KRV520" s="379"/>
      <c r="KRW520" s="13"/>
      <c r="KRX520" s="13"/>
      <c r="KRY520" s="193"/>
      <c r="KRZ520" s="379"/>
      <c r="KSA520" s="379"/>
      <c r="KSB520" s="379"/>
      <c r="KSC520" s="379"/>
      <c r="KSD520" s="379"/>
      <c r="KSE520" s="13"/>
      <c r="KSF520" s="13"/>
      <c r="KSG520" s="193"/>
      <c r="KSH520" s="379"/>
      <c r="KSI520" s="379"/>
      <c r="KSJ520" s="379"/>
      <c r="KSK520" s="379"/>
      <c r="KSL520" s="379"/>
      <c r="KSM520" s="13"/>
      <c r="KSN520" s="13"/>
      <c r="KSO520" s="193"/>
      <c r="KSP520" s="379"/>
      <c r="KSQ520" s="379"/>
      <c r="KSR520" s="379"/>
      <c r="KSS520" s="379"/>
      <c r="KST520" s="379"/>
      <c r="KSU520" s="13"/>
      <c r="KSV520" s="13"/>
      <c r="KSW520" s="193"/>
      <c r="KSX520" s="379"/>
      <c r="KSY520" s="379"/>
      <c r="KSZ520" s="379"/>
      <c r="KTA520" s="379"/>
      <c r="KTB520" s="379"/>
      <c r="KTC520" s="13"/>
      <c r="KTD520" s="13"/>
      <c r="KTE520" s="193"/>
      <c r="KTF520" s="379"/>
      <c r="KTG520" s="379"/>
      <c r="KTH520" s="379"/>
      <c r="KTI520" s="379"/>
      <c r="KTJ520" s="379"/>
      <c r="KTK520" s="13"/>
      <c r="KTL520" s="13"/>
      <c r="KTM520" s="193"/>
      <c r="KTN520" s="379"/>
      <c r="KTO520" s="379"/>
      <c r="KTP520" s="379"/>
      <c r="KTQ520" s="379"/>
      <c r="KTR520" s="379"/>
      <c r="KTS520" s="13"/>
      <c r="KTT520" s="13"/>
      <c r="KTU520" s="193"/>
      <c r="KTV520" s="379"/>
      <c r="KTW520" s="379"/>
      <c r="KTX520" s="379"/>
      <c r="KTY520" s="379"/>
      <c r="KTZ520" s="379"/>
      <c r="KUA520" s="13"/>
      <c r="KUB520" s="13"/>
      <c r="KUC520" s="193"/>
      <c r="KUD520" s="379"/>
      <c r="KUE520" s="379"/>
      <c r="KUF520" s="379"/>
      <c r="KUG520" s="379"/>
      <c r="KUH520" s="379"/>
      <c r="KUI520" s="13"/>
      <c r="KUJ520" s="13"/>
      <c r="KUK520" s="193"/>
      <c r="KUL520" s="379"/>
      <c r="KUM520" s="379"/>
      <c r="KUN520" s="379"/>
      <c r="KUO520" s="379"/>
      <c r="KUP520" s="379"/>
      <c r="KUQ520" s="13"/>
      <c r="KUR520" s="13"/>
      <c r="KUS520" s="193"/>
      <c r="KUT520" s="379"/>
      <c r="KUU520" s="379"/>
      <c r="KUV520" s="379"/>
      <c r="KUW520" s="379"/>
      <c r="KUX520" s="379"/>
      <c r="KUY520" s="13"/>
      <c r="KUZ520" s="13"/>
      <c r="KVA520" s="193"/>
      <c r="KVB520" s="379"/>
      <c r="KVC520" s="379"/>
      <c r="KVD520" s="379"/>
      <c r="KVE520" s="379"/>
      <c r="KVF520" s="379"/>
      <c r="KVG520" s="13"/>
      <c r="KVH520" s="13"/>
      <c r="KVI520" s="193"/>
      <c r="KVJ520" s="379"/>
      <c r="KVK520" s="379"/>
      <c r="KVL520" s="379"/>
      <c r="KVM520" s="379"/>
      <c r="KVN520" s="379"/>
      <c r="KVO520" s="13"/>
      <c r="KVP520" s="13"/>
      <c r="KVQ520" s="193"/>
      <c r="KVR520" s="379"/>
      <c r="KVS520" s="379"/>
      <c r="KVT520" s="379"/>
      <c r="KVU520" s="379"/>
      <c r="KVV520" s="379"/>
      <c r="KVW520" s="13"/>
      <c r="KVX520" s="13"/>
      <c r="KVY520" s="193"/>
      <c r="KVZ520" s="379"/>
      <c r="KWA520" s="379"/>
      <c r="KWB520" s="379"/>
      <c r="KWC520" s="379"/>
      <c r="KWD520" s="379"/>
      <c r="KWE520" s="13"/>
      <c r="KWF520" s="13"/>
      <c r="KWG520" s="193"/>
      <c r="KWH520" s="379"/>
      <c r="KWI520" s="379"/>
      <c r="KWJ520" s="379"/>
      <c r="KWK520" s="379"/>
      <c r="KWL520" s="379"/>
      <c r="KWM520" s="13"/>
      <c r="KWN520" s="13"/>
      <c r="KWO520" s="193"/>
      <c r="KWP520" s="379"/>
      <c r="KWQ520" s="379"/>
      <c r="KWR520" s="379"/>
      <c r="KWS520" s="379"/>
      <c r="KWT520" s="379"/>
      <c r="KWU520" s="13"/>
      <c r="KWV520" s="13"/>
      <c r="KWW520" s="193"/>
      <c r="KWX520" s="379"/>
      <c r="KWY520" s="379"/>
      <c r="KWZ520" s="379"/>
      <c r="KXA520" s="379"/>
      <c r="KXB520" s="379"/>
      <c r="KXC520" s="13"/>
      <c r="KXD520" s="13"/>
      <c r="KXE520" s="193"/>
      <c r="KXF520" s="379"/>
      <c r="KXG520" s="379"/>
      <c r="KXH520" s="379"/>
      <c r="KXI520" s="379"/>
      <c r="KXJ520" s="379"/>
      <c r="KXK520" s="13"/>
      <c r="KXL520" s="13"/>
      <c r="KXM520" s="193"/>
      <c r="KXN520" s="379"/>
      <c r="KXO520" s="379"/>
      <c r="KXP520" s="379"/>
      <c r="KXQ520" s="379"/>
      <c r="KXR520" s="379"/>
      <c r="KXS520" s="13"/>
      <c r="KXT520" s="13"/>
      <c r="KXU520" s="193"/>
      <c r="KXV520" s="379"/>
      <c r="KXW520" s="379"/>
      <c r="KXX520" s="379"/>
      <c r="KXY520" s="379"/>
      <c r="KXZ520" s="379"/>
      <c r="KYA520" s="13"/>
      <c r="KYB520" s="13"/>
      <c r="KYC520" s="193"/>
      <c r="KYD520" s="379"/>
      <c r="KYE520" s="379"/>
      <c r="KYF520" s="379"/>
      <c r="KYG520" s="379"/>
      <c r="KYH520" s="379"/>
      <c r="KYI520" s="13"/>
      <c r="KYJ520" s="13"/>
      <c r="KYK520" s="193"/>
      <c r="KYL520" s="379"/>
      <c r="KYM520" s="379"/>
      <c r="KYN520" s="379"/>
      <c r="KYO520" s="379"/>
      <c r="KYP520" s="379"/>
      <c r="KYQ520" s="13"/>
      <c r="KYR520" s="13"/>
      <c r="KYS520" s="193"/>
      <c r="KYT520" s="379"/>
      <c r="KYU520" s="379"/>
      <c r="KYV520" s="379"/>
      <c r="KYW520" s="379"/>
      <c r="KYX520" s="379"/>
      <c r="KYY520" s="13"/>
      <c r="KYZ520" s="13"/>
      <c r="KZA520" s="193"/>
      <c r="KZB520" s="379"/>
      <c r="KZC520" s="379"/>
      <c r="KZD520" s="379"/>
      <c r="KZE520" s="379"/>
      <c r="KZF520" s="379"/>
      <c r="KZG520" s="13"/>
      <c r="KZH520" s="13"/>
      <c r="KZI520" s="193"/>
      <c r="KZJ520" s="379"/>
      <c r="KZK520" s="379"/>
      <c r="KZL520" s="379"/>
      <c r="KZM520" s="379"/>
      <c r="KZN520" s="379"/>
      <c r="KZO520" s="13"/>
      <c r="KZP520" s="13"/>
      <c r="KZQ520" s="193"/>
      <c r="KZR520" s="379"/>
      <c r="KZS520" s="379"/>
      <c r="KZT520" s="379"/>
      <c r="KZU520" s="379"/>
      <c r="KZV520" s="379"/>
      <c r="KZW520" s="13"/>
      <c r="KZX520" s="13"/>
      <c r="KZY520" s="193"/>
      <c r="KZZ520" s="379"/>
      <c r="LAA520" s="379"/>
      <c r="LAB520" s="379"/>
      <c r="LAC520" s="379"/>
      <c r="LAD520" s="379"/>
      <c r="LAE520" s="13"/>
      <c r="LAF520" s="13"/>
      <c r="LAG520" s="193"/>
      <c r="LAH520" s="379"/>
      <c r="LAI520" s="379"/>
      <c r="LAJ520" s="379"/>
      <c r="LAK520" s="379"/>
      <c r="LAL520" s="379"/>
      <c r="LAM520" s="13"/>
      <c r="LAN520" s="13"/>
      <c r="LAO520" s="193"/>
      <c r="LAP520" s="379"/>
      <c r="LAQ520" s="379"/>
      <c r="LAR520" s="379"/>
      <c r="LAS520" s="379"/>
      <c r="LAT520" s="379"/>
      <c r="LAU520" s="13"/>
      <c r="LAV520" s="13"/>
      <c r="LAW520" s="193"/>
      <c r="LAX520" s="379"/>
      <c r="LAY520" s="379"/>
      <c r="LAZ520" s="379"/>
      <c r="LBA520" s="379"/>
      <c r="LBB520" s="379"/>
      <c r="LBC520" s="13"/>
      <c r="LBD520" s="13"/>
      <c r="LBE520" s="193"/>
      <c r="LBF520" s="379"/>
      <c r="LBG520" s="379"/>
      <c r="LBH520" s="379"/>
      <c r="LBI520" s="379"/>
      <c r="LBJ520" s="379"/>
      <c r="LBK520" s="13"/>
      <c r="LBL520" s="13"/>
      <c r="LBM520" s="193"/>
      <c r="LBN520" s="379"/>
      <c r="LBO520" s="379"/>
      <c r="LBP520" s="379"/>
      <c r="LBQ520" s="379"/>
      <c r="LBR520" s="379"/>
      <c r="LBS520" s="13"/>
      <c r="LBT520" s="13"/>
      <c r="LBU520" s="193"/>
      <c r="LBV520" s="379"/>
      <c r="LBW520" s="379"/>
      <c r="LBX520" s="379"/>
      <c r="LBY520" s="379"/>
      <c r="LBZ520" s="379"/>
      <c r="LCA520" s="13"/>
      <c r="LCB520" s="13"/>
      <c r="LCC520" s="193"/>
      <c r="LCD520" s="379"/>
      <c r="LCE520" s="379"/>
      <c r="LCF520" s="379"/>
      <c r="LCG520" s="379"/>
      <c r="LCH520" s="379"/>
      <c r="LCI520" s="13"/>
      <c r="LCJ520" s="13"/>
      <c r="LCK520" s="193"/>
      <c r="LCL520" s="379"/>
      <c r="LCM520" s="379"/>
      <c r="LCN520" s="379"/>
      <c r="LCO520" s="379"/>
      <c r="LCP520" s="379"/>
      <c r="LCQ520" s="13"/>
      <c r="LCR520" s="13"/>
      <c r="LCS520" s="193"/>
      <c r="LCT520" s="379"/>
      <c r="LCU520" s="379"/>
      <c r="LCV520" s="379"/>
      <c r="LCW520" s="379"/>
      <c r="LCX520" s="379"/>
      <c r="LCY520" s="13"/>
      <c r="LCZ520" s="13"/>
      <c r="LDA520" s="193"/>
      <c r="LDB520" s="379"/>
      <c r="LDC520" s="379"/>
      <c r="LDD520" s="379"/>
      <c r="LDE520" s="379"/>
      <c r="LDF520" s="379"/>
      <c r="LDG520" s="13"/>
      <c r="LDH520" s="13"/>
      <c r="LDI520" s="193"/>
      <c r="LDJ520" s="379"/>
      <c r="LDK520" s="379"/>
      <c r="LDL520" s="379"/>
      <c r="LDM520" s="379"/>
      <c r="LDN520" s="379"/>
      <c r="LDO520" s="13"/>
      <c r="LDP520" s="13"/>
      <c r="LDQ520" s="193"/>
      <c r="LDR520" s="379"/>
      <c r="LDS520" s="379"/>
      <c r="LDT520" s="379"/>
      <c r="LDU520" s="379"/>
      <c r="LDV520" s="379"/>
      <c r="LDW520" s="13"/>
      <c r="LDX520" s="13"/>
      <c r="LDY520" s="193"/>
      <c r="LDZ520" s="379"/>
      <c r="LEA520" s="379"/>
      <c r="LEB520" s="379"/>
      <c r="LEC520" s="379"/>
      <c r="LED520" s="379"/>
      <c r="LEE520" s="13"/>
      <c r="LEF520" s="13"/>
      <c r="LEG520" s="193"/>
      <c r="LEH520" s="379"/>
      <c r="LEI520" s="379"/>
      <c r="LEJ520" s="379"/>
      <c r="LEK520" s="379"/>
      <c r="LEL520" s="379"/>
      <c r="LEM520" s="13"/>
      <c r="LEN520" s="13"/>
      <c r="LEO520" s="193"/>
      <c r="LEP520" s="379"/>
      <c r="LEQ520" s="379"/>
      <c r="LER520" s="379"/>
      <c r="LES520" s="379"/>
      <c r="LET520" s="379"/>
      <c r="LEU520" s="13"/>
      <c r="LEV520" s="13"/>
      <c r="LEW520" s="193"/>
      <c r="LEX520" s="379"/>
      <c r="LEY520" s="379"/>
      <c r="LEZ520" s="379"/>
      <c r="LFA520" s="379"/>
      <c r="LFB520" s="379"/>
      <c r="LFC520" s="13"/>
      <c r="LFD520" s="13"/>
      <c r="LFE520" s="193"/>
      <c r="LFF520" s="379"/>
      <c r="LFG520" s="379"/>
      <c r="LFH520" s="379"/>
      <c r="LFI520" s="379"/>
      <c r="LFJ520" s="379"/>
      <c r="LFK520" s="13"/>
      <c r="LFL520" s="13"/>
      <c r="LFM520" s="193"/>
      <c r="LFN520" s="379"/>
      <c r="LFO520" s="379"/>
      <c r="LFP520" s="379"/>
      <c r="LFQ520" s="379"/>
      <c r="LFR520" s="379"/>
      <c r="LFS520" s="13"/>
      <c r="LFT520" s="13"/>
      <c r="LFU520" s="193"/>
      <c r="LFV520" s="379"/>
      <c r="LFW520" s="379"/>
      <c r="LFX520" s="379"/>
      <c r="LFY520" s="379"/>
      <c r="LFZ520" s="379"/>
      <c r="LGA520" s="13"/>
      <c r="LGB520" s="13"/>
      <c r="LGC520" s="193"/>
      <c r="LGD520" s="379"/>
      <c r="LGE520" s="379"/>
      <c r="LGF520" s="379"/>
      <c r="LGG520" s="379"/>
      <c r="LGH520" s="379"/>
      <c r="LGI520" s="13"/>
      <c r="LGJ520" s="13"/>
      <c r="LGK520" s="193"/>
      <c r="LGL520" s="379"/>
      <c r="LGM520" s="379"/>
      <c r="LGN520" s="379"/>
      <c r="LGO520" s="379"/>
      <c r="LGP520" s="379"/>
      <c r="LGQ520" s="13"/>
      <c r="LGR520" s="13"/>
      <c r="LGS520" s="193"/>
      <c r="LGT520" s="379"/>
      <c r="LGU520" s="379"/>
      <c r="LGV520" s="379"/>
      <c r="LGW520" s="379"/>
      <c r="LGX520" s="379"/>
      <c r="LGY520" s="13"/>
      <c r="LGZ520" s="13"/>
      <c r="LHA520" s="193"/>
      <c r="LHB520" s="379"/>
      <c r="LHC520" s="379"/>
      <c r="LHD520" s="379"/>
      <c r="LHE520" s="379"/>
      <c r="LHF520" s="379"/>
      <c r="LHG520" s="13"/>
      <c r="LHH520" s="13"/>
      <c r="LHI520" s="193"/>
      <c r="LHJ520" s="379"/>
      <c r="LHK520" s="379"/>
      <c r="LHL520" s="379"/>
      <c r="LHM520" s="379"/>
      <c r="LHN520" s="379"/>
      <c r="LHO520" s="13"/>
      <c r="LHP520" s="13"/>
      <c r="LHQ520" s="193"/>
      <c r="LHR520" s="379"/>
      <c r="LHS520" s="379"/>
      <c r="LHT520" s="379"/>
      <c r="LHU520" s="379"/>
      <c r="LHV520" s="379"/>
      <c r="LHW520" s="13"/>
      <c r="LHX520" s="13"/>
      <c r="LHY520" s="193"/>
      <c r="LHZ520" s="379"/>
      <c r="LIA520" s="379"/>
      <c r="LIB520" s="379"/>
      <c r="LIC520" s="379"/>
      <c r="LID520" s="379"/>
      <c r="LIE520" s="13"/>
      <c r="LIF520" s="13"/>
      <c r="LIG520" s="193"/>
      <c r="LIH520" s="379"/>
      <c r="LII520" s="379"/>
      <c r="LIJ520" s="379"/>
      <c r="LIK520" s="379"/>
      <c r="LIL520" s="379"/>
      <c r="LIM520" s="13"/>
      <c r="LIN520" s="13"/>
      <c r="LIO520" s="193"/>
      <c r="LIP520" s="379"/>
      <c r="LIQ520" s="379"/>
      <c r="LIR520" s="379"/>
      <c r="LIS520" s="379"/>
      <c r="LIT520" s="379"/>
      <c r="LIU520" s="13"/>
      <c r="LIV520" s="13"/>
      <c r="LIW520" s="193"/>
      <c r="LIX520" s="379"/>
      <c r="LIY520" s="379"/>
      <c r="LIZ520" s="379"/>
      <c r="LJA520" s="379"/>
      <c r="LJB520" s="379"/>
      <c r="LJC520" s="13"/>
      <c r="LJD520" s="13"/>
      <c r="LJE520" s="193"/>
      <c r="LJF520" s="379"/>
      <c r="LJG520" s="379"/>
      <c r="LJH520" s="379"/>
      <c r="LJI520" s="379"/>
      <c r="LJJ520" s="379"/>
      <c r="LJK520" s="13"/>
      <c r="LJL520" s="13"/>
      <c r="LJM520" s="193"/>
      <c r="LJN520" s="379"/>
      <c r="LJO520" s="379"/>
      <c r="LJP520" s="379"/>
      <c r="LJQ520" s="379"/>
      <c r="LJR520" s="379"/>
      <c r="LJS520" s="13"/>
      <c r="LJT520" s="13"/>
      <c r="LJU520" s="193"/>
      <c r="LJV520" s="379"/>
      <c r="LJW520" s="379"/>
      <c r="LJX520" s="379"/>
      <c r="LJY520" s="379"/>
      <c r="LJZ520" s="379"/>
      <c r="LKA520" s="13"/>
      <c r="LKB520" s="13"/>
      <c r="LKC520" s="193"/>
      <c r="LKD520" s="379"/>
      <c r="LKE520" s="379"/>
      <c r="LKF520" s="379"/>
      <c r="LKG520" s="379"/>
      <c r="LKH520" s="379"/>
      <c r="LKI520" s="13"/>
      <c r="LKJ520" s="13"/>
      <c r="LKK520" s="193"/>
      <c r="LKL520" s="379"/>
      <c r="LKM520" s="379"/>
      <c r="LKN520" s="379"/>
      <c r="LKO520" s="379"/>
      <c r="LKP520" s="379"/>
      <c r="LKQ520" s="13"/>
      <c r="LKR520" s="13"/>
      <c r="LKS520" s="193"/>
      <c r="LKT520" s="379"/>
      <c r="LKU520" s="379"/>
      <c r="LKV520" s="379"/>
      <c r="LKW520" s="379"/>
      <c r="LKX520" s="379"/>
      <c r="LKY520" s="13"/>
      <c r="LKZ520" s="13"/>
      <c r="LLA520" s="193"/>
      <c r="LLB520" s="379"/>
      <c r="LLC520" s="379"/>
      <c r="LLD520" s="379"/>
      <c r="LLE520" s="379"/>
      <c r="LLF520" s="379"/>
      <c r="LLG520" s="13"/>
      <c r="LLH520" s="13"/>
      <c r="LLI520" s="193"/>
      <c r="LLJ520" s="379"/>
      <c r="LLK520" s="379"/>
      <c r="LLL520" s="379"/>
      <c r="LLM520" s="379"/>
      <c r="LLN520" s="379"/>
      <c r="LLO520" s="13"/>
      <c r="LLP520" s="13"/>
      <c r="LLQ520" s="193"/>
      <c r="LLR520" s="379"/>
      <c r="LLS520" s="379"/>
      <c r="LLT520" s="379"/>
      <c r="LLU520" s="379"/>
      <c r="LLV520" s="379"/>
      <c r="LLW520" s="13"/>
      <c r="LLX520" s="13"/>
      <c r="LLY520" s="193"/>
      <c r="LLZ520" s="379"/>
      <c r="LMA520" s="379"/>
      <c r="LMB520" s="379"/>
      <c r="LMC520" s="379"/>
      <c r="LMD520" s="379"/>
      <c r="LME520" s="13"/>
      <c r="LMF520" s="13"/>
      <c r="LMG520" s="193"/>
      <c r="LMH520" s="379"/>
      <c r="LMI520" s="379"/>
      <c r="LMJ520" s="379"/>
      <c r="LMK520" s="379"/>
      <c r="LML520" s="379"/>
      <c r="LMM520" s="13"/>
      <c r="LMN520" s="13"/>
      <c r="LMO520" s="193"/>
      <c r="LMP520" s="379"/>
      <c r="LMQ520" s="379"/>
      <c r="LMR520" s="379"/>
      <c r="LMS520" s="379"/>
      <c r="LMT520" s="379"/>
      <c r="LMU520" s="13"/>
      <c r="LMV520" s="13"/>
      <c r="LMW520" s="193"/>
      <c r="LMX520" s="379"/>
      <c r="LMY520" s="379"/>
      <c r="LMZ520" s="379"/>
      <c r="LNA520" s="379"/>
      <c r="LNB520" s="379"/>
      <c r="LNC520" s="13"/>
      <c r="LND520" s="13"/>
      <c r="LNE520" s="193"/>
      <c r="LNF520" s="379"/>
      <c r="LNG520" s="379"/>
      <c r="LNH520" s="379"/>
      <c r="LNI520" s="379"/>
      <c r="LNJ520" s="379"/>
      <c r="LNK520" s="13"/>
      <c r="LNL520" s="13"/>
      <c r="LNM520" s="193"/>
      <c r="LNN520" s="379"/>
      <c r="LNO520" s="379"/>
      <c r="LNP520" s="379"/>
      <c r="LNQ520" s="379"/>
      <c r="LNR520" s="379"/>
      <c r="LNS520" s="13"/>
      <c r="LNT520" s="13"/>
      <c r="LNU520" s="193"/>
      <c r="LNV520" s="379"/>
      <c r="LNW520" s="379"/>
      <c r="LNX520" s="379"/>
      <c r="LNY520" s="379"/>
      <c r="LNZ520" s="379"/>
      <c r="LOA520" s="13"/>
      <c r="LOB520" s="13"/>
      <c r="LOC520" s="193"/>
      <c r="LOD520" s="379"/>
      <c r="LOE520" s="379"/>
      <c r="LOF520" s="379"/>
      <c r="LOG520" s="379"/>
      <c r="LOH520" s="379"/>
      <c r="LOI520" s="13"/>
      <c r="LOJ520" s="13"/>
      <c r="LOK520" s="193"/>
      <c r="LOL520" s="379"/>
      <c r="LOM520" s="379"/>
      <c r="LON520" s="379"/>
      <c r="LOO520" s="379"/>
      <c r="LOP520" s="379"/>
      <c r="LOQ520" s="13"/>
      <c r="LOR520" s="13"/>
      <c r="LOS520" s="193"/>
      <c r="LOT520" s="379"/>
      <c r="LOU520" s="379"/>
      <c r="LOV520" s="379"/>
      <c r="LOW520" s="379"/>
      <c r="LOX520" s="379"/>
      <c r="LOY520" s="13"/>
      <c r="LOZ520" s="13"/>
      <c r="LPA520" s="193"/>
      <c r="LPB520" s="379"/>
      <c r="LPC520" s="379"/>
      <c r="LPD520" s="379"/>
      <c r="LPE520" s="379"/>
      <c r="LPF520" s="379"/>
      <c r="LPG520" s="13"/>
      <c r="LPH520" s="13"/>
      <c r="LPI520" s="193"/>
      <c r="LPJ520" s="379"/>
      <c r="LPK520" s="379"/>
      <c r="LPL520" s="379"/>
      <c r="LPM520" s="379"/>
      <c r="LPN520" s="379"/>
      <c r="LPO520" s="13"/>
      <c r="LPP520" s="13"/>
      <c r="LPQ520" s="193"/>
      <c r="LPR520" s="379"/>
      <c r="LPS520" s="379"/>
      <c r="LPT520" s="379"/>
      <c r="LPU520" s="379"/>
      <c r="LPV520" s="379"/>
      <c r="LPW520" s="13"/>
      <c r="LPX520" s="13"/>
      <c r="LPY520" s="193"/>
      <c r="LPZ520" s="379"/>
      <c r="LQA520" s="379"/>
      <c r="LQB520" s="379"/>
      <c r="LQC520" s="379"/>
      <c r="LQD520" s="379"/>
      <c r="LQE520" s="13"/>
      <c r="LQF520" s="13"/>
      <c r="LQG520" s="193"/>
      <c r="LQH520" s="379"/>
      <c r="LQI520" s="379"/>
      <c r="LQJ520" s="379"/>
      <c r="LQK520" s="379"/>
      <c r="LQL520" s="379"/>
      <c r="LQM520" s="13"/>
      <c r="LQN520" s="13"/>
      <c r="LQO520" s="193"/>
      <c r="LQP520" s="379"/>
      <c r="LQQ520" s="379"/>
      <c r="LQR520" s="379"/>
      <c r="LQS520" s="379"/>
      <c r="LQT520" s="379"/>
      <c r="LQU520" s="13"/>
      <c r="LQV520" s="13"/>
      <c r="LQW520" s="193"/>
      <c r="LQX520" s="379"/>
      <c r="LQY520" s="379"/>
      <c r="LQZ520" s="379"/>
      <c r="LRA520" s="379"/>
      <c r="LRB520" s="379"/>
      <c r="LRC520" s="13"/>
      <c r="LRD520" s="13"/>
      <c r="LRE520" s="193"/>
      <c r="LRF520" s="379"/>
      <c r="LRG520" s="379"/>
      <c r="LRH520" s="379"/>
      <c r="LRI520" s="379"/>
      <c r="LRJ520" s="379"/>
      <c r="LRK520" s="13"/>
      <c r="LRL520" s="13"/>
      <c r="LRM520" s="193"/>
      <c r="LRN520" s="379"/>
      <c r="LRO520" s="379"/>
      <c r="LRP520" s="379"/>
      <c r="LRQ520" s="379"/>
      <c r="LRR520" s="379"/>
      <c r="LRS520" s="13"/>
      <c r="LRT520" s="13"/>
      <c r="LRU520" s="193"/>
      <c r="LRV520" s="379"/>
      <c r="LRW520" s="379"/>
      <c r="LRX520" s="379"/>
      <c r="LRY520" s="379"/>
      <c r="LRZ520" s="379"/>
      <c r="LSA520" s="13"/>
      <c r="LSB520" s="13"/>
      <c r="LSC520" s="193"/>
      <c r="LSD520" s="379"/>
      <c r="LSE520" s="379"/>
      <c r="LSF520" s="379"/>
      <c r="LSG520" s="379"/>
      <c r="LSH520" s="379"/>
      <c r="LSI520" s="13"/>
      <c r="LSJ520" s="13"/>
      <c r="LSK520" s="193"/>
      <c r="LSL520" s="379"/>
      <c r="LSM520" s="379"/>
      <c r="LSN520" s="379"/>
      <c r="LSO520" s="379"/>
      <c r="LSP520" s="379"/>
      <c r="LSQ520" s="13"/>
      <c r="LSR520" s="13"/>
      <c r="LSS520" s="193"/>
      <c r="LST520" s="379"/>
      <c r="LSU520" s="379"/>
      <c r="LSV520" s="379"/>
      <c r="LSW520" s="379"/>
      <c r="LSX520" s="379"/>
      <c r="LSY520" s="13"/>
      <c r="LSZ520" s="13"/>
      <c r="LTA520" s="193"/>
      <c r="LTB520" s="379"/>
      <c r="LTC520" s="379"/>
      <c r="LTD520" s="379"/>
      <c r="LTE520" s="379"/>
      <c r="LTF520" s="379"/>
      <c r="LTG520" s="13"/>
      <c r="LTH520" s="13"/>
      <c r="LTI520" s="193"/>
      <c r="LTJ520" s="379"/>
      <c r="LTK520" s="379"/>
      <c r="LTL520" s="379"/>
      <c r="LTM520" s="379"/>
      <c r="LTN520" s="379"/>
      <c r="LTO520" s="13"/>
      <c r="LTP520" s="13"/>
      <c r="LTQ520" s="193"/>
      <c r="LTR520" s="379"/>
      <c r="LTS520" s="379"/>
      <c r="LTT520" s="379"/>
      <c r="LTU520" s="379"/>
      <c r="LTV520" s="379"/>
      <c r="LTW520" s="13"/>
      <c r="LTX520" s="13"/>
      <c r="LTY520" s="193"/>
      <c r="LTZ520" s="379"/>
      <c r="LUA520" s="379"/>
      <c r="LUB520" s="379"/>
      <c r="LUC520" s="379"/>
      <c r="LUD520" s="379"/>
      <c r="LUE520" s="13"/>
      <c r="LUF520" s="13"/>
      <c r="LUG520" s="193"/>
      <c r="LUH520" s="379"/>
      <c r="LUI520" s="379"/>
      <c r="LUJ520" s="379"/>
      <c r="LUK520" s="379"/>
      <c r="LUL520" s="379"/>
      <c r="LUM520" s="13"/>
      <c r="LUN520" s="13"/>
      <c r="LUO520" s="193"/>
      <c r="LUP520" s="379"/>
      <c r="LUQ520" s="379"/>
      <c r="LUR520" s="379"/>
      <c r="LUS520" s="379"/>
      <c r="LUT520" s="379"/>
      <c r="LUU520" s="13"/>
      <c r="LUV520" s="13"/>
      <c r="LUW520" s="193"/>
      <c r="LUX520" s="379"/>
      <c r="LUY520" s="379"/>
      <c r="LUZ520" s="379"/>
      <c r="LVA520" s="379"/>
      <c r="LVB520" s="379"/>
      <c r="LVC520" s="13"/>
      <c r="LVD520" s="13"/>
      <c r="LVE520" s="193"/>
      <c r="LVF520" s="379"/>
      <c r="LVG520" s="379"/>
      <c r="LVH520" s="379"/>
      <c r="LVI520" s="379"/>
      <c r="LVJ520" s="379"/>
      <c r="LVK520" s="13"/>
      <c r="LVL520" s="13"/>
      <c r="LVM520" s="193"/>
      <c r="LVN520" s="379"/>
      <c r="LVO520" s="379"/>
      <c r="LVP520" s="379"/>
      <c r="LVQ520" s="379"/>
      <c r="LVR520" s="379"/>
      <c r="LVS520" s="13"/>
      <c r="LVT520" s="13"/>
      <c r="LVU520" s="193"/>
      <c r="LVV520" s="379"/>
      <c r="LVW520" s="379"/>
      <c r="LVX520" s="379"/>
      <c r="LVY520" s="379"/>
      <c r="LVZ520" s="379"/>
      <c r="LWA520" s="13"/>
      <c r="LWB520" s="13"/>
      <c r="LWC520" s="193"/>
      <c r="LWD520" s="379"/>
      <c r="LWE520" s="379"/>
      <c r="LWF520" s="379"/>
      <c r="LWG520" s="379"/>
      <c r="LWH520" s="379"/>
      <c r="LWI520" s="13"/>
      <c r="LWJ520" s="13"/>
      <c r="LWK520" s="193"/>
      <c r="LWL520" s="379"/>
      <c r="LWM520" s="379"/>
      <c r="LWN520" s="379"/>
      <c r="LWO520" s="379"/>
      <c r="LWP520" s="379"/>
      <c r="LWQ520" s="13"/>
      <c r="LWR520" s="13"/>
      <c r="LWS520" s="193"/>
      <c r="LWT520" s="379"/>
      <c r="LWU520" s="379"/>
      <c r="LWV520" s="379"/>
      <c r="LWW520" s="379"/>
      <c r="LWX520" s="379"/>
      <c r="LWY520" s="13"/>
      <c r="LWZ520" s="13"/>
      <c r="LXA520" s="193"/>
      <c r="LXB520" s="379"/>
      <c r="LXC520" s="379"/>
      <c r="LXD520" s="379"/>
      <c r="LXE520" s="379"/>
      <c r="LXF520" s="379"/>
      <c r="LXG520" s="13"/>
      <c r="LXH520" s="13"/>
      <c r="LXI520" s="193"/>
      <c r="LXJ520" s="379"/>
      <c r="LXK520" s="379"/>
      <c r="LXL520" s="379"/>
      <c r="LXM520" s="379"/>
      <c r="LXN520" s="379"/>
      <c r="LXO520" s="13"/>
      <c r="LXP520" s="13"/>
      <c r="LXQ520" s="193"/>
      <c r="LXR520" s="379"/>
      <c r="LXS520" s="379"/>
      <c r="LXT520" s="379"/>
      <c r="LXU520" s="379"/>
      <c r="LXV520" s="379"/>
      <c r="LXW520" s="13"/>
      <c r="LXX520" s="13"/>
      <c r="LXY520" s="193"/>
      <c r="LXZ520" s="379"/>
      <c r="LYA520" s="379"/>
      <c r="LYB520" s="379"/>
      <c r="LYC520" s="379"/>
      <c r="LYD520" s="379"/>
      <c r="LYE520" s="13"/>
      <c r="LYF520" s="13"/>
      <c r="LYG520" s="193"/>
      <c r="LYH520" s="379"/>
      <c r="LYI520" s="379"/>
      <c r="LYJ520" s="379"/>
      <c r="LYK520" s="379"/>
      <c r="LYL520" s="379"/>
      <c r="LYM520" s="13"/>
      <c r="LYN520" s="13"/>
      <c r="LYO520" s="193"/>
      <c r="LYP520" s="379"/>
      <c r="LYQ520" s="379"/>
      <c r="LYR520" s="379"/>
      <c r="LYS520" s="379"/>
      <c r="LYT520" s="379"/>
      <c r="LYU520" s="13"/>
      <c r="LYV520" s="13"/>
      <c r="LYW520" s="193"/>
      <c r="LYX520" s="379"/>
      <c r="LYY520" s="379"/>
      <c r="LYZ520" s="379"/>
      <c r="LZA520" s="379"/>
      <c r="LZB520" s="379"/>
      <c r="LZC520" s="13"/>
      <c r="LZD520" s="13"/>
      <c r="LZE520" s="193"/>
      <c r="LZF520" s="379"/>
      <c r="LZG520" s="379"/>
      <c r="LZH520" s="379"/>
      <c r="LZI520" s="379"/>
      <c r="LZJ520" s="379"/>
      <c r="LZK520" s="13"/>
      <c r="LZL520" s="13"/>
      <c r="LZM520" s="193"/>
      <c r="LZN520" s="379"/>
      <c r="LZO520" s="379"/>
      <c r="LZP520" s="379"/>
      <c r="LZQ520" s="379"/>
      <c r="LZR520" s="379"/>
      <c r="LZS520" s="13"/>
      <c r="LZT520" s="13"/>
      <c r="LZU520" s="193"/>
      <c r="LZV520" s="379"/>
      <c r="LZW520" s="379"/>
      <c r="LZX520" s="379"/>
      <c r="LZY520" s="379"/>
      <c r="LZZ520" s="379"/>
      <c r="MAA520" s="13"/>
      <c r="MAB520" s="13"/>
      <c r="MAC520" s="193"/>
      <c r="MAD520" s="379"/>
      <c r="MAE520" s="379"/>
      <c r="MAF520" s="379"/>
      <c r="MAG520" s="379"/>
      <c r="MAH520" s="379"/>
      <c r="MAI520" s="13"/>
      <c r="MAJ520" s="13"/>
      <c r="MAK520" s="193"/>
      <c r="MAL520" s="379"/>
      <c r="MAM520" s="379"/>
      <c r="MAN520" s="379"/>
      <c r="MAO520" s="379"/>
      <c r="MAP520" s="379"/>
      <c r="MAQ520" s="13"/>
      <c r="MAR520" s="13"/>
      <c r="MAS520" s="193"/>
      <c r="MAT520" s="379"/>
      <c r="MAU520" s="379"/>
      <c r="MAV520" s="379"/>
      <c r="MAW520" s="379"/>
      <c r="MAX520" s="379"/>
      <c r="MAY520" s="13"/>
      <c r="MAZ520" s="13"/>
      <c r="MBA520" s="193"/>
      <c r="MBB520" s="379"/>
      <c r="MBC520" s="379"/>
      <c r="MBD520" s="379"/>
      <c r="MBE520" s="379"/>
      <c r="MBF520" s="379"/>
      <c r="MBG520" s="13"/>
      <c r="MBH520" s="13"/>
      <c r="MBI520" s="193"/>
      <c r="MBJ520" s="379"/>
      <c r="MBK520" s="379"/>
      <c r="MBL520" s="379"/>
      <c r="MBM520" s="379"/>
      <c r="MBN520" s="379"/>
      <c r="MBO520" s="13"/>
      <c r="MBP520" s="13"/>
      <c r="MBQ520" s="193"/>
      <c r="MBR520" s="379"/>
      <c r="MBS520" s="379"/>
      <c r="MBT520" s="379"/>
      <c r="MBU520" s="379"/>
      <c r="MBV520" s="379"/>
      <c r="MBW520" s="13"/>
      <c r="MBX520" s="13"/>
      <c r="MBY520" s="193"/>
      <c r="MBZ520" s="379"/>
      <c r="MCA520" s="379"/>
      <c r="MCB520" s="379"/>
      <c r="MCC520" s="379"/>
      <c r="MCD520" s="379"/>
      <c r="MCE520" s="13"/>
      <c r="MCF520" s="13"/>
      <c r="MCG520" s="193"/>
      <c r="MCH520" s="379"/>
      <c r="MCI520" s="379"/>
      <c r="MCJ520" s="379"/>
      <c r="MCK520" s="379"/>
      <c r="MCL520" s="379"/>
      <c r="MCM520" s="13"/>
      <c r="MCN520" s="13"/>
      <c r="MCO520" s="193"/>
      <c r="MCP520" s="379"/>
      <c r="MCQ520" s="379"/>
      <c r="MCR520" s="379"/>
      <c r="MCS520" s="379"/>
      <c r="MCT520" s="379"/>
      <c r="MCU520" s="13"/>
      <c r="MCV520" s="13"/>
      <c r="MCW520" s="193"/>
      <c r="MCX520" s="379"/>
      <c r="MCY520" s="379"/>
      <c r="MCZ520" s="379"/>
      <c r="MDA520" s="379"/>
      <c r="MDB520" s="379"/>
      <c r="MDC520" s="13"/>
      <c r="MDD520" s="13"/>
      <c r="MDE520" s="193"/>
      <c r="MDF520" s="379"/>
      <c r="MDG520" s="379"/>
      <c r="MDH520" s="379"/>
      <c r="MDI520" s="379"/>
      <c r="MDJ520" s="379"/>
      <c r="MDK520" s="13"/>
      <c r="MDL520" s="13"/>
      <c r="MDM520" s="193"/>
      <c r="MDN520" s="379"/>
      <c r="MDO520" s="379"/>
      <c r="MDP520" s="379"/>
      <c r="MDQ520" s="379"/>
      <c r="MDR520" s="379"/>
      <c r="MDS520" s="13"/>
      <c r="MDT520" s="13"/>
      <c r="MDU520" s="193"/>
      <c r="MDV520" s="379"/>
      <c r="MDW520" s="379"/>
      <c r="MDX520" s="379"/>
      <c r="MDY520" s="379"/>
      <c r="MDZ520" s="379"/>
      <c r="MEA520" s="13"/>
      <c r="MEB520" s="13"/>
      <c r="MEC520" s="193"/>
      <c r="MED520" s="379"/>
      <c r="MEE520" s="379"/>
      <c r="MEF520" s="379"/>
      <c r="MEG520" s="379"/>
      <c r="MEH520" s="379"/>
      <c r="MEI520" s="13"/>
      <c r="MEJ520" s="13"/>
      <c r="MEK520" s="193"/>
      <c r="MEL520" s="379"/>
      <c r="MEM520" s="379"/>
      <c r="MEN520" s="379"/>
      <c r="MEO520" s="379"/>
      <c r="MEP520" s="379"/>
      <c r="MEQ520" s="13"/>
      <c r="MER520" s="13"/>
      <c r="MES520" s="193"/>
      <c r="MET520" s="379"/>
      <c r="MEU520" s="379"/>
      <c r="MEV520" s="379"/>
      <c r="MEW520" s="379"/>
      <c r="MEX520" s="379"/>
      <c r="MEY520" s="13"/>
      <c r="MEZ520" s="13"/>
      <c r="MFA520" s="193"/>
      <c r="MFB520" s="379"/>
      <c r="MFC520" s="379"/>
      <c r="MFD520" s="379"/>
      <c r="MFE520" s="379"/>
      <c r="MFF520" s="379"/>
      <c r="MFG520" s="13"/>
      <c r="MFH520" s="13"/>
      <c r="MFI520" s="193"/>
      <c r="MFJ520" s="379"/>
      <c r="MFK520" s="379"/>
      <c r="MFL520" s="379"/>
      <c r="MFM520" s="379"/>
      <c r="MFN520" s="379"/>
      <c r="MFO520" s="13"/>
      <c r="MFP520" s="13"/>
      <c r="MFQ520" s="193"/>
      <c r="MFR520" s="379"/>
      <c r="MFS520" s="379"/>
      <c r="MFT520" s="379"/>
      <c r="MFU520" s="379"/>
      <c r="MFV520" s="379"/>
      <c r="MFW520" s="13"/>
      <c r="MFX520" s="13"/>
      <c r="MFY520" s="193"/>
      <c r="MFZ520" s="379"/>
      <c r="MGA520" s="379"/>
      <c r="MGB520" s="379"/>
      <c r="MGC520" s="379"/>
      <c r="MGD520" s="379"/>
      <c r="MGE520" s="13"/>
      <c r="MGF520" s="13"/>
      <c r="MGG520" s="193"/>
      <c r="MGH520" s="379"/>
      <c r="MGI520" s="379"/>
      <c r="MGJ520" s="379"/>
      <c r="MGK520" s="379"/>
      <c r="MGL520" s="379"/>
      <c r="MGM520" s="13"/>
      <c r="MGN520" s="13"/>
      <c r="MGO520" s="193"/>
      <c r="MGP520" s="379"/>
      <c r="MGQ520" s="379"/>
      <c r="MGR520" s="379"/>
      <c r="MGS520" s="379"/>
      <c r="MGT520" s="379"/>
      <c r="MGU520" s="13"/>
      <c r="MGV520" s="13"/>
      <c r="MGW520" s="193"/>
      <c r="MGX520" s="379"/>
      <c r="MGY520" s="379"/>
      <c r="MGZ520" s="379"/>
      <c r="MHA520" s="379"/>
      <c r="MHB520" s="379"/>
      <c r="MHC520" s="13"/>
      <c r="MHD520" s="13"/>
      <c r="MHE520" s="193"/>
      <c r="MHF520" s="379"/>
      <c r="MHG520" s="379"/>
      <c r="MHH520" s="379"/>
      <c r="MHI520" s="379"/>
      <c r="MHJ520" s="379"/>
      <c r="MHK520" s="13"/>
      <c r="MHL520" s="13"/>
      <c r="MHM520" s="193"/>
      <c r="MHN520" s="379"/>
      <c r="MHO520" s="379"/>
      <c r="MHP520" s="379"/>
      <c r="MHQ520" s="379"/>
      <c r="MHR520" s="379"/>
      <c r="MHS520" s="13"/>
      <c r="MHT520" s="13"/>
      <c r="MHU520" s="193"/>
      <c r="MHV520" s="379"/>
      <c r="MHW520" s="379"/>
      <c r="MHX520" s="379"/>
      <c r="MHY520" s="379"/>
      <c r="MHZ520" s="379"/>
      <c r="MIA520" s="13"/>
      <c r="MIB520" s="13"/>
      <c r="MIC520" s="193"/>
      <c r="MID520" s="379"/>
      <c r="MIE520" s="379"/>
      <c r="MIF520" s="379"/>
      <c r="MIG520" s="379"/>
      <c r="MIH520" s="379"/>
      <c r="MII520" s="13"/>
      <c r="MIJ520" s="13"/>
      <c r="MIK520" s="193"/>
      <c r="MIL520" s="379"/>
      <c r="MIM520" s="379"/>
      <c r="MIN520" s="379"/>
      <c r="MIO520" s="379"/>
      <c r="MIP520" s="379"/>
      <c r="MIQ520" s="13"/>
      <c r="MIR520" s="13"/>
      <c r="MIS520" s="193"/>
      <c r="MIT520" s="379"/>
      <c r="MIU520" s="379"/>
      <c r="MIV520" s="379"/>
      <c r="MIW520" s="379"/>
      <c r="MIX520" s="379"/>
      <c r="MIY520" s="13"/>
      <c r="MIZ520" s="13"/>
      <c r="MJA520" s="193"/>
      <c r="MJB520" s="379"/>
      <c r="MJC520" s="379"/>
      <c r="MJD520" s="379"/>
      <c r="MJE520" s="379"/>
      <c r="MJF520" s="379"/>
      <c r="MJG520" s="13"/>
      <c r="MJH520" s="13"/>
      <c r="MJI520" s="193"/>
      <c r="MJJ520" s="379"/>
      <c r="MJK520" s="379"/>
      <c r="MJL520" s="379"/>
      <c r="MJM520" s="379"/>
      <c r="MJN520" s="379"/>
      <c r="MJO520" s="13"/>
      <c r="MJP520" s="13"/>
      <c r="MJQ520" s="193"/>
      <c r="MJR520" s="379"/>
      <c r="MJS520" s="379"/>
      <c r="MJT520" s="379"/>
      <c r="MJU520" s="379"/>
      <c r="MJV520" s="379"/>
      <c r="MJW520" s="13"/>
      <c r="MJX520" s="13"/>
      <c r="MJY520" s="193"/>
      <c r="MJZ520" s="379"/>
      <c r="MKA520" s="379"/>
      <c r="MKB520" s="379"/>
      <c r="MKC520" s="379"/>
      <c r="MKD520" s="379"/>
      <c r="MKE520" s="13"/>
      <c r="MKF520" s="13"/>
      <c r="MKG520" s="193"/>
      <c r="MKH520" s="379"/>
      <c r="MKI520" s="379"/>
      <c r="MKJ520" s="379"/>
      <c r="MKK520" s="379"/>
      <c r="MKL520" s="379"/>
      <c r="MKM520" s="13"/>
      <c r="MKN520" s="13"/>
      <c r="MKO520" s="193"/>
      <c r="MKP520" s="379"/>
      <c r="MKQ520" s="379"/>
      <c r="MKR520" s="379"/>
      <c r="MKS520" s="379"/>
      <c r="MKT520" s="379"/>
      <c r="MKU520" s="13"/>
      <c r="MKV520" s="13"/>
      <c r="MKW520" s="193"/>
      <c r="MKX520" s="379"/>
      <c r="MKY520" s="379"/>
      <c r="MKZ520" s="379"/>
      <c r="MLA520" s="379"/>
      <c r="MLB520" s="379"/>
      <c r="MLC520" s="13"/>
      <c r="MLD520" s="13"/>
      <c r="MLE520" s="193"/>
      <c r="MLF520" s="379"/>
      <c r="MLG520" s="379"/>
      <c r="MLH520" s="379"/>
      <c r="MLI520" s="379"/>
      <c r="MLJ520" s="379"/>
      <c r="MLK520" s="13"/>
      <c r="MLL520" s="13"/>
      <c r="MLM520" s="193"/>
      <c r="MLN520" s="379"/>
      <c r="MLO520" s="379"/>
      <c r="MLP520" s="379"/>
      <c r="MLQ520" s="379"/>
      <c r="MLR520" s="379"/>
      <c r="MLS520" s="13"/>
      <c r="MLT520" s="13"/>
      <c r="MLU520" s="193"/>
      <c r="MLV520" s="379"/>
      <c r="MLW520" s="379"/>
      <c r="MLX520" s="379"/>
      <c r="MLY520" s="379"/>
      <c r="MLZ520" s="379"/>
      <c r="MMA520" s="13"/>
      <c r="MMB520" s="13"/>
      <c r="MMC520" s="193"/>
      <c r="MMD520" s="379"/>
      <c r="MME520" s="379"/>
      <c r="MMF520" s="379"/>
      <c r="MMG520" s="379"/>
      <c r="MMH520" s="379"/>
      <c r="MMI520" s="13"/>
      <c r="MMJ520" s="13"/>
      <c r="MMK520" s="193"/>
      <c r="MML520" s="379"/>
      <c r="MMM520" s="379"/>
      <c r="MMN520" s="379"/>
      <c r="MMO520" s="379"/>
      <c r="MMP520" s="379"/>
      <c r="MMQ520" s="13"/>
      <c r="MMR520" s="13"/>
      <c r="MMS520" s="193"/>
      <c r="MMT520" s="379"/>
      <c r="MMU520" s="379"/>
      <c r="MMV520" s="379"/>
      <c r="MMW520" s="379"/>
      <c r="MMX520" s="379"/>
      <c r="MMY520" s="13"/>
      <c r="MMZ520" s="13"/>
      <c r="MNA520" s="193"/>
      <c r="MNB520" s="379"/>
      <c r="MNC520" s="379"/>
      <c r="MND520" s="379"/>
      <c r="MNE520" s="379"/>
      <c r="MNF520" s="379"/>
      <c r="MNG520" s="13"/>
      <c r="MNH520" s="13"/>
      <c r="MNI520" s="193"/>
      <c r="MNJ520" s="379"/>
      <c r="MNK520" s="379"/>
      <c r="MNL520" s="379"/>
      <c r="MNM520" s="379"/>
      <c r="MNN520" s="379"/>
      <c r="MNO520" s="13"/>
      <c r="MNP520" s="13"/>
      <c r="MNQ520" s="193"/>
      <c r="MNR520" s="379"/>
      <c r="MNS520" s="379"/>
      <c r="MNT520" s="379"/>
      <c r="MNU520" s="379"/>
      <c r="MNV520" s="379"/>
      <c r="MNW520" s="13"/>
      <c r="MNX520" s="13"/>
      <c r="MNY520" s="193"/>
      <c r="MNZ520" s="379"/>
      <c r="MOA520" s="379"/>
      <c r="MOB520" s="379"/>
      <c r="MOC520" s="379"/>
      <c r="MOD520" s="379"/>
      <c r="MOE520" s="13"/>
      <c r="MOF520" s="13"/>
      <c r="MOG520" s="193"/>
      <c r="MOH520" s="379"/>
      <c r="MOI520" s="379"/>
      <c r="MOJ520" s="379"/>
      <c r="MOK520" s="379"/>
      <c r="MOL520" s="379"/>
      <c r="MOM520" s="13"/>
      <c r="MON520" s="13"/>
      <c r="MOO520" s="193"/>
      <c r="MOP520" s="379"/>
      <c r="MOQ520" s="379"/>
      <c r="MOR520" s="379"/>
      <c r="MOS520" s="379"/>
      <c r="MOT520" s="379"/>
      <c r="MOU520" s="13"/>
      <c r="MOV520" s="13"/>
      <c r="MOW520" s="193"/>
      <c r="MOX520" s="379"/>
      <c r="MOY520" s="379"/>
      <c r="MOZ520" s="379"/>
      <c r="MPA520" s="379"/>
      <c r="MPB520" s="379"/>
      <c r="MPC520" s="13"/>
      <c r="MPD520" s="13"/>
      <c r="MPE520" s="193"/>
      <c r="MPF520" s="379"/>
      <c r="MPG520" s="379"/>
      <c r="MPH520" s="379"/>
      <c r="MPI520" s="379"/>
      <c r="MPJ520" s="379"/>
      <c r="MPK520" s="13"/>
      <c r="MPL520" s="13"/>
      <c r="MPM520" s="193"/>
      <c r="MPN520" s="379"/>
      <c r="MPO520" s="379"/>
      <c r="MPP520" s="379"/>
      <c r="MPQ520" s="379"/>
      <c r="MPR520" s="379"/>
      <c r="MPS520" s="13"/>
      <c r="MPT520" s="13"/>
      <c r="MPU520" s="193"/>
      <c r="MPV520" s="379"/>
      <c r="MPW520" s="379"/>
      <c r="MPX520" s="379"/>
      <c r="MPY520" s="379"/>
      <c r="MPZ520" s="379"/>
      <c r="MQA520" s="13"/>
      <c r="MQB520" s="13"/>
      <c r="MQC520" s="193"/>
      <c r="MQD520" s="379"/>
      <c r="MQE520" s="379"/>
      <c r="MQF520" s="379"/>
      <c r="MQG520" s="379"/>
      <c r="MQH520" s="379"/>
      <c r="MQI520" s="13"/>
      <c r="MQJ520" s="13"/>
      <c r="MQK520" s="193"/>
      <c r="MQL520" s="379"/>
      <c r="MQM520" s="379"/>
      <c r="MQN520" s="379"/>
      <c r="MQO520" s="379"/>
      <c r="MQP520" s="379"/>
      <c r="MQQ520" s="13"/>
      <c r="MQR520" s="13"/>
      <c r="MQS520" s="193"/>
      <c r="MQT520" s="379"/>
      <c r="MQU520" s="379"/>
      <c r="MQV520" s="379"/>
      <c r="MQW520" s="379"/>
      <c r="MQX520" s="379"/>
      <c r="MQY520" s="13"/>
      <c r="MQZ520" s="13"/>
      <c r="MRA520" s="193"/>
      <c r="MRB520" s="379"/>
      <c r="MRC520" s="379"/>
      <c r="MRD520" s="379"/>
      <c r="MRE520" s="379"/>
      <c r="MRF520" s="379"/>
      <c r="MRG520" s="13"/>
      <c r="MRH520" s="13"/>
      <c r="MRI520" s="193"/>
      <c r="MRJ520" s="379"/>
      <c r="MRK520" s="379"/>
      <c r="MRL520" s="379"/>
      <c r="MRM520" s="379"/>
      <c r="MRN520" s="379"/>
      <c r="MRO520" s="13"/>
      <c r="MRP520" s="13"/>
      <c r="MRQ520" s="193"/>
      <c r="MRR520" s="379"/>
      <c r="MRS520" s="379"/>
      <c r="MRT520" s="379"/>
      <c r="MRU520" s="379"/>
      <c r="MRV520" s="379"/>
      <c r="MRW520" s="13"/>
      <c r="MRX520" s="13"/>
      <c r="MRY520" s="193"/>
      <c r="MRZ520" s="379"/>
      <c r="MSA520" s="379"/>
      <c r="MSB520" s="379"/>
      <c r="MSC520" s="379"/>
      <c r="MSD520" s="379"/>
      <c r="MSE520" s="13"/>
      <c r="MSF520" s="13"/>
      <c r="MSG520" s="193"/>
      <c r="MSH520" s="379"/>
      <c r="MSI520" s="379"/>
      <c r="MSJ520" s="379"/>
      <c r="MSK520" s="379"/>
      <c r="MSL520" s="379"/>
      <c r="MSM520" s="13"/>
      <c r="MSN520" s="13"/>
      <c r="MSO520" s="193"/>
      <c r="MSP520" s="379"/>
      <c r="MSQ520" s="379"/>
      <c r="MSR520" s="379"/>
      <c r="MSS520" s="379"/>
      <c r="MST520" s="379"/>
      <c r="MSU520" s="13"/>
      <c r="MSV520" s="13"/>
      <c r="MSW520" s="193"/>
      <c r="MSX520" s="379"/>
      <c r="MSY520" s="379"/>
      <c r="MSZ520" s="379"/>
      <c r="MTA520" s="379"/>
      <c r="MTB520" s="379"/>
      <c r="MTC520" s="13"/>
      <c r="MTD520" s="13"/>
      <c r="MTE520" s="193"/>
      <c r="MTF520" s="379"/>
      <c r="MTG520" s="379"/>
      <c r="MTH520" s="379"/>
      <c r="MTI520" s="379"/>
      <c r="MTJ520" s="379"/>
      <c r="MTK520" s="13"/>
      <c r="MTL520" s="13"/>
      <c r="MTM520" s="193"/>
      <c r="MTN520" s="379"/>
      <c r="MTO520" s="379"/>
      <c r="MTP520" s="379"/>
      <c r="MTQ520" s="379"/>
      <c r="MTR520" s="379"/>
      <c r="MTS520" s="13"/>
      <c r="MTT520" s="13"/>
      <c r="MTU520" s="193"/>
      <c r="MTV520" s="379"/>
      <c r="MTW520" s="379"/>
      <c r="MTX520" s="379"/>
      <c r="MTY520" s="379"/>
      <c r="MTZ520" s="379"/>
      <c r="MUA520" s="13"/>
      <c r="MUB520" s="13"/>
      <c r="MUC520" s="193"/>
      <c r="MUD520" s="379"/>
      <c r="MUE520" s="379"/>
      <c r="MUF520" s="379"/>
      <c r="MUG520" s="379"/>
      <c r="MUH520" s="379"/>
      <c r="MUI520" s="13"/>
      <c r="MUJ520" s="13"/>
      <c r="MUK520" s="193"/>
      <c r="MUL520" s="379"/>
      <c r="MUM520" s="379"/>
      <c r="MUN520" s="379"/>
      <c r="MUO520" s="379"/>
      <c r="MUP520" s="379"/>
      <c r="MUQ520" s="13"/>
      <c r="MUR520" s="13"/>
      <c r="MUS520" s="193"/>
      <c r="MUT520" s="379"/>
      <c r="MUU520" s="379"/>
      <c r="MUV520" s="379"/>
      <c r="MUW520" s="379"/>
      <c r="MUX520" s="379"/>
      <c r="MUY520" s="13"/>
      <c r="MUZ520" s="13"/>
      <c r="MVA520" s="193"/>
      <c r="MVB520" s="379"/>
      <c r="MVC520" s="379"/>
      <c r="MVD520" s="379"/>
      <c r="MVE520" s="379"/>
      <c r="MVF520" s="379"/>
      <c r="MVG520" s="13"/>
      <c r="MVH520" s="13"/>
      <c r="MVI520" s="193"/>
      <c r="MVJ520" s="379"/>
      <c r="MVK520" s="379"/>
      <c r="MVL520" s="379"/>
      <c r="MVM520" s="379"/>
      <c r="MVN520" s="379"/>
      <c r="MVO520" s="13"/>
      <c r="MVP520" s="13"/>
      <c r="MVQ520" s="193"/>
      <c r="MVR520" s="379"/>
      <c r="MVS520" s="379"/>
      <c r="MVT520" s="379"/>
      <c r="MVU520" s="379"/>
      <c r="MVV520" s="379"/>
      <c r="MVW520" s="13"/>
      <c r="MVX520" s="13"/>
      <c r="MVY520" s="193"/>
      <c r="MVZ520" s="379"/>
      <c r="MWA520" s="379"/>
      <c r="MWB520" s="379"/>
      <c r="MWC520" s="379"/>
      <c r="MWD520" s="379"/>
      <c r="MWE520" s="13"/>
      <c r="MWF520" s="13"/>
      <c r="MWG520" s="193"/>
      <c r="MWH520" s="379"/>
      <c r="MWI520" s="379"/>
      <c r="MWJ520" s="379"/>
      <c r="MWK520" s="379"/>
      <c r="MWL520" s="379"/>
      <c r="MWM520" s="13"/>
      <c r="MWN520" s="13"/>
      <c r="MWO520" s="193"/>
      <c r="MWP520" s="379"/>
      <c r="MWQ520" s="379"/>
      <c r="MWR520" s="379"/>
      <c r="MWS520" s="379"/>
      <c r="MWT520" s="379"/>
      <c r="MWU520" s="13"/>
      <c r="MWV520" s="13"/>
      <c r="MWW520" s="193"/>
      <c r="MWX520" s="379"/>
      <c r="MWY520" s="379"/>
      <c r="MWZ520" s="379"/>
      <c r="MXA520" s="379"/>
      <c r="MXB520" s="379"/>
      <c r="MXC520" s="13"/>
      <c r="MXD520" s="13"/>
      <c r="MXE520" s="193"/>
      <c r="MXF520" s="379"/>
      <c r="MXG520" s="379"/>
      <c r="MXH520" s="379"/>
      <c r="MXI520" s="379"/>
      <c r="MXJ520" s="379"/>
      <c r="MXK520" s="13"/>
      <c r="MXL520" s="13"/>
      <c r="MXM520" s="193"/>
      <c r="MXN520" s="379"/>
      <c r="MXO520" s="379"/>
      <c r="MXP520" s="379"/>
      <c r="MXQ520" s="379"/>
      <c r="MXR520" s="379"/>
      <c r="MXS520" s="13"/>
      <c r="MXT520" s="13"/>
      <c r="MXU520" s="193"/>
      <c r="MXV520" s="379"/>
      <c r="MXW520" s="379"/>
      <c r="MXX520" s="379"/>
      <c r="MXY520" s="379"/>
      <c r="MXZ520" s="379"/>
      <c r="MYA520" s="13"/>
      <c r="MYB520" s="13"/>
      <c r="MYC520" s="193"/>
      <c r="MYD520" s="379"/>
      <c r="MYE520" s="379"/>
      <c r="MYF520" s="379"/>
      <c r="MYG520" s="379"/>
      <c r="MYH520" s="379"/>
      <c r="MYI520" s="13"/>
      <c r="MYJ520" s="13"/>
      <c r="MYK520" s="193"/>
      <c r="MYL520" s="379"/>
      <c r="MYM520" s="379"/>
      <c r="MYN520" s="379"/>
      <c r="MYO520" s="379"/>
      <c r="MYP520" s="379"/>
      <c r="MYQ520" s="13"/>
      <c r="MYR520" s="13"/>
      <c r="MYS520" s="193"/>
      <c r="MYT520" s="379"/>
      <c r="MYU520" s="379"/>
      <c r="MYV520" s="379"/>
      <c r="MYW520" s="379"/>
      <c r="MYX520" s="379"/>
      <c r="MYY520" s="13"/>
      <c r="MYZ520" s="13"/>
      <c r="MZA520" s="193"/>
      <c r="MZB520" s="379"/>
      <c r="MZC520" s="379"/>
      <c r="MZD520" s="379"/>
      <c r="MZE520" s="379"/>
      <c r="MZF520" s="379"/>
      <c r="MZG520" s="13"/>
      <c r="MZH520" s="13"/>
      <c r="MZI520" s="193"/>
      <c r="MZJ520" s="379"/>
      <c r="MZK520" s="379"/>
      <c r="MZL520" s="379"/>
      <c r="MZM520" s="379"/>
      <c r="MZN520" s="379"/>
      <c r="MZO520" s="13"/>
      <c r="MZP520" s="13"/>
      <c r="MZQ520" s="193"/>
      <c r="MZR520" s="379"/>
      <c r="MZS520" s="379"/>
      <c r="MZT520" s="379"/>
      <c r="MZU520" s="379"/>
      <c r="MZV520" s="379"/>
      <c r="MZW520" s="13"/>
      <c r="MZX520" s="13"/>
      <c r="MZY520" s="193"/>
      <c r="MZZ520" s="379"/>
      <c r="NAA520" s="379"/>
      <c r="NAB520" s="379"/>
      <c r="NAC520" s="379"/>
      <c r="NAD520" s="379"/>
      <c r="NAE520" s="13"/>
      <c r="NAF520" s="13"/>
      <c r="NAG520" s="193"/>
      <c r="NAH520" s="379"/>
      <c r="NAI520" s="379"/>
      <c r="NAJ520" s="379"/>
      <c r="NAK520" s="379"/>
      <c r="NAL520" s="379"/>
      <c r="NAM520" s="13"/>
      <c r="NAN520" s="13"/>
      <c r="NAO520" s="193"/>
      <c r="NAP520" s="379"/>
      <c r="NAQ520" s="379"/>
      <c r="NAR520" s="379"/>
      <c r="NAS520" s="379"/>
      <c r="NAT520" s="379"/>
      <c r="NAU520" s="13"/>
      <c r="NAV520" s="13"/>
      <c r="NAW520" s="193"/>
      <c r="NAX520" s="379"/>
      <c r="NAY520" s="379"/>
      <c r="NAZ520" s="379"/>
      <c r="NBA520" s="379"/>
      <c r="NBB520" s="379"/>
      <c r="NBC520" s="13"/>
      <c r="NBD520" s="13"/>
      <c r="NBE520" s="193"/>
      <c r="NBF520" s="379"/>
      <c r="NBG520" s="379"/>
      <c r="NBH520" s="379"/>
      <c r="NBI520" s="379"/>
      <c r="NBJ520" s="379"/>
      <c r="NBK520" s="13"/>
      <c r="NBL520" s="13"/>
      <c r="NBM520" s="193"/>
      <c r="NBN520" s="379"/>
      <c r="NBO520" s="379"/>
      <c r="NBP520" s="379"/>
      <c r="NBQ520" s="379"/>
      <c r="NBR520" s="379"/>
      <c r="NBS520" s="13"/>
      <c r="NBT520" s="13"/>
      <c r="NBU520" s="193"/>
      <c r="NBV520" s="379"/>
      <c r="NBW520" s="379"/>
      <c r="NBX520" s="379"/>
      <c r="NBY520" s="379"/>
      <c r="NBZ520" s="379"/>
      <c r="NCA520" s="13"/>
      <c r="NCB520" s="13"/>
      <c r="NCC520" s="193"/>
      <c r="NCD520" s="379"/>
      <c r="NCE520" s="379"/>
      <c r="NCF520" s="379"/>
      <c r="NCG520" s="379"/>
      <c r="NCH520" s="379"/>
      <c r="NCI520" s="13"/>
      <c r="NCJ520" s="13"/>
      <c r="NCK520" s="193"/>
      <c r="NCL520" s="379"/>
      <c r="NCM520" s="379"/>
      <c r="NCN520" s="379"/>
      <c r="NCO520" s="379"/>
      <c r="NCP520" s="379"/>
      <c r="NCQ520" s="13"/>
      <c r="NCR520" s="13"/>
      <c r="NCS520" s="193"/>
      <c r="NCT520" s="379"/>
      <c r="NCU520" s="379"/>
      <c r="NCV520" s="379"/>
      <c r="NCW520" s="379"/>
      <c r="NCX520" s="379"/>
      <c r="NCY520" s="13"/>
      <c r="NCZ520" s="13"/>
      <c r="NDA520" s="193"/>
      <c r="NDB520" s="379"/>
      <c r="NDC520" s="379"/>
      <c r="NDD520" s="379"/>
      <c r="NDE520" s="379"/>
      <c r="NDF520" s="379"/>
      <c r="NDG520" s="13"/>
      <c r="NDH520" s="13"/>
      <c r="NDI520" s="193"/>
      <c r="NDJ520" s="379"/>
      <c r="NDK520" s="379"/>
      <c r="NDL520" s="379"/>
      <c r="NDM520" s="379"/>
      <c r="NDN520" s="379"/>
      <c r="NDO520" s="13"/>
      <c r="NDP520" s="13"/>
      <c r="NDQ520" s="193"/>
      <c r="NDR520" s="379"/>
      <c r="NDS520" s="379"/>
      <c r="NDT520" s="379"/>
      <c r="NDU520" s="379"/>
      <c r="NDV520" s="379"/>
      <c r="NDW520" s="13"/>
      <c r="NDX520" s="13"/>
      <c r="NDY520" s="193"/>
      <c r="NDZ520" s="379"/>
      <c r="NEA520" s="379"/>
      <c r="NEB520" s="379"/>
      <c r="NEC520" s="379"/>
      <c r="NED520" s="379"/>
      <c r="NEE520" s="13"/>
      <c r="NEF520" s="13"/>
      <c r="NEG520" s="193"/>
      <c r="NEH520" s="379"/>
      <c r="NEI520" s="379"/>
      <c r="NEJ520" s="379"/>
      <c r="NEK520" s="379"/>
      <c r="NEL520" s="379"/>
      <c r="NEM520" s="13"/>
      <c r="NEN520" s="13"/>
      <c r="NEO520" s="193"/>
      <c r="NEP520" s="379"/>
      <c r="NEQ520" s="379"/>
      <c r="NER520" s="379"/>
      <c r="NES520" s="379"/>
      <c r="NET520" s="379"/>
      <c r="NEU520" s="13"/>
      <c r="NEV520" s="13"/>
      <c r="NEW520" s="193"/>
      <c r="NEX520" s="379"/>
      <c r="NEY520" s="379"/>
      <c r="NEZ520" s="379"/>
      <c r="NFA520" s="379"/>
      <c r="NFB520" s="379"/>
      <c r="NFC520" s="13"/>
      <c r="NFD520" s="13"/>
      <c r="NFE520" s="193"/>
      <c r="NFF520" s="379"/>
      <c r="NFG520" s="379"/>
      <c r="NFH520" s="379"/>
      <c r="NFI520" s="379"/>
      <c r="NFJ520" s="379"/>
      <c r="NFK520" s="13"/>
      <c r="NFL520" s="13"/>
      <c r="NFM520" s="193"/>
      <c r="NFN520" s="379"/>
      <c r="NFO520" s="379"/>
      <c r="NFP520" s="379"/>
      <c r="NFQ520" s="379"/>
      <c r="NFR520" s="379"/>
      <c r="NFS520" s="13"/>
      <c r="NFT520" s="13"/>
      <c r="NFU520" s="193"/>
      <c r="NFV520" s="379"/>
      <c r="NFW520" s="379"/>
      <c r="NFX520" s="379"/>
      <c r="NFY520" s="379"/>
      <c r="NFZ520" s="379"/>
      <c r="NGA520" s="13"/>
      <c r="NGB520" s="13"/>
      <c r="NGC520" s="193"/>
      <c r="NGD520" s="379"/>
      <c r="NGE520" s="379"/>
      <c r="NGF520" s="379"/>
      <c r="NGG520" s="379"/>
      <c r="NGH520" s="379"/>
      <c r="NGI520" s="13"/>
      <c r="NGJ520" s="13"/>
      <c r="NGK520" s="193"/>
      <c r="NGL520" s="379"/>
      <c r="NGM520" s="379"/>
      <c r="NGN520" s="379"/>
      <c r="NGO520" s="379"/>
      <c r="NGP520" s="379"/>
      <c r="NGQ520" s="13"/>
      <c r="NGR520" s="13"/>
      <c r="NGS520" s="193"/>
      <c r="NGT520" s="379"/>
      <c r="NGU520" s="379"/>
      <c r="NGV520" s="379"/>
      <c r="NGW520" s="379"/>
      <c r="NGX520" s="379"/>
      <c r="NGY520" s="13"/>
      <c r="NGZ520" s="13"/>
      <c r="NHA520" s="193"/>
      <c r="NHB520" s="379"/>
      <c r="NHC520" s="379"/>
      <c r="NHD520" s="379"/>
      <c r="NHE520" s="379"/>
      <c r="NHF520" s="379"/>
      <c r="NHG520" s="13"/>
      <c r="NHH520" s="13"/>
      <c r="NHI520" s="193"/>
      <c r="NHJ520" s="379"/>
      <c r="NHK520" s="379"/>
      <c r="NHL520" s="379"/>
      <c r="NHM520" s="379"/>
      <c r="NHN520" s="379"/>
      <c r="NHO520" s="13"/>
      <c r="NHP520" s="13"/>
      <c r="NHQ520" s="193"/>
      <c r="NHR520" s="379"/>
      <c r="NHS520" s="379"/>
      <c r="NHT520" s="379"/>
      <c r="NHU520" s="379"/>
      <c r="NHV520" s="379"/>
      <c r="NHW520" s="13"/>
      <c r="NHX520" s="13"/>
      <c r="NHY520" s="193"/>
      <c r="NHZ520" s="379"/>
      <c r="NIA520" s="379"/>
      <c r="NIB520" s="379"/>
      <c r="NIC520" s="379"/>
      <c r="NID520" s="379"/>
      <c r="NIE520" s="13"/>
      <c r="NIF520" s="13"/>
      <c r="NIG520" s="193"/>
      <c r="NIH520" s="379"/>
      <c r="NII520" s="379"/>
      <c r="NIJ520" s="379"/>
      <c r="NIK520" s="379"/>
      <c r="NIL520" s="379"/>
      <c r="NIM520" s="13"/>
      <c r="NIN520" s="13"/>
      <c r="NIO520" s="193"/>
      <c r="NIP520" s="379"/>
      <c r="NIQ520" s="379"/>
      <c r="NIR520" s="379"/>
      <c r="NIS520" s="379"/>
      <c r="NIT520" s="379"/>
      <c r="NIU520" s="13"/>
      <c r="NIV520" s="13"/>
      <c r="NIW520" s="193"/>
      <c r="NIX520" s="379"/>
      <c r="NIY520" s="379"/>
      <c r="NIZ520" s="379"/>
      <c r="NJA520" s="379"/>
      <c r="NJB520" s="379"/>
      <c r="NJC520" s="13"/>
      <c r="NJD520" s="13"/>
      <c r="NJE520" s="193"/>
      <c r="NJF520" s="379"/>
      <c r="NJG520" s="379"/>
      <c r="NJH520" s="379"/>
      <c r="NJI520" s="379"/>
      <c r="NJJ520" s="379"/>
      <c r="NJK520" s="13"/>
      <c r="NJL520" s="13"/>
      <c r="NJM520" s="193"/>
      <c r="NJN520" s="379"/>
      <c r="NJO520" s="379"/>
      <c r="NJP520" s="379"/>
      <c r="NJQ520" s="379"/>
      <c r="NJR520" s="379"/>
      <c r="NJS520" s="13"/>
      <c r="NJT520" s="13"/>
      <c r="NJU520" s="193"/>
      <c r="NJV520" s="379"/>
      <c r="NJW520" s="379"/>
      <c r="NJX520" s="379"/>
      <c r="NJY520" s="379"/>
      <c r="NJZ520" s="379"/>
      <c r="NKA520" s="13"/>
      <c r="NKB520" s="13"/>
      <c r="NKC520" s="193"/>
      <c r="NKD520" s="379"/>
      <c r="NKE520" s="379"/>
      <c r="NKF520" s="379"/>
      <c r="NKG520" s="379"/>
      <c r="NKH520" s="379"/>
      <c r="NKI520" s="13"/>
      <c r="NKJ520" s="13"/>
      <c r="NKK520" s="193"/>
      <c r="NKL520" s="379"/>
      <c r="NKM520" s="379"/>
      <c r="NKN520" s="379"/>
      <c r="NKO520" s="379"/>
      <c r="NKP520" s="379"/>
      <c r="NKQ520" s="13"/>
      <c r="NKR520" s="13"/>
      <c r="NKS520" s="193"/>
      <c r="NKT520" s="379"/>
      <c r="NKU520" s="379"/>
      <c r="NKV520" s="379"/>
      <c r="NKW520" s="379"/>
      <c r="NKX520" s="379"/>
      <c r="NKY520" s="13"/>
      <c r="NKZ520" s="13"/>
      <c r="NLA520" s="193"/>
      <c r="NLB520" s="379"/>
      <c r="NLC520" s="379"/>
      <c r="NLD520" s="379"/>
      <c r="NLE520" s="379"/>
      <c r="NLF520" s="379"/>
      <c r="NLG520" s="13"/>
      <c r="NLH520" s="13"/>
      <c r="NLI520" s="193"/>
      <c r="NLJ520" s="379"/>
      <c r="NLK520" s="379"/>
      <c r="NLL520" s="379"/>
      <c r="NLM520" s="379"/>
      <c r="NLN520" s="379"/>
      <c r="NLO520" s="13"/>
      <c r="NLP520" s="13"/>
      <c r="NLQ520" s="193"/>
      <c r="NLR520" s="379"/>
      <c r="NLS520" s="379"/>
      <c r="NLT520" s="379"/>
      <c r="NLU520" s="379"/>
      <c r="NLV520" s="379"/>
      <c r="NLW520" s="13"/>
      <c r="NLX520" s="13"/>
      <c r="NLY520" s="193"/>
      <c r="NLZ520" s="379"/>
      <c r="NMA520" s="379"/>
      <c r="NMB520" s="379"/>
      <c r="NMC520" s="379"/>
      <c r="NMD520" s="379"/>
      <c r="NME520" s="13"/>
      <c r="NMF520" s="13"/>
      <c r="NMG520" s="193"/>
      <c r="NMH520" s="379"/>
      <c r="NMI520" s="379"/>
      <c r="NMJ520" s="379"/>
      <c r="NMK520" s="379"/>
      <c r="NML520" s="379"/>
      <c r="NMM520" s="13"/>
      <c r="NMN520" s="13"/>
      <c r="NMO520" s="193"/>
      <c r="NMP520" s="379"/>
      <c r="NMQ520" s="379"/>
      <c r="NMR520" s="379"/>
      <c r="NMS520" s="379"/>
      <c r="NMT520" s="379"/>
      <c r="NMU520" s="13"/>
      <c r="NMV520" s="13"/>
      <c r="NMW520" s="193"/>
      <c r="NMX520" s="379"/>
      <c r="NMY520" s="379"/>
      <c r="NMZ520" s="379"/>
      <c r="NNA520" s="379"/>
      <c r="NNB520" s="379"/>
      <c r="NNC520" s="13"/>
      <c r="NND520" s="13"/>
      <c r="NNE520" s="193"/>
      <c r="NNF520" s="379"/>
      <c r="NNG520" s="379"/>
      <c r="NNH520" s="379"/>
      <c r="NNI520" s="379"/>
      <c r="NNJ520" s="379"/>
      <c r="NNK520" s="13"/>
      <c r="NNL520" s="13"/>
      <c r="NNM520" s="193"/>
      <c r="NNN520" s="379"/>
      <c r="NNO520" s="379"/>
      <c r="NNP520" s="379"/>
      <c r="NNQ520" s="379"/>
      <c r="NNR520" s="379"/>
      <c r="NNS520" s="13"/>
      <c r="NNT520" s="13"/>
      <c r="NNU520" s="193"/>
      <c r="NNV520" s="379"/>
      <c r="NNW520" s="379"/>
      <c r="NNX520" s="379"/>
      <c r="NNY520" s="379"/>
      <c r="NNZ520" s="379"/>
      <c r="NOA520" s="13"/>
      <c r="NOB520" s="13"/>
      <c r="NOC520" s="193"/>
      <c r="NOD520" s="379"/>
      <c r="NOE520" s="379"/>
      <c r="NOF520" s="379"/>
      <c r="NOG520" s="379"/>
      <c r="NOH520" s="379"/>
      <c r="NOI520" s="13"/>
      <c r="NOJ520" s="13"/>
      <c r="NOK520" s="193"/>
      <c r="NOL520" s="379"/>
      <c r="NOM520" s="379"/>
      <c r="NON520" s="379"/>
      <c r="NOO520" s="379"/>
      <c r="NOP520" s="379"/>
      <c r="NOQ520" s="13"/>
      <c r="NOR520" s="13"/>
      <c r="NOS520" s="193"/>
      <c r="NOT520" s="379"/>
      <c r="NOU520" s="379"/>
      <c r="NOV520" s="379"/>
      <c r="NOW520" s="379"/>
      <c r="NOX520" s="379"/>
      <c r="NOY520" s="13"/>
      <c r="NOZ520" s="13"/>
      <c r="NPA520" s="193"/>
      <c r="NPB520" s="379"/>
      <c r="NPC520" s="379"/>
      <c r="NPD520" s="379"/>
      <c r="NPE520" s="379"/>
      <c r="NPF520" s="379"/>
      <c r="NPG520" s="13"/>
      <c r="NPH520" s="13"/>
      <c r="NPI520" s="193"/>
      <c r="NPJ520" s="379"/>
      <c r="NPK520" s="379"/>
      <c r="NPL520" s="379"/>
      <c r="NPM520" s="379"/>
      <c r="NPN520" s="379"/>
      <c r="NPO520" s="13"/>
      <c r="NPP520" s="13"/>
      <c r="NPQ520" s="193"/>
      <c r="NPR520" s="379"/>
      <c r="NPS520" s="379"/>
      <c r="NPT520" s="379"/>
      <c r="NPU520" s="379"/>
      <c r="NPV520" s="379"/>
      <c r="NPW520" s="13"/>
      <c r="NPX520" s="13"/>
      <c r="NPY520" s="193"/>
      <c r="NPZ520" s="379"/>
      <c r="NQA520" s="379"/>
      <c r="NQB520" s="379"/>
      <c r="NQC520" s="379"/>
      <c r="NQD520" s="379"/>
      <c r="NQE520" s="13"/>
      <c r="NQF520" s="13"/>
      <c r="NQG520" s="193"/>
      <c r="NQH520" s="379"/>
      <c r="NQI520" s="379"/>
      <c r="NQJ520" s="379"/>
      <c r="NQK520" s="379"/>
      <c r="NQL520" s="379"/>
      <c r="NQM520" s="13"/>
      <c r="NQN520" s="13"/>
      <c r="NQO520" s="193"/>
      <c r="NQP520" s="379"/>
      <c r="NQQ520" s="379"/>
      <c r="NQR520" s="379"/>
      <c r="NQS520" s="379"/>
      <c r="NQT520" s="379"/>
      <c r="NQU520" s="13"/>
      <c r="NQV520" s="13"/>
      <c r="NQW520" s="193"/>
      <c r="NQX520" s="379"/>
      <c r="NQY520" s="379"/>
      <c r="NQZ520" s="379"/>
      <c r="NRA520" s="379"/>
      <c r="NRB520" s="379"/>
      <c r="NRC520" s="13"/>
      <c r="NRD520" s="13"/>
      <c r="NRE520" s="193"/>
      <c r="NRF520" s="379"/>
      <c r="NRG520" s="379"/>
      <c r="NRH520" s="379"/>
      <c r="NRI520" s="379"/>
      <c r="NRJ520" s="379"/>
      <c r="NRK520" s="13"/>
      <c r="NRL520" s="13"/>
      <c r="NRM520" s="193"/>
      <c r="NRN520" s="379"/>
      <c r="NRO520" s="379"/>
      <c r="NRP520" s="379"/>
      <c r="NRQ520" s="379"/>
      <c r="NRR520" s="379"/>
      <c r="NRS520" s="13"/>
      <c r="NRT520" s="13"/>
      <c r="NRU520" s="193"/>
      <c r="NRV520" s="379"/>
      <c r="NRW520" s="379"/>
      <c r="NRX520" s="379"/>
      <c r="NRY520" s="379"/>
      <c r="NRZ520" s="379"/>
      <c r="NSA520" s="13"/>
      <c r="NSB520" s="13"/>
      <c r="NSC520" s="193"/>
      <c r="NSD520" s="379"/>
      <c r="NSE520" s="379"/>
      <c r="NSF520" s="379"/>
      <c r="NSG520" s="379"/>
      <c r="NSH520" s="379"/>
      <c r="NSI520" s="13"/>
      <c r="NSJ520" s="13"/>
      <c r="NSK520" s="193"/>
      <c r="NSL520" s="379"/>
      <c r="NSM520" s="379"/>
      <c r="NSN520" s="379"/>
      <c r="NSO520" s="379"/>
      <c r="NSP520" s="379"/>
      <c r="NSQ520" s="13"/>
      <c r="NSR520" s="13"/>
      <c r="NSS520" s="193"/>
      <c r="NST520" s="379"/>
      <c r="NSU520" s="379"/>
      <c r="NSV520" s="379"/>
      <c r="NSW520" s="379"/>
      <c r="NSX520" s="379"/>
      <c r="NSY520" s="13"/>
      <c r="NSZ520" s="13"/>
      <c r="NTA520" s="193"/>
      <c r="NTB520" s="379"/>
      <c r="NTC520" s="379"/>
      <c r="NTD520" s="379"/>
      <c r="NTE520" s="379"/>
      <c r="NTF520" s="379"/>
      <c r="NTG520" s="13"/>
      <c r="NTH520" s="13"/>
      <c r="NTI520" s="193"/>
      <c r="NTJ520" s="379"/>
      <c r="NTK520" s="379"/>
      <c r="NTL520" s="379"/>
      <c r="NTM520" s="379"/>
      <c r="NTN520" s="379"/>
      <c r="NTO520" s="13"/>
      <c r="NTP520" s="13"/>
      <c r="NTQ520" s="193"/>
      <c r="NTR520" s="379"/>
      <c r="NTS520" s="379"/>
      <c r="NTT520" s="379"/>
      <c r="NTU520" s="379"/>
      <c r="NTV520" s="379"/>
      <c r="NTW520" s="13"/>
      <c r="NTX520" s="13"/>
      <c r="NTY520" s="193"/>
      <c r="NTZ520" s="379"/>
      <c r="NUA520" s="379"/>
      <c r="NUB520" s="379"/>
      <c r="NUC520" s="379"/>
      <c r="NUD520" s="379"/>
      <c r="NUE520" s="13"/>
      <c r="NUF520" s="13"/>
      <c r="NUG520" s="193"/>
      <c r="NUH520" s="379"/>
      <c r="NUI520" s="379"/>
      <c r="NUJ520" s="379"/>
      <c r="NUK520" s="379"/>
      <c r="NUL520" s="379"/>
      <c r="NUM520" s="13"/>
      <c r="NUN520" s="13"/>
      <c r="NUO520" s="193"/>
      <c r="NUP520" s="379"/>
      <c r="NUQ520" s="379"/>
      <c r="NUR520" s="379"/>
      <c r="NUS520" s="379"/>
      <c r="NUT520" s="379"/>
      <c r="NUU520" s="13"/>
      <c r="NUV520" s="13"/>
      <c r="NUW520" s="193"/>
      <c r="NUX520" s="379"/>
      <c r="NUY520" s="379"/>
      <c r="NUZ520" s="379"/>
      <c r="NVA520" s="379"/>
      <c r="NVB520" s="379"/>
      <c r="NVC520" s="13"/>
      <c r="NVD520" s="13"/>
      <c r="NVE520" s="193"/>
      <c r="NVF520" s="379"/>
      <c r="NVG520" s="379"/>
      <c r="NVH520" s="379"/>
      <c r="NVI520" s="379"/>
      <c r="NVJ520" s="379"/>
      <c r="NVK520" s="13"/>
      <c r="NVL520" s="13"/>
      <c r="NVM520" s="193"/>
      <c r="NVN520" s="379"/>
      <c r="NVO520" s="379"/>
      <c r="NVP520" s="379"/>
      <c r="NVQ520" s="379"/>
      <c r="NVR520" s="379"/>
      <c r="NVS520" s="13"/>
      <c r="NVT520" s="13"/>
      <c r="NVU520" s="193"/>
      <c r="NVV520" s="379"/>
      <c r="NVW520" s="379"/>
      <c r="NVX520" s="379"/>
      <c r="NVY520" s="379"/>
      <c r="NVZ520" s="379"/>
      <c r="NWA520" s="13"/>
      <c r="NWB520" s="13"/>
      <c r="NWC520" s="193"/>
      <c r="NWD520" s="379"/>
      <c r="NWE520" s="379"/>
      <c r="NWF520" s="379"/>
      <c r="NWG520" s="379"/>
      <c r="NWH520" s="379"/>
      <c r="NWI520" s="13"/>
      <c r="NWJ520" s="13"/>
      <c r="NWK520" s="193"/>
      <c r="NWL520" s="379"/>
      <c r="NWM520" s="379"/>
      <c r="NWN520" s="379"/>
      <c r="NWO520" s="379"/>
      <c r="NWP520" s="379"/>
      <c r="NWQ520" s="13"/>
      <c r="NWR520" s="13"/>
      <c r="NWS520" s="193"/>
      <c r="NWT520" s="379"/>
      <c r="NWU520" s="379"/>
      <c r="NWV520" s="379"/>
      <c r="NWW520" s="379"/>
      <c r="NWX520" s="379"/>
      <c r="NWY520" s="13"/>
      <c r="NWZ520" s="13"/>
      <c r="NXA520" s="193"/>
      <c r="NXB520" s="379"/>
      <c r="NXC520" s="379"/>
      <c r="NXD520" s="379"/>
      <c r="NXE520" s="379"/>
      <c r="NXF520" s="379"/>
      <c r="NXG520" s="13"/>
      <c r="NXH520" s="13"/>
      <c r="NXI520" s="193"/>
      <c r="NXJ520" s="379"/>
      <c r="NXK520" s="379"/>
      <c r="NXL520" s="379"/>
      <c r="NXM520" s="379"/>
      <c r="NXN520" s="379"/>
      <c r="NXO520" s="13"/>
      <c r="NXP520" s="13"/>
      <c r="NXQ520" s="193"/>
      <c r="NXR520" s="379"/>
      <c r="NXS520" s="379"/>
      <c r="NXT520" s="379"/>
      <c r="NXU520" s="379"/>
      <c r="NXV520" s="379"/>
      <c r="NXW520" s="13"/>
      <c r="NXX520" s="13"/>
      <c r="NXY520" s="193"/>
      <c r="NXZ520" s="379"/>
      <c r="NYA520" s="379"/>
      <c r="NYB520" s="379"/>
      <c r="NYC520" s="379"/>
      <c r="NYD520" s="379"/>
      <c r="NYE520" s="13"/>
      <c r="NYF520" s="13"/>
      <c r="NYG520" s="193"/>
      <c r="NYH520" s="379"/>
      <c r="NYI520" s="379"/>
      <c r="NYJ520" s="379"/>
      <c r="NYK520" s="379"/>
      <c r="NYL520" s="379"/>
      <c r="NYM520" s="13"/>
      <c r="NYN520" s="13"/>
      <c r="NYO520" s="193"/>
      <c r="NYP520" s="379"/>
      <c r="NYQ520" s="379"/>
      <c r="NYR520" s="379"/>
      <c r="NYS520" s="379"/>
      <c r="NYT520" s="379"/>
      <c r="NYU520" s="13"/>
      <c r="NYV520" s="13"/>
      <c r="NYW520" s="193"/>
      <c r="NYX520" s="379"/>
      <c r="NYY520" s="379"/>
      <c r="NYZ520" s="379"/>
      <c r="NZA520" s="379"/>
      <c r="NZB520" s="379"/>
      <c r="NZC520" s="13"/>
      <c r="NZD520" s="13"/>
      <c r="NZE520" s="193"/>
      <c r="NZF520" s="379"/>
      <c r="NZG520" s="379"/>
      <c r="NZH520" s="379"/>
      <c r="NZI520" s="379"/>
      <c r="NZJ520" s="379"/>
      <c r="NZK520" s="13"/>
      <c r="NZL520" s="13"/>
      <c r="NZM520" s="193"/>
      <c r="NZN520" s="379"/>
      <c r="NZO520" s="379"/>
      <c r="NZP520" s="379"/>
      <c r="NZQ520" s="379"/>
      <c r="NZR520" s="379"/>
      <c r="NZS520" s="13"/>
      <c r="NZT520" s="13"/>
      <c r="NZU520" s="193"/>
      <c r="NZV520" s="379"/>
      <c r="NZW520" s="379"/>
      <c r="NZX520" s="379"/>
      <c r="NZY520" s="379"/>
      <c r="NZZ520" s="379"/>
      <c r="OAA520" s="13"/>
      <c r="OAB520" s="13"/>
      <c r="OAC520" s="193"/>
      <c r="OAD520" s="379"/>
      <c r="OAE520" s="379"/>
      <c r="OAF520" s="379"/>
      <c r="OAG520" s="379"/>
      <c r="OAH520" s="379"/>
      <c r="OAI520" s="13"/>
      <c r="OAJ520" s="13"/>
      <c r="OAK520" s="193"/>
      <c r="OAL520" s="379"/>
      <c r="OAM520" s="379"/>
      <c r="OAN520" s="379"/>
      <c r="OAO520" s="379"/>
      <c r="OAP520" s="379"/>
      <c r="OAQ520" s="13"/>
      <c r="OAR520" s="13"/>
      <c r="OAS520" s="193"/>
      <c r="OAT520" s="379"/>
      <c r="OAU520" s="379"/>
      <c r="OAV520" s="379"/>
      <c r="OAW520" s="379"/>
      <c r="OAX520" s="379"/>
      <c r="OAY520" s="13"/>
      <c r="OAZ520" s="13"/>
      <c r="OBA520" s="193"/>
      <c r="OBB520" s="379"/>
      <c r="OBC520" s="379"/>
      <c r="OBD520" s="379"/>
      <c r="OBE520" s="379"/>
      <c r="OBF520" s="379"/>
      <c r="OBG520" s="13"/>
      <c r="OBH520" s="13"/>
      <c r="OBI520" s="193"/>
      <c r="OBJ520" s="379"/>
      <c r="OBK520" s="379"/>
      <c r="OBL520" s="379"/>
      <c r="OBM520" s="379"/>
      <c r="OBN520" s="379"/>
      <c r="OBO520" s="13"/>
      <c r="OBP520" s="13"/>
      <c r="OBQ520" s="193"/>
      <c r="OBR520" s="379"/>
      <c r="OBS520" s="379"/>
      <c r="OBT520" s="379"/>
      <c r="OBU520" s="379"/>
      <c r="OBV520" s="379"/>
      <c r="OBW520" s="13"/>
      <c r="OBX520" s="13"/>
      <c r="OBY520" s="193"/>
      <c r="OBZ520" s="379"/>
      <c r="OCA520" s="379"/>
      <c r="OCB520" s="379"/>
      <c r="OCC520" s="379"/>
      <c r="OCD520" s="379"/>
      <c r="OCE520" s="13"/>
      <c r="OCF520" s="13"/>
      <c r="OCG520" s="193"/>
      <c r="OCH520" s="379"/>
      <c r="OCI520" s="379"/>
      <c r="OCJ520" s="379"/>
      <c r="OCK520" s="379"/>
      <c r="OCL520" s="379"/>
      <c r="OCM520" s="13"/>
      <c r="OCN520" s="13"/>
      <c r="OCO520" s="193"/>
      <c r="OCP520" s="379"/>
      <c r="OCQ520" s="379"/>
      <c r="OCR520" s="379"/>
      <c r="OCS520" s="379"/>
      <c r="OCT520" s="379"/>
      <c r="OCU520" s="13"/>
      <c r="OCV520" s="13"/>
      <c r="OCW520" s="193"/>
      <c r="OCX520" s="379"/>
      <c r="OCY520" s="379"/>
      <c r="OCZ520" s="379"/>
      <c r="ODA520" s="379"/>
      <c r="ODB520" s="379"/>
      <c r="ODC520" s="13"/>
      <c r="ODD520" s="13"/>
      <c r="ODE520" s="193"/>
      <c r="ODF520" s="379"/>
      <c r="ODG520" s="379"/>
      <c r="ODH520" s="379"/>
      <c r="ODI520" s="379"/>
      <c r="ODJ520" s="379"/>
      <c r="ODK520" s="13"/>
      <c r="ODL520" s="13"/>
      <c r="ODM520" s="193"/>
      <c r="ODN520" s="379"/>
      <c r="ODO520" s="379"/>
      <c r="ODP520" s="379"/>
      <c r="ODQ520" s="379"/>
      <c r="ODR520" s="379"/>
      <c r="ODS520" s="13"/>
      <c r="ODT520" s="13"/>
      <c r="ODU520" s="193"/>
      <c r="ODV520" s="379"/>
      <c r="ODW520" s="379"/>
      <c r="ODX520" s="379"/>
      <c r="ODY520" s="379"/>
      <c r="ODZ520" s="379"/>
      <c r="OEA520" s="13"/>
      <c r="OEB520" s="13"/>
      <c r="OEC520" s="193"/>
      <c r="OED520" s="379"/>
      <c r="OEE520" s="379"/>
      <c r="OEF520" s="379"/>
      <c r="OEG520" s="379"/>
      <c r="OEH520" s="379"/>
      <c r="OEI520" s="13"/>
      <c r="OEJ520" s="13"/>
      <c r="OEK520" s="193"/>
      <c r="OEL520" s="379"/>
      <c r="OEM520" s="379"/>
      <c r="OEN520" s="379"/>
      <c r="OEO520" s="379"/>
      <c r="OEP520" s="379"/>
      <c r="OEQ520" s="13"/>
      <c r="OER520" s="13"/>
      <c r="OES520" s="193"/>
      <c r="OET520" s="379"/>
      <c r="OEU520" s="379"/>
      <c r="OEV520" s="379"/>
      <c r="OEW520" s="379"/>
      <c r="OEX520" s="379"/>
      <c r="OEY520" s="13"/>
      <c r="OEZ520" s="13"/>
      <c r="OFA520" s="193"/>
      <c r="OFB520" s="379"/>
      <c r="OFC520" s="379"/>
      <c r="OFD520" s="379"/>
      <c r="OFE520" s="379"/>
      <c r="OFF520" s="379"/>
      <c r="OFG520" s="13"/>
      <c r="OFH520" s="13"/>
      <c r="OFI520" s="193"/>
      <c r="OFJ520" s="379"/>
      <c r="OFK520" s="379"/>
      <c r="OFL520" s="379"/>
      <c r="OFM520" s="379"/>
      <c r="OFN520" s="379"/>
      <c r="OFO520" s="13"/>
      <c r="OFP520" s="13"/>
      <c r="OFQ520" s="193"/>
      <c r="OFR520" s="379"/>
      <c r="OFS520" s="379"/>
      <c r="OFT520" s="379"/>
      <c r="OFU520" s="379"/>
      <c r="OFV520" s="379"/>
      <c r="OFW520" s="13"/>
      <c r="OFX520" s="13"/>
      <c r="OFY520" s="193"/>
      <c r="OFZ520" s="379"/>
      <c r="OGA520" s="379"/>
      <c r="OGB520" s="379"/>
      <c r="OGC520" s="379"/>
      <c r="OGD520" s="379"/>
      <c r="OGE520" s="13"/>
      <c r="OGF520" s="13"/>
      <c r="OGG520" s="193"/>
      <c r="OGH520" s="379"/>
      <c r="OGI520" s="379"/>
      <c r="OGJ520" s="379"/>
      <c r="OGK520" s="379"/>
      <c r="OGL520" s="379"/>
      <c r="OGM520" s="13"/>
      <c r="OGN520" s="13"/>
      <c r="OGO520" s="193"/>
      <c r="OGP520" s="379"/>
      <c r="OGQ520" s="379"/>
      <c r="OGR520" s="379"/>
      <c r="OGS520" s="379"/>
      <c r="OGT520" s="379"/>
      <c r="OGU520" s="13"/>
      <c r="OGV520" s="13"/>
      <c r="OGW520" s="193"/>
      <c r="OGX520" s="379"/>
      <c r="OGY520" s="379"/>
      <c r="OGZ520" s="379"/>
      <c r="OHA520" s="379"/>
      <c r="OHB520" s="379"/>
      <c r="OHC520" s="13"/>
      <c r="OHD520" s="13"/>
      <c r="OHE520" s="193"/>
      <c r="OHF520" s="379"/>
      <c r="OHG520" s="379"/>
      <c r="OHH520" s="379"/>
      <c r="OHI520" s="379"/>
      <c r="OHJ520" s="379"/>
      <c r="OHK520" s="13"/>
      <c r="OHL520" s="13"/>
      <c r="OHM520" s="193"/>
      <c r="OHN520" s="379"/>
      <c r="OHO520" s="379"/>
      <c r="OHP520" s="379"/>
      <c r="OHQ520" s="379"/>
      <c r="OHR520" s="379"/>
      <c r="OHS520" s="13"/>
      <c r="OHT520" s="13"/>
      <c r="OHU520" s="193"/>
      <c r="OHV520" s="379"/>
      <c r="OHW520" s="379"/>
      <c r="OHX520" s="379"/>
      <c r="OHY520" s="379"/>
      <c r="OHZ520" s="379"/>
      <c r="OIA520" s="13"/>
      <c r="OIB520" s="13"/>
      <c r="OIC520" s="193"/>
      <c r="OID520" s="379"/>
      <c r="OIE520" s="379"/>
      <c r="OIF520" s="379"/>
      <c r="OIG520" s="379"/>
      <c r="OIH520" s="379"/>
      <c r="OII520" s="13"/>
      <c r="OIJ520" s="13"/>
      <c r="OIK520" s="193"/>
      <c r="OIL520" s="379"/>
      <c r="OIM520" s="379"/>
      <c r="OIN520" s="379"/>
      <c r="OIO520" s="379"/>
      <c r="OIP520" s="379"/>
      <c r="OIQ520" s="13"/>
      <c r="OIR520" s="13"/>
      <c r="OIS520" s="193"/>
      <c r="OIT520" s="379"/>
      <c r="OIU520" s="379"/>
      <c r="OIV520" s="379"/>
      <c r="OIW520" s="379"/>
      <c r="OIX520" s="379"/>
      <c r="OIY520" s="13"/>
      <c r="OIZ520" s="13"/>
      <c r="OJA520" s="193"/>
      <c r="OJB520" s="379"/>
      <c r="OJC520" s="379"/>
      <c r="OJD520" s="379"/>
      <c r="OJE520" s="379"/>
      <c r="OJF520" s="379"/>
      <c r="OJG520" s="13"/>
      <c r="OJH520" s="13"/>
      <c r="OJI520" s="193"/>
      <c r="OJJ520" s="379"/>
      <c r="OJK520" s="379"/>
      <c r="OJL520" s="379"/>
      <c r="OJM520" s="379"/>
      <c r="OJN520" s="379"/>
      <c r="OJO520" s="13"/>
      <c r="OJP520" s="13"/>
      <c r="OJQ520" s="193"/>
      <c r="OJR520" s="379"/>
      <c r="OJS520" s="379"/>
      <c r="OJT520" s="379"/>
      <c r="OJU520" s="379"/>
      <c r="OJV520" s="379"/>
      <c r="OJW520" s="13"/>
      <c r="OJX520" s="13"/>
      <c r="OJY520" s="193"/>
      <c r="OJZ520" s="379"/>
      <c r="OKA520" s="379"/>
      <c r="OKB520" s="379"/>
      <c r="OKC520" s="379"/>
      <c r="OKD520" s="379"/>
      <c r="OKE520" s="13"/>
      <c r="OKF520" s="13"/>
      <c r="OKG520" s="193"/>
      <c r="OKH520" s="379"/>
      <c r="OKI520" s="379"/>
      <c r="OKJ520" s="379"/>
      <c r="OKK520" s="379"/>
      <c r="OKL520" s="379"/>
      <c r="OKM520" s="13"/>
      <c r="OKN520" s="13"/>
      <c r="OKO520" s="193"/>
      <c r="OKP520" s="379"/>
      <c r="OKQ520" s="379"/>
      <c r="OKR520" s="379"/>
      <c r="OKS520" s="379"/>
      <c r="OKT520" s="379"/>
      <c r="OKU520" s="13"/>
      <c r="OKV520" s="13"/>
      <c r="OKW520" s="193"/>
      <c r="OKX520" s="379"/>
      <c r="OKY520" s="379"/>
      <c r="OKZ520" s="379"/>
      <c r="OLA520" s="379"/>
      <c r="OLB520" s="379"/>
      <c r="OLC520" s="13"/>
      <c r="OLD520" s="13"/>
      <c r="OLE520" s="193"/>
      <c r="OLF520" s="379"/>
      <c r="OLG520" s="379"/>
      <c r="OLH520" s="379"/>
      <c r="OLI520" s="379"/>
      <c r="OLJ520" s="379"/>
      <c r="OLK520" s="13"/>
      <c r="OLL520" s="13"/>
      <c r="OLM520" s="193"/>
      <c r="OLN520" s="379"/>
      <c r="OLO520" s="379"/>
      <c r="OLP520" s="379"/>
      <c r="OLQ520" s="379"/>
      <c r="OLR520" s="379"/>
      <c r="OLS520" s="13"/>
      <c r="OLT520" s="13"/>
      <c r="OLU520" s="193"/>
      <c r="OLV520" s="379"/>
      <c r="OLW520" s="379"/>
      <c r="OLX520" s="379"/>
      <c r="OLY520" s="379"/>
      <c r="OLZ520" s="379"/>
      <c r="OMA520" s="13"/>
      <c r="OMB520" s="13"/>
      <c r="OMC520" s="193"/>
      <c r="OMD520" s="379"/>
      <c r="OME520" s="379"/>
      <c r="OMF520" s="379"/>
      <c r="OMG520" s="379"/>
      <c r="OMH520" s="379"/>
      <c r="OMI520" s="13"/>
      <c r="OMJ520" s="13"/>
      <c r="OMK520" s="193"/>
      <c r="OML520" s="379"/>
      <c r="OMM520" s="379"/>
      <c r="OMN520" s="379"/>
      <c r="OMO520" s="379"/>
      <c r="OMP520" s="379"/>
      <c r="OMQ520" s="13"/>
      <c r="OMR520" s="13"/>
      <c r="OMS520" s="193"/>
      <c r="OMT520" s="379"/>
      <c r="OMU520" s="379"/>
      <c r="OMV520" s="379"/>
      <c r="OMW520" s="379"/>
      <c r="OMX520" s="379"/>
      <c r="OMY520" s="13"/>
      <c r="OMZ520" s="13"/>
      <c r="ONA520" s="193"/>
      <c r="ONB520" s="379"/>
      <c r="ONC520" s="379"/>
      <c r="OND520" s="379"/>
      <c r="ONE520" s="379"/>
      <c r="ONF520" s="379"/>
      <c r="ONG520" s="13"/>
      <c r="ONH520" s="13"/>
      <c r="ONI520" s="193"/>
      <c r="ONJ520" s="379"/>
      <c r="ONK520" s="379"/>
      <c r="ONL520" s="379"/>
      <c r="ONM520" s="379"/>
      <c r="ONN520" s="379"/>
      <c r="ONO520" s="13"/>
      <c r="ONP520" s="13"/>
      <c r="ONQ520" s="193"/>
      <c r="ONR520" s="379"/>
      <c r="ONS520" s="379"/>
      <c r="ONT520" s="379"/>
      <c r="ONU520" s="379"/>
      <c r="ONV520" s="379"/>
      <c r="ONW520" s="13"/>
      <c r="ONX520" s="13"/>
      <c r="ONY520" s="193"/>
      <c r="ONZ520" s="379"/>
      <c r="OOA520" s="379"/>
      <c r="OOB520" s="379"/>
      <c r="OOC520" s="379"/>
      <c r="OOD520" s="379"/>
      <c r="OOE520" s="13"/>
      <c r="OOF520" s="13"/>
      <c r="OOG520" s="193"/>
      <c r="OOH520" s="379"/>
      <c r="OOI520" s="379"/>
      <c r="OOJ520" s="379"/>
      <c r="OOK520" s="379"/>
      <c r="OOL520" s="379"/>
      <c r="OOM520" s="13"/>
      <c r="OON520" s="13"/>
      <c r="OOO520" s="193"/>
      <c r="OOP520" s="379"/>
      <c r="OOQ520" s="379"/>
      <c r="OOR520" s="379"/>
      <c r="OOS520" s="379"/>
      <c r="OOT520" s="379"/>
      <c r="OOU520" s="13"/>
      <c r="OOV520" s="13"/>
      <c r="OOW520" s="193"/>
      <c r="OOX520" s="379"/>
      <c r="OOY520" s="379"/>
      <c r="OOZ520" s="379"/>
      <c r="OPA520" s="379"/>
      <c r="OPB520" s="379"/>
      <c r="OPC520" s="13"/>
      <c r="OPD520" s="13"/>
      <c r="OPE520" s="193"/>
      <c r="OPF520" s="379"/>
      <c r="OPG520" s="379"/>
      <c r="OPH520" s="379"/>
      <c r="OPI520" s="379"/>
      <c r="OPJ520" s="379"/>
      <c r="OPK520" s="13"/>
      <c r="OPL520" s="13"/>
      <c r="OPM520" s="193"/>
      <c r="OPN520" s="379"/>
      <c r="OPO520" s="379"/>
      <c r="OPP520" s="379"/>
      <c r="OPQ520" s="379"/>
      <c r="OPR520" s="379"/>
      <c r="OPS520" s="13"/>
      <c r="OPT520" s="13"/>
      <c r="OPU520" s="193"/>
      <c r="OPV520" s="379"/>
      <c r="OPW520" s="379"/>
      <c r="OPX520" s="379"/>
      <c r="OPY520" s="379"/>
      <c r="OPZ520" s="379"/>
      <c r="OQA520" s="13"/>
      <c r="OQB520" s="13"/>
      <c r="OQC520" s="193"/>
      <c r="OQD520" s="379"/>
      <c r="OQE520" s="379"/>
      <c r="OQF520" s="379"/>
      <c r="OQG520" s="379"/>
      <c r="OQH520" s="379"/>
      <c r="OQI520" s="13"/>
      <c r="OQJ520" s="13"/>
      <c r="OQK520" s="193"/>
      <c r="OQL520" s="379"/>
      <c r="OQM520" s="379"/>
      <c r="OQN520" s="379"/>
      <c r="OQO520" s="379"/>
      <c r="OQP520" s="379"/>
      <c r="OQQ520" s="13"/>
      <c r="OQR520" s="13"/>
      <c r="OQS520" s="193"/>
      <c r="OQT520" s="379"/>
      <c r="OQU520" s="379"/>
      <c r="OQV520" s="379"/>
      <c r="OQW520" s="379"/>
      <c r="OQX520" s="379"/>
      <c r="OQY520" s="13"/>
      <c r="OQZ520" s="13"/>
      <c r="ORA520" s="193"/>
      <c r="ORB520" s="379"/>
      <c r="ORC520" s="379"/>
      <c r="ORD520" s="379"/>
      <c r="ORE520" s="379"/>
      <c r="ORF520" s="379"/>
      <c r="ORG520" s="13"/>
      <c r="ORH520" s="13"/>
      <c r="ORI520" s="193"/>
      <c r="ORJ520" s="379"/>
      <c r="ORK520" s="379"/>
      <c r="ORL520" s="379"/>
      <c r="ORM520" s="379"/>
      <c r="ORN520" s="379"/>
      <c r="ORO520" s="13"/>
      <c r="ORP520" s="13"/>
      <c r="ORQ520" s="193"/>
      <c r="ORR520" s="379"/>
      <c r="ORS520" s="379"/>
      <c r="ORT520" s="379"/>
      <c r="ORU520" s="379"/>
      <c r="ORV520" s="379"/>
      <c r="ORW520" s="13"/>
      <c r="ORX520" s="13"/>
      <c r="ORY520" s="193"/>
      <c r="ORZ520" s="379"/>
      <c r="OSA520" s="379"/>
      <c r="OSB520" s="379"/>
      <c r="OSC520" s="379"/>
      <c r="OSD520" s="379"/>
      <c r="OSE520" s="13"/>
      <c r="OSF520" s="13"/>
      <c r="OSG520" s="193"/>
      <c r="OSH520" s="379"/>
      <c r="OSI520" s="379"/>
      <c r="OSJ520" s="379"/>
      <c r="OSK520" s="379"/>
      <c r="OSL520" s="379"/>
      <c r="OSM520" s="13"/>
      <c r="OSN520" s="13"/>
      <c r="OSO520" s="193"/>
      <c r="OSP520" s="379"/>
      <c r="OSQ520" s="379"/>
      <c r="OSR520" s="379"/>
      <c r="OSS520" s="379"/>
      <c r="OST520" s="379"/>
      <c r="OSU520" s="13"/>
      <c r="OSV520" s="13"/>
      <c r="OSW520" s="193"/>
      <c r="OSX520" s="379"/>
      <c r="OSY520" s="379"/>
      <c r="OSZ520" s="379"/>
      <c r="OTA520" s="379"/>
      <c r="OTB520" s="379"/>
      <c r="OTC520" s="13"/>
      <c r="OTD520" s="13"/>
      <c r="OTE520" s="193"/>
      <c r="OTF520" s="379"/>
      <c r="OTG520" s="379"/>
      <c r="OTH520" s="379"/>
      <c r="OTI520" s="379"/>
      <c r="OTJ520" s="379"/>
      <c r="OTK520" s="13"/>
      <c r="OTL520" s="13"/>
      <c r="OTM520" s="193"/>
      <c r="OTN520" s="379"/>
      <c r="OTO520" s="379"/>
      <c r="OTP520" s="379"/>
      <c r="OTQ520" s="379"/>
      <c r="OTR520" s="379"/>
      <c r="OTS520" s="13"/>
      <c r="OTT520" s="13"/>
      <c r="OTU520" s="193"/>
      <c r="OTV520" s="379"/>
      <c r="OTW520" s="379"/>
      <c r="OTX520" s="379"/>
      <c r="OTY520" s="379"/>
      <c r="OTZ520" s="379"/>
      <c r="OUA520" s="13"/>
      <c r="OUB520" s="13"/>
      <c r="OUC520" s="193"/>
      <c r="OUD520" s="379"/>
      <c r="OUE520" s="379"/>
      <c r="OUF520" s="379"/>
      <c r="OUG520" s="379"/>
      <c r="OUH520" s="379"/>
      <c r="OUI520" s="13"/>
      <c r="OUJ520" s="13"/>
      <c r="OUK520" s="193"/>
      <c r="OUL520" s="379"/>
      <c r="OUM520" s="379"/>
      <c r="OUN520" s="379"/>
      <c r="OUO520" s="379"/>
      <c r="OUP520" s="379"/>
      <c r="OUQ520" s="13"/>
      <c r="OUR520" s="13"/>
      <c r="OUS520" s="193"/>
      <c r="OUT520" s="379"/>
      <c r="OUU520" s="379"/>
      <c r="OUV520" s="379"/>
      <c r="OUW520" s="379"/>
      <c r="OUX520" s="379"/>
      <c r="OUY520" s="13"/>
      <c r="OUZ520" s="13"/>
      <c r="OVA520" s="193"/>
      <c r="OVB520" s="379"/>
      <c r="OVC520" s="379"/>
      <c r="OVD520" s="379"/>
      <c r="OVE520" s="379"/>
      <c r="OVF520" s="379"/>
      <c r="OVG520" s="13"/>
      <c r="OVH520" s="13"/>
      <c r="OVI520" s="193"/>
      <c r="OVJ520" s="379"/>
      <c r="OVK520" s="379"/>
      <c r="OVL520" s="379"/>
      <c r="OVM520" s="379"/>
      <c r="OVN520" s="379"/>
      <c r="OVO520" s="13"/>
      <c r="OVP520" s="13"/>
      <c r="OVQ520" s="193"/>
      <c r="OVR520" s="379"/>
      <c r="OVS520" s="379"/>
      <c r="OVT520" s="379"/>
      <c r="OVU520" s="379"/>
      <c r="OVV520" s="379"/>
      <c r="OVW520" s="13"/>
      <c r="OVX520" s="13"/>
      <c r="OVY520" s="193"/>
      <c r="OVZ520" s="379"/>
      <c r="OWA520" s="379"/>
      <c r="OWB520" s="379"/>
      <c r="OWC520" s="379"/>
      <c r="OWD520" s="379"/>
      <c r="OWE520" s="13"/>
      <c r="OWF520" s="13"/>
      <c r="OWG520" s="193"/>
      <c r="OWH520" s="379"/>
      <c r="OWI520" s="379"/>
      <c r="OWJ520" s="379"/>
      <c r="OWK520" s="379"/>
      <c r="OWL520" s="379"/>
      <c r="OWM520" s="13"/>
      <c r="OWN520" s="13"/>
      <c r="OWO520" s="193"/>
      <c r="OWP520" s="379"/>
      <c r="OWQ520" s="379"/>
      <c r="OWR520" s="379"/>
      <c r="OWS520" s="379"/>
      <c r="OWT520" s="379"/>
      <c r="OWU520" s="13"/>
      <c r="OWV520" s="13"/>
      <c r="OWW520" s="193"/>
      <c r="OWX520" s="379"/>
      <c r="OWY520" s="379"/>
      <c r="OWZ520" s="379"/>
      <c r="OXA520" s="379"/>
      <c r="OXB520" s="379"/>
      <c r="OXC520" s="13"/>
      <c r="OXD520" s="13"/>
      <c r="OXE520" s="193"/>
      <c r="OXF520" s="379"/>
      <c r="OXG520" s="379"/>
      <c r="OXH520" s="379"/>
      <c r="OXI520" s="379"/>
      <c r="OXJ520" s="379"/>
      <c r="OXK520" s="13"/>
      <c r="OXL520" s="13"/>
      <c r="OXM520" s="193"/>
      <c r="OXN520" s="379"/>
      <c r="OXO520" s="379"/>
      <c r="OXP520" s="379"/>
      <c r="OXQ520" s="379"/>
      <c r="OXR520" s="379"/>
      <c r="OXS520" s="13"/>
      <c r="OXT520" s="13"/>
      <c r="OXU520" s="193"/>
      <c r="OXV520" s="379"/>
      <c r="OXW520" s="379"/>
      <c r="OXX520" s="379"/>
      <c r="OXY520" s="379"/>
      <c r="OXZ520" s="379"/>
      <c r="OYA520" s="13"/>
      <c r="OYB520" s="13"/>
      <c r="OYC520" s="193"/>
      <c r="OYD520" s="379"/>
      <c r="OYE520" s="379"/>
      <c r="OYF520" s="379"/>
      <c r="OYG520" s="379"/>
      <c r="OYH520" s="379"/>
      <c r="OYI520" s="13"/>
      <c r="OYJ520" s="13"/>
      <c r="OYK520" s="193"/>
      <c r="OYL520" s="379"/>
      <c r="OYM520" s="379"/>
      <c r="OYN520" s="379"/>
      <c r="OYO520" s="379"/>
      <c r="OYP520" s="379"/>
      <c r="OYQ520" s="13"/>
      <c r="OYR520" s="13"/>
      <c r="OYS520" s="193"/>
      <c r="OYT520" s="379"/>
      <c r="OYU520" s="379"/>
      <c r="OYV520" s="379"/>
      <c r="OYW520" s="379"/>
      <c r="OYX520" s="379"/>
      <c r="OYY520" s="13"/>
      <c r="OYZ520" s="13"/>
      <c r="OZA520" s="193"/>
      <c r="OZB520" s="379"/>
      <c r="OZC520" s="379"/>
      <c r="OZD520" s="379"/>
      <c r="OZE520" s="379"/>
      <c r="OZF520" s="379"/>
      <c r="OZG520" s="13"/>
      <c r="OZH520" s="13"/>
      <c r="OZI520" s="193"/>
      <c r="OZJ520" s="379"/>
      <c r="OZK520" s="379"/>
      <c r="OZL520" s="379"/>
      <c r="OZM520" s="379"/>
      <c r="OZN520" s="379"/>
      <c r="OZO520" s="13"/>
      <c r="OZP520" s="13"/>
      <c r="OZQ520" s="193"/>
      <c r="OZR520" s="379"/>
      <c r="OZS520" s="379"/>
      <c r="OZT520" s="379"/>
      <c r="OZU520" s="379"/>
      <c r="OZV520" s="379"/>
      <c r="OZW520" s="13"/>
      <c r="OZX520" s="13"/>
      <c r="OZY520" s="193"/>
      <c r="OZZ520" s="379"/>
      <c r="PAA520" s="379"/>
      <c r="PAB520" s="379"/>
      <c r="PAC520" s="379"/>
      <c r="PAD520" s="379"/>
      <c r="PAE520" s="13"/>
      <c r="PAF520" s="13"/>
      <c r="PAG520" s="193"/>
      <c r="PAH520" s="379"/>
      <c r="PAI520" s="379"/>
      <c r="PAJ520" s="379"/>
      <c r="PAK520" s="379"/>
      <c r="PAL520" s="379"/>
      <c r="PAM520" s="13"/>
      <c r="PAN520" s="13"/>
      <c r="PAO520" s="193"/>
      <c r="PAP520" s="379"/>
      <c r="PAQ520" s="379"/>
      <c r="PAR520" s="379"/>
      <c r="PAS520" s="379"/>
      <c r="PAT520" s="379"/>
      <c r="PAU520" s="13"/>
      <c r="PAV520" s="13"/>
      <c r="PAW520" s="193"/>
      <c r="PAX520" s="379"/>
      <c r="PAY520" s="379"/>
      <c r="PAZ520" s="379"/>
      <c r="PBA520" s="379"/>
      <c r="PBB520" s="379"/>
      <c r="PBC520" s="13"/>
      <c r="PBD520" s="13"/>
      <c r="PBE520" s="193"/>
      <c r="PBF520" s="379"/>
      <c r="PBG520" s="379"/>
      <c r="PBH520" s="379"/>
      <c r="PBI520" s="379"/>
      <c r="PBJ520" s="379"/>
      <c r="PBK520" s="13"/>
      <c r="PBL520" s="13"/>
      <c r="PBM520" s="193"/>
      <c r="PBN520" s="379"/>
      <c r="PBO520" s="379"/>
      <c r="PBP520" s="379"/>
      <c r="PBQ520" s="379"/>
      <c r="PBR520" s="379"/>
      <c r="PBS520" s="13"/>
      <c r="PBT520" s="13"/>
      <c r="PBU520" s="193"/>
      <c r="PBV520" s="379"/>
      <c r="PBW520" s="379"/>
      <c r="PBX520" s="379"/>
      <c r="PBY520" s="379"/>
      <c r="PBZ520" s="379"/>
      <c r="PCA520" s="13"/>
      <c r="PCB520" s="13"/>
      <c r="PCC520" s="193"/>
      <c r="PCD520" s="379"/>
      <c r="PCE520" s="379"/>
      <c r="PCF520" s="379"/>
      <c r="PCG520" s="379"/>
      <c r="PCH520" s="379"/>
      <c r="PCI520" s="13"/>
      <c r="PCJ520" s="13"/>
      <c r="PCK520" s="193"/>
      <c r="PCL520" s="379"/>
      <c r="PCM520" s="379"/>
      <c r="PCN520" s="379"/>
      <c r="PCO520" s="379"/>
      <c r="PCP520" s="379"/>
      <c r="PCQ520" s="13"/>
      <c r="PCR520" s="13"/>
      <c r="PCS520" s="193"/>
      <c r="PCT520" s="379"/>
      <c r="PCU520" s="379"/>
      <c r="PCV520" s="379"/>
      <c r="PCW520" s="379"/>
      <c r="PCX520" s="379"/>
      <c r="PCY520" s="13"/>
      <c r="PCZ520" s="13"/>
      <c r="PDA520" s="193"/>
      <c r="PDB520" s="379"/>
      <c r="PDC520" s="379"/>
      <c r="PDD520" s="379"/>
      <c r="PDE520" s="379"/>
      <c r="PDF520" s="379"/>
      <c r="PDG520" s="13"/>
      <c r="PDH520" s="13"/>
      <c r="PDI520" s="193"/>
      <c r="PDJ520" s="379"/>
      <c r="PDK520" s="379"/>
      <c r="PDL520" s="379"/>
      <c r="PDM520" s="379"/>
      <c r="PDN520" s="379"/>
      <c r="PDO520" s="13"/>
      <c r="PDP520" s="13"/>
      <c r="PDQ520" s="193"/>
      <c r="PDR520" s="379"/>
      <c r="PDS520" s="379"/>
      <c r="PDT520" s="379"/>
      <c r="PDU520" s="379"/>
      <c r="PDV520" s="379"/>
      <c r="PDW520" s="13"/>
      <c r="PDX520" s="13"/>
      <c r="PDY520" s="193"/>
      <c r="PDZ520" s="379"/>
      <c r="PEA520" s="379"/>
      <c r="PEB520" s="379"/>
      <c r="PEC520" s="379"/>
      <c r="PED520" s="379"/>
      <c r="PEE520" s="13"/>
      <c r="PEF520" s="13"/>
      <c r="PEG520" s="193"/>
      <c r="PEH520" s="379"/>
      <c r="PEI520" s="379"/>
      <c r="PEJ520" s="379"/>
      <c r="PEK520" s="379"/>
      <c r="PEL520" s="379"/>
      <c r="PEM520" s="13"/>
      <c r="PEN520" s="13"/>
      <c r="PEO520" s="193"/>
      <c r="PEP520" s="379"/>
      <c r="PEQ520" s="379"/>
      <c r="PER520" s="379"/>
      <c r="PES520" s="379"/>
      <c r="PET520" s="379"/>
      <c r="PEU520" s="13"/>
      <c r="PEV520" s="13"/>
      <c r="PEW520" s="193"/>
      <c r="PEX520" s="379"/>
      <c r="PEY520" s="379"/>
      <c r="PEZ520" s="379"/>
      <c r="PFA520" s="379"/>
      <c r="PFB520" s="379"/>
      <c r="PFC520" s="13"/>
      <c r="PFD520" s="13"/>
      <c r="PFE520" s="193"/>
      <c r="PFF520" s="379"/>
      <c r="PFG520" s="379"/>
      <c r="PFH520" s="379"/>
      <c r="PFI520" s="379"/>
      <c r="PFJ520" s="379"/>
      <c r="PFK520" s="13"/>
      <c r="PFL520" s="13"/>
      <c r="PFM520" s="193"/>
      <c r="PFN520" s="379"/>
      <c r="PFO520" s="379"/>
      <c r="PFP520" s="379"/>
      <c r="PFQ520" s="379"/>
      <c r="PFR520" s="379"/>
      <c r="PFS520" s="13"/>
      <c r="PFT520" s="13"/>
      <c r="PFU520" s="193"/>
      <c r="PFV520" s="379"/>
      <c r="PFW520" s="379"/>
      <c r="PFX520" s="379"/>
      <c r="PFY520" s="379"/>
      <c r="PFZ520" s="379"/>
      <c r="PGA520" s="13"/>
      <c r="PGB520" s="13"/>
      <c r="PGC520" s="193"/>
      <c r="PGD520" s="379"/>
      <c r="PGE520" s="379"/>
      <c r="PGF520" s="379"/>
      <c r="PGG520" s="379"/>
      <c r="PGH520" s="379"/>
      <c r="PGI520" s="13"/>
      <c r="PGJ520" s="13"/>
      <c r="PGK520" s="193"/>
      <c r="PGL520" s="379"/>
      <c r="PGM520" s="379"/>
      <c r="PGN520" s="379"/>
      <c r="PGO520" s="379"/>
      <c r="PGP520" s="379"/>
      <c r="PGQ520" s="13"/>
      <c r="PGR520" s="13"/>
      <c r="PGS520" s="193"/>
      <c r="PGT520" s="379"/>
      <c r="PGU520" s="379"/>
      <c r="PGV520" s="379"/>
      <c r="PGW520" s="379"/>
      <c r="PGX520" s="379"/>
      <c r="PGY520" s="13"/>
      <c r="PGZ520" s="13"/>
      <c r="PHA520" s="193"/>
      <c r="PHB520" s="379"/>
      <c r="PHC520" s="379"/>
      <c r="PHD520" s="379"/>
      <c r="PHE520" s="379"/>
      <c r="PHF520" s="379"/>
      <c r="PHG520" s="13"/>
      <c r="PHH520" s="13"/>
      <c r="PHI520" s="193"/>
      <c r="PHJ520" s="379"/>
      <c r="PHK520" s="379"/>
      <c r="PHL520" s="379"/>
      <c r="PHM520" s="379"/>
      <c r="PHN520" s="379"/>
      <c r="PHO520" s="13"/>
      <c r="PHP520" s="13"/>
      <c r="PHQ520" s="193"/>
      <c r="PHR520" s="379"/>
      <c r="PHS520" s="379"/>
      <c r="PHT520" s="379"/>
      <c r="PHU520" s="379"/>
      <c r="PHV520" s="379"/>
      <c r="PHW520" s="13"/>
      <c r="PHX520" s="13"/>
      <c r="PHY520" s="193"/>
      <c r="PHZ520" s="379"/>
      <c r="PIA520" s="379"/>
      <c r="PIB520" s="379"/>
      <c r="PIC520" s="379"/>
      <c r="PID520" s="379"/>
      <c r="PIE520" s="13"/>
      <c r="PIF520" s="13"/>
      <c r="PIG520" s="193"/>
      <c r="PIH520" s="379"/>
      <c r="PII520" s="379"/>
      <c r="PIJ520" s="379"/>
      <c r="PIK520" s="379"/>
      <c r="PIL520" s="379"/>
      <c r="PIM520" s="13"/>
      <c r="PIN520" s="13"/>
      <c r="PIO520" s="193"/>
      <c r="PIP520" s="379"/>
      <c r="PIQ520" s="379"/>
      <c r="PIR520" s="379"/>
      <c r="PIS520" s="379"/>
      <c r="PIT520" s="379"/>
      <c r="PIU520" s="13"/>
      <c r="PIV520" s="13"/>
      <c r="PIW520" s="193"/>
      <c r="PIX520" s="379"/>
      <c r="PIY520" s="379"/>
      <c r="PIZ520" s="379"/>
      <c r="PJA520" s="379"/>
      <c r="PJB520" s="379"/>
      <c r="PJC520" s="13"/>
      <c r="PJD520" s="13"/>
      <c r="PJE520" s="193"/>
      <c r="PJF520" s="379"/>
      <c r="PJG520" s="379"/>
      <c r="PJH520" s="379"/>
      <c r="PJI520" s="379"/>
      <c r="PJJ520" s="379"/>
      <c r="PJK520" s="13"/>
      <c r="PJL520" s="13"/>
      <c r="PJM520" s="193"/>
      <c r="PJN520" s="379"/>
      <c r="PJO520" s="379"/>
      <c r="PJP520" s="379"/>
      <c r="PJQ520" s="379"/>
      <c r="PJR520" s="379"/>
      <c r="PJS520" s="13"/>
      <c r="PJT520" s="13"/>
      <c r="PJU520" s="193"/>
      <c r="PJV520" s="379"/>
      <c r="PJW520" s="379"/>
      <c r="PJX520" s="379"/>
      <c r="PJY520" s="379"/>
      <c r="PJZ520" s="379"/>
      <c r="PKA520" s="13"/>
      <c r="PKB520" s="13"/>
      <c r="PKC520" s="193"/>
      <c r="PKD520" s="379"/>
      <c r="PKE520" s="379"/>
      <c r="PKF520" s="379"/>
      <c r="PKG520" s="379"/>
      <c r="PKH520" s="379"/>
      <c r="PKI520" s="13"/>
      <c r="PKJ520" s="13"/>
      <c r="PKK520" s="193"/>
      <c r="PKL520" s="379"/>
      <c r="PKM520" s="379"/>
      <c r="PKN520" s="379"/>
      <c r="PKO520" s="379"/>
      <c r="PKP520" s="379"/>
      <c r="PKQ520" s="13"/>
      <c r="PKR520" s="13"/>
      <c r="PKS520" s="193"/>
      <c r="PKT520" s="379"/>
      <c r="PKU520" s="379"/>
      <c r="PKV520" s="379"/>
      <c r="PKW520" s="379"/>
      <c r="PKX520" s="379"/>
      <c r="PKY520" s="13"/>
      <c r="PKZ520" s="13"/>
      <c r="PLA520" s="193"/>
      <c r="PLB520" s="379"/>
      <c r="PLC520" s="379"/>
      <c r="PLD520" s="379"/>
      <c r="PLE520" s="379"/>
      <c r="PLF520" s="379"/>
      <c r="PLG520" s="13"/>
      <c r="PLH520" s="13"/>
      <c r="PLI520" s="193"/>
      <c r="PLJ520" s="379"/>
      <c r="PLK520" s="379"/>
      <c r="PLL520" s="379"/>
      <c r="PLM520" s="379"/>
      <c r="PLN520" s="379"/>
      <c r="PLO520" s="13"/>
      <c r="PLP520" s="13"/>
      <c r="PLQ520" s="193"/>
      <c r="PLR520" s="379"/>
      <c r="PLS520" s="379"/>
      <c r="PLT520" s="379"/>
      <c r="PLU520" s="379"/>
      <c r="PLV520" s="379"/>
      <c r="PLW520" s="13"/>
      <c r="PLX520" s="13"/>
      <c r="PLY520" s="193"/>
      <c r="PLZ520" s="379"/>
      <c r="PMA520" s="379"/>
      <c r="PMB520" s="379"/>
      <c r="PMC520" s="379"/>
      <c r="PMD520" s="379"/>
      <c r="PME520" s="13"/>
      <c r="PMF520" s="13"/>
      <c r="PMG520" s="193"/>
      <c r="PMH520" s="379"/>
      <c r="PMI520" s="379"/>
      <c r="PMJ520" s="379"/>
      <c r="PMK520" s="379"/>
      <c r="PML520" s="379"/>
      <c r="PMM520" s="13"/>
      <c r="PMN520" s="13"/>
      <c r="PMO520" s="193"/>
      <c r="PMP520" s="379"/>
      <c r="PMQ520" s="379"/>
      <c r="PMR520" s="379"/>
      <c r="PMS520" s="379"/>
      <c r="PMT520" s="379"/>
      <c r="PMU520" s="13"/>
      <c r="PMV520" s="13"/>
      <c r="PMW520" s="193"/>
      <c r="PMX520" s="379"/>
      <c r="PMY520" s="379"/>
      <c r="PMZ520" s="379"/>
      <c r="PNA520" s="379"/>
      <c r="PNB520" s="379"/>
      <c r="PNC520" s="13"/>
      <c r="PND520" s="13"/>
      <c r="PNE520" s="193"/>
      <c r="PNF520" s="379"/>
      <c r="PNG520" s="379"/>
      <c r="PNH520" s="379"/>
      <c r="PNI520" s="379"/>
      <c r="PNJ520" s="379"/>
      <c r="PNK520" s="13"/>
      <c r="PNL520" s="13"/>
      <c r="PNM520" s="193"/>
      <c r="PNN520" s="379"/>
      <c r="PNO520" s="379"/>
      <c r="PNP520" s="379"/>
      <c r="PNQ520" s="379"/>
      <c r="PNR520" s="379"/>
      <c r="PNS520" s="13"/>
      <c r="PNT520" s="13"/>
      <c r="PNU520" s="193"/>
      <c r="PNV520" s="379"/>
      <c r="PNW520" s="379"/>
      <c r="PNX520" s="379"/>
      <c r="PNY520" s="379"/>
      <c r="PNZ520" s="379"/>
      <c r="POA520" s="13"/>
      <c r="POB520" s="13"/>
      <c r="POC520" s="193"/>
      <c r="POD520" s="379"/>
      <c r="POE520" s="379"/>
      <c r="POF520" s="379"/>
      <c r="POG520" s="379"/>
      <c r="POH520" s="379"/>
      <c r="POI520" s="13"/>
      <c r="POJ520" s="13"/>
      <c r="POK520" s="193"/>
      <c r="POL520" s="379"/>
      <c r="POM520" s="379"/>
      <c r="PON520" s="379"/>
      <c r="POO520" s="379"/>
      <c r="POP520" s="379"/>
      <c r="POQ520" s="13"/>
      <c r="POR520" s="13"/>
      <c r="POS520" s="193"/>
      <c r="POT520" s="379"/>
      <c r="POU520" s="379"/>
      <c r="POV520" s="379"/>
      <c r="POW520" s="379"/>
      <c r="POX520" s="379"/>
      <c r="POY520" s="13"/>
      <c r="POZ520" s="13"/>
      <c r="PPA520" s="193"/>
      <c r="PPB520" s="379"/>
      <c r="PPC520" s="379"/>
      <c r="PPD520" s="379"/>
      <c r="PPE520" s="379"/>
      <c r="PPF520" s="379"/>
      <c r="PPG520" s="13"/>
      <c r="PPH520" s="13"/>
      <c r="PPI520" s="193"/>
      <c r="PPJ520" s="379"/>
      <c r="PPK520" s="379"/>
      <c r="PPL520" s="379"/>
      <c r="PPM520" s="379"/>
      <c r="PPN520" s="379"/>
      <c r="PPO520" s="13"/>
      <c r="PPP520" s="13"/>
      <c r="PPQ520" s="193"/>
      <c r="PPR520" s="379"/>
      <c r="PPS520" s="379"/>
      <c r="PPT520" s="379"/>
      <c r="PPU520" s="379"/>
      <c r="PPV520" s="379"/>
      <c r="PPW520" s="13"/>
      <c r="PPX520" s="13"/>
      <c r="PPY520" s="193"/>
      <c r="PPZ520" s="379"/>
      <c r="PQA520" s="379"/>
      <c r="PQB520" s="379"/>
      <c r="PQC520" s="379"/>
      <c r="PQD520" s="379"/>
      <c r="PQE520" s="13"/>
      <c r="PQF520" s="13"/>
      <c r="PQG520" s="193"/>
      <c r="PQH520" s="379"/>
      <c r="PQI520" s="379"/>
      <c r="PQJ520" s="379"/>
      <c r="PQK520" s="379"/>
      <c r="PQL520" s="379"/>
      <c r="PQM520" s="13"/>
      <c r="PQN520" s="13"/>
      <c r="PQO520" s="193"/>
      <c r="PQP520" s="379"/>
      <c r="PQQ520" s="379"/>
      <c r="PQR520" s="379"/>
      <c r="PQS520" s="379"/>
      <c r="PQT520" s="379"/>
      <c r="PQU520" s="13"/>
      <c r="PQV520" s="13"/>
      <c r="PQW520" s="193"/>
      <c r="PQX520" s="379"/>
      <c r="PQY520" s="379"/>
      <c r="PQZ520" s="379"/>
      <c r="PRA520" s="379"/>
      <c r="PRB520" s="379"/>
      <c r="PRC520" s="13"/>
      <c r="PRD520" s="13"/>
      <c r="PRE520" s="193"/>
      <c r="PRF520" s="379"/>
      <c r="PRG520" s="379"/>
      <c r="PRH520" s="379"/>
      <c r="PRI520" s="379"/>
      <c r="PRJ520" s="379"/>
      <c r="PRK520" s="13"/>
      <c r="PRL520" s="13"/>
      <c r="PRM520" s="193"/>
      <c r="PRN520" s="379"/>
      <c r="PRO520" s="379"/>
      <c r="PRP520" s="379"/>
      <c r="PRQ520" s="379"/>
      <c r="PRR520" s="379"/>
      <c r="PRS520" s="13"/>
      <c r="PRT520" s="13"/>
      <c r="PRU520" s="193"/>
      <c r="PRV520" s="379"/>
      <c r="PRW520" s="379"/>
      <c r="PRX520" s="379"/>
      <c r="PRY520" s="379"/>
      <c r="PRZ520" s="379"/>
      <c r="PSA520" s="13"/>
      <c r="PSB520" s="13"/>
      <c r="PSC520" s="193"/>
      <c r="PSD520" s="379"/>
      <c r="PSE520" s="379"/>
      <c r="PSF520" s="379"/>
      <c r="PSG520" s="379"/>
      <c r="PSH520" s="379"/>
      <c r="PSI520" s="13"/>
      <c r="PSJ520" s="13"/>
      <c r="PSK520" s="193"/>
      <c r="PSL520" s="379"/>
      <c r="PSM520" s="379"/>
      <c r="PSN520" s="379"/>
      <c r="PSO520" s="379"/>
      <c r="PSP520" s="379"/>
      <c r="PSQ520" s="13"/>
      <c r="PSR520" s="13"/>
      <c r="PSS520" s="193"/>
      <c r="PST520" s="379"/>
      <c r="PSU520" s="379"/>
      <c r="PSV520" s="379"/>
      <c r="PSW520" s="379"/>
      <c r="PSX520" s="379"/>
      <c r="PSY520" s="13"/>
      <c r="PSZ520" s="13"/>
      <c r="PTA520" s="193"/>
      <c r="PTB520" s="379"/>
      <c r="PTC520" s="379"/>
      <c r="PTD520" s="379"/>
      <c r="PTE520" s="379"/>
      <c r="PTF520" s="379"/>
      <c r="PTG520" s="13"/>
      <c r="PTH520" s="13"/>
      <c r="PTI520" s="193"/>
      <c r="PTJ520" s="379"/>
      <c r="PTK520" s="379"/>
      <c r="PTL520" s="379"/>
      <c r="PTM520" s="379"/>
      <c r="PTN520" s="379"/>
      <c r="PTO520" s="13"/>
      <c r="PTP520" s="13"/>
      <c r="PTQ520" s="193"/>
      <c r="PTR520" s="379"/>
      <c r="PTS520" s="379"/>
      <c r="PTT520" s="379"/>
      <c r="PTU520" s="379"/>
      <c r="PTV520" s="379"/>
      <c r="PTW520" s="13"/>
      <c r="PTX520" s="13"/>
      <c r="PTY520" s="193"/>
      <c r="PTZ520" s="379"/>
      <c r="PUA520" s="379"/>
      <c r="PUB520" s="379"/>
      <c r="PUC520" s="379"/>
      <c r="PUD520" s="379"/>
      <c r="PUE520" s="13"/>
      <c r="PUF520" s="13"/>
      <c r="PUG520" s="193"/>
      <c r="PUH520" s="379"/>
      <c r="PUI520" s="379"/>
      <c r="PUJ520" s="379"/>
      <c r="PUK520" s="379"/>
      <c r="PUL520" s="379"/>
      <c r="PUM520" s="13"/>
      <c r="PUN520" s="13"/>
      <c r="PUO520" s="193"/>
      <c r="PUP520" s="379"/>
      <c r="PUQ520" s="379"/>
      <c r="PUR520" s="379"/>
      <c r="PUS520" s="379"/>
      <c r="PUT520" s="379"/>
      <c r="PUU520" s="13"/>
      <c r="PUV520" s="13"/>
      <c r="PUW520" s="193"/>
      <c r="PUX520" s="379"/>
      <c r="PUY520" s="379"/>
      <c r="PUZ520" s="379"/>
      <c r="PVA520" s="379"/>
      <c r="PVB520" s="379"/>
      <c r="PVC520" s="13"/>
      <c r="PVD520" s="13"/>
      <c r="PVE520" s="193"/>
      <c r="PVF520" s="379"/>
      <c r="PVG520" s="379"/>
      <c r="PVH520" s="379"/>
      <c r="PVI520" s="379"/>
      <c r="PVJ520" s="379"/>
      <c r="PVK520" s="13"/>
      <c r="PVL520" s="13"/>
      <c r="PVM520" s="193"/>
      <c r="PVN520" s="379"/>
      <c r="PVO520" s="379"/>
      <c r="PVP520" s="379"/>
      <c r="PVQ520" s="379"/>
      <c r="PVR520" s="379"/>
      <c r="PVS520" s="13"/>
      <c r="PVT520" s="13"/>
      <c r="PVU520" s="193"/>
      <c r="PVV520" s="379"/>
      <c r="PVW520" s="379"/>
      <c r="PVX520" s="379"/>
      <c r="PVY520" s="379"/>
      <c r="PVZ520" s="379"/>
      <c r="PWA520" s="13"/>
      <c r="PWB520" s="13"/>
      <c r="PWC520" s="193"/>
      <c r="PWD520" s="379"/>
      <c r="PWE520" s="379"/>
      <c r="PWF520" s="379"/>
      <c r="PWG520" s="379"/>
      <c r="PWH520" s="379"/>
      <c r="PWI520" s="13"/>
      <c r="PWJ520" s="13"/>
      <c r="PWK520" s="193"/>
      <c r="PWL520" s="379"/>
      <c r="PWM520" s="379"/>
      <c r="PWN520" s="379"/>
      <c r="PWO520" s="379"/>
      <c r="PWP520" s="379"/>
      <c r="PWQ520" s="13"/>
      <c r="PWR520" s="13"/>
      <c r="PWS520" s="193"/>
      <c r="PWT520" s="379"/>
      <c r="PWU520" s="379"/>
      <c r="PWV520" s="379"/>
      <c r="PWW520" s="379"/>
      <c r="PWX520" s="379"/>
      <c r="PWY520" s="13"/>
      <c r="PWZ520" s="13"/>
      <c r="PXA520" s="193"/>
      <c r="PXB520" s="379"/>
      <c r="PXC520" s="379"/>
      <c r="PXD520" s="379"/>
      <c r="PXE520" s="379"/>
      <c r="PXF520" s="379"/>
      <c r="PXG520" s="13"/>
      <c r="PXH520" s="13"/>
      <c r="PXI520" s="193"/>
      <c r="PXJ520" s="379"/>
      <c r="PXK520" s="379"/>
      <c r="PXL520" s="379"/>
      <c r="PXM520" s="379"/>
      <c r="PXN520" s="379"/>
      <c r="PXO520" s="13"/>
      <c r="PXP520" s="13"/>
      <c r="PXQ520" s="193"/>
      <c r="PXR520" s="379"/>
      <c r="PXS520" s="379"/>
      <c r="PXT520" s="379"/>
      <c r="PXU520" s="379"/>
      <c r="PXV520" s="379"/>
      <c r="PXW520" s="13"/>
      <c r="PXX520" s="13"/>
      <c r="PXY520" s="193"/>
      <c r="PXZ520" s="379"/>
      <c r="PYA520" s="379"/>
      <c r="PYB520" s="379"/>
      <c r="PYC520" s="379"/>
      <c r="PYD520" s="379"/>
      <c r="PYE520" s="13"/>
      <c r="PYF520" s="13"/>
      <c r="PYG520" s="193"/>
      <c r="PYH520" s="379"/>
      <c r="PYI520" s="379"/>
      <c r="PYJ520" s="379"/>
      <c r="PYK520" s="379"/>
      <c r="PYL520" s="379"/>
      <c r="PYM520" s="13"/>
      <c r="PYN520" s="13"/>
      <c r="PYO520" s="193"/>
      <c r="PYP520" s="379"/>
      <c r="PYQ520" s="379"/>
      <c r="PYR520" s="379"/>
      <c r="PYS520" s="379"/>
      <c r="PYT520" s="379"/>
      <c r="PYU520" s="13"/>
      <c r="PYV520" s="13"/>
      <c r="PYW520" s="193"/>
      <c r="PYX520" s="379"/>
      <c r="PYY520" s="379"/>
      <c r="PYZ520" s="379"/>
      <c r="PZA520" s="379"/>
      <c r="PZB520" s="379"/>
      <c r="PZC520" s="13"/>
      <c r="PZD520" s="13"/>
      <c r="PZE520" s="193"/>
      <c r="PZF520" s="379"/>
      <c r="PZG520" s="379"/>
      <c r="PZH520" s="379"/>
      <c r="PZI520" s="379"/>
      <c r="PZJ520" s="379"/>
      <c r="PZK520" s="13"/>
      <c r="PZL520" s="13"/>
      <c r="PZM520" s="193"/>
      <c r="PZN520" s="379"/>
      <c r="PZO520" s="379"/>
      <c r="PZP520" s="379"/>
      <c r="PZQ520" s="379"/>
      <c r="PZR520" s="379"/>
      <c r="PZS520" s="13"/>
      <c r="PZT520" s="13"/>
      <c r="PZU520" s="193"/>
      <c r="PZV520" s="379"/>
      <c r="PZW520" s="379"/>
      <c r="PZX520" s="379"/>
      <c r="PZY520" s="379"/>
      <c r="PZZ520" s="379"/>
      <c r="QAA520" s="13"/>
      <c r="QAB520" s="13"/>
      <c r="QAC520" s="193"/>
      <c r="QAD520" s="379"/>
      <c r="QAE520" s="379"/>
      <c r="QAF520" s="379"/>
      <c r="QAG520" s="379"/>
      <c r="QAH520" s="379"/>
      <c r="QAI520" s="13"/>
      <c r="QAJ520" s="13"/>
      <c r="QAK520" s="193"/>
      <c r="QAL520" s="379"/>
      <c r="QAM520" s="379"/>
      <c r="QAN520" s="379"/>
      <c r="QAO520" s="379"/>
      <c r="QAP520" s="379"/>
      <c r="QAQ520" s="13"/>
      <c r="QAR520" s="13"/>
      <c r="QAS520" s="193"/>
      <c r="QAT520" s="379"/>
      <c r="QAU520" s="379"/>
      <c r="QAV520" s="379"/>
      <c r="QAW520" s="379"/>
      <c r="QAX520" s="379"/>
      <c r="QAY520" s="13"/>
      <c r="QAZ520" s="13"/>
      <c r="QBA520" s="193"/>
      <c r="QBB520" s="379"/>
      <c r="QBC520" s="379"/>
      <c r="QBD520" s="379"/>
      <c r="QBE520" s="379"/>
      <c r="QBF520" s="379"/>
      <c r="QBG520" s="13"/>
      <c r="QBH520" s="13"/>
      <c r="QBI520" s="193"/>
      <c r="QBJ520" s="379"/>
      <c r="QBK520" s="379"/>
      <c r="QBL520" s="379"/>
      <c r="QBM520" s="379"/>
      <c r="QBN520" s="379"/>
      <c r="QBO520" s="13"/>
      <c r="QBP520" s="13"/>
      <c r="QBQ520" s="193"/>
      <c r="QBR520" s="379"/>
      <c r="QBS520" s="379"/>
      <c r="QBT520" s="379"/>
      <c r="QBU520" s="379"/>
      <c r="QBV520" s="379"/>
      <c r="QBW520" s="13"/>
      <c r="QBX520" s="13"/>
      <c r="QBY520" s="193"/>
      <c r="QBZ520" s="379"/>
      <c r="QCA520" s="379"/>
      <c r="QCB520" s="379"/>
      <c r="QCC520" s="379"/>
      <c r="QCD520" s="379"/>
      <c r="QCE520" s="13"/>
      <c r="QCF520" s="13"/>
      <c r="QCG520" s="193"/>
      <c r="QCH520" s="379"/>
      <c r="QCI520" s="379"/>
      <c r="QCJ520" s="379"/>
      <c r="QCK520" s="379"/>
      <c r="QCL520" s="379"/>
      <c r="QCM520" s="13"/>
      <c r="QCN520" s="13"/>
      <c r="QCO520" s="193"/>
      <c r="QCP520" s="379"/>
      <c r="QCQ520" s="379"/>
      <c r="QCR520" s="379"/>
      <c r="QCS520" s="379"/>
      <c r="QCT520" s="379"/>
      <c r="QCU520" s="13"/>
      <c r="QCV520" s="13"/>
      <c r="QCW520" s="193"/>
      <c r="QCX520" s="379"/>
      <c r="QCY520" s="379"/>
      <c r="QCZ520" s="379"/>
      <c r="QDA520" s="379"/>
      <c r="QDB520" s="379"/>
      <c r="QDC520" s="13"/>
      <c r="QDD520" s="13"/>
      <c r="QDE520" s="193"/>
      <c r="QDF520" s="379"/>
      <c r="QDG520" s="379"/>
      <c r="QDH520" s="379"/>
      <c r="QDI520" s="379"/>
      <c r="QDJ520" s="379"/>
      <c r="QDK520" s="13"/>
      <c r="QDL520" s="13"/>
      <c r="QDM520" s="193"/>
      <c r="QDN520" s="379"/>
      <c r="QDO520" s="379"/>
      <c r="QDP520" s="379"/>
      <c r="QDQ520" s="379"/>
      <c r="QDR520" s="379"/>
      <c r="QDS520" s="13"/>
      <c r="QDT520" s="13"/>
      <c r="QDU520" s="193"/>
      <c r="QDV520" s="379"/>
      <c r="QDW520" s="379"/>
      <c r="QDX520" s="379"/>
      <c r="QDY520" s="379"/>
      <c r="QDZ520" s="379"/>
      <c r="QEA520" s="13"/>
      <c r="QEB520" s="13"/>
      <c r="QEC520" s="193"/>
      <c r="QED520" s="379"/>
      <c r="QEE520" s="379"/>
      <c r="QEF520" s="379"/>
      <c r="QEG520" s="379"/>
      <c r="QEH520" s="379"/>
      <c r="QEI520" s="13"/>
      <c r="QEJ520" s="13"/>
      <c r="QEK520" s="193"/>
      <c r="QEL520" s="379"/>
      <c r="QEM520" s="379"/>
      <c r="QEN520" s="379"/>
      <c r="QEO520" s="379"/>
      <c r="QEP520" s="379"/>
      <c r="QEQ520" s="13"/>
      <c r="QER520" s="13"/>
      <c r="QES520" s="193"/>
      <c r="QET520" s="379"/>
      <c r="QEU520" s="379"/>
      <c r="QEV520" s="379"/>
      <c r="QEW520" s="379"/>
      <c r="QEX520" s="379"/>
      <c r="QEY520" s="13"/>
      <c r="QEZ520" s="13"/>
      <c r="QFA520" s="193"/>
      <c r="QFB520" s="379"/>
      <c r="QFC520" s="379"/>
      <c r="QFD520" s="379"/>
      <c r="QFE520" s="379"/>
      <c r="QFF520" s="379"/>
      <c r="QFG520" s="13"/>
      <c r="QFH520" s="13"/>
      <c r="QFI520" s="193"/>
      <c r="QFJ520" s="379"/>
      <c r="QFK520" s="379"/>
      <c r="QFL520" s="379"/>
      <c r="QFM520" s="379"/>
      <c r="QFN520" s="379"/>
      <c r="QFO520" s="13"/>
      <c r="QFP520" s="13"/>
      <c r="QFQ520" s="193"/>
      <c r="QFR520" s="379"/>
      <c r="QFS520" s="379"/>
      <c r="QFT520" s="379"/>
      <c r="QFU520" s="379"/>
      <c r="QFV520" s="379"/>
      <c r="QFW520" s="13"/>
      <c r="QFX520" s="13"/>
      <c r="QFY520" s="193"/>
      <c r="QFZ520" s="379"/>
      <c r="QGA520" s="379"/>
      <c r="QGB520" s="379"/>
      <c r="QGC520" s="379"/>
      <c r="QGD520" s="379"/>
      <c r="QGE520" s="13"/>
      <c r="QGF520" s="13"/>
      <c r="QGG520" s="193"/>
      <c r="QGH520" s="379"/>
      <c r="QGI520" s="379"/>
      <c r="QGJ520" s="379"/>
      <c r="QGK520" s="379"/>
      <c r="QGL520" s="379"/>
      <c r="QGM520" s="13"/>
      <c r="QGN520" s="13"/>
      <c r="QGO520" s="193"/>
      <c r="QGP520" s="379"/>
      <c r="QGQ520" s="379"/>
      <c r="QGR520" s="379"/>
      <c r="QGS520" s="379"/>
      <c r="QGT520" s="379"/>
      <c r="QGU520" s="13"/>
      <c r="QGV520" s="13"/>
      <c r="QGW520" s="193"/>
      <c r="QGX520" s="379"/>
      <c r="QGY520" s="379"/>
      <c r="QGZ520" s="379"/>
      <c r="QHA520" s="379"/>
      <c r="QHB520" s="379"/>
      <c r="QHC520" s="13"/>
      <c r="QHD520" s="13"/>
      <c r="QHE520" s="193"/>
      <c r="QHF520" s="379"/>
      <c r="QHG520" s="379"/>
      <c r="QHH520" s="379"/>
      <c r="QHI520" s="379"/>
      <c r="QHJ520" s="379"/>
      <c r="QHK520" s="13"/>
      <c r="QHL520" s="13"/>
      <c r="QHM520" s="193"/>
      <c r="QHN520" s="379"/>
      <c r="QHO520" s="379"/>
      <c r="QHP520" s="379"/>
      <c r="QHQ520" s="379"/>
      <c r="QHR520" s="379"/>
      <c r="QHS520" s="13"/>
      <c r="QHT520" s="13"/>
      <c r="QHU520" s="193"/>
      <c r="QHV520" s="379"/>
      <c r="QHW520" s="379"/>
      <c r="QHX520" s="379"/>
      <c r="QHY520" s="379"/>
      <c r="QHZ520" s="379"/>
      <c r="QIA520" s="13"/>
      <c r="QIB520" s="13"/>
      <c r="QIC520" s="193"/>
      <c r="QID520" s="379"/>
      <c r="QIE520" s="379"/>
      <c r="QIF520" s="379"/>
      <c r="QIG520" s="379"/>
      <c r="QIH520" s="379"/>
      <c r="QII520" s="13"/>
      <c r="QIJ520" s="13"/>
      <c r="QIK520" s="193"/>
      <c r="QIL520" s="379"/>
      <c r="QIM520" s="379"/>
      <c r="QIN520" s="379"/>
      <c r="QIO520" s="379"/>
      <c r="QIP520" s="379"/>
      <c r="QIQ520" s="13"/>
      <c r="QIR520" s="13"/>
      <c r="QIS520" s="193"/>
      <c r="QIT520" s="379"/>
      <c r="QIU520" s="379"/>
      <c r="QIV520" s="379"/>
      <c r="QIW520" s="379"/>
      <c r="QIX520" s="379"/>
      <c r="QIY520" s="13"/>
      <c r="QIZ520" s="13"/>
      <c r="QJA520" s="193"/>
      <c r="QJB520" s="379"/>
      <c r="QJC520" s="379"/>
      <c r="QJD520" s="379"/>
      <c r="QJE520" s="379"/>
      <c r="QJF520" s="379"/>
      <c r="QJG520" s="13"/>
      <c r="QJH520" s="13"/>
      <c r="QJI520" s="193"/>
      <c r="QJJ520" s="379"/>
      <c r="QJK520" s="379"/>
      <c r="QJL520" s="379"/>
      <c r="QJM520" s="379"/>
      <c r="QJN520" s="379"/>
      <c r="QJO520" s="13"/>
      <c r="QJP520" s="13"/>
      <c r="QJQ520" s="193"/>
      <c r="QJR520" s="379"/>
      <c r="QJS520" s="379"/>
      <c r="QJT520" s="379"/>
      <c r="QJU520" s="379"/>
      <c r="QJV520" s="379"/>
      <c r="QJW520" s="13"/>
      <c r="QJX520" s="13"/>
      <c r="QJY520" s="193"/>
      <c r="QJZ520" s="379"/>
      <c r="QKA520" s="379"/>
      <c r="QKB520" s="379"/>
      <c r="QKC520" s="379"/>
      <c r="QKD520" s="379"/>
      <c r="QKE520" s="13"/>
      <c r="QKF520" s="13"/>
      <c r="QKG520" s="193"/>
      <c r="QKH520" s="379"/>
      <c r="QKI520" s="379"/>
      <c r="QKJ520" s="379"/>
      <c r="QKK520" s="379"/>
      <c r="QKL520" s="379"/>
      <c r="QKM520" s="13"/>
      <c r="QKN520" s="13"/>
      <c r="QKO520" s="193"/>
      <c r="QKP520" s="379"/>
      <c r="QKQ520" s="379"/>
      <c r="QKR520" s="379"/>
      <c r="QKS520" s="379"/>
      <c r="QKT520" s="379"/>
      <c r="QKU520" s="13"/>
      <c r="QKV520" s="13"/>
      <c r="QKW520" s="193"/>
      <c r="QKX520" s="379"/>
      <c r="QKY520" s="379"/>
      <c r="QKZ520" s="379"/>
      <c r="QLA520" s="379"/>
      <c r="QLB520" s="379"/>
      <c r="QLC520" s="13"/>
      <c r="QLD520" s="13"/>
      <c r="QLE520" s="193"/>
      <c r="QLF520" s="379"/>
      <c r="QLG520" s="379"/>
      <c r="QLH520" s="379"/>
      <c r="QLI520" s="379"/>
      <c r="QLJ520" s="379"/>
      <c r="QLK520" s="13"/>
      <c r="QLL520" s="13"/>
      <c r="QLM520" s="193"/>
      <c r="QLN520" s="379"/>
      <c r="QLO520" s="379"/>
      <c r="QLP520" s="379"/>
      <c r="QLQ520" s="379"/>
      <c r="QLR520" s="379"/>
      <c r="QLS520" s="13"/>
      <c r="QLT520" s="13"/>
      <c r="QLU520" s="193"/>
      <c r="QLV520" s="379"/>
      <c r="QLW520" s="379"/>
      <c r="QLX520" s="379"/>
      <c r="QLY520" s="379"/>
      <c r="QLZ520" s="379"/>
      <c r="QMA520" s="13"/>
      <c r="QMB520" s="13"/>
      <c r="QMC520" s="193"/>
      <c r="QMD520" s="379"/>
      <c r="QME520" s="379"/>
      <c r="QMF520" s="379"/>
      <c r="QMG520" s="379"/>
      <c r="QMH520" s="379"/>
      <c r="QMI520" s="13"/>
      <c r="QMJ520" s="13"/>
      <c r="QMK520" s="193"/>
      <c r="QML520" s="379"/>
      <c r="QMM520" s="379"/>
      <c r="QMN520" s="379"/>
      <c r="QMO520" s="379"/>
      <c r="QMP520" s="379"/>
      <c r="QMQ520" s="13"/>
      <c r="QMR520" s="13"/>
      <c r="QMS520" s="193"/>
      <c r="QMT520" s="379"/>
      <c r="QMU520" s="379"/>
      <c r="QMV520" s="379"/>
      <c r="QMW520" s="379"/>
      <c r="QMX520" s="379"/>
      <c r="QMY520" s="13"/>
      <c r="QMZ520" s="13"/>
      <c r="QNA520" s="193"/>
      <c r="QNB520" s="379"/>
      <c r="QNC520" s="379"/>
      <c r="QND520" s="379"/>
      <c r="QNE520" s="379"/>
      <c r="QNF520" s="379"/>
      <c r="QNG520" s="13"/>
      <c r="QNH520" s="13"/>
      <c r="QNI520" s="193"/>
      <c r="QNJ520" s="379"/>
      <c r="QNK520" s="379"/>
      <c r="QNL520" s="379"/>
      <c r="QNM520" s="379"/>
      <c r="QNN520" s="379"/>
      <c r="QNO520" s="13"/>
      <c r="QNP520" s="13"/>
      <c r="QNQ520" s="193"/>
      <c r="QNR520" s="379"/>
      <c r="QNS520" s="379"/>
      <c r="QNT520" s="379"/>
      <c r="QNU520" s="379"/>
      <c r="QNV520" s="379"/>
      <c r="QNW520" s="13"/>
      <c r="QNX520" s="13"/>
      <c r="QNY520" s="193"/>
      <c r="QNZ520" s="379"/>
      <c r="QOA520" s="379"/>
      <c r="QOB520" s="379"/>
      <c r="QOC520" s="379"/>
      <c r="QOD520" s="379"/>
      <c r="QOE520" s="13"/>
      <c r="QOF520" s="13"/>
      <c r="QOG520" s="193"/>
      <c r="QOH520" s="379"/>
      <c r="QOI520" s="379"/>
      <c r="QOJ520" s="379"/>
      <c r="QOK520" s="379"/>
      <c r="QOL520" s="379"/>
      <c r="QOM520" s="13"/>
      <c r="QON520" s="13"/>
      <c r="QOO520" s="193"/>
      <c r="QOP520" s="379"/>
      <c r="QOQ520" s="379"/>
      <c r="QOR520" s="379"/>
      <c r="QOS520" s="379"/>
      <c r="QOT520" s="379"/>
      <c r="QOU520" s="13"/>
      <c r="QOV520" s="13"/>
      <c r="QOW520" s="193"/>
      <c r="QOX520" s="379"/>
      <c r="QOY520" s="379"/>
      <c r="QOZ520" s="379"/>
      <c r="QPA520" s="379"/>
      <c r="QPB520" s="379"/>
      <c r="QPC520" s="13"/>
      <c r="QPD520" s="13"/>
      <c r="QPE520" s="193"/>
      <c r="QPF520" s="379"/>
      <c r="QPG520" s="379"/>
      <c r="QPH520" s="379"/>
      <c r="QPI520" s="379"/>
      <c r="QPJ520" s="379"/>
      <c r="QPK520" s="13"/>
      <c r="QPL520" s="13"/>
      <c r="QPM520" s="193"/>
      <c r="QPN520" s="379"/>
      <c r="QPO520" s="379"/>
      <c r="QPP520" s="379"/>
      <c r="QPQ520" s="379"/>
      <c r="QPR520" s="379"/>
      <c r="QPS520" s="13"/>
      <c r="QPT520" s="13"/>
      <c r="QPU520" s="193"/>
      <c r="QPV520" s="379"/>
      <c r="QPW520" s="379"/>
      <c r="QPX520" s="379"/>
      <c r="QPY520" s="379"/>
      <c r="QPZ520" s="379"/>
      <c r="QQA520" s="13"/>
      <c r="QQB520" s="13"/>
      <c r="QQC520" s="193"/>
      <c r="QQD520" s="379"/>
      <c r="QQE520" s="379"/>
      <c r="QQF520" s="379"/>
      <c r="QQG520" s="379"/>
      <c r="QQH520" s="379"/>
      <c r="QQI520" s="13"/>
      <c r="QQJ520" s="13"/>
      <c r="QQK520" s="193"/>
      <c r="QQL520" s="379"/>
      <c r="QQM520" s="379"/>
      <c r="QQN520" s="379"/>
      <c r="QQO520" s="379"/>
      <c r="QQP520" s="379"/>
      <c r="QQQ520" s="13"/>
      <c r="QQR520" s="13"/>
      <c r="QQS520" s="193"/>
      <c r="QQT520" s="379"/>
      <c r="QQU520" s="379"/>
      <c r="QQV520" s="379"/>
      <c r="QQW520" s="379"/>
      <c r="QQX520" s="379"/>
      <c r="QQY520" s="13"/>
      <c r="QQZ520" s="13"/>
      <c r="QRA520" s="193"/>
      <c r="QRB520" s="379"/>
      <c r="QRC520" s="379"/>
      <c r="QRD520" s="379"/>
      <c r="QRE520" s="379"/>
      <c r="QRF520" s="379"/>
      <c r="QRG520" s="13"/>
      <c r="QRH520" s="13"/>
      <c r="QRI520" s="193"/>
      <c r="QRJ520" s="379"/>
      <c r="QRK520" s="379"/>
      <c r="QRL520" s="379"/>
      <c r="QRM520" s="379"/>
      <c r="QRN520" s="379"/>
      <c r="QRO520" s="13"/>
      <c r="QRP520" s="13"/>
      <c r="QRQ520" s="193"/>
      <c r="QRR520" s="379"/>
      <c r="QRS520" s="379"/>
      <c r="QRT520" s="379"/>
      <c r="QRU520" s="379"/>
      <c r="QRV520" s="379"/>
      <c r="QRW520" s="13"/>
      <c r="QRX520" s="13"/>
      <c r="QRY520" s="193"/>
      <c r="QRZ520" s="379"/>
      <c r="QSA520" s="379"/>
      <c r="QSB520" s="379"/>
      <c r="QSC520" s="379"/>
      <c r="QSD520" s="379"/>
      <c r="QSE520" s="13"/>
      <c r="QSF520" s="13"/>
      <c r="QSG520" s="193"/>
      <c r="QSH520" s="379"/>
      <c r="QSI520" s="379"/>
      <c r="QSJ520" s="379"/>
      <c r="QSK520" s="379"/>
      <c r="QSL520" s="379"/>
      <c r="QSM520" s="13"/>
      <c r="QSN520" s="13"/>
      <c r="QSO520" s="193"/>
      <c r="QSP520" s="379"/>
      <c r="QSQ520" s="379"/>
      <c r="QSR520" s="379"/>
      <c r="QSS520" s="379"/>
      <c r="QST520" s="379"/>
      <c r="QSU520" s="13"/>
      <c r="QSV520" s="13"/>
      <c r="QSW520" s="193"/>
      <c r="QSX520" s="379"/>
      <c r="QSY520" s="379"/>
      <c r="QSZ520" s="379"/>
      <c r="QTA520" s="379"/>
      <c r="QTB520" s="379"/>
      <c r="QTC520" s="13"/>
      <c r="QTD520" s="13"/>
      <c r="QTE520" s="193"/>
      <c r="QTF520" s="379"/>
      <c r="QTG520" s="379"/>
      <c r="QTH520" s="379"/>
      <c r="QTI520" s="379"/>
      <c r="QTJ520" s="379"/>
      <c r="QTK520" s="13"/>
      <c r="QTL520" s="13"/>
      <c r="QTM520" s="193"/>
      <c r="QTN520" s="379"/>
      <c r="QTO520" s="379"/>
      <c r="QTP520" s="379"/>
      <c r="QTQ520" s="379"/>
      <c r="QTR520" s="379"/>
      <c r="QTS520" s="13"/>
      <c r="QTT520" s="13"/>
      <c r="QTU520" s="193"/>
      <c r="QTV520" s="379"/>
      <c r="QTW520" s="379"/>
      <c r="QTX520" s="379"/>
      <c r="QTY520" s="379"/>
      <c r="QTZ520" s="379"/>
      <c r="QUA520" s="13"/>
      <c r="QUB520" s="13"/>
      <c r="QUC520" s="193"/>
      <c r="QUD520" s="379"/>
      <c r="QUE520" s="379"/>
      <c r="QUF520" s="379"/>
      <c r="QUG520" s="379"/>
      <c r="QUH520" s="379"/>
      <c r="QUI520" s="13"/>
      <c r="QUJ520" s="13"/>
      <c r="QUK520" s="193"/>
      <c r="QUL520" s="379"/>
      <c r="QUM520" s="379"/>
      <c r="QUN520" s="379"/>
      <c r="QUO520" s="379"/>
      <c r="QUP520" s="379"/>
      <c r="QUQ520" s="13"/>
      <c r="QUR520" s="13"/>
      <c r="QUS520" s="193"/>
      <c r="QUT520" s="379"/>
      <c r="QUU520" s="379"/>
      <c r="QUV520" s="379"/>
      <c r="QUW520" s="379"/>
      <c r="QUX520" s="379"/>
      <c r="QUY520" s="13"/>
      <c r="QUZ520" s="13"/>
      <c r="QVA520" s="193"/>
      <c r="QVB520" s="379"/>
      <c r="QVC520" s="379"/>
      <c r="QVD520" s="379"/>
      <c r="QVE520" s="379"/>
      <c r="QVF520" s="379"/>
      <c r="QVG520" s="13"/>
      <c r="QVH520" s="13"/>
      <c r="QVI520" s="193"/>
      <c r="QVJ520" s="379"/>
      <c r="QVK520" s="379"/>
      <c r="QVL520" s="379"/>
      <c r="QVM520" s="379"/>
      <c r="QVN520" s="379"/>
      <c r="QVO520" s="13"/>
      <c r="QVP520" s="13"/>
      <c r="QVQ520" s="193"/>
      <c r="QVR520" s="379"/>
      <c r="QVS520" s="379"/>
      <c r="QVT520" s="379"/>
      <c r="QVU520" s="379"/>
      <c r="QVV520" s="379"/>
      <c r="QVW520" s="13"/>
      <c r="QVX520" s="13"/>
      <c r="QVY520" s="193"/>
      <c r="QVZ520" s="379"/>
      <c r="QWA520" s="379"/>
      <c r="QWB520" s="379"/>
      <c r="QWC520" s="379"/>
      <c r="QWD520" s="379"/>
      <c r="QWE520" s="13"/>
      <c r="QWF520" s="13"/>
      <c r="QWG520" s="193"/>
      <c r="QWH520" s="379"/>
      <c r="QWI520" s="379"/>
      <c r="QWJ520" s="379"/>
      <c r="QWK520" s="379"/>
      <c r="QWL520" s="379"/>
      <c r="QWM520" s="13"/>
      <c r="QWN520" s="13"/>
      <c r="QWO520" s="193"/>
      <c r="QWP520" s="379"/>
      <c r="QWQ520" s="379"/>
      <c r="QWR520" s="379"/>
      <c r="QWS520" s="379"/>
      <c r="QWT520" s="379"/>
      <c r="QWU520" s="13"/>
      <c r="QWV520" s="13"/>
      <c r="QWW520" s="193"/>
      <c r="QWX520" s="379"/>
      <c r="QWY520" s="379"/>
      <c r="QWZ520" s="379"/>
      <c r="QXA520" s="379"/>
      <c r="QXB520" s="379"/>
      <c r="QXC520" s="13"/>
      <c r="QXD520" s="13"/>
      <c r="QXE520" s="193"/>
      <c r="QXF520" s="379"/>
      <c r="QXG520" s="379"/>
      <c r="QXH520" s="379"/>
      <c r="QXI520" s="379"/>
      <c r="QXJ520" s="379"/>
      <c r="QXK520" s="13"/>
      <c r="QXL520" s="13"/>
      <c r="QXM520" s="193"/>
      <c r="QXN520" s="379"/>
      <c r="QXO520" s="379"/>
      <c r="QXP520" s="379"/>
      <c r="QXQ520" s="379"/>
      <c r="QXR520" s="379"/>
      <c r="QXS520" s="13"/>
      <c r="QXT520" s="13"/>
      <c r="QXU520" s="193"/>
      <c r="QXV520" s="379"/>
      <c r="QXW520" s="379"/>
      <c r="QXX520" s="379"/>
      <c r="QXY520" s="379"/>
      <c r="QXZ520" s="379"/>
      <c r="QYA520" s="13"/>
      <c r="QYB520" s="13"/>
      <c r="QYC520" s="193"/>
      <c r="QYD520" s="379"/>
      <c r="QYE520" s="379"/>
      <c r="QYF520" s="379"/>
      <c r="QYG520" s="379"/>
      <c r="QYH520" s="379"/>
      <c r="QYI520" s="13"/>
      <c r="QYJ520" s="13"/>
      <c r="QYK520" s="193"/>
      <c r="QYL520" s="379"/>
      <c r="QYM520" s="379"/>
      <c r="QYN520" s="379"/>
      <c r="QYO520" s="379"/>
      <c r="QYP520" s="379"/>
      <c r="QYQ520" s="13"/>
      <c r="QYR520" s="13"/>
      <c r="QYS520" s="193"/>
      <c r="QYT520" s="379"/>
      <c r="QYU520" s="379"/>
      <c r="QYV520" s="379"/>
      <c r="QYW520" s="379"/>
      <c r="QYX520" s="379"/>
      <c r="QYY520" s="13"/>
      <c r="QYZ520" s="13"/>
      <c r="QZA520" s="193"/>
      <c r="QZB520" s="379"/>
      <c r="QZC520" s="379"/>
      <c r="QZD520" s="379"/>
      <c r="QZE520" s="379"/>
      <c r="QZF520" s="379"/>
      <c r="QZG520" s="13"/>
      <c r="QZH520" s="13"/>
      <c r="QZI520" s="193"/>
      <c r="QZJ520" s="379"/>
      <c r="QZK520" s="379"/>
      <c r="QZL520" s="379"/>
      <c r="QZM520" s="379"/>
      <c r="QZN520" s="379"/>
      <c r="QZO520" s="13"/>
      <c r="QZP520" s="13"/>
      <c r="QZQ520" s="193"/>
      <c r="QZR520" s="379"/>
      <c r="QZS520" s="379"/>
      <c r="QZT520" s="379"/>
      <c r="QZU520" s="379"/>
      <c r="QZV520" s="379"/>
      <c r="QZW520" s="13"/>
      <c r="QZX520" s="13"/>
      <c r="QZY520" s="193"/>
      <c r="QZZ520" s="379"/>
      <c r="RAA520" s="379"/>
      <c r="RAB520" s="379"/>
      <c r="RAC520" s="379"/>
      <c r="RAD520" s="379"/>
      <c r="RAE520" s="13"/>
      <c r="RAF520" s="13"/>
      <c r="RAG520" s="193"/>
      <c r="RAH520" s="379"/>
      <c r="RAI520" s="379"/>
      <c r="RAJ520" s="379"/>
      <c r="RAK520" s="379"/>
      <c r="RAL520" s="379"/>
      <c r="RAM520" s="13"/>
      <c r="RAN520" s="13"/>
      <c r="RAO520" s="193"/>
      <c r="RAP520" s="379"/>
      <c r="RAQ520" s="379"/>
      <c r="RAR520" s="379"/>
      <c r="RAS520" s="379"/>
      <c r="RAT520" s="379"/>
      <c r="RAU520" s="13"/>
      <c r="RAV520" s="13"/>
      <c r="RAW520" s="193"/>
      <c r="RAX520" s="379"/>
      <c r="RAY520" s="379"/>
      <c r="RAZ520" s="379"/>
      <c r="RBA520" s="379"/>
      <c r="RBB520" s="379"/>
      <c r="RBC520" s="13"/>
      <c r="RBD520" s="13"/>
      <c r="RBE520" s="193"/>
      <c r="RBF520" s="379"/>
      <c r="RBG520" s="379"/>
      <c r="RBH520" s="379"/>
      <c r="RBI520" s="379"/>
      <c r="RBJ520" s="379"/>
      <c r="RBK520" s="13"/>
      <c r="RBL520" s="13"/>
      <c r="RBM520" s="193"/>
      <c r="RBN520" s="379"/>
      <c r="RBO520" s="379"/>
      <c r="RBP520" s="379"/>
      <c r="RBQ520" s="379"/>
      <c r="RBR520" s="379"/>
      <c r="RBS520" s="13"/>
      <c r="RBT520" s="13"/>
      <c r="RBU520" s="193"/>
      <c r="RBV520" s="379"/>
      <c r="RBW520" s="379"/>
      <c r="RBX520" s="379"/>
      <c r="RBY520" s="379"/>
      <c r="RBZ520" s="379"/>
      <c r="RCA520" s="13"/>
      <c r="RCB520" s="13"/>
      <c r="RCC520" s="193"/>
      <c r="RCD520" s="379"/>
      <c r="RCE520" s="379"/>
      <c r="RCF520" s="379"/>
      <c r="RCG520" s="379"/>
      <c r="RCH520" s="379"/>
      <c r="RCI520" s="13"/>
      <c r="RCJ520" s="13"/>
      <c r="RCK520" s="193"/>
      <c r="RCL520" s="379"/>
      <c r="RCM520" s="379"/>
      <c r="RCN520" s="379"/>
      <c r="RCO520" s="379"/>
      <c r="RCP520" s="379"/>
      <c r="RCQ520" s="13"/>
      <c r="RCR520" s="13"/>
      <c r="RCS520" s="193"/>
      <c r="RCT520" s="379"/>
      <c r="RCU520" s="379"/>
      <c r="RCV520" s="379"/>
      <c r="RCW520" s="379"/>
      <c r="RCX520" s="379"/>
      <c r="RCY520" s="13"/>
      <c r="RCZ520" s="13"/>
      <c r="RDA520" s="193"/>
      <c r="RDB520" s="379"/>
      <c r="RDC520" s="379"/>
      <c r="RDD520" s="379"/>
      <c r="RDE520" s="379"/>
      <c r="RDF520" s="379"/>
      <c r="RDG520" s="13"/>
      <c r="RDH520" s="13"/>
      <c r="RDI520" s="193"/>
      <c r="RDJ520" s="379"/>
      <c r="RDK520" s="379"/>
      <c r="RDL520" s="379"/>
      <c r="RDM520" s="379"/>
      <c r="RDN520" s="379"/>
      <c r="RDO520" s="13"/>
      <c r="RDP520" s="13"/>
      <c r="RDQ520" s="193"/>
      <c r="RDR520" s="379"/>
      <c r="RDS520" s="379"/>
      <c r="RDT520" s="379"/>
      <c r="RDU520" s="379"/>
      <c r="RDV520" s="379"/>
      <c r="RDW520" s="13"/>
      <c r="RDX520" s="13"/>
      <c r="RDY520" s="193"/>
      <c r="RDZ520" s="379"/>
      <c r="REA520" s="379"/>
      <c r="REB520" s="379"/>
      <c r="REC520" s="379"/>
      <c r="RED520" s="379"/>
      <c r="REE520" s="13"/>
      <c r="REF520" s="13"/>
      <c r="REG520" s="193"/>
      <c r="REH520" s="379"/>
      <c r="REI520" s="379"/>
      <c r="REJ520" s="379"/>
      <c r="REK520" s="379"/>
      <c r="REL520" s="379"/>
      <c r="REM520" s="13"/>
      <c r="REN520" s="13"/>
      <c r="REO520" s="193"/>
      <c r="REP520" s="379"/>
      <c r="REQ520" s="379"/>
      <c r="RER520" s="379"/>
      <c r="RES520" s="379"/>
      <c r="RET520" s="379"/>
      <c r="REU520" s="13"/>
      <c r="REV520" s="13"/>
      <c r="REW520" s="193"/>
      <c r="REX520" s="379"/>
      <c r="REY520" s="379"/>
      <c r="REZ520" s="379"/>
      <c r="RFA520" s="379"/>
      <c r="RFB520" s="379"/>
      <c r="RFC520" s="13"/>
      <c r="RFD520" s="13"/>
      <c r="RFE520" s="193"/>
      <c r="RFF520" s="379"/>
      <c r="RFG520" s="379"/>
      <c r="RFH520" s="379"/>
      <c r="RFI520" s="379"/>
      <c r="RFJ520" s="379"/>
      <c r="RFK520" s="13"/>
      <c r="RFL520" s="13"/>
      <c r="RFM520" s="193"/>
      <c r="RFN520" s="379"/>
      <c r="RFO520" s="379"/>
      <c r="RFP520" s="379"/>
      <c r="RFQ520" s="379"/>
      <c r="RFR520" s="379"/>
      <c r="RFS520" s="13"/>
      <c r="RFT520" s="13"/>
      <c r="RFU520" s="193"/>
      <c r="RFV520" s="379"/>
      <c r="RFW520" s="379"/>
      <c r="RFX520" s="379"/>
      <c r="RFY520" s="379"/>
      <c r="RFZ520" s="379"/>
      <c r="RGA520" s="13"/>
      <c r="RGB520" s="13"/>
      <c r="RGC520" s="193"/>
      <c r="RGD520" s="379"/>
      <c r="RGE520" s="379"/>
      <c r="RGF520" s="379"/>
      <c r="RGG520" s="379"/>
      <c r="RGH520" s="379"/>
      <c r="RGI520" s="13"/>
      <c r="RGJ520" s="13"/>
      <c r="RGK520" s="193"/>
      <c r="RGL520" s="379"/>
      <c r="RGM520" s="379"/>
      <c r="RGN520" s="379"/>
      <c r="RGO520" s="379"/>
      <c r="RGP520" s="379"/>
      <c r="RGQ520" s="13"/>
      <c r="RGR520" s="13"/>
      <c r="RGS520" s="193"/>
      <c r="RGT520" s="379"/>
      <c r="RGU520" s="379"/>
      <c r="RGV520" s="379"/>
      <c r="RGW520" s="379"/>
      <c r="RGX520" s="379"/>
      <c r="RGY520" s="13"/>
      <c r="RGZ520" s="13"/>
      <c r="RHA520" s="193"/>
      <c r="RHB520" s="379"/>
      <c r="RHC520" s="379"/>
      <c r="RHD520" s="379"/>
      <c r="RHE520" s="379"/>
      <c r="RHF520" s="379"/>
      <c r="RHG520" s="13"/>
      <c r="RHH520" s="13"/>
      <c r="RHI520" s="193"/>
      <c r="RHJ520" s="379"/>
      <c r="RHK520" s="379"/>
      <c r="RHL520" s="379"/>
      <c r="RHM520" s="379"/>
      <c r="RHN520" s="379"/>
      <c r="RHO520" s="13"/>
      <c r="RHP520" s="13"/>
      <c r="RHQ520" s="193"/>
      <c r="RHR520" s="379"/>
      <c r="RHS520" s="379"/>
      <c r="RHT520" s="379"/>
      <c r="RHU520" s="379"/>
      <c r="RHV520" s="379"/>
      <c r="RHW520" s="13"/>
      <c r="RHX520" s="13"/>
      <c r="RHY520" s="193"/>
      <c r="RHZ520" s="379"/>
      <c r="RIA520" s="379"/>
      <c r="RIB520" s="379"/>
      <c r="RIC520" s="379"/>
      <c r="RID520" s="379"/>
      <c r="RIE520" s="13"/>
      <c r="RIF520" s="13"/>
      <c r="RIG520" s="193"/>
      <c r="RIH520" s="379"/>
      <c r="RII520" s="379"/>
      <c r="RIJ520" s="379"/>
      <c r="RIK520" s="379"/>
      <c r="RIL520" s="379"/>
      <c r="RIM520" s="13"/>
      <c r="RIN520" s="13"/>
      <c r="RIO520" s="193"/>
      <c r="RIP520" s="379"/>
      <c r="RIQ520" s="379"/>
      <c r="RIR520" s="379"/>
      <c r="RIS520" s="379"/>
      <c r="RIT520" s="379"/>
      <c r="RIU520" s="13"/>
      <c r="RIV520" s="13"/>
      <c r="RIW520" s="193"/>
      <c r="RIX520" s="379"/>
      <c r="RIY520" s="379"/>
      <c r="RIZ520" s="379"/>
      <c r="RJA520" s="379"/>
      <c r="RJB520" s="379"/>
      <c r="RJC520" s="13"/>
      <c r="RJD520" s="13"/>
      <c r="RJE520" s="193"/>
      <c r="RJF520" s="379"/>
      <c r="RJG520" s="379"/>
      <c r="RJH520" s="379"/>
      <c r="RJI520" s="379"/>
      <c r="RJJ520" s="379"/>
      <c r="RJK520" s="13"/>
      <c r="RJL520" s="13"/>
      <c r="RJM520" s="193"/>
      <c r="RJN520" s="379"/>
      <c r="RJO520" s="379"/>
      <c r="RJP520" s="379"/>
      <c r="RJQ520" s="379"/>
      <c r="RJR520" s="379"/>
      <c r="RJS520" s="13"/>
      <c r="RJT520" s="13"/>
      <c r="RJU520" s="193"/>
      <c r="RJV520" s="379"/>
      <c r="RJW520" s="379"/>
      <c r="RJX520" s="379"/>
      <c r="RJY520" s="379"/>
      <c r="RJZ520" s="379"/>
      <c r="RKA520" s="13"/>
      <c r="RKB520" s="13"/>
      <c r="RKC520" s="193"/>
      <c r="RKD520" s="379"/>
      <c r="RKE520" s="379"/>
      <c r="RKF520" s="379"/>
      <c r="RKG520" s="379"/>
      <c r="RKH520" s="379"/>
      <c r="RKI520" s="13"/>
      <c r="RKJ520" s="13"/>
      <c r="RKK520" s="193"/>
      <c r="RKL520" s="379"/>
      <c r="RKM520" s="379"/>
      <c r="RKN520" s="379"/>
      <c r="RKO520" s="379"/>
      <c r="RKP520" s="379"/>
      <c r="RKQ520" s="13"/>
      <c r="RKR520" s="13"/>
      <c r="RKS520" s="193"/>
      <c r="RKT520" s="379"/>
      <c r="RKU520" s="379"/>
      <c r="RKV520" s="379"/>
      <c r="RKW520" s="379"/>
      <c r="RKX520" s="379"/>
      <c r="RKY520" s="13"/>
      <c r="RKZ520" s="13"/>
      <c r="RLA520" s="193"/>
      <c r="RLB520" s="379"/>
      <c r="RLC520" s="379"/>
      <c r="RLD520" s="379"/>
      <c r="RLE520" s="379"/>
      <c r="RLF520" s="379"/>
      <c r="RLG520" s="13"/>
      <c r="RLH520" s="13"/>
      <c r="RLI520" s="193"/>
      <c r="RLJ520" s="379"/>
      <c r="RLK520" s="379"/>
      <c r="RLL520" s="379"/>
      <c r="RLM520" s="379"/>
      <c r="RLN520" s="379"/>
      <c r="RLO520" s="13"/>
      <c r="RLP520" s="13"/>
      <c r="RLQ520" s="193"/>
      <c r="RLR520" s="379"/>
      <c r="RLS520" s="379"/>
      <c r="RLT520" s="379"/>
      <c r="RLU520" s="379"/>
      <c r="RLV520" s="379"/>
      <c r="RLW520" s="13"/>
      <c r="RLX520" s="13"/>
      <c r="RLY520" s="193"/>
      <c r="RLZ520" s="379"/>
      <c r="RMA520" s="379"/>
      <c r="RMB520" s="379"/>
      <c r="RMC520" s="379"/>
      <c r="RMD520" s="379"/>
      <c r="RME520" s="13"/>
      <c r="RMF520" s="13"/>
      <c r="RMG520" s="193"/>
      <c r="RMH520" s="379"/>
      <c r="RMI520" s="379"/>
      <c r="RMJ520" s="379"/>
      <c r="RMK520" s="379"/>
      <c r="RML520" s="379"/>
      <c r="RMM520" s="13"/>
      <c r="RMN520" s="13"/>
      <c r="RMO520" s="193"/>
      <c r="RMP520" s="379"/>
      <c r="RMQ520" s="379"/>
      <c r="RMR520" s="379"/>
      <c r="RMS520" s="379"/>
      <c r="RMT520" s="379"/>
      <c r="RMU520" s="13"/>
      <c r="RMV520" s="13"/>
      <c r="RMW520" s="193"/>
      <c r="RMX520" s="379"/>
      <c r="RMY520" s="379"/>
      <c r="RMZ520" s="379"/>
      <c r="RNA520" s="379"/>
      <c r="RNB520" s="379"/>
      <c r="RNC520" s="13"/>
      <c r="RND520" s="13"/>
      <c r="RNE520" s="193"/>
      <c r="RNF520" s="379"/>
      <c r="RNG520" s="379"/>
      <c r="RNH520" s="379"/>
      <c r="RNI520" s="379"/>
      <c r="RNJ520" s="379"/>
      <c r="RNK520" s="13"/>
      <c r="RNL520" s="13"/>
      <c r="RNM520" s="193"/>
      <c r="RNN520" s="379"/>
      <c r="RNO520" s="379"/>
      <c r="RNP520" s="379"/>
      <c r="RNQ520" s="379"/>
      <c r="RNR520" s="379"/>
      <c r="RNS520" s="13"/>
      <c r="RNT520" s="13"/>
      <c r="RNU520" s="193"/>
      <c r="RNV520" s="379"/>
      <c r="RNW520" s="379"/>
      <c r="RNX520" s="379"/>
      <c r="RNY520" s="379"/>
      <c r="RNZ520" s="379"/>
      <c r="ROA520" s="13"/>
      <c r="ROB520" s="13"/>
      <c r="ROC520" s="193"/>
      <c r="ROD520" s="379"/>
      <c r="ROE520" s="379"/>
      <c r="ROF520" s="379"/>
      <c r="ROG520" s="379"/>
      <c r="ROH520" s="379"/>
      <c r="ROI520" s="13"/>
      <c r="ROJ520" s="13"/>
      <c r="ROK520" s="193"/>
      <c r="ROL520" s="379"/>
      <c r="ROM520" s="379"/>
      <c r="RON520" s="379"/>
      <c r="ROO520" s="379"/>
      <c r="ROP520" s="379"/>
      <c r="ROQ520" s="13"/>
      <c r="ROR520" s="13"/>
      <c r="ROS520" s="193"/>
      <c r="ROT520" s="379"/>
      <c r="ROU520" s="379"/>
      <c r="ROV520" s="379"/>
      <c r="ROW520" s="379"/>
      <c r="ROX520" s="379"/>
      <c r="ROY520" s="13"/>
      <c r="ROZ520" s="13"/>
      <c r="RPA520" s="193"/>
      <c r="RPB520" s="379"/>
      <c r="RPC520" s="379"/>
      <c r="RPD520" s="379"/>
      <c r="RPE520" s="379"/>
      <c r="RPF520" s="379"/>
      <c r="RPG520" s="13"/>
      <c r="RPH520" s="13"/>
      <c r="RPI520" s="193"/>
      <c r="RPJ520" s="379"/>
      <c r="RPK520" s="379"/>
      <c r="RPL520" s="379"/>
      <c r="RPM520" s="379"/>
      <c r="RPN520" s="379"/>
      <c r="RPO520" s="13"/>
      <c r="RPP520" s="13"/>
      <c r="RPQ520" s="193"/>
      <c r="RPR520" s="379"/>
      <c r="RPS520" s="379"/>
      <c r="RPT520" s="379"/>
      <c r="RPU520" s="379"/>
      <c r="RPV520" s="379"/>
      <c r="RPW520" s="13"/>
      <c r="RPX520" s="13"/>
      <c r="RPY520" s="193"/>
      <c r="RPZ520" s="379"/>
      <c r="RQA520" s="379"/>
      <c r="RQB520" s="379"/>
      <c r="RQC520" s="379"/>
      <c r="RQD520" s="379"/>
      <c r="RQE520" s="13"/>
      <c r="RQF520" s="13"/>
      <c r="RQG520" s="193"/>
      <c r="RQH520" s="379"/>
      <c r="RQI520" s="379"/>
      <c r="RQJ520" s="379"/>
      <c r="RQK520" s="379"/>
      <c r="RQL520" s="379"/>
      <c r="RQM520" s="13"/>
      <c r="RQN520" s="13"/>
      <c r="RQO520" s="193"/>
      <c r="RQP520" s="379"/>
      <c r="RQQ520" s="379"/>
      <c r="RQR520" s="379"/>
      <c r="RQS520" s="379"/>
      <c r="RQT520" s="379"/>
      <c r="RQU520" s="13"/>
      <c r="RQV520" s="13"/>
      <c r="RQW520" s="193"/>
      <c r="RQX520" s="379"/>
      <c r="RQY520" s="379"/>
      <c r="RQZ520" s="379"/>
      <c r="RRA520" s="379"/>
      <c r="RRB520" s="379"/>
      <c r="RRC520" s="13"/>
      <c r="RRD520" s="13"/>
      <c r="RRE520" s="193"/>
      <c r="RRF520" s="379"/>
      <c r="RRG520" s="379"/>
      <c r="RRH520" s="379"/>
      <c r="RRI520" s="379"/>
      <c r="RRJ520" s="379"/>
      <c r="RRK520" s="13"/>
      <c r="RRL520" s="13"/>
      <c r="RRM520" s="193"/>
      <c r="RRN520" s="379"/>
      <c r="RRO520" s="379"/>
      <c r="RRP520" s="379"/>
      <c r="RRQ520" s="379"/>
      <c r="RRR520" s="379"/>
      <c r="RRS520" s="13"/>
      <c r="RRT520" s="13"/>
      <c r="RRU520" s="193"/>
      <c r="RRV520" s="379"/>
      <c r="RRW520" s="379"/>
      <c r="RRX520" s="379"/>
      <c r="RRY520" s="379"/>
      <c r="RRZ520" s="379"/>
      <c r="RSA520" s="13"/>
      <c r="RSB520" s="13"/>
      <c r="RSC520" s="193"/>
      <c r="RSD520" s="379"/>
      <c r="RSE520" s="379"/>
      <c r="RSF520" s="379"/>
      <c r="RSG520" s="379"/>
      <c r="RSH520" s="379"/>
      <c r="RSI520" s="13"/>
      <c r="RSJ520" s="13"/>
      <c r="RSK520" s="193"/>
      <c r="RSL520" s="379"/>
      <c r="RSM520" s="379"/>
      <c r="RSN520" s="379"/>
      <c r="RSO520" s="379"/>
      <c r="RSP520" s="379"/>
      <c r="RSQ520" s="13"/>
      <c r="RSR520" s="13"/>
      <c r="RSS520" s="193"/>
      <c r="RST520" s="379"/>
      <c r="RSU520" s="379"/>
      <c r="RSV520" s="379"/>
      <c r="RSW520" s="379"/>
      <c r="RSX520" s="379"/>
      <c r="RSY520" s="13"/>
      <c r="RSZ520" s="13"/>
      <c r="RTA520" s="193"/>
      <c r="RTB520" s="379"/>
      <c r="RTC520" s="379"/>
      <c r="RTD520" s="379"/>
      <c r="RTE520" s="379"/>
      <c r="RTF520" s="379"/>
      <c r="RTG520" s="13"/>
      <c r="RTH520" s="13"/>
      <c r="RTI520" s="193"/>
      <c r="RTJ520" s="379"/>
      <c r="RTK520" s="379"/>
      <c r="RTL520" s="379"/>
      <c r="RTM520" s="379"/>
      <c r="RTN520" s="379"/>
      <c r="RTO520" s="13"/>
      <c r="RTP520" s="13"/>
      <c r="RTQ520" s="193"/>
      <c r="RTR520" s="379"/>
      <c r="RTS520" s="379"/>
      <c r="RTT520" s="379"/>
      <c r="RTU520" s="379"/>
      <c r="RTV520" s="379"/>
      <c r="RTW520" s="13"/>
      <c r="RTX520" s="13"/>
      <c r="RTY520" s="193"/>
      <c r="RTZ520" s="379"/>
      <c r="RUA520" s="379"/>
      <c r="RUB520" s="379"/>
      <c r="RUC520" s="379"/>
      <c r="RUD520" s="379"/>
      <c r="RUE520" s="13"/>
      <c r="RUF520" s="13"/>
      <c r="RUG520" s="193"/>
      <c r="RUH520" s="379"/>
      <c r="RUI520" s="379"/>
      <c r="RUJ520" s="379"/>
      <c r="RUK520" s="379"/>
      <c r="RUL520" s="379"/>
      <c r="RUM520" s="13"/>
      <c r="RUN520" s="13"/>
      <c r="RUO520" s="193"/>
      <c r="RUP520" s="379"/>
      <c r="RUQ520" s="379"/>
      <c r="RUR520" s="379"/>
      <c r="RUS520" s="379"/>
      <c r="RUT520" s="379"/>
      <c r="RUU520" s="13"/>
      <c r="RUV520" s="13"/>
      <c r="RUW520" s="193"/>
      <c r="RUX520" s="379"/>
      <c r="RUY520" s="379"/>
      <c r="RUZ520" s="379"/>
      <c r="RVA520" s="379"/>
      <c r="RVB520" s="379"/>
      <c r="RVC520" s="13"/>
      <c r="RVD520" s="13"/>
      <c r="RVE520" s="193"/>
      <c r="RVF520" s="379"/>
      <c r="RVG520" s="379"/>
      <c r="RVH520" s="379"/>
      <c r="RVI520" s="379"/>
      <c r="RVJ520" s="379"/>
      <c r="RVK520" s="13"/>
      <c r="RVL520" s="13"/>
      <c r="RVM520" s="193"/>
      <c r="RVN520" s="379"/>
      <c r="RVO520" s="379"/>
      <c r="RVP520" s="379"/>
      <c r="RVQ520" s="379"/>
      <c r="RVR520" s="379"/>
      <c r="RVS520" s="13"/>
      <c r="RVT520" s="13"/>
      <c r="RVU520" s="193"/>
      <c r="RVV520" s="379"/>
      <c r="RVW520" s="379"/>
      <c r="RVX520" s="379"/>
      <c r="RVY520" s="379"/>
      <c r="RVZ520" s="379"/>
      <c r="RWA520" s="13"/>
      <c r="RWB520" s="13"/>
      <c r="RWC520" s="193"/>
      <c r="RWD520" s="379"/>
      <c r="RWE520" s="379"/>
      <c r="RWF520" s="379"/>
      <c r="RWG520" s="379"/>
      <c r="RWH520" s="379"/>
      <c r="RWI520" s="13"/>
      <c r="RWJ520" s="13"/>
      <c r="RWK520" s="193"/>
      <c r="RWL520" s="379"/>
      <c r="RWM520" s="379"/>
      <c r="RWN520" s="379"/>
      <c r="RWO520" s="379"/>
      <c r="RWP520" s="379"/>
      <c r="RWQ520" s="13"/>
      <c r="RWR520" s="13"/>
      <c r="RWS520" s="193"/>
      <c r="RWT520" s="379"/>
      <c r="RWU520" s="379"/>
      <c r="RWV520" s="379"/>
      <c r="RWW520" s="379"/>
      <c r="RWX520" s="379"/>
      <c r="RWY520" s="13"/>
      <c r="RWZ520" s="13"/>
      <c r="RXA520" s="193"/>
      <c r="RXB520" s="379"/>
      <c r="RXC520" s="379"/>
      <c r="RXD520" s="379"/>
      <c r="RXE520" s="379"/>
      <c r="RXF520" s="379"/>
      <c r="RXG520" s="13"/>
      <c r="RXH520" s="13"/>
      <c r="RXI520" s="193"/>
      <c r="RXJ520" s="379"/>
      <c r="RXK520" s="379"/>
      <c r="RXL520" s="379"/>
      <c r="RXM520" s="379"/>
      <c r="RXN520" s="379"/>
      <c r="RXO520" s="13"/>
      <c r="RXP520" s="13"/>
      <c r="RXQ520" s="193"/>
      <c r="RXR520" s="379"/>
      <c r="RXS520" s="379"/>
      <c r="RXT520" s="379"/>
      <c r="RXU520" s="379"/>
      <c r="RXV520" s="379"/>
      <c r="RXW520" s="13"/>
      <c r="RXX520" s="13"/>
      <c r="RXY520" s="193"/>
      <c r="RXZ520" s="379"/>
      <c r="RYA520" s="379"/>
      <c r="RYB520" s="379"/>
      <c r="RYC520" s="379"/>
      <c r="RYD520" s="379"/>
      <c r="RYE520" s="13"/>
      <c r="RYF520" s="13"/>
      <c r="RYG520" s="193"/>
      <c r="RYH520" s="379"/>
      <c r="RYI520" s="379"/>
      <c r="RYJ520" s="379"/>
      <c r="RYK520" s="379"/>
      <c r="RYL520" s="379"/>
      <c r="RYM520" s="13"/>
      <c r="RYN520" s="13"/>
      <c r="RYO520" s="193"/>
      <c r="RYP520" s="379"/>
      <c r="RYQ520" s="379"/>
      <c r="RYR520" s="379"/>
      <c r="RYS520" s="379"/>
      <c r="RYT520" s="379"/>
      <c r="RYU520" s="13"/>
      <c r="RYV520" s="13"/>
      <c r="RYW520" s="193"/>
      <c r="RYX520" s="379"/>
      <c r="RYY520" s="379"/>
      <c r="RYZ520" s="379"/>
      <c r="RZA520" s="379"/>
      <c r="RZB520" s="379"/>
      <c r="RZC520" s="13"/>
      <c r="RZD520" s="13"/>
      <c r="RZE520" s="193"/>
      <c r="RZF520" s="379"/>
      <c r="RZG520" s="379"/>
      <c r="RZH520" s="379"/>
      <c r="RZI520" s="379"/>
      <c r="RZJ520" s="379"/>
      <c r="RZK520" s="13"/>
      <c r="RZL520" s="13"/>
      <c r="RZM520" s="193"/>
      <c r="RZN520" s="379"/>
      <c r="RZO520" s="379"/>
      <c r="RZP520" s="379"/>
      <c r="RZQ520" s="379"/>
      <c r="RZR520" s="379"/>
      <c r="RZS520" s="13"/>
      <c r="RZT520" s="13"/>
      <c r="RZU520" s="193"/>
      <c r="RZV520" s="379"/>
      <c r="RZW520" s="379"/>
      <c r="RZX520" s="379"/>
      <c r="RZY520" s="379"/>
      <c r="RZZ520" s="379"/>
      <c r="SAA520" s="13"/>
      <c r="SAB520" s="13"/>
      <c r="SAC520" s="193"/>
      <c r="SAD520" s="379"/>
      <c r="SAE520" s="379"/>
      <c r="SAF520" s="379"/>
      <c r="SAG520" s="379"/>
      <c r="SAH520" s="379"/>
      <c r="SAI520" s="13"/>
      <c r="SAJ520" s="13"/>
      <c r="SAK520" s="193"/>
      <c r="SAL520" s="379"/>
      <c r="SAM520" s="379"/>
      <c r="SAN520" s="379"/>
      <c r="SAO520" s="379"/>
      <c r="SAP520" s="379"/>
      <c r="SAQ520" s="13"/>
      <c r="SAR520" s="13"/>
      <c r="SAS520" s="193"/>
      <c r="SAT520" s="379"/>
      <c r="SAU520" s="379"/>
      <c r="SAV520" s="379"/>
      <c r="SAW520" s="379"/>
      <c r="SAX520" s="379"/>
      <c r="SAY520" s="13"/>
      <c r="SAZ520" s="13"/>
      <c r="SBA520" s="193"/>
      <c r="SBB520" s="379"/>
      <c r="SBC520" s="379"/>
      <c r="SBD520" s="379"/>
      <c r="SBE520" s="379"/>
      <c r="SBF520" s="379"/>
      <c r="SBG520" s="13"/>
      <c r="SBH520" s="13"/>
      <c r="SBI520" s="193"/>
      <c r="SBJ520" s="379"/>
      <c r="SBK520" s="379"/>
      <c r="SBL520" s="379"/>
      <c r="SBM520" s="379"/>
      <c r="SBN520" s="379"/>
      <c r="SBO520" s="13"/>
      <c r="SBP520" s="13"/>
      <c r="SBQ520" s="193"/>
      <c r="SBR520" s="379"/>
      <c r="SBS520" s="379"/>
      <c r="SBT520" s="379"/>
      <c r="SBU520" s="379"/>
      <c r="SBV520" s="379"/>
      <c r="SBW520" s="13"/>
      <c r="SBX520" s="13"/>
      <c r="SBY520" s="193"/>
      <c r="SBZ520" s="379"/>
      <c r="SCA520" s="379"/>
      <c r="SCB520" s="379"/>
      <c r="SCC520" s="379"/>
      <c r="SCD520" s="379"/>
      <c r="SCE520" s="13"/>
      <c r="SCF520" s="13"/>
      <c r="SCG520" s="193"/>
      <c r="SCH520" s="379"/>
      <c r="SCI520" s="379"/>
      <c r="SCJ520" s="379"/>
      <c r="SCK520" s="379"/>
      <c r="SCL520" s="379"/>
      <c r="SCM520" s="13"/>
      <c r="SCN520" s="13"/>
      <c r="SCO520" s="193"/>
      <c r="SCP520" s="379"/>
      <c r="SCQ520" s="379"/>
      <c r="SCR520" s="379"/>
      <c r="SCS520" s="379"/>
      <c r="SCT520" s="379"/>
      <c r="SCU520" s="13"/>
      <c r="SCV520" s="13"/>
      <c r="SCW520" s="193"/>
      <c r="SCX520" s="379"/>
      <c r="SCY520" s="379"/>
      <c r="SCZ520" s="379"/>
      <c r="SDA520" s="379"/>
      <c r="SDB520" s="379"/>
      <c r="SDC520" s="13"/>
      <c r="SDD520" s="13"/>
      <c r="SDE520" s="193"/>
      <c r="SDF520" s="379"/>
      <c r="SDG520" s="379"/>
      <c r="SDH520" s="379"/>
      <c r="SDI520" s="379"/>
      <c r="SDJ520" s="379"/>
      <c r="SDK520" s="13"/>
      <c r="SDL520" s="13"/>
      <c r="SDM520" s="193"/>
      <c r="SDN520" s="379"/>
      <c r="SDO520" s="379"/>
      <c r="SDP520" s="379"/>
      <c r="SDQ520" s="379"/>
      <c r="SDR520" s="379"/>
      <c r="SDS520" s="13"/>
      <c r="SDT520" s="13"/>
      <c r="SDU520" s="193"/>
      <c r="SDV520" s="379"/>
      <c r="SDW520" s="379"/>
      <c r="SDX520" s="379"/>
      <c r="SDY520" s="379"/>
      <c r="SDZ520" s="379"/>
      <c r="SEA520" s="13"/>
      <c r="SEB520" s="13"/>
      <c r="SEC520" s="193"/>
      <c r="SED520" s="379"/>
      <c r="SEE520" s="379"/>
      <c r="SEF520" s="379"/>
      <c r="SEG520" s="379"/>
      <c r="SEH520" s="379"/>
      <c r="SEI520" s="13"/>
      <c r="SEJ520" s="13"/>
      <c r="SEK520" s="193"/>
      <c r="SEL520" s="379"/>
      <c r="SEM520" s="379"/>
      <c r="SEN520" s="379"/>
      <c r="SEO520" s="379"/>
      <c r="SEP520" s="379"/>
      <c r="SEQ520" s="13"/>
      <c r="SER520" s="13"/>
      <c r="SES520" s="193"/>
      <c r="SET520" s="379"/>
      <c r="SEU520" s="379"/>
      <c r="SEV520" s="379"/>
      <c r="SEW520" s="379"/>
      <c r="SEX520" s="379"/>
      <c r="SEY520" s="13"/>
      <c r="SEZ520" s="13"/>
      <c r="SFA520" s="193"/>
      <c r="SFB520" s="379"/>
      <c r="SFC520" s="379"/>
      <c r="SFD520" s="379"/>
      <c r="SFE520" s="379"/>
      <c r="SFF520" s="379"/>
      <c r="SFG520" s="13"/>
      <c r="SFH520" s="13"/>
      <c r="SFI520" s="193"/>
      <c r="SFJ520" s="379"/>
      <c r="SFK520" s="379"/>
      <c r="SFL520" s="379"/>
      <c r="SFM520" s="379"/>
      <c r="SFN520" s="379"/>
      <c r="SFO520" s="13"/>
      <c r="SFP520" s="13"/>
      <c r="SFQ520" s="193"/>
      <c r="SFR520" s="379"/>
      <c r="SFS520" s="379"/>
      <c r="SFT520" s="379"/>
      <c r="SFU520" s="379"/>
      <c r="SFV520" s="379"/>
      <c r="SFW520" s="13"/>
      <c r="SFX520" s="13"/>
      <c r="SFY520" s="193"/>
      <c r="SFZ520" s="379"/>
      <c r="SGA520" s="379"/>
      <c r="SGB520" s="379"/>
      <c r="SGC520" s="379"/>
      <c r="SGD520" s="379"/>
      <c r="SGE520" s="13"/>
      <c r="SGF520" s="13"/>
      <c r="SGG520" s="193"/>
      <c r="SGH520" s="379"/>
      <c r="SGI520" s="379"/>
      <c r="SGJ520" s="379"/>
      <c r="SGK520" s="379"/>
      <c r="SGL520" s="379"/>
      <c r="SGM520" s="13"/>
      <c r="SGN520" s="13"/>
      <c r="SGO520" s="193"/>
      <c r="SGP520" s="379"/>
      <c r="SGQ520" s="379"/>
      <c r="SGR520" s="379"/>
      <c r="SGS520" s="379"/>
      <c r="SGT520" s="379"/>
      <c r="SGU520" s="13"/>
      <c r="SGV520" s="13"/>
      <c r="SGW520" s="193"/>
      <c r="SGX520" s="379"/>
      <c r="SGY520" s="379"/>
      <c r="SGZ520" s="379"/>
      <c r="SHA520" s="379"/>
      <c r="SHB520" s="379"/>
      <c r="SHC520" s="13"/>
      <c r="SHD520" s="13"/>
      <c r="SHE520" s="193"/>
      <c r="SHF520" s="379"/>
      <c r="SHG520" s="379"/>
      <c r="SHH520" s="379"/>
      <c r="SHI520" s="379"/>
      <c r="SHJ520" s="379"/>
      <c r="SHK520" s="13"/>
      <c r="SHL520" s="13"/>
      <c r="SHM520" s="193"/>
      <c r="SHN520" s="379"/>
      <c r="SHO520" s="379"/>
      <c r="SHP520" s="379"/>
      <c r="SHQ520" s="379"/>
      <c r="SHR520" s="379"/>
      <c r="SHS520" s="13"/>
      <c r="SHT520" s="13"/>
      <c r="SHU520" s="193"/>
      <c r="SHV520" s="379"/>
      <c r="SHW520" s="379"/>
      <c r="SHX520" s="379"/>
      <c r="SHY520" s="379"/>
      <c r="SHZ520" s="379"/>
      <c r="SIA520" s="13"/>
      <c r="SIB520" s="13"/>
      <c r="SIC520" s="193"/>
      <c r="SID520" s="379"/>
      <c r="SIE520" s="379"/>
      <c r="SIF520" s="379"/>
      <c r="SIG520" s="379"/>
      <c r="SIH520" s="379"/>
      <c r="SII520" s="13"/>
      <c r="SIJ520" s="13"/>
      <c r="SIK520" s="193"/>
      <c r="SIL520" s="379"/>
      <c r="SIM520" s="379"/>
      <c r="SIN520" s="379"/>
      <c r="SIO520" s="379"/>
      <c r="SIP520" s="379"/>
      <c r="SIQ520" s="13"/>
      <c r="SIR520" s="13"/>
      <c r="SIS520" s="193"/>
      <c r="SIT520" s="379"/>
      <c r="SIU520" s="379"/>
      <c r="SIV520" s="379"/>
      <c r="SIW520" s="379"/>
      <c r="SIX520" s="379"/>
      <c r="SIY520" s="13"/>
      <c r="SIZ520" s="13"/>
      <c r="SJA520" s="193"/>
      <c r="SJB520" s="379"/>
      <c r="SJC520" s="379"/>
      <c r="SJD520" s="379"/>
      <c r="SJE520" s="379"/>
      <c r="SJF520" s="379"/>
      <c r="SJG520" s="13"/>
      <c r="SJH520" s="13"/>
      <c r="SJI520" s="193"/>
      <c r="SJJ520" s="379"/>
      <c r="SJK520" s="379"/>
      <c r="SJL520" s="379"/>
      <c r="SJM520" s="379"/>
      <c r="SJN520" s="379"/>
      <c r="SJO520" s="13"/>
      <c r="SJP520" s="13"/>
      <c r="SJQ520" s="193"/>
      <c r="SJR520" s="379"/>
      <c r="SJS520" s="379"/>
      <c r="SJT520" s="379"/>
      <c r="SJU520" s="379"/>
      <c r="SJV520" s="379"/>
      <c r="SJW520" s="13"/>
      <c r="SJX520" s="13"/>
      <c r="SJY520" s="193"/>
      <c r="SJZ520" s="379"/>
      <c r="SKA520" s="379"/>
      <c r="SKB520" s="379"/>
      <c r="SKC520" s="379"/>
      <c r="SKD520" s="379"/>
      <c r="SKE520" s="13"/>
      <c r="SKF520" s="13"/>
      <c r="SKG520" s="193"/>
      <c r="SKH520" s="379"/>
      <c r="SKI520" s="379"/>
      <c r="SKJ520" s="379"/>
      <c r="SKK520" s="379"/>
      <c r="SKL520" s="379"/>
      <c r="SKM520" s="13"/>
      <c r="SKN520" s="13"/>
      <c r="SKO520" s="193"/>
      <c r="SKP520" s="379"/>
      <c r="SKQ520" s="379"/>
      <c r="SKR520" s="379"/>
      <c r="SKS520" s="379"/>
      <c r="SKT520" s="379"/>
      <c r="SKU520" s="13"/>
      <c r="SKV520" s="13"/>
      <c r="SKW520" s="193"/>
      <c r="SKX520" s="379"/>
      <c r="SKY520" s="379"/>
      <c r="SKZ520" s="379"/>
      <c r="SLA520" s="379"/>
      <c r="SLB520" s="379"/>
      <c r="SLC520" s="13"/>
      <c r="SLD520" s="13"/>
      <c r="SLE520" s="193"/>
      <c r="SLF520" s="379"/>
      <c r="SLG520" s="379"/>
      <c r="SLH520" s="379"/>
      <c r="SLI520" s="379"/>
      <c r="SLJ520" s="379"/>
      <c r="SLK520" s="13"/>
      <c r="SLL520" s="13"/>
      <c r="SLM520" s="193"/>
      <c r="SLN520" s="379"/>
      <c r="SLO520" s="379"/>
      <c r="SLP520" s="379"/>
      <c r="SLQ520" s="379"/>
      <c r="SLR520" s="379"/>
      <c r="SLS520" s="13"/>
      <c r="SLT520" s="13"/>
      <c r="SLU520" s="193"/>
      <c r="SLV520" s="379"/>
      <c r="SLW520" s="379"/>
      <c r="SLX520" s="379"/>
      <c r="SLY520" s="379"/>
      <c r="SLZ520" s="379"/>
      <c r="SMA520" s="13"/>
      <c r="SMB520" s="13"/>
      <c r="SMC520" s="193"/>
      <c r="SMD520" s="379"/>
      <c r="SME520" s="379"/>
      <c r="SMF520" s="379"/>
      <c r="SMG520" s="379"/>
      <c r="SMH520" s="379"/>
      <c r="SMI520" s="13"/>
      <c r="SMJ520" s="13"/>
      <c r="SMK520" s="193"/>
      <c r="SML520" s="379"/>
      <c r="SMM520" s="379"/>
      <c r="SMN520" s="379"/>
      <c r="SMO520" s="379"/>
      <c r="SMP520" s="379"/>
      <c r="SMQ520" s="13"/>
      <c r="SMR520" s="13"/>
      <c r="SMS520" s="193"/>
      <c r="SMT520" s="379"/>
      <c r="SMU520" s="379"/>
      <c r="SMV520" s="379"/>
      <c r="SMW520" s="379"/>
      <c r="SMX520" s="379"/>
      <c r="SMY520" s="13"/>
      <c r="SMZ520" s="13"/>
      <c r="SNA520" s="193"/>
      <c r="SNB520" s="379"/>
      <c r="SNC520" s="379"/>
      <c r="SND520" s="379"/>
      <c r="SNE520" s="379"/>
      <c r="SNF520" s="379"/>
      <c r="SNG520" s="13"/>
      <c r="SNH520" s="13"/>
      <c r="SNI520" s="193"/>
      <c r="SNJ520" s="379"/>
      <c r="SNK520" s="379"/>
      <c r="SNL520" s="379"/>
      <c r="SNM520" s="379"/>
      <c r="SNN520" s="379"/>
      <c r="SNO520" s="13"/>
      <c r="SNP520" s="13"/>
      <c r="SNQ520" s="193"/>
      <c r="SNR520" s="379"/>
      <c r="SNS520" s="379"/>
      <c r="SNT520" s="379"/>
      <c r="SNU520" s="379"/>
      <c r="SNV520" s="379"/>
      <c r="SNW520" s="13"/>
      <c r="SNX520" s="13"/>
      <c r="SNY520" s="193"/>
      <c r="SNZ520" s="379"/>
      <c r="SOA520" s="379"/>
      <c r="SOB520" s="379"/>
      <c r="SOC520" s="379"/>
      <c r="SOD520" s="379"/>
      <c r="SOE520" s="13"/>
      <c r="SOF520" s="13"/>
      <c r="SOG520" s="193"/>
      <c r="SOH520" s="379"/>
      <c r="SOI520" s="379"/>
      <c r="SOJ520" s="379"/>
      <c r="SOK520" s="379"/>
      <c r="SOL520" s="379"/>
      <c r="SOM520" s="13"/>
      <c r="SON520" s="13"/>
      <c r="SOO520" s="193"/>
      <c r="SOP520" s="379"/>
      <c r="SOQ520" s="379"/>
      <c r="SOR520" s="379"/>
      <c r="SOS520" s="379"/>
      <c r="SOT520" s="379"/>
      <c r="SOU520" s="13"/>
      <c r="SOV520" s="13"/>
      <c r="SOW520" s="193"/>
      <c r="SOX520" s="379"/>
      <c r="SOY520" s="379"/>
      <c r="SOZ520" s="379"/>
      <c r="SPA520" s="379"/>
      <c r="SPB520" s="379"/>
      <c r="SPC520" s="13"/>
      <c r="SPD520" s="13"/>
      <c r="SPE520" s="193"/>
      <c r="SPF520" s="379"/>
      <c r="SPG520" s="379"/>
      <c r="SPH520" s="379"/>
      <c r="SPI520" s="379"/>
      <c r="SPJ520" s="379"/>
      <c r="SPK520" s="13"/>
      <c r="SPL520" s="13"/>
      <c r="SPM520" s="193"/>
      <c r="SPN520" s="379"/>
      <c r="SPO520" s="379"/>
      <c r="SPP520" s="379"/>
      <c r="SPQ520" s="379"/>
      <c r="SPR520" s="379"/>
      <c r="SPS520" s="13"/>
      <c r="SPT520" s="13"/>
      <c r="SPU520" s="193"/>
      <c r="SPV520" s="379"/>
      <c r="SPW520" s="379"/>
      <c r="SPX520" s="379"/>
      <c r="SPY520" s="379"/>
      <c r="SPZ520" s="379"/>
      <c r="SQA520" s="13"/>
      <c r="SQB520" s="13"/>
      <c r="SQC520" s="193"/>
      <c r="SQD520" s="379"/>
      <c r="SQE520" s="379"/>
      <c r="SQF520" s="379"/>
      <c r="SQG520" s="379"/>
      <c r="SQH520" s="379"/>
      <c r="SQI520" s="13"/>
      <c r="SQJ520" s="13"/>
      <c r="SQK520" s="193"/>
      <c r="SQL520" s="379"/>
      <c r="SQM520" s="379"/>
      <c r="SQN520" s="379"/>
      <c r="SQO520" s="379"/>
      <c r="SQP520" s="379"/>
      <c r="SQQ520" s="13"/>
      <c r="SQR520" s="13"/>
      <c r="SQS520" s="193"/>
      <c r="SQT520" s="379"/>
      <c r="SQU520" s="379"/>
      <c r="SQV520" s="379"/>
      <c r="SQW520" s="379"/>
      <c r="SQX520" s="379"/>
      <c r="SQY520" s="13"/>
      <c r="SQZ520" s="13"/>
      <c r="SRA520" s="193"/>
      <c r="SRB520" s="379"/>
      <c r="SRC520" s="379"/>
      <c r="SRD520" s="379"/>
      <c r="SRE520" s="379"/>
      <c r="SRF520" s="379"/>
      <c r="SRG520" s="13"/>
      <c r="SRH520" s="13"/>
      <c r="SRI520" s="193"/>
      <c r="SRJ520" s="379"/>
      <c r="SRK520" s="379"/>
      <c r="SRL520" s="379"/>
      <c r="SRM520" s="379"/>
      <c r="SRN520" s="379"/>
      <c r="SRO520" s="13"/>
      <c r="SRP520" s="13"/>
      <c r="SRQ520" s="193"/>
      <c r="SRR520" s="379"/>
      <c r="SRS520" s="379"/>
      <c r="SRT520" s="379"/>
      <c r="SRU520" s="379"/>
      <c r="SRV520" s="379"/>
      <c r="SRW520" s="13"/>
      <c r="SRX520" s="13"/>
      <c r="SRY520" s="193"/>
      <c r="SRZ520" s="379"/>
      <c r="SSA520" s="379"/>
      <c r="SSB520" s="379"/>
      <c r="SSC520" s="379"/>
      <c r="SSD520" s="379"/>
      <c r="SSE520" s="13"/>
      <c r="SSF520" s="13"/>
      <c r="SSG520" s="193"/>
      <c r="SSH520" s="379"/>
      <c r="SSI520" s="379"/>
      <c r="SSJ520" s="379"/>
      <c r="SSK520" s="379"/>
      <c r="SSL520" s="379"/>
      <c r="SSM520" s="13"/>
      <c r="SSN520" s="13"/>
      <c r="SSO520" s="193"/>
      <c r="SSP520" s="379"/>
      <c r="SSQ520" s="379"/>
      <c r="SSR520" s="379"/>
      <c r="SSS520" s="379"/>
      <c r="SST520" s="379"/>
      <c r="SSU520" s="13"/>
      <c r="SSV520" s="13"/>
      <c r="SSW520" s="193"/>
      <c r="SSX520" s="379"/>
      <c r="SSY520" s="379"/>
      <c r="SSZ520" s="379"/>
      <c r="STA520" s="379"/>
      <c r="STB520" s="379"/>
      <c r="STC520" s="13"/>
      <c r="STD520" s="13"/>
      <c r="STE520" s="193"/>
      <c r="STF520" s="379"/>
      <c r="STG520" s="379"/>
      <c r="STH520" s="379"/>
      <c r="STI520" s="379"/>
      <c r="STJ520" s="379"/>
      <c r="STK520" s="13"/>
      <c r="STL520" s="13"/>
      <c r="STM520" s="193"/>
      <c r="STN520" s="379"/>
      <c r="STO520" s="379"/>
      <c r="STP520" s="379"/>
      <c r="STQ520" s="379"/>
      <c r="STR520" s="379"/>
      <c r="STS520" s="13"/>
      <c r="STT520" s="13"/>
      <c r="STU520" s="193"/>
      <c r="STV520" s="379"/>
      <c r="STW520" s="379"/>
      <c r="STX520" s="379"/>
      <c r="STY520" s="379"/>
      <c r="STZ520" s="379"/>
      <c r="SUA520" s="13"/>
      <c r="SUB520" s="13"/>
      <c r="SUC520" s="193"/>
      <c r="SUD520" s="379"/>
      <c r="SUE520" s="379"/>
      <c r="SUF520" s="379"/>
      <c r="SUG520" s="379"/>
      <c r="SUH520" s="379"/>
      <c r="SUI520" s="13"/>
      <c r="SUJ520" s="13"/>
      <c r="SUK520" s="193"/>
      <c r="SUL520" s="379"/>
      <c r="SUM520" s="379"/>
      <c r="SUN520" s="379"/>
      <c r="SUO520" s="379"/>
      <c r="SUP520" s="379"/>
      <c r="SUQ520" s="13"/>
      <c r="SUR520" s="13"/>
      <c r="SUS520" s="193"/>
      <c r="SUT520" s="379"/>
      <c r="SUU520" s="379"/>
      <c r="SUV520" s="379"/>
      <c r="SUW520" s="379"/>
      <c r="SUX520" s="379"/>
      <c r="SUY520" s="13"/>
      <c r="SUZ520" s="13"/>
      <c r="SVA520" s="193"/>
      <c r="SVB520" s="379"/>
      <c r="SVC520" s="379"/>
      <c r="SVD520" s="379"/>
      <c r="SVE520" s="379"/>
      <c r="SVF520" s="379"/>
      <c r="SVG520" s="13"/>
      <c r="SVH520" s="13"/>
      <c r="SVI520" s="193"/>
      <c r="SVJ520" s="379"/>
      <c r="SVK520" s="379"/>
      <c r="SVL520" s="379"/>
      <c r="SVM520" s="379"/>
      <c r="SVN520" s="379"/>
      <c r="SVO520" s="13"/>
      <c r="SVP520" s="13"/>
      <c r="SVQ520" s="193"/>
      <c r="SVR520" s="379"/>
      <c r="SVS520" s="379"/>
      <c r="SVT520" s="379"/>
      <c r="SVU520" s="379"/>
      <c r="SVV520" s="379"/>
      <c r="SVW520" s="13"/>
      <c r="SVX520" s="13"/>
      <c r="SVY520" s="193"/>
      <c r="SVZ520" s="379"/>
      <c r="SWA520" s="379"/>
      <c r="SWB520" s="379"/>
      <c r="SWC520" s="379"/>
      <c r="SWD520" s="379"/>
      <c r="SWE520" s="13"/>
      <c r="SWF520" s="13"/>
      <c r="SWG520" s="193"/>
      <c r="SWH520" s="379"/>
      <c r="SWI520" s="379"/>
      <c r="SWJ520" s="379"/>
      <c r="SWK520" s="379"/>
      <c r="SWL520" s="379"/>
      <c r="SWM520" s="13"/>
      <c r="SWN520" s="13"/>
      <c r="SWO520" s="193"/>
      <c r="SWP520" s="379"/>
      <c r="SWQ520" s="379"/>
      <c r="SWR520" s="379"/>
      <c r="SWS520" s="379"/>
      <c r="SWT520" s="379"/>
      <c r="SWU520" s="13"/>
      <c r="SWV520" s="13"/>
      <c r="SWW520" s="193"/>
      <c r="SWX520" s="379"/>
      <c r="SWY520" s="379"/>
      <c r="SWZ520" s="379"/>
      <c r="SXA520" s="379"/>
      <c r="SXB520" s="379"/>
      <c r="SXC520" s="13"/>
      <c r="SXD520" s="13"/>
      <c r="SXE520" s="193"/>
      <c r="SXF520" s="379"/>
      <c r="SXG520" s="379"/>
      <c r="SXH520" s="379"/>
      <c r="SXI520" s="379"/>
      <c r="SXJ520" s="379"/>
      <c r="SXK520" s="13"/>
      <c r="SXL520" s="13"/>
      <c r="SXM520" s="193"/>
      <c r="SXN520" s="379"/>
      <c r="SXO520" s="379"/>
      <c r="SXP520" s="379"/>
      <c r="SXQ520" s="379"/>
      <c r="SXR520" s="379"/>
      <c r="SXS520" s="13"/>
      <c r="SXT520" s="13"/>
      <c r="SXU520" s="193"/>
      <c r="SXV520" s="379"/>
      <c r="SXW520" s="379"/>
      <c r="SXX520" s="379"/>
      <c r="SXY520" s="379"/>
      <c r="SXZ520" s="379"/>
      <c r="SYA520" s="13"/>
      <c r="SYB520" s="13"/>
      <c r="SYC520" s="193"/>
      <c r="SYD520" s="379"/>
      <c r="SYE520" s="379"/>
      <c r="SYF520" s="379"/>
      <c r="SYG520" s="379"/>
      <c r="SYH520" s="379"/>
      <c r="SYI520" s="13"/>
      <c r="SYJ520" s="13"/>
      <c r="SYK520" s="193"/>
      <c r="SYL520" s="379"/>
      <c r="SYM520" s="379"/>
      <c r="SYN520" s="379"/>
      <c r="SYO520" s="379"/>
      <c r="SYP520" s="379"/>
      <c r="SYQ520" s="13"/>
      <c r="SYR520" s="13"/>
      <c r="SYS520" s="193"/>
      <c r="SYT520" s="379"/>
      <c r="SYU520" s="379"/>
      <c r="SYV520" s="379"/>
      <c r="SYW520" s="379"/>
      <c r="SYX520" s="379"/>
      <c r="SYY520" s="13"/>
      <c r="SYZ520" s="13"/>
      <c r="SZA520" s="193"/>
      <c r="SZB520" s="379"/>
      <c r="SZC520" s="379"/>
      <c r="SZD520" s="379"/>
      <c r="SZE520" s="379"/>
      <c r="SZF520" s="379"/>
      <c r="SZG520" s="13"/>
      <c r="SZH520" s="13"/>
      <c r="SZI520" s="193"/>
      <c r="SZJ520" s="379"/>
      <c r="SZK520" s="379"/>
      <c r="SZL520" s="379"/>
      <c r="SZM520" s="379"/>
      <c r="SZN520" s="379"/>
      <c r="SZO520" s="13"/>
      <c r="SZP520" s="13"/>
      <c r="SZQ520" s="193"/>
      <c r="SZR520" s="379"/>
      <c r="SZS520" s="379"/>
      <c r="SZT520" s="379"/>
      <c r="SZU520" s="379"/>
      <c r="SZV520" s="379"/>
      <c r="SZW520" s="13"/>
      <c r="SZX520" s="13"/>
      <c r="SZY520" s="193"/>
      <c r="SZZ520" s="379"/>
      <c r="TAA520" s="379"/>
      <c r="TAB520" s="379"/>
      <c r="TAC520" s="379"/>
      <c r="TAD520" s="379"/>
      <c r="TAE520" s="13"/>
      <c r="TAF520" s="13"/>
      <c r="TAG520" s="193"/>
      <c r="TAH520" s="379"/>
      <c r="TAI520" s="379"/>
      <c r="TAJ520" s="379"/>
      <c r="TAK520" s="379"/>
      <c r="TAL520" s="379"/>
      <c r="TAM520" s="13"/>
      <c r="TAN520" s="13"/>
      <c r="TAO520" s="193"/>
      <c r="TAP520" s="379"/>
      <c r="TAQ520" s="379"/>
      <c r="TAR520" s="379"/>
      <c r="TAS520" s="379"/>
      <c r="TAT520" s="379"/>
      <c r="TAU520" s="13"/>
      <c r="TAV520" s="13"/>
      <c r="TAW520" s="193"/>
      <c r="TAX520" s="379"/>
      <c r="TAY520" s="379"/>
      <c r="TAZ520" s="379"/>
      <c r="TBA520" s="379"/>
      <c r="TBB520" s="379"/>
      <c r="TBC520" s="13"/>
      <c r="TBD520" s="13"/>
      <c r="TBE520" s="193"/>
      <c r="TBF520" s="379"/>
      <c r="TBG520" s="379"/>
      <c r="TBH520" s="379"/>
      <c r="TBI520" s="379"/>
      <c r="TBJ520" s="379"/>
      <c r="TBK520" s="13"/>
      <c r="TBL520" s="13"/>
      <c r="TBM520" s="193"/>
      <c r="TBN520" s="379"/>
      <c r="TBO520" s="379"/>
      <c r="TBP520" s="379"/>
      <c r="TBQ520" s="379"/>
      <c r="TBR520" s="379"/>
      <c r="TBS520" s="13"/>
      <c r="TBT520" s="13"/>
      <c r="TBU520" s="193"/>
      <c r="TBV520" s="379"/>
      <c r="TBW520" s="379"/>
      <c r="TBX520" s="379"/>
      <c r="TBY520" s="379"/>
      <c r="TBZ520" s="379"/>
      <c r="TCA520" s="13"/>
      <c r="TCB520" s="13"/>
      <c r="TCC520" s="193"/>
      <c r="TCD520" s="379"/>
      <c r="TCE520" s="379"/>
      <c r="TCF520" s="379"/>
      <c r="TCG520" s="379"/>
      <c r="TCH520" s="379"/>
      <c r="TCI520" s="13"/>
      <c r="TCJ520" s="13"/>
      <c r="TCK520" s="193"/>
      <c r="TCL520" s="379"/>
      <c r="TCM520" s="379"/>
      <c r="TCN520" s="379"/>
      <c r="TCO520" s="379"/>
      <c r="TCP520" s="379"/>
      <c r="TCQ520" s="13"/>
      <c r="TCR520" s="13"/>
      <c r="TCS520" s="193"/>
      <c r="TCT520" s="379"/>
      <c r="TCU520" s="379"/>
      <c r="TCV520" s="379"/>
      <c r="TCW520" s="379"/>
      <c r="TCX520" s="379"/>
      <c r="TCY520" s="13"/>
      <c r="TCZ520" s="13"/>
      <c r="TDA520" s="193"/>
      <c r="TDB520" s="379"/>
      <c r="TDC520" s="379"/>
      <c r="TDD520" s="379"/>
      <c r="TDE520" s="379"/>
      <c r="TDF520" s="379"/>
      <c r="TDG520" s="13"/>
      <c r="TDH520" s="13"/>
      <c r="TDI520" s="193"/>
      <c r="TDJ520" s="379"/>
      <c r="TDK520" s="379"/>
      <c r="TDL520" s="379"/>
      <c r="TDM520" s="379"/>
      <c r="TDN520" s="379"/>
      <c r="TDO520" s="13"/>
      <c r="TDP520" s="13"/>
      <c r="TDQ520" s="193"/>
      <c r="TDR520" s="379"/>
      <c r="TDS520" s="379"/>
      <c r="TDT520" s="379"/>
      <c r="TDU520" s="379"/>
      <c r="TDV520" s="379"/>
      <c r="TDW520" s="13"/>
      <c r="TDX520" s="13"/>
      <c r="TDY520" s="193"/>
      <c r="TDZ520" s="379"/>
      <c r="TEA520" s="379"/>
      <c r="TEB520" s="379"/>
      <c r="TEC520" s="379"/>
      <c r="TED520" s="379"/>
      <c r="TEE520" s="13"/>
      <c r="TEF520" s="13"/>
      <c r="TEG520" s="193"/>
      <c r="TEH520" s="379"/>
      <c r="TEI520" s="379"/>
      <c r="TEJ520" s="379"/>
      <c r="TEK520" s="379"/>
      <c r="TEL520" s="379"/>
      <c r="TEM520" s="13"/>
      <c r="TEN520" s="13"/>
      <c r="TEO520" s="193"/>
      <c r="TEP520" s="379"/>
      <c r="TEQ520" s="379"/>
      <c r="TER520" s="379"/>
      <c r="TES520" s="379"/>
      <c r="TET520" s="379"/>
      <c r="TEU520" s="13"/>
      <c r="TEV520" s="13"/>
      <c r="TEW520" s="193"/>
      <c r="TEX520" s="379"/>
      <c r="TEY520" s="379"/>
      <c r="TEZ520" s="379"/>
      <c r="TFA520" s="379"/>
      <c r="TFB520" s="379"/>
      <c r="TFC520" s="13"/>
      <c r="TFD520" s="13"/>
      <c r="TFE520" s="193"/>
      <c r="TFF520" s="379"/>
      <c r="TFG520" s="379"/>
      <c r="TFH520" s="379"/>
      <c r="TFI520" s="379"/>
      <c r="TFJ520" s="379"/>
      <c r="TFK520" s="13"/>
      <c r="TFL520" s="13"/>
      <c r="TFM520" s="193"/>
      <c r="TFN520" s="379"/>
      <c r="TFO520" s="379"/>
      <c r="TFP520" s="379"/>
      <c r="TFQ520" s="379"/>
      <c r="TFR520" s="379"/>
      <c r="TFS520" s="13"/>
      <c r="TFT520" s="13"/>
      <c r="TFU520" s="193"/>
      <c r="TFV520" s="379"/>
      <c r="TFW520" s="379"/>
      <c r="TFX520" s="379"/>
      <c r="TFY520" s="379"/>
      <c r="TFZ520" s="379"/>
      <c r="TGA520" s="13"/>
      <c r="TGB520" s="13"/>
      <c r="TGC520" s="193"/>
      <c r="TGD520" s="379"/>
      <c r="TGE520" s="379"/>
      <c r="TGF520" s="379"/>
      <c r="TGG520" s="379"/>
      <c r="TGH520" s="379"/>
      <c r="TGI520" s="13"/>
      <c r="TGJ520" s="13"/>
      <c r="TGK520" s="193"/>
      <c r="TGL520" s="379"/>
      <c r="TGM520" s="379"/>
      <c r="TGN520" s="379"/>
      <c r="TGO520" s="379"/>
      <c r="TGP520" s="379"/>
      <c r="TGQ520" s="13"/>
      <c r="TGR520" s="13"/>
      <c r="TGS520" s="193"/>
      <c r="TGT520" s="379"/>
      <c r="TGU520" s="379"/>
      <c r="TGV520" s="379"/>
      <c r="TGW520" s="379"/>
      <c r="TGX520" s="379"/>
      <c r="TGY520" s="13"/>
      <c r="TGZ520" s="13"/>
      <c r="THA520" s="193"/>
      <c r="THB520" s="379"/>
      <c r="THC520" s="379"/>
      <c r="THD520" s="379"/>
      <c r="THE520" s="379"/>
      <c r="THF520" s="379"/>
      <c r="THG520" s="13"/>
      <c r="THH520" s="13"/>
      <c r="THI520" s="193"/>
      <c r="THJ520" s="379"/>
      <c r="THK520" s="379"/>
      <c r="THL520" s="379"/>
      <c r="THM520" s="379"/>
      <c r="THN520" s="379"/>
      <c r="THO520" s="13"/>
      <c r="THP520" s="13"/>
      <c r="THQ520" s="193"/>
      <c r="THR520" s="379"/>
      <c r="THS520" s="379"/>
      <c r="THT520" s="379"/>
      <c r="THU520" s="379"/>
      <c r="THV520" s="379"/>
      <c r="THW520" s="13"/>
      <c r="THX520" s="13"/>
      <c r="THY520" s="193"/>
      <c r="THZ520" s="379"/>
      <c r="TIA520" s="379"/>
      <c r="TIB520" s="379"/>
      <c r="TIC520" s="379"/>
      <c r="TID520" s="379"/>
      <c r="TIE520" s="13"/>
      <c r="TIF520" s="13"/>
      <c r="TIG520" s="193"/>
      <c r="TIH520" s="379"/>
      <c r="TII520" s="379"/>
      <c r="TIJ520" s="379"/>
      <c r="TIK520" s="379"/>
      <c r="TIL520" s="379"/>
      <c r="TIM520" s="13"/>
      <c r="TIN520" s="13"/>
      <c r="TIO520" s="193"/>
      <c r="TIP520" s="379"/>
      <c r="TIQ520" s="379"/>
      <c r="TIR520" s="379"/>
      <c r="TIS520" s="379"/>
      <c r="TIT520" s="379"/>
      <c r="TIU520" s="13"/>
      <c r="TIV520" s="13"/>
      <c r="TIW520" s="193"/>
      <c r="TIX520" s="379"/>
      <c r="TIY520" s="379"/>
      <c r="TIZ520" s="379"/>
      <c r="TJA520" s="379"/>
      <c r="TJB520" s="379"/>
      <c r="TJC520" s="13"/>
      <c r="TJD520" s="13"/>
      <c r="TJE520" s="193"/>
      <c r="TJF520" s="379"/>
      <c r="TJG520" s="379"/>
      <c r="TJH520" s="379"/>
      <c r="TJI520" s="379"/>
      <c r="TJJ520" s="379"/>
      <c r="TJK520" s="13"/>
      <c r="TJL520" s="13"/>
      <c r="TJM520" s="193"/>
      <c r="TJN520" s="379"/>
      <c r="TJO520" s="379"/>
      <c r="TJP520" s="379"/>
      <c r="TJQ520" s="379"/>
      <c r="TJR520" s="379"/>
      <c r="TJS520" s="13"/>
      <c r="TJT520" s="13"/>
      <c r="TJU520" s="193"/>
      <c r="TJV520" s="379"/>
      <c r="TJW520" s="379"/>
      <c r="TJX520" s="379"/>
      <c r="TJY520" s="379"/>
      <c r="TJZ520" s="379"/>
      <c r="TKA520" s="13"/>
      <c r="TKB520" s="13"/>
      <c r="TKC520" s="193"/>
      <c r="TKD520" s="379"/>
      <c r="TKE520" s="379"/>
      <c r="TKF520" s="379"/>
      <c r="TKG520" s="379"/>
      <c r="TKH520" s="379"/>
      <c r="TKI520" s="13"/>
      <c r="TKJ520" s="13"/>
      <c r="TKK520" s="193"/>
      <c r="TKL520" s="379"/>
      <c r="TKM520" s="379"/>
      <c r="TKN520" s="379"/>
      <c r="TKO520" s="379"/>
      <c r="TKP520" s="379"/>
      <c r="TKQ520" s="13"/>
      <c r="TKR520" s="13"/>
      <c r="TKS520" s="193"/>
      <c r="TKT520" s="379"/>
      <c r="TKU520" s="379"/>
      <c r="TKV520" s="379"/>
      <c r="TKW520" s="379"/>
      <c r="TKX520" s="379"/>
      <c r="TKY520" s="13"/>
      <c r="TKZ520" s="13"/>
      <c r="TLA520" s="193"/>
      <c r="TLB520" s="379"/>
      <c r="TLC520" s="379"/>
      <c r="TLD520" s="379"/>
      <c r="TLE520" s="379"/>
      <c r="TLF520" s="379"/>
      <c r="TLG520" s="13"/>
      <c r="TLH520" s="13"/>
      <c r="TLI520" s="193"/>
      <c r="TLJ520" s="379"/>
      <c r="TLK520" s="379"/>
      <c r="TLL520" s="379"/>
      <c r="TLM520" s="379"/>
      <c r="TLN520" s="379"/>
      <c r="TLO520" s="13"/>
      <c r="TLP520" s="13"/>
      <c r="TLQ520" s="193"/>
      <c r="TLR520" s="379"/>
      <c r="TLS520" s="379"/>
      <c r="TLT520" s="379"/>
      <c r="TLU520" s="379"/>
      <c r="TLV520" s="379"/>
      <c r="TLW520" s="13"/>
      <c r="TLX520" s="13"/>
      <c r="TLY520" s="193"/>
      <c r="TLZ520" s="379"/>
      <c r="TMA520" s="379"/>
      <c r="TMB520" s="379"/>
      <c r="TMC520" s="379"/>
      <c r="TMD520" s="379"/>
      <c r="TME520" s="13"/>
      <c r="TMF520" s="13"/>
      <c r="TMG520" s="193"/>
      <c r="TMH520" s="379"/>
      <c r="TMI520" s="379"/>
      <c r="TMJ520" s="379"/>
      <c r="TMK520" s="379"/>
      <c r="TML520" s="379"/>
      <c r="TMM520" s="13"/>
      <c r="TMN520" s="13"/>
      <c r="TMO520" s="193"/>
      <c r="TMP520" s="379"/>
      <c r="TMQ520" s="379"/>
      <c r="TMR520" s="379"/>
      <c r="TMS520" s="379"/>
      <c r="TMT520" s="379"/>
      <c r="TMU520" s="13"/>
      <c r="TMV520" s="13"/>
      <c r="TMW520" s="193"/>
      <c r="TMX520" s="379"/>
      <c r="TMY520" s="379"/>
      <c r="TMZ520" s="379"/>
      <c r="TNA520" s="379"/>
      <c r="TNB520" s="379"/>
      <c r="TNC520" s="13"/>
      <c r="TND520" s="13"/>
      <c r="TNE520" s="193"/>
      <c r="TNF520" s="379"/>
      <c r="TNG520" s="379"/>
      <c r="TNH520" s="379"/>
      <c r="TNI520" s="379"/>
      <c r="TNJ520" s="379"/>
      <c r="TNK520" s="13"/>
      <c r="TNL520" s="13"/>
      <c r="TNM520" s="193"/>
      <c r="TNN520" s="379"/>
      <c r="TNO520" s="379"/>
      <c r="TNP520" s="379"/>
      <c r="TNQ520" s="379"/>
      <c r="TNR520" s="379"/>
      <c r="TNS520" s="13"/>
      <c r="TNT520" s="13"/>
      <c r="TNU520" s="193"/>
      <c r="TNV520" s="379"/>
      <c r="TNW520" s="379"/>
      <c r="TNX520" s="379"/>
      <c r="TNY520" s="379"/>
      <c r="TNZ520" s="379"/>
      <c r="TOA520" s="13"/>
      <c r="TOB520" s="13"/>
      <c r="TOC520" s="193"/>
      <c r="TOD520" s="379"/>
      <c r="TOE520" s="379"/>
      <c r="TOF520" s="379"/>
      <c r="TOG520" s="379"/>
      <c r="TOH520" s="379"/>
      <c r="TOI520" s="13"/>
      <c r="TOJ520" s="13"/>
      <c r="TOK520" s="193"/>
      <c r="TOL520" s="379"/>
      <c r="TOM520" s="379"/>
      <c r="TON520" s="379"/>
      <c r="TOO520" s="379"/>
      <c r="TOP520" s="379"/>
      <c r="TOQ520" s="13"/>
      <c r="TOR520" s="13"/>
      <c r="TOS520" s="193"/>
      <c r="TOT520" s="379"/>
      <c r="TOU520" s="379"/>
      <c r="TOV520" s="379"/>
      <c r="TOW520" s="379"/>
      <c r="TOX520" s="379"/>
      <c r="TOY520" s="13"/>
      <c r="TOZ520" s="13"/>
      <c r="TPA520" s="193"/>
      <c r="TPB520" s="379"/>
      <c r="TPC520" s="379"/>
      <c r="TPD520" s="379"/>
      <c r="TPE520" s="379"/>
      <c r="TPF520" s="379"/>
      <c r="TPG520" s="13"/>
      <c r="TPH520" s="13"/>
      <c r="TPI520" s="193"/>
      <c r="TPJ520" s="379"/>
      <c r="TPK520" s="379"/>
      <c r="TPL520" s="379"/>
      <c r="TPM520" s="379"/>
      <c r="TPN520" s="379"/>
      <c r="TPO520" s="13"/>
      <c r="TPP520" s="13"/>
      <c r="TPQ520" s="193"/>
      <c r="TPR520" s="379"/>
      <c r="TPS520" s="379"/>
      <c r="TPT520" s="379"/>
      <c r="TPU520" s="379"/>
      <c r="TPV520" s="379"/>
      <c r="TPW520" s="13"/>
      <c r="TPX520" s="13"/>
      <c r="TPY520" s="193"/>
      <c r="TPZ520" s="379"/>
      <c r="TQA520" s="379"/>
      <c r="TQB520" s="379"/>
      <c r="TQC520" s="379"/>
      <c r="TQD520" s="379"/>
      <c r="TQE520" s="13"/>
      <c r="TQF520" s="13"/>
      <c r="TQG520" s="193"/>
      <c r="TQH520" s="379"/>
      <c r="TQI520" s="379"/>
      <c r="TQJ520" s="379"/>
      <c r="TQK520" s="379"/>
      <c r="TQL520" s="379"/>
      <c r="TQM520" s="13"/>
      <c r="TQN520" s="13"/>
      <c r="TQO520" s="193"/>
      <c r="TQP520" s="379"/>
      <c r="TQQ520" s="379"/>
      <c r="TQR520" s="379"/>
      <c r="TQS520" s="379"/>
      <c r="TQT520" s="379"/>
      <c r="TQU520" s="13"/>
      <c r="TQV520" s="13"/>
      <c r="TQW520" s="193"/>
      <c r="TQX520" s="379"/>
      <c r="TQY520" s="379"/>
      <c r="TQZ520" s="379"/>
      <c r="TRA520" s="379"/>
      <c r="TRB520" s="379"/>
      <c r="TRC520" s="13"/>
      <c r="TRD520" s="13"/>
      <c r="TRE520" s="193"/>
      <c r="TRF520" s="379"/>
      <c r="TRG520" s="379"/>
      <c r="TRH520" s="379"/>
      <c r="TRI520" s="379"/>
      <c r="TRJ520" s="379"/>
      <c r="TRK520" s="13"/>
      <c r="TRL520" s="13"/>
      <c r="TRM520" s="193"/>
      <c r="TRN520" s="379"/>
      <c r="TRO520" s="379"/>
      <c r="TRP520" s="379"/>
      <c r="TRQ520" s="379"/>
      <c r="TRR520" s="379"/>
      <c r="TRS520" s="13"/>
      <c r="TRT520" s="13"/>
      <c r="TRU520" s="193"/>
      <c r="TRV520" s="379"/>
      <c r="TRW520" s="379"/>
      <c r="TRX520" s="379"/>
      <c r="TRY520" s="379"/>
      <c r="TRZ520" s="379"/>
      <c r="TSA520" s="13"/>
      <c r="TSB520" s="13"/>
      <c r="TSC520" s="193"/>
      <c r="TSD520" s="379"/>
      <c r="TSE520" s="379"/>
      <c r="TSF520" s="379"/>
      <c r="TSG520" s="379"/>
      <c r="TSH520" s="379"/>
      <c r="TSI520" s="13"/>
      <c r="TSJ520" s="13"/>
      <c r="TSK520" s="193"/>
      <c r="TSL520" s="379"/>
      <c r="TSM520" s="379"/>
      <c r="TSN520" s="379"/>
      <c r="TSO520" s="379"/>
      <c r="TSP520" s="379"/>
      <c r="TSQ520" s="13"/>
      <c r="TSR520" s="13"/>
      <c r="TSS520" s="193"/>
      <c r="TST520" s="379"/>
      <c r="TSU520" s="379"/>
      <c r="TSV520" s="379"/>
      <c r="TSW520" s="379"/>
      <c r="TSX520" s="379"/>
      <c r="TSY520" s="13"/>
      <c r="TSZ520" s="13"/>
      <c r="TTA520" s="193"/>
      <c r="TTB520" s="379"/>
      <c r="TTC520" s="379"/>
      <c r="TTD520" s="379"/>
      <c r="TTE520" s="379"/>
      <c r="TTF520" s="379"/>
      <c r="TTG520" s="13"/>
      <c r="TTH520" s="13"/>
      <c r="TTI520" s="193"/>
      <c r="TTJ520" s="379"/>
      <c r="TTK520" s="379"/>
      <c r="TTL520" s="379"/>
      <c r="TTM520" s="379"/>
      <c r="TTN520" s="379"/>
      <c r="TTO520" s="13"/>
      <c r="TTP520" s="13"/>
      <c r="TTQ520" s="193"/>
      <c r="TTR520" s="379"/>
      <c r="TTS520" s="379"/>
      <c r="TTT520" s="379"/>
      <c r="TTU520" s="379"/>
      <c r="TTV520" s="379"/>
      <c r="TTW520" s="13"/>
      <c r="TTX520" s="13"/>
      <c r="TTY520" s="193"/>
      <c r="TTZ520" s="379"/>
      <c r="TUA520" s="379"/>
      <c r="TUB520" s="379"/>
      <c r="TUC520" s="379"/>
      <c r="TUD520" s="379"/>
      <c r="TUE520" s="13"/>
      <c r="TUF520" s="13"/>
      <c r="TUG520" s="193"/>
      <c r="TUH520" s="379"/>
      <c r="TUI520" s="379"/>
      <c r="TUJ520" s="379"/>
      <c r="TUK520" s="379"/>
      <c r="TUL520" s="379"/>
      <c r="TUM520" s="13"/>
      <c r="TUN520" s="13"/>
      <c r="TUO520" s="193"/>
      <c r="TUP520" s="379"/>
      <c r="TUQ520" s="379"/>
      <c r="TUR520" s="379"/>
      <c r="TUS520" s="379"/>
      <c r="TUT520" s="379"/>
      <c r="TUU520" s="13"/>
      <c r="TUV520" s="13"/>
      <c r="TUW520" s="193"/>
      <c r="TUX520" s="379"/>
      <c r="TUY520" s="379"/>
      <c r="TUZ520" s="379"/>
      <c r="TVA520" s="379"/>
      <c r="TVB520" s="379"/>
      <c r="TVC520" s="13"/>
      <c r="TVD520" s="13"/>
      <c r="TVE520" s="193"/>
      <c r="TVF520" s="379"/>
      <c r="TVG520" s="379"/>
      <c r="TVH520" s="379"/>
      <c r="TVI520" s="379"/>
      <c r="TVJ520" s="379"/>
      <c r="TVK520" s="13"/>
      <c r="TVL520" s="13"/>
      <c r="TVM520" s="193"/>
      <c r="TVN520" s="379"/>
      <c r="TVO520" s="379"/>
      <c r="TVP520" s="379"/>
      <c r="TVQ520" s="379"/>
      <c r="TVR520" s="379"/>
      <c r="TVS520" s="13"/>
      <c r="TVT520" s="13"/>
      <c r="TVU520" s="193"/>
      <c r="TVV520" s="379"/>
      <c r="TVW520" s="379"/>
      <c r="TVX520" s="379"/>
      <c r="TVY520" s="379"/>
      <c r="TVZ520" s="379"/>
      <c r="TWA520" s="13"/>
      <c r="TWB520" s="13"/>
      <c r="TWC520" s="193"/>
      <c r="TWD520" s="379"/>
      <c r="TWE520" s="379"/>
      <c r="TWF520" s="379"/>
      <c r="TWG520" s="379"/>
      <c r="TWH520" s="379"/>
      <c r="TWI520" s="13"/>
      <c r="TWJ520" s="13"/>
      <c r="TWK520" s="193"/>
      <c r="TWL520" s="379"/>
      <c r="TWM520" s="379"/>
      <c r="TWN520" s="379"/>
      <c r="TWO520" s="379"/>
      <c r="TWP520" s="379"/>
      <c r="TWQ520" s="13"/>
      <c r="TWR520" s="13"/>
      <c r="TWS520" s="193"/>
      <c r="TWT520" s="379"/>
      <c r="TWU520" s="379"/>
      <c r="TWV520" s="379"/>
      <c r="TWW520" s="379"/>
      <c r="TWX520" s="379"/>
      <c r="TWY520" s="13"/>
      <c r="TWZ520" s="13"/>
      <c r="TXA520" s="193"/>
      <c r="TXB520" s="379"/>
      <c r="TXC520" s="379"/>
      <c r="TXD520" s="379"/>
      <c r="TXE520" s="379"/>
      <c r="TXF520" s="379"/>
      <c r="TXG520" s="13"/>
      <c r="TXH520" s="13"/>
      <c r="TXI520" s="193"/>
      <c r="TXJ520" s="379"/>
      <c r="TXK520" s="379"/>
      <c r="TXL520" s="379"/>
      <c r="TXM520" s="379"/>
      <c r="TXN520" s="379"/>
      <c r="TXO520" s="13"/>
      <c r="TXP520" s="13"/>
      <c r="TXQ520" s="193"/>
      <c r="TXR520" s="379"/>
      <c r="TXS520" s="379"/>
      <c r="TXT520" s="379"/>
      <c r="TXU520" s="379"/>
      <c r="TXV520" s="379"/>
      <c r="TXW520" s="13"/>
      <c r="TXX520" s="13"/>
      <c r="TXY520" s="193"/>
      <c r="TXZ520" s="379"/>
      <c r="TYA520" s="379"/>
      <c r="TYB520" s="379"/>
      <c r="TYC520" s="379"/>
      <c r="TYD520" s="379"/>
      <c r="TYE520" s="13"/>
      <c r="TYF520" s="13"/>
      <c r="TYG520" s="193"/>
      <c r="TYH520" s="379"/>
      <c r="TYI520" s="379"/>
      <c r="TYJ520" s="379"/>
      <c r="TYK520" s="379"/>
      <c r="TYL520" s="379"/>
      <c r="TYM520" s="13"/>
      <c r="TYN520" s="13"/>
      <c r="TYO520" s="193"/>
      <c r="TYP520" s="379"/>
      <c r="TYQ520" s="379"/>
      <c r="TYR520" s="379"/>
      <c r="TYS520" s="379"/>
      <c r="TYT520" s="379"/>
      <c r="TYU520" s="13"/>
      <c r="TYV520" s="13"/>
      <c r="TYW520" s="193"/>
      <c r="TYX520" s="379"/>
      <c r="TYY520" s="379"/>
      <c r="TYZ520" s="379"/>
      <c r="TZA520" s="379"/>
      <c r="TZB520" s="379"/>
      <c r="TZC520" s="13"/>
      <c r="TZD520" s="13"/>
      <c r="TZE520" s="193"/>
      <c r="TZF520" s="379"/>
      <c r="TZG520" s="379"/>
      <c r="TZH520" s="379"/>
      <c r="TZI520" s="379"/>
      <c r="TZJ520" s="379"/>
      <c r="TZK520" s="13"/>
      <c r="TZL520" s="13"/>
      <c r="TZM520" s="193"/>
      <c r="TZN520" s="379"/>
      <c r="TZO520" s="379"/>
      <c r="TZP520" s="379"/>
      <c r="TZQ520" s="379"/>
      <c r="TZR520" s="379"/>
      <c r="TZS520" s="13"/>
      <c r="TZT520" s="13"/>
      <c r="TZU520" s="193"/>
      <c r="TZV520" s="379"/>
      <c r="TZW520" s="379"/>
      <c r="TZX520" s="379"/>
      <c r="TZY520" s="379"/>
      <c r="TZZ520" s="379"/>
      <c r="UAA520" s="13"/>
      <c r="UAB520" s="13"/>
      <c r="UAC520" s="193"/>
      <c r="UAD520" s="379"/>
      <c r="UAE520" s="379"/>
      <c r="UAF520" s="379"/>
      <c r="UAG520" s="379"/>
      <c r="UAH520" s="379"/>
      <c r="UAI520" s="13"/>
      <c r="UAJ520" s="13"/>
      <c r="UAK520" s="193"/>
      <c r="UAL520" s="379"/>
      <c r="UAM520" s="379"/>
      <c r="UAN520" s="379"/>
      <c r="UAO520" s="379"/>
      <c r="UAP520" s="379"/>
      <c r="UAQ520" s="13"/>
      <c r="UAR520" s="13"/>
      <c r="UAS520" s="193"/>
      <c r="UAT520" s="379"/>
      <c r="UAU520" s="379"/>
      <c r="UAV520" s="379"/>
      <c r="UAW520" s="379"/>
      <c r="UAX520" s="379"/>
      <c r="UAY520" s="13"/>
      <c r="UAZ520" s="13"/>
      <c r="UBA520" s="193"/>
      <c r="UBB520" s="379"/>
      <c r="UBC520" s="379"/>
      <c r="UBD520" s="379"/>
      <c r="UBE520" s="379"/>
      <c r="UBF520" s="379"/>
      <c r="UBG520" s="13"/>
      <c r="UBH520" s="13"/>
      <c r="UBI520" s="193"/>
      <c r="UBJ520" s="379"/>
      <c r="UBK520" s="379"/>
      <c r="UBL520" s="379"/>
      <c r="UBM520" s="379"/>
      <c r="UBN520" s="379"/>
      <c r="UBO520" s="13"/>
      <c r="UBP520" s="13"/>
      <c r="UBQ520" s="193"/>
      <c r="UBR520" s="379"/>
      <c r="UBS520" s="379"/>
      <c r="UBT520" s="379"/>
      <c r="UBU520" s="379"/>
      <c r="UBV520" s="379"/>
      <c r="UBW520" s="13"/>
      <c r="UBX520" s="13"/>
      <c r="UBY520" s="193"/>
      <c r="UBZ520" s="379"/>
      <c r="UCA520" s="379"/>
      <c r="UCB520" s="379"/>
      <c r="UCC520" s="379"/>
      <c r="UCD520" s="379"/>
      <c r="UCE520" s="13"/>
      <c r="UCF520" s="13"/>
      <c r="UCG520" s="193"/>
      <c r="UCH520" s="379"/>
      <c r="UCI520" s="379"/>
      <c r="UCJ520" s="379"/>
      <c r="UCK520" s="379"/>
      <c r="UCL520" s="379"/>
      <c r="UCM520" s="13"/>
      <c r="UCN520" s="13"/>
      <c r="UCO520" s="193"/>
      <c r="UCP520" s="379"/>
      <c r="UCQ520" s="379"/>
      <c r="UCR520" s="379"/>
      <c r="UCS520" s="379"/>
      <c r="UCT520" s="379"/>
      <c r="UCU520" s="13"/>
      <c r="UCV520" s="13"/>
      <c r="UCW520" s="193"/>
      <c r="UCX520" s="379"/>
      <c r="UCY520" s="379"/>
      <c r="UCZ520" s="379"/>
      <c r="UDA520" s="379"/>
      <c r="UDB520" s="379"/>
      <c r="UDC520" s="13"/>
      <c r="UDD520" s="13"/>
      <c r="UDE520" s="193"/>
      <c r="UDF520" s="379"/>
      <c r="UDG520" s="379"/>
      <c r="UDH520" s="379"/>
      <c r="UDI520" s="379"/>
      <c r="UDJ520" s="379"/>
      <c r="UDK520" s="13"/>
      <c r="UDL520" s="13"/>
      <c r="UDM520" s="193"/>
      <c r="UDN520" s="379"/>
      <c r="UDO520" s="379"/>
      <c r="UDP520" s="379"/>
      <c r="UDQ520" s="379"/>
      <c r="UDR520" s="379"/>
      <c r="UDS520" s="13"/>
      <c r="UDT520" s="13"/>
      <c r="UDU520" s="193"/>
      <c r="UDV520" s="379"/>
      <c r="UDW520" s="379"/>
      <c r="UDX520" s="379"/>
      <c r="UDY520" s="379"/>
      <c r="UDZ520" s="379"/>
      <c r="UEA520" s="13"/>
      <c r="UEB520" s="13"/>
      <c r="UEC520" s="193"/>
      <c r="UED520" s="379"/>
      <c r="UEE520" s="379"/>
      <c r="UEF520" s="379"/>
      <c r="UEG520" s="379"/>
      <c r="UEH520" s="379"/>
      <c r="UEI520" s="13"/>
      <c r="UEJ520" s="13"/>
      <c r="UEK520" s="193"/>
      <c r="UEL520" s="379"/>
      <c r="UEM520" s="379"/>
      <c r="UEN520" s="379"/>
      <c r="UEO520" s="379"/>
      <c r="UEP520" s="379"/>
      <c r="UEQ520" s="13"/>
      <c r="UER520" s="13"/>
      <c r="UES520" s="193"/>
      <c r="UET520" s="379"/>
      <c r="UEU520" s="379"/>
      <c r="UEV520" s="379"/>
      <c r="UEW520" s="379"/>
      <c r="UEX520" s="379"/>
      <c r="UEY520" s="13"/>
      <c r="UEZ520" s="13"/>
      <c r="UFA520" s="193"/>
      <c r="UFB520" s="379"/>
      <c r="UFC520" s="379"/>
      <c r="UFD520" s="379"/>
      <c r="UFE520" s="379"/>
      <c r="UFF520" s="379"/>
      <c r="UFG520" s="13"/>
      <c r="UFH520" s="13"/>
      <c r="UFI520" s="193"/>
      <c r="UFJ520" s="379"/>
      <c r="UFK520" s="379"/>
      <c r="UFL520" s="379"/>
      <c r="UFM520" s="379"/>
      <c r="UFN520" s="379"/>
      <c r="UFO520" s="13"/>
      <c r="UFP520" s="13"/>
      <c r="UFQ520" s="193"/>
      <c r="UFR520" s="379"/>
      <c r="UFS520" s="379"/>
      <c r="UFT520" s="379"/>
      <c r="UFU520" s="379"/>
      <c r="UFV520" s="379"/>
      <c r="UFW520" s="13"/>
      <c r="UFX520" s="13"/>
      <c r="UFY520" s="193"/>
      <c r="UFZ520" s="379"/>
      <c r="UGA520" s="379"/>
      <c r="UGB520" s="379"/>
      <c r="UGC520" s="379"/>
      <c r="UGD520" s="379"/>
      <c r="UGE520" s="13"/>
      <c r="UGF520" s="13"/>
      <c r="UGG520" s="193"/>
      <c r="UGH520" s="379"/>
      <c r="UGI520" s="379"/>
      <c r="UGJ520" s="379"/>
      <c r="UGK520" s="379"/>
      <c r="UGL520" s="379"/>
      <c r="UGM520" s="13"/>
      <c r="UGN520" s="13"/>
      <c r="UGO520" s="193"/>
      <c r="UGP520" s="379"/>
      <c r="UGQ520" s="379"/>
      <c r="UGR520" s="379"/>
      <c r="UGS520" s="379"/>
      <c r="UGT520" s="379"/>
      <c r="UGU520" s="13"/>
      <c r="UGV520" s="13"/>
      <c r="UGW520" s="193"/>
      <c r="UGX520" s="379"/>
      <c r="UGY520" s="379"/>
      <c r="UGZ520" s="379"/>
      <c r="UHA520" s="379"/>
      <c r="UHB520" s="379"/>
      <c r="UHC520" s="13"/>
      <c r="UHD520" s="13"/>
      <c r="UHE520" s="193"/>
      <c r="UHF520" s="379"/>
      <c r="UHG520" s="379"/>
      <c r="UHH520" s="379"/>
      <c r="UHI520" s="379"/>
      <c r="UHJ520" s="379"/>
      <c r="UHK520" s="13"/>
      <c r="UHL520" s="13"/>
      <c r="UHM520" s="193"/>
      <c r="UHN520" s="379"/>
      <c r="UHO520" s="379"/>
      <c r="UHP520" s="379"/>
      <c r="UHQ520" s="379"/>
      <c r="UHR520" s="379"/>
      <c r="UHS520" s="13"/>
      <c r="UHT520" s="13"/>
      <c r="UHU520" s="193"/>
      <c r="UHV520" s="379"/>
      <c r="UHW520" s="379"/>
      <c r="UHX520" s="379"/>
      <c r="UHY520" s="379"/>
      <c r="UHZ520" s="379"/>
      <c r="UIA520" s="13"/>
      <c r="UIB520" s="13"/>
      <c r="UIC520" s="193"/>
      <c r="UID520" s="379"/>
      <c r="UIE520" s="379"/>
      <c r="UIF520" s="379"/>
      <c r="UIG520" s="379"/>
      <c r="UIH520" s="379"/>
      <c r="UII520" s="13"/>
      <c r="UIJ520" s="13"/>
      <c r="UIK520" s="193"/>
      <c r="UIL520" s="379"/>
      <c r="UIM520" s="379"/>
      <c r="UIN520" s="379"/>
      <c r="UIO520" s="379"/>
      <c r="UIP520" s="379"/>
      <c r="UIQ520" s="13"/>
      <c r="UIR520" s="13"/>
      <c r="UIS520" s="193"/>
      <c r="UIT520" s="379"/>
      <c r="UIU520" s="379"/>
      <c r="UIV520" s="379"/>
      <c r="UIW520" s="379"/>
      <c r="UIX520" s="379"/>
      <c r="UIY520" s="13"/>
      <c r="UIZ520" s="13"/>
      <c r="UJA520" s="193"/>
      <c r="UJB520" s="379"/>
      <c r="UJC520" s="379"/>
      <c r="UJD520" s="379"/>
      <c r="UJE520" s="379"/>
      <c r="UJF520" s="379"/>
      <c r="UJG520" s="13"/>
      <c r="UJH520" s="13"/>
      <c r="UJI520" s="193"/>
      <c r="UJJ520" s="379"/>
      <c r="UJK520" s="379"/>
      <c r="UJL520" s="379"/>
      <c r="UJM520" s="379"/>
      <c r="UJN520" s="379"/>
      <c r="UJO520" s="13"/>
      <c r="UJP520" s="13"/>
      <c r="UJQ520" s="193"/>
      <c r="UJR520" s="379"/>
      <c r="UJS520" s="379"/>
      <c r="UJT520" s="379"/>
      <c r="UJU520" s="379"/>
      <c r="UJV520" s="379"/>
      <c r="UJW520" s="13"/>
      <c r="UJX520" s="13"/>
      <c r="UJY520" s="193"/>
      <c r="UJZ520" s="379"/>
      <c r="UKA520" s="379"/>
      <c r="UKB520" s="379"/>
      <c r="UKC520" s="379"/>
      <c r="UKD520" s="379"/>
      <c r="UKE520" s="13"/>
      <c r="UKF520" s="13"/>
      <c r="UKG520" s="193"/>
      <c r="UKH520" s="379"/>
      <c r="UKI520" s="379"/>
      <c r="UKJ520" s="379"/>
      <c r="UKK520" s="379"/>
      <c r="UKL520" s="379"/>
      <c r="UKM520" s="13"/>
      <c r="UKN520" s="13"/>
      <c r="UKO520" s="193"/>
      <c r="UKP520" s="379"/>
      <c r="UKQ520" s="379"/>
      <c r="UKR520" s="379"/>
      <c r="UKS520" s="379"/>
      <c r="UKT520" s="379"/>
      <c r="UKU520" s="13"/>
      <c r="UKV520" s="13"/>
      <c r="UKW520" s="193"/>
      <c r="UKX520" s="379"/>
      <c r="UKY520" s="379"/>
      <c r="UKZ520" s="379"/>
      <c r="ULA520" s="379"/>
      <c r="ULB520" s="379"/>
      <c r="ULC520" s="13"/>
      <c r="ULD520" s="13"/>
      <c r="ULE520" s="193"/>
      <c r="ULF520" s="379"/>
      <c r="ULG520" s="379"/>
      <c r="ULH520" s="379"/>
      <c r="ULI520" s="379"/>
      <c r="ULJ520" s="379"/>
      <c r="ULK520" s="13"/>
      <c r="ULL520" s="13"/>
      <c r="ULM520" s="193"/>
      <c r="ULN520" s="379"/>
      <c r="ULO520" s="379"/>
      <c r="ULP520" s="379"/>
      <c r="ULQ520" s="379"/>
      <c r="ULR520" s="379"/>
      <c r="ULS520" s="13"/>
      <c r="ULT520" s="13"/>
      <c r="ULU520" s="193"/>
      <c r="ULV520" s="379"/>
      <c r="ULW520" s="379"/>
      <c r="ULX520" s="379"/>
      <c r="ULY520" s="379"/>
      <c r="ULZ520" s="379"/>
      <c r="UMA520" s="13"/>
      <c r="UMB520" s="13"/>
      <c r="UMC520" s="193"/>
      <c r="UMD520" s="379"/>
      <c r="UME520" s="379"/>
      <c r="UMF520" s="379"/>
      <c r="UMG520" s="379"/>
      <c r="UMH520" s="379"/>
      <c r="UMI520" s="13"/>
      <c r="UMJ520" s="13"/>
      <c r="UMK520" s="193"/>
      <c r="UML520" s="379"/>
      <c r="UMM520" s="379"/>
      <c r="UMN520" s="379"/>
      <c r="UMO520" s="379"/>
      <c r="UMP520" s="379"/>
      <c r="UMQ520" s="13"/>
      <c r="UMR520" s="13"/>
      <c r="UMS520" s="193"/>
      <c r="UMT520" s="379"/>
      <c r="UMU520" s="379"/>
      <c r="UMV520" s="379"/>
      <c r="UMW520" s="379"/>
      <c r="UMX520" s="379"/>
      <c r="UMY520" s="13"/>
      <c r="UMZ520" s="13"/>
      <c r="UNA520" s="193"/>
      <c r="UNB520" s="379"/>
      <c r="UNC520" s="379"/>
      <c r="UND520" s="379"/>
      <c r="UNE520" s="379"/>
      <c r="UNF520" s="379"/>
      <c r="UNG520" s="13"/>
      <c r="UNH520" s="13"/>
      <c r="UNI520" s="193"/>
      <c r="UNJ520" s="379"/>
      <c r="UNK520" s="379"/>
      <c r="UNL520" s="379"/>
      <c r="UNM520" s="379"/>
      <c r="UNN520" s="379"/>
      <c r="UNO520" s="13"/>
      <c r="UNP520" s="13"/>
      <c r="UNQ520" s="193"/>
      <c r="UNR520" s="379"/>
      <c r="UNS520" s="379"/>
      <c r="UNT520" s="379"/>
      <c r="UNU520" s="379"/>
      <c r="UNV520" s="379"/>
      <c r="UNW520" s="13"/>
      <c r="UNX520" s="13"/>
      <c r="UNY520" s="193"/>
      <c r="UNZ520" s="379"/>
      <c r="UOA520" s="379"/>
      <c r="UOB520" s="379"/>
      <c r="UOC520" s="379"/>
      <c r="UOD520" s="379"/>
      <c r="UOE520" s="13"/>
      <c r="UOF520" s="13"/>
      <c r="UOG520" s="193"/>
      <c r="UOH520" s="379"/>
      <c r="UOI520" s="379"/>
      <c r="UOJ520" s="379"/>
      <c r="UOK520" s="379"/>
      <c r="UOL520" s="379"/>
      <c r="UOM520" s="13"/>
      <c r="UON520" s="13"/>
      <c r="UOO520" s="193"/>
      <c r="UOP520" s="379"/>
      <c r="UOQ520" s="379"/>
      <c r="UOR520" s="379"/>
      <c r="UOS520" s="379"/>
      <c r="UOT520" s="379"/>
      <c r="UOU520" s="13"/>
      <c r="UOV520" s="13"/>
      <c r="UOW520" s="193"/>
      <c r="UOX520" s="379"/>
      <c r="UOY520" s="379"/>
      <c r="UOZ520" s="379"/>
      <c r="UPA520" s="379"/>
      <c r="UPB520" s="379"/>
      <c r="UPC520" s="13"/>
      <c r="UPD520" s="13"/>
      <c r="UPE520" s="193"/>
      <c r="UPF520" s="379"/>
      <c r="UPG520" s="379"/>
      <c r="UPH520" s="379"/>
      <c r="UPI520" s="379"/>
      <c r="UPJ520" s="379"/>
      <c r="UPK520" s="13"/>
      <c r="UPL520" s="13"/>
      <c r="UPM520" s="193"/>
      <c r="UPN520" s="379"/>
      <c r="UPO520" s="379"/>
      <c r="UPP520" s="379"/>
      <c r="UPQ520" s="379"/>
      <c r="UPR520" s="379"/>
      <c r="UPS520" s="13"/>
      <c r="UPT520" s="13"/>
      <c r="UPU520" s="193"/>
      <c r="UPV520" s="379"/>
      <c r="UPW520" s="379"/>
      <c r="UPX520" s="379"/>
      <c r="UPY520" s="379"/>
      <c r="UPZ520" s="379"/>
      <c r="UQA520" s="13"/>
      <c r="UQB520" s="13"/>
      <c r="UQC520" s="193"/>
      <c r="UQD520" s="379"/>
      <c r="UQE520" s="379"/>
      <c r="UQF520" s="379"/>
      <c r="UQG520" s="379"/>
      <c r="UQH520" s="379"/>
      <c r="UQI520" s="13"/>
      <c r="UQJ520" s="13"/>
      <c r="UQK520" s="193"/>
      <c r="UQL520" s="379"/>
      <c r="UQM520" s="379"/>
      <c r="UQN520" s="379"/>
      <c r="UQO520" s="379"/>
      <c r="UQP520" s="379"/>
      <c r="UQQ520" s="13"/>
      <c r="UQR520" s="13"/>
      <c r="UQS520" s="193"/>
      <c r="UQT520" s="379"/>
      <c r="UQU520" s="379"/>
      <c r="UQV520" s="379"/>
      <c r="UQW520" s="379"/>
      <c r="UQX520" s="379"/>
      <c r="UQY520" s="13"/>
      <c r="UQZ520" s="13"/>
      <c r="URA520" s="193"/>
      <c r="URB520" s="379"/>
      <c r="URC520" s="379"/>
      <c r="URD520" s="379"/>
      <c r="URE520" s="379"/>
      <c r="URF520" s="379"/>
      <c r="URG520" s="13"/>
      <c r="URH520" s="13"/>
      <c r="URI520" s="193"/>
      <c r="URJ520" s="379"/>
      <c r="URK520" s="379"/>
      <c r="URL520" s="379"/>
      <c r="URM520" s="379"/>
      <c r="URN520" s="379"/>
      <c r="URO520" s="13"/>
      <c r="URP520" s="13"/>
      <c r="URQ520" s="193"/>
      <c r="URR520" s="379"/>
      <c r="URS520" s="379"/>
      <c r="URT520" s="379"/>
      <c r="URU520" s="379"/>
      <c r="URV520" s="379"/>
      <c r="URW520" s="13"/>
      <c r="URX520" s="13"/>
      <c r="URY520" s="193"/>
      <c r="URZ520" s="379"/>
      <c r="USA520" s="379"/>
      <c r="USB520" s="379"/>
      <c r="USC520" s="379"/>
      <c r="USD520" s="379"/>
      <c r="USE520" s="13"/>
      <c r="USF520" s="13"/>
      <c r="USG520" s="193"/>
      <c r="USH520" s="379"/>
      <c r="USI520" s="379"/>
      <c r="USJ520" s="379"/>
      <c r="USK520" s="379"/>
      <c r="USL520" s="379"/>
      <c r="USM520" s="13"/>
      <c r="USN520" s="13"/>
      <c r="USO520" s="193"/>
      <c r="USP520" s="379"/>
      <c r="USQ520" s="379"/>
      <c r="USR520" s="379"/>
      <c r="USS520" s="379"/>
      <c r="UST520" s="379"/>
      <c r="USU520" s="13"/>
      <c r="USV520" s="13"/>
      <c r="USW520" s="193"/>
      <c r="USX520" s="379"/>
      <c r="USY520" s="379"/>
      <c r="USZ520" s="379"/>
      <c r="UTA520" s="379"/>
      <c r="UTB520" s="379"/>
      <c r="UTC520" s="13"/>
      <c r="UTD520" s="13"/>
      <c r="UTE520" s="193"/>
      <c r="UTF520" s="379"/>
      <c r="UTG520" s="379"/>
      <c r="UTH520" s="379"/>
      <c r="UTI520" s="379"/>
      <c r="UTJ520" s="379"/>
      <c r="UTK520" s="13"/>
      <c r="UTL520" s="13"/>
      <c r="UTM520" s="193"/>
      <c r="UTN520" s="379"/>
      <c r="UTO520" s="379"/>
      <c r="UTP520" s="379"/>
      <c r="UTQ520" s="379"/>
      <c r="UTR520" s="379"/>
      <c r="UTS520" s="13"/>
      <c r="UTT520" s="13"/>
      <c r="UTU520" s="193"/>
      <c r="UTV520" s="379"/>
      <c r="UTW520" s="379"/>
      <c r="UTX520" s="379"/>
      <c r="UTY520" s="379"/>
      <c r="UTZ520" s="379"/>
      <c r="UUA520" s="13"/>
      <c r="UUB520" s="13"/>
      <c r="UUC520" s="193"/>
      <c r="UUD520" s="379"/>
      <c r="UUE520" s="379"/>
      <c r="UUF520" s="379"/>
      <c r="UUG520" s="379"/>
      <c r="UUH520" s="379"/>
      <c r="UUI520" s="13"/>
      <c r="UUJ520" s="13"/>
      <c r="UUK520" s="193"/>
      <c r="UUL520" s="379"/>
      <c r="UUM520" s="379"/>
      <c r="UUN520" s="379"/>
      <c r="UUO520" s="379"/>
      <c r="UUP520" s="379"/>
      <c r="UUQ520" s="13"/>
      <c r="UUR520" s="13"/>
      <c r="UUS520" s="193"/>
      <c r="UUT520" s="379"/>
      <c r="UUU520" s="379"/>
      <c r="UUV520" s="379"/>
      <c r="UUW520" s="379"/>
      <c r="UUX520" s="379"/>
      <c r="UUY520" s="13"/>
      <c r="UUZ520" s="13"/>
      <c r="UVA520" s="193"/>
      <c r="UVB520" s="379"/>
      <c r="UVC520" s="379"/>
      <c r="UVD520" s="379"/>
      <c r="UVE520" s="379"/>
      <c r="UVF520" s="379"/>
      <c r="UVG520" s="13"/>
      <c r="UVH520" s="13"/>
      <c r="UVI520" s="193"/>
      <c r="UVJ520" s="379"/>
      <c r="UVK520" s="379"/>
      <c r="UVL520" s="379"/>
      <c r="UVM520" s="379"/>
      <c r="UVN520" s="379"/>
      <c r="UVO520" s="13"/>
      <c r="UVP520" s="13"/>
      <c r="UVQ520" s="193"/>
      <c r="UVR520" s="379"/>
      <c r="UVS520" s="379"/>
      <c r="UVT520" s="379"/>
      <c r="UVU520" s="379"/>
      <c r="UVV520" s="379"/>
      <c r="UVW520" s="13"/>
      <c r="UVX520" s="13"/>
      <c r="UVY520" s="193"/>
      <c r="UVZ520" s="379"/>
      <c r="UWA520" s="379"/>
      <c r="UWB520" s="379"/>
      <c r="UWC520" s="379"/>
      <c r="UWD520" s="379"/>
      <c r="UWE520" s="13"/>
      <c r="UWF520" s="13"/>
      <c r="UWG520" s="193"/>
      <c r="UWH520" s="379"/>
      <c r="UWI520" s="379"/>
      <c r="UWJ520" s="379"/>
      <c r="UWK520" s="379"/>
      <c r="UWL520" s="379"/>
      <c r="UWM520" s="13"/>
      <c r="UWN520" s="13"/>
      <c r="UWO520" s="193"/>
      <c r="UWP520" s="379"/>
      <c r="UWQ520" s="379"/>
      <c r="UWR520" s="379"/>
      <c r="UWS520" s="379"/>
      <c r="UWT520" s="379"/>
      <c r="UWU520" s="13"/>
      <c r="UWV520" s="13"/>
      <c r="UWW520" s="193"/>
      <c r="UWX520" s="379"/>
      <c r="UWY520" s="379"/>
      <c r="UWZ520" s="379"/>
      <c r="UXA520" s="379"/>
      <c r="UXB520" s="379"/>
      <c r="UXC520" s="13"/>
      <c r="UXD520" s="13"/>
      <c r="UXE520" s="193"/>
      <c r="UXF520" s="379"/>
      <c r="UXG520" s="379"/>
      <c r="UXH520" s="379"/>
      <c r="UXI520" s="379"/>
      <c r="UXJ520" s="379"/>
      <c r="UXK520" s="13"/>
      <c r="UXL520" s="13"/>
      <c r="UXM520" s="193"/>
      <c r="UXN520" s="379"/>
      <c r="UXO520" s="379"/>
      <c r="UXP520" s="379"/>
      <c r="UXQ520" s="379"/>
      <c r="UXR520" s="379"/>
      <c r="UXS520" s="13"/>
      <c r="UXT520" s="13"/>
      <c r="UXU520" s="193"/>
      <c r="UXV520" s="379"/>
      <c r="UXW520" s="379"/>
      <c r="UXX520" s="379"/>
      <c r="UXY520" s="379"/>
      <c r="UXZ520" s="379"/>
      <c r="UYA520" s="13"/>
      <c r="UYB520" s="13"/>
      <c r="UYC520" s="193"/>
      <c r="UYD520" s="379"/>
      <c r="UYE520" s="379"/>
      <c r="UYF520" s="379"/>
      <c r="UYG520" s="379"/>
      <c r="UYH520" s="379"/>
      <c r="UYI520" s="13"/>
      <c r="UYJ520" s="13"/>
      <c r="UYK520" s="193"/>
      <c r="UYL520" s="379"/>
      <c r="UYM520" s="379"/>
      <c r="UYN520" s="379"/>
      <c r="UYO520" s="379"/>
      <c r="UYP520" s="379"/>
      <c r="UYQ520" s="13"/>
      <c r="UYR520" s="13"/>
      <c r="UYS520" s="193"/>
      <c r="UYT520" s="379"/>
      <c r="UYU520" s="379"/>
      <c r="UYV520" s="379"/>
      <c r="UYW520" s="379"/>
      <c r="UYX520" s="379"/>
      <c r="UYY520" s="13"/>
      <c r="UYZ520" s="13"/>
      <c r="UZA520" s="193"/>
      <c r="UZB520" s="379"/>
      <c r="UZC520" s="379"/>
      <c r="UZD520" s="379"/>
      <c r="UZE520" s="379"/>
      <c r="UZF520" s="379"/>
      <c r="UZG520" s="13"/>
      <c r="UZH520" s="13"/>
      <c r="UZI520" s="193"/>
      <c r="UZJ520" s="379"/>
      <c r="UZK520" s="379"/>
      <c r="UZL520" s="379"/>
      <c r="UZM520" s="379"/>
      <c r="UZN520" s="379"/>
      <c r="UZO520" s="13"/>
      <c r="UZP520" s="13"/>
      <c r="UZQ520" s="193"/>
      <c r="UZR520" s="379"/>
      <c r="UZS520" s="379"/>
      <c r="UZT520" s="379"/>
      <c r="UZU520" s="379"/>
      <c r="UZV520" s="379"/>
      <c r="UZW520" s="13"/>
      <c r="UZX520" s="13"/>
      <c r="UZY520" s="193"/>
      <c r="UZZ520" s="379"/>
      <c r="VAA520" s="379"/>
      <c r="VAB520" s="379"/>
      <c r="VAC520" s="379"/>
      <c r="VAD520" s="379"/>
      <c r="VAE520" s="13"/>
      <c r="VAF520" s="13"/>
      <c r="VAG520" s="193"/>
      <c r="VAH520" s="379"/>
      <c r="VAI520" s="379"/>
      <c r="VAJ520" s="379"/>
      <c r="VAK520" s="379"/>
      <c r="VAL520" s="379"/>
      <c r="VAM520" s="13"/>
      <c r="VAN520" s="13"/>
      <c r="VAO520" s="193"/>
      <c r="VAP520" s="379"/>
      <c r="VAQ520" s="379"/>
      <c r="VAR520" s="379"/>
      <c r="VAS520" s="379"/>
      <c r="VAT520" s="379"/>
      <c r="VAU520" s="13"/>
      <c r="VAV520" s="13"/>
      <c r="VAW520" s="193"/>
      <c r="VAX520" s="379"/>
      <c r="VAY520" s="379"/>
      <c r="VAZ520" s="379"/>
      <c r="VBA520" s="379"/>
      <c r="VBB520" s="379"/>
      <c r="VBC520" s="13"/>
      <c r="VBD520" s="13"/>
      <c r="VBE520" s="193"/>
      <c r="VBF520" s="379"/>
      <c r="VBG520" s="379"/>
      <c r="VBH520" s="379"/>
      <c r="VBI520" s="379"/>
      <c r="VBJ520" s="379"/>
      <c r="VBK520" s="13"/>
      <c r="VBL520" s="13"/>
      <c r="VBM520" s="193"/>
      <c r="VBN520" s="379"/>
      <c r="VBO520" s="379"/>
      <c r="VBP520" s="379"/>
      <c r="VBQ520" s="379"/>
      <c r="VBR520" s="379"/>
      <c r="VBS520" s="13"/>
      <c r="VBT520" s="13"/>
      <c r="VBU520" s="193"/>
      <c r="VBV520" s="379"/>
      <c r="VBW520" s="379"/>
      <c r="VBX520" s="379"/>
      <c r="VBY520" s="379"/>
      <c r="VBZ520" s="379"/>
      <c r="VCA520" s="13"/>
      <c r="VCB520" s="13"/>
      <c r="VCC520" s="193"/>
      <c r="VCD520" s="379"/>
      <c r="VCE520" s="379"/>
      <c r="VCF520" s="379"/>
      <c r="VCG520" s="379"/>
      <c r="VCH520" s="379"/>
      <c r="VCI520" s="13"/>
      <c r="VCJ520" s="13"/>
      <c r="VCK520" s="193"/>
      <c r="VCL520" s="379"/>
      <c r="VCM520" s="379"/>
      <c r="VCN520" s="379"/>
      <c r="VCO520" s="379"/>
      <c r="VCP520" s="379"/>
      <c r="VCQ520" s="13"/>
      <c r="VCR520" s="13"/>
      <c r="VCS520" s="193"/>
      <c r="VCT520" s="379"/>
      <c r="VCU520" s="379"/>
      <c r="VCV520" s="379"/>
      <c r="VCW520" s="379"/>
      <c r="VCX520" s="379"/>
      <c r="VCY520" s="13"/>
      <c r="VCZ520" s="13"/>
      <c r="VDA520" s="193"/>
      <c r="VDB520" s="379"/>
      <c r="VDC520" s="379"/>
      <c r="VDD520" s="379"/>
      <c r="VDE520" s="379"/>
      <c r="VDF520" s="379"/>
      <c r="VDG520" s="13"/>
      <c r="VDH520" s="13"/>
      <c r="VDI520" s="193"/>
      <c r="VDJ520" s="379"/>
      <c r="VDK520" s="379"/>
      <c r="VDL520" s="379"/>
      <c r="VDM520" s="379"/>
      <c r="VDN520" s="379"/>
      <c r="VDO520" s="13"/>
      <c r="VDP520" s="13"/>
      <c r="VDQ520" s="193"/>
      <c r="VDR520" s="379"/>
      <c r="VDS520" s="379"/>
      <c r="VDT520" s="379"/>
      <c r="VDU520" s="379"/>
      <c r="VDV520" s="379"/>
      <c r="VDW520" s="13"/>
      <c r="VDX520" s="13"/>
      <c r="VDY520" s="193"/>
      <c r="VDZ520" s="379"/>
      <c r="VEA520" s="379"/>
      <c r="VEB520" s="379"/>
      <c r="VEC520" s="379"/>
      <c r="VED520" s="379"/>
      <c r="VEE520" s="13"/>
      <c r="VEF520" s="13"/>
      <c r="VEG520" s="193"/>
      <c r="VEH520" s="379"/>
      <c r="VEI520" s="379"/>
      <c r="VEJ520" s="379"/>
      <c r="VEK520" s="379"/>
      <c r="VEL520" s="379"/>
      <c r="VEM520" s="13"/>
      <c r="VEN520" s="13"/>
      <c r="VEO520" s="193"/>
      <c r="VEP520" s="379"/>
      <c r="VEQ520" s="379"/>
      <c r="VER520" s="379"/>
      <c r="VES520" s="379"/>
      <c r="VET520" s="379"/>
      <c r="VEU520" s="13"/>
      <c r="VEV520" s="13"/>
      <c r="VEW520" s="193"/>
      <c r="VEX520" s="379"/>
      <c r="VEY520" s="379"/>
      <c r="VEZ520" s="379"/>
      <c r="VFA520" s="379"/>
      <c r="VFB520" s="379"/>
      <c r="VFC520" s="13"/>
      <c r="VFD520" s="13"/>
      <c r="VFE520" s="193"/>
      <c r="VFF520" s="379"/>
      <c r="VFG520" s="379"/>
      <c r="VFH520" s="379"/>
      <c r="VFI520" s="379"/>
      <c r="VFJ520" s="379"/>
      <c r="VFK520" s="13"/>
      <c r="VFL520" s="13"/>
      <c r="VFM520" s="193"/>
      <c r="VFN520" s="379"/>
      <c r="VFO520" s="379"/>
      <c r="VFP520" s="379"/>
      <c r="VFQ520" s="379"/>
      <c r="VFR520" s="379"/>
      <c r="VFS520" s="13"/>
      <c r="VFT520" s="13"/>
      <c r="VFU520" s="193"/>
      <c r="VFV520" s="379"/>
      <c r="VFW520" s="379"/>
      <c r="VFX520" s="379"/>
      <c r="VFY520" s="379"/>
      <c r="VFZ520" s="379"/>
      <c r="VGA520" s="13"/>
      <c r="VGB520" s="13"/>
      <c r="VGC520" s="193"/>
      <c r="VGD520" s="379"/>
      <c r="VGE520" s="379"/>
      <c r="VGF520" s="379"/>
      <c r="VGG520" s="379"/>
      <c r="VGH520" s="379"/>
      <c r="VGI520" s="13"/>
      <c r="VGJ520" s="13"/>
      <c r="VGK520" s="193"/>
      <c r="VGL520" s="379"/>
      <c r="VGM520" s="379"/>
      <c r="VGN520" s="379"/>
      <c r="VGO520" s="379"/>
      <c r="VGP520" s="379"/>
      <c r="VGQ520" s="13"/>
      <c r="VGR520" s="13"/>
      <c r="VGS520" s="193"/>
      <c r="VGT520" s="379"/>
      <c r="VGU520" s="379"/>
      <c r="VGV520" s="379"/>
      <c r="VGW520" s="379"/>
      <c r="VGX520" s="379"/>
      <c r="VGY520" s="13"/>
      <c r="VGZ520" s="13"/>
      <c r="VHA520" s="193"/>
      <c r="VHB520" s="379"/>
      <c r="VHC520" s="379"/>
      <c r="VHD520" s="379"/>
      <c r="VHE520" s="379"/>
      <c r="VHF520" s="379"/>
      <c r="VHG520" s="13"/>
      <c r="VHH520" s="13"/>
      <c r="VHI520" s="193"/>
      <c r="VHJ520" s="379"/>
      <c r="VHK520" s="379"/>
      <c r="VHL520" s="379"/>
      <c r="VHM520" s="379"/>
      <c r="VHN520" s="379"/>
      <c r="VHO520" s="13"/>
      <c r="VHP520" s="13"/>
      <c r="VHQ520" s="193"/>
      <c r="VHR520" s="379"/>
      <c r="VHS520" s="379"/>
      <c r="VHT520" s="379"/>
      <c r="VHU520" s="379"/>
      <c r="VHV520" s="379"/>
      <c r="VHW520" s="13"/>
      <c r="VHX520" s="13"/>
      <c r="VHY520" s="193"/>
      <c r="VHZ520" s="379"/>
      <c r="VIA520" s="379"/>
      <c r="VIB520" s="379"/>
      <c r="VIC520" s="379"/>
      <c r="VID520" s="379"/>
      <c r="VIE520" s="13"/>
      <c r="VIF520" s="13"/>
      <c r="VIG520" s="193"/>
      <c r="VIH520" s="379"/>
      <c r="VII520" s="379"/>
      <c r="VIJ520" s="379"/>
      <c r="VIK520" s="379"/>
      <c r="VIL520" s="379"/>
      <c r="VIM520" s="13"/>
      <c r="VIN520" s="13"/>
      <c r="VIO520" s="193"/>
      <c r="VIP520" s="379"/>
      <c r="VIQ520" s="379"/>
      <c r="VIR520" s="379"/>
      <c r="VIS520" s="379"/>
      <c r="VIT520" s="379"/>
      <c r="VIU520" s="13"/>
      <c r="VIV520" s="13"/>
      <c r="VIW520" s="193"/>
      <c r="VIX520" s="379"/>
      <c r="VIY520" s="379"/>
      <c r="VIZ520" s="379"/>
      <c r="VJA520" s="379"/>
      <c r="VJB520" s="379"/>
      <c r="VJC520" s="13"/>
      <c r="VJD520" s="13"/>
      <c r="VJE520" s="193"/>
      <c r="VJF520" s="379"/>
      <c r="VJG520" s="379"/>
      <c r="VJH520" s="379"/>
      <c r="VJI520" s="379"/>
      <c r="VJJ520" s="379"/>
      <c r="VJK520" s="13"/>
      <c r="VJL520" s="13"/>
      <c r="VJM520" s="193"/>
      <c r="VJN520" s="379"/>
      <c r="VJO520" s="379"/>
      <c r="VJP520" s="379"/>
      <c r="VJQ520" s="379"/>
      <c r="VJR520" s="379"/>
      <c r="VJS520" s="13"/>
      <c r="VJT520" s="13"/>
      <c r="VJU520" s="193"/>
      <c r="VJV520" s="379"/>
      <c r="VJW520" s="379"/>
      <c r="VJX520" s="379"/>
      <c r="VJY520" s="379"/>
      <c r="VJZ520" s="379"/>
      <c r="VKA520" s="13"/>
      <c r="VKB520" s="13"/>
      <c r="VKC520" s="193"/>
      <c r="VKD520" s="379"/>
      <c r="VKE520" s="379"/>
      <c r="VKF520" s="379"/>
      <c r="VKG520" s="379"/>
      <c r="VKH520" s="379"/>
      <c r="VKI520" s="13"/>
      <c r="VKJ520" s="13"/>
      <c r="VKK520" s="193"/>
      <c r="VKL520" s="379"/>
      <c r="VKM520" s="379"/>
      <c r="VKN520" s="379"/>
      <c r="VKO520" s="379"/>
      <c r="VKP520" s="379"/>
      <c r="VKQ520" s="13"/>
      <c r="VKR520" s="13"/>
      <c r="VKS520" s="193"/>
      <c r="VKT520" s="379"/>
      <c r="VKU520" s="379"/>
      <c r="VKV520" s="379"/>
      <c r="VKW520" s="379"/>
      <c r="VKX520" s="379"/>
      <c r="VKY520" s="13"/>
      <c r="VKZ520" s="13"/>
      <c r="VLA520" s="193"/>
      <c r="VLB520" s="379"/>
      <c r="VLC520" s="379"/>
      <c r="VLD520" s="379"/>
      <c r="VLE520" s="379"/>
      <c r="VLF520" s="379"/>
      <c r="VLG520" s="13"/>
      <c r="VLH520" s="13"/>
      <c r="VLI520" s="193"/>
      <c r="VLJ520" s="379"/>
      <c r="VLK520" s="379"/>
      <c r="VLL520" s="379"/>
      <c r="VLM520" s="379"/>
      <c r="VLN520" s="379"/>
      <c r="VLO520" s="13"/>
      <c r="VLP520" s="13"/>
      <c r="VLQ520" s="193"/>
      <c r="VLR520" s="379"/>
      <c r="VLS520" s="379"/>
      <c r="VLT520" s="379"/>
      <c r="VLU520" s="379"/>
      <c r="VLV520" s="379"/>
      <c r="VLW520" s="13"/>
      <c r="VLX520" s="13"/>
      <c r="VLY520" s="193"/>
      <c r="VLZ520" s="379"/>
      <c r="VMA520" s="379"/>
      <c r="VMB520" s="379"/>
      <c r="VMC520" s="379"/>
      <c r="VMD520" s="379"/>
      <c r="VME520" s="13"/>
      <c r="VMF520" s="13"/>
      <c r="VMG520" s="193"/>
      <c r="VMH520" s="379"/>
      <c r="VMI520" s="379"/>
      <c r="VMJ520" s="379"/>
      <c r="VMK520" s="379"/>
      <c r="VML520" s="379"/>
      <c r="VMM520" s="13"/>
      <c r="VMN520" s="13"/>
      <c r="VMO520" s="193"/>
      <c r="VMP520" s="379"/>
      <c r="VMQ520" s="379"/>
      <c r="VMR520" s="379"/>
      <c r="VMS520" s="379"/>
      <c r="VMT520" s="379"/>
      <c r="VMU520" s="13"/>
      <c r="VMV520" s="13"/>
      <c r="VMW520" s="193"/>
      <c r="VMX520" s="379"/>
      <c r="VMY520" s="379"/>
      <c r="VMZ520" s="379"/>
      <c r="VNA520" s="379"/>
      <c r="VNB520" s="379"/>
      <c r="VNC520" s="13"/>
      <c r="VND520" s="13"/>
      <c r="VNE520" s="193"/>
      <c r="VNF520" s="379"/>
      <c r="VNG520" s="379"/>
      <c r="VNH520" s="379"/>
      <c r="VNI520" s="379"/>
      <c r="VNJ520" s="379"/>
      <c r="VNK520" s="13"/>
      <c r="VNL520" s="13"/>
      <c r="VNM520" s="193"/>
      <c r="VNN520" s="379"/>
      <c r="VNO520" s="379"/>
      <c r="VNP520" s="379"/>
      <c r="VNQ520" s="379"/>
      <c r="VNR520" s="379"/>
      <c r="VNS520" s="13"/>
      <c r="VNT520" s="13"/>
      <c r="VNU520" s="193"/>
      <c r="VNV520" s="379"/>
      <c r="VNW520" s="379"/>
      <c r="VNX520" s="379"/>
      <c r="VNY520" s="379"/>
      <c r="VNZ520" s="379"/>
      <c r="VOA520" s="13"/>
      <c r="VOB520" s="13"/>
      <c r="VOC520" s="193"/>
      <c r="VOD520" s="379"/>
      <c r="VOE520" s="379"/>
      <c r="VOF520" s="379"/>
      <c r="VOG520" s="379"/>
      <c r="VOH520" s="379"/>
      <c r="VOI520" s="13"/>
      <c r="VOJ520" s="13"/>
      <c r="VOK520" s="193"/>
      <c r="VOL520" s="379"/>
      <c r="VOM520" s="379"/>
      <c r="VON520" s="379"/>
      <c r="VOO520" s="379"/>
      <c r="VOP520" s="379"/>
      <c r="VOQ520" s="13"/>
      <c r="VOR520" s="13"/>
      <c r="VOS520" s="193"/>
      <c r="VOT520" s="379"/>
      <c r="VOU520" s="379"/>
      <c r="VOV520" s="379"/>
      <c r="VOW520" s="379"/>
      <c r="VOX520" s="379"/>
      <c r="VOY520" s="13"/>
      <c r="VOZ520" s="13"/>
      <c r="VPA520" s="193"/>
      <c r="VPB520" s="379"/>
      <c r="VPC520" s="379"/>
      <c r="VPD520" s="379"/>
      <c r="VPE520" s="379"/>
      <c r="VPF520" s="379"/>
      <c r="VPG520" s="13"/>
      <c r="VPH520" s="13"/>
      <c r="VPI520" s="193"/>
      <c r="VPJ520" s="379"/>
      <c r="VPK520" s="379"/>
      <c r="VPL520" s="379"/>
      <c r="VPM520" s="379"/>
      <c r="VPN520" s="379"/>
      <c r="VPO520" s="13"/>
      <c r="VPP520" s="13"/>
      <c r="VPQ520" s="193"/>
      <c r="VPR520" s="379"/>
      <c r="VPS520" s="379"/>
      <c r="VPT520" s="379"/>
      <c r="VPU520" s="379"/>
      <c r="VPV520" s="379"/>
      <c r="VPW520" s="13"/>
      <c r="VPX520" s="13"/>
      <c r="VPY520" s="193"/>
      <c r="VPZ520" s="379"/>
      <c r="VQA520" s="379"/>
      <c r="VQB520" s="379"/>
      <c r="VQC520" s="379"/>
      <c r="VQD520" s="379"/>
      <c r="VQE520" s="13"/>
      <c r="VQF520" s="13"/>
      <c r="VQG520" s="193"/>
      <c r="VQH520" s="379"/>
      <c r="VQI520" s="379"/>
      <c r="VQJ520" s="379"/>
      <c r="VQK520" s="379"/>
      <c r="VQL520" s="379"/>
      <c r="VQM520" s="13"/>
      <c r="VQN520" s="13"/>
      <c r="VQO520" s="193"/>
      <c r="VQP520" s="379"/>
      <c r="VQQ520" s="379"/>
      <c r="VQR520" s="379"/>
      <c r="VQS520" s="379"/>
      <c r="VQT520" s="379"/>
      <c r="VQU520" s="13"/>
      <c r="VQV520" s="13"/>
      <c r="VQW520" s="193"/>
      <c r="VQX520" s="379"/>
      <c r="VQY520" s="379"/>
      <c r="VQZ520" s="379"/>
      <c r="VRA520" s="379"/>
      <c r="VRB520" s="379"/>
      <c r="VRC520" s="13"/>
      <c r="VRD520" s="13"/>
      <c r="VRE520" s="193"/>
      <c r="VRF520" s="379"/>
      <c r="VRG520" s="379"/>
      <c r="VRH520" s="379"/>
      <c r="VRI520" s="379"/>
      <c r="VRJ520" s="379"/>
      <c r="VRK520" s="13"/>
      <c r="VRL520" s="13"/>
      <c r="VRM520" s="193"/>
      <c r="VRN520" s="379"/>
      <c r="VRO520" s="379"/>
      <c r="VRP520" s="379"/>
      <c r="VRQ520" s="379"/>
      <c r="VRR520" s="379"/>
      <c r="VRS520" s="13"/>
      <c r="VRT520" s="13"/>
      <c r="VRU520" s="193"/>
      <c r="VRV520" s="379"/>
      <c r="VRW520" s="379"/>
      <c r="VRX520" s="379"/>
      <c r="VRY520" s="379"/>
      <c r="VRZ520" s="379"/>
      <c r="VSA520" s="13"/>
      <c r="VSB520" s="13"/>
      <c r="VSC520" s="193"/>
      <c r="VSD520" s="379"/>
      <c r="VSE520" s="379"/>
      <c r="VSF520" s="379"/>
      <c r="VSG520" s="379"/>
      <c r="VSH520" s="379"/>
      <c r="VSI520" s="13"/>
      <c r="VSJ520" s="13"/>
      <c r="VSK520" s="193"/>
      <c r="VSL520" s="379"/>
      <c r="VSM520" s="379"/>
      <c r="VSN520" s="379"/>
      <c r="VSO520" s="379"/>
      <c r="VSP520" s="379"/>
      <c r="VSQ520" s="13"/>
      <c r="VSR520" s="13"/>
      <c r="VSS520" s="193"/>
      <c r="VST520" s="379"/>
      <c r="VSU520" s="379"/>
      <c r="VSV520" s="379"/>
      <c r="VSW520" s="379"/>
      <c r="VSX520" s="379"/>
      <c r="VSY520" s="13"/>
      <c r="VSZ520" s="13"/>
      <c r="VTA520" s="193"/>
      <c r="VTB520" s="379"/>
      <c r="VTC520" s="379"/>
      <c r="VTD520" s="379"/>
      <c r="VTE520" s="379"/>
      <c r="VTF520" s="379"/>
      <c r="VTG520" s="13"/>
      <c r="VTH520" s="13"/>
      <c r="VTI520" s="193"/>
      <c r="VTJ520" s="379"/>
      <c r="VTK520" s="379"/>
      <c r="VTL520" s="379"/>
      <c r="VTM520" s="379"/>
      <c r="VTN520" s="379"/>
      <c r="VTO520" s="13"/>
      <c r="VTP520" s="13"/>
      <c r="VTQ520" s="193"/>
      <c r="VTR520" s="379"/>
      <c r="VTS520" s="379"/>
      <c r="VTT520" s="379"/>
      <c r="VTU520" s="379"/>
      <c r="VTV520" s="379"/>
      <c r="VTW520" s="13"/>
      <c r="VTX520" s="13"/>
      <c r="VTY520" s="193"/>
      <c r="VTZ520" s="379"/>
      <c r="VUA520" s="379"/>
      <c r="VUB520" s="379"/>
      <c r="VUC520" s="379"/>
      <c r="VUD520" s="379"/>
      <c r="VUE520" s="13"/>
      <c r="VUF520" s="13"/>
      <c r="VUG520" s="193"/>
      <c r="VUH520" s="379"/>
      <c r="VUI520" s="379"/>
      <c r="VUJ520" s="379"/>
      <c r="VUK520" s="379"/>
      <c r="VUL520" s="379"/>
      <c r="VUM520" s="13"/>
      <c r="VUN520" s="13"/>
      <c r="VUO520" s="193"/>
      <c r="VUP520" s="379"/>
      <c r="VUQ520" s="379"/>
      <c r="VUR520" s="379"/>
      <c r="VUS520" s="379"/>
      <c r="VUT520" s="379"/>
      <c r="VUU520" s="13"/>
      <c r="VUV520" s="13"/>
      <c r="VUW520" s="193"/>
      <c r="VUX520" s="379"/>
      <c r="VUY520" s="379"/>
      <c r="VUZ520" s="379"/>
      <c r="VVA520" s="379"/>
      <c r="VVB520" s="379"/>
      <c r="VVC520" s="13"/>
      <c r="VVD520" s="13"/>
      <c r="VVE520" s="193"/>
      <c r="VVF520" s="379"/>
      <c r="VVG520" s="379"/>
      <c r="VVH520" s="379"/>
      <c r="VVI520" s="379"/>
      <c r="VVJ520" s="379"/>
      <c r="VVK520" s="13"/>
      <c r="VVL520" s="13"/>
      <c r="VVM520" s="193"/>
      <c r="VVN520" s="379"/>
      <c r="VVO520" s="379"/>
      <c r="VVP520" s="379"/>
      <c r="VVQ520" s="379"/>
      <c r="VVR520" s="379"/>
      <c r="VVS520" s="13"/>
      <c r="VVT520" s="13"/>
      <c r="VVU520" s="193"/>
      <c r="VVV520" s="379"/>
      <c r="VVW520" s="379"/>
      <c r="VVX520" s="379"/>
      <c r="VVY520" s="379"/>
      <c r="VVZ520" s="379"/>
      <c r="VWA520" s="13"/>
      <c r="VWB520" s="13"/>
      <c r="VWC520" s="193"/>
      <c r="VWD520" s="379"/>
      <c r="VWE520" s="379"/>
      <c r="VWF520" s="379"/>
      <c r="VWG520" s="379"/>
      <c r="VWH520" s="379"/>
      <c r="VWI520" s="13"/>
      <c r="VWJ520" s="13"/>
      <c r="VWK520" s="193"/>
      <c r="VWL520" s="379"/>
      <c r="VWM520" s="379"/>
      <c r="VWN520" s="379"/>
      <c r="VWO520" s="379"/>
      <c r="VWP520" s="379"/>
      <c r="VWQ520" s="13"/>
      <c r="VWR520" s="13"/>
      <c r="VWS520" s="193"/>
      <c r="VWT520" s="379"/>
      <c r="VWU520" s="379"/>
      <c r="VWV520" s="379"/>
      <c r="VWW520" s="379"/>
      <c r="VWX520" s="379"/>
      <c r="VWY520" s="13"/>
      <c r="VWZ520" s="13"/>
      <c r="VXA520" s="193"/>
      <c r="VXB520" s="379"/>
      <c r="VXC520" s="379"/>
      <c r="VXD520" s="379"/>
      <c r="VXE520" s="379"/>
      <c r="VXF520" s="379"/>
      <c r="VXG520" s="13"/>
      <c r="VXH520" s="13"/>
      <c r="VXI520" s="193"/>
      <c r="VXJ520" s="379"/>
      <c r="VXK520" s="379"/>
      <c r="VXL520" s="379"/>
      <c r="VXM520" s="379"/>
      <c r="VXN520" s="379"/>
      <c r="VXO520" s="13"/>
      <c r="VXP520" s="13"/>
      <c r="VXQ520" s="193"/>
      <c r="VXR520" s="379"/>
      <c r="VXS520" s="379"/>
      <c r="VXT520" s="379"/>
      <c r="VXU520" s="379"/>
      <c r="VXV520" s="379"/>
      <c r="VXW520" s="13"/>
      <c r="VXX520" s="13"/>
      <c r="VXY520" s="193"/>
      <c r="VXZ520" s="379"/>
      <c r="VYA520" s="379"/>
      <c r="VYB520" s="379"/>
      <c r="VYC520" s="379"/>
      <c r="VYD520" s="379"/>
      <c r="VYE520" s="13"/>
      <c r="VYF520" s="13"/>
      <c r="VYG520" s="193"/>
      <c r="VYH520" s="379"/>
      <c r="VYI520" s="379"/>
      <c r="VYJ520" s="379"/>
      <c r="VYK520" s="379"/>
      <c r="VYL520" s="379"/>
      <c r="VYM520" s="13"/>
      <c r="VYN520" s="13"/>
      <c r="VYO520" s="193"/>
      <c r="VYP520" s="379"/>
      <c r="VYQ520" s="379"/>
      <c r="VYR520" s="379"/>
      <c r="VYS520" s="379"/>
      <c r="VYT520" s="379"/>
      <c r="VYU520" s="13"/>
      <c r="VYV520" s="13"/>
      <c r="VYW520" s="193"/>
      <c r="VYX520" s="379"/>
      <c r="VYY520" s="379"/>
      <c r="VYZ520" s="379"/>
      <c r="VZA520" s="379"/>
      <c r="VZB520" s="379"/>
      <c r="VZC520" s="13"/>
      <c r="VZD520" s="13"/>
      <c r="VZE520" s="193"/>
      <c r="VZF520" s="379"/>
      <c r="VZG520" s="379"/>
      <c r="VZH520" s="379"/>
      <c r="VZI520" s="379"/>
      <c r="VZJ520" s="379"/>
      <c r="VZK520" s="13"/>
      <c r="VZL520" s="13"/>
      <c r="VZM520" s="193"/>
      <c r="VZN520" s="379"/>
      <c r="VZO520" s="379"/>
      <c r="VZP520" s="379"/>
      <c r="VZQ520" s="379"/>
      <c r="VZR520" s="379"/>
      <c r="VZS520" s="13"/>
      <c r="VZT520" s="13"/>
      <c r="VZU520" s="193"/>
      <c r="VZV520" s="379"/>
      <c r="VZW520" s="379"/>
      <c r="VZX520" s="379"/>
      <c r="VZY520" s="379"/>
      <c r="VZZ520" s="379"/>
      <c r="WAA520" s="13"/>
      <c r="WAB520" s="13"/>
      <c r="WAC520" s="193"/>
      <c r="WAD520" s="379"/>
      <c r="WAE520" s="379"/>
      <c r="WAF520" s="379"/>
      <c r="WAG520" s="379"/>
      <c r="WAH520" s="379"/>
      <c r="WAI520" s="13"/>
      <c r="WAJ520" s="13"/>
      <c r="WAK520" s="193"/>
      <c r="WAL520" s="379"/>
      <c r="WAM520" s="379"/>
      <c r="WAN520" s="379"/>
      <c r="WAO520" s="379"/>
      <c r="WAP520" s="379"/>
      <c r="WAQ520" s="13"/>
      <c r="WAR520" s="13"/>
      <c r="WAS520" s="193"/>
      <c r="WAT520" s="379"/>
      <c r="WAU520" s="379"/>
      <c r="WAV520" s="379"/>
      <c r="WAW520" s="379"/>
      <c r="WAX520" s="379"/>
      <c r="WAY520" s="13"/>
      <c r="WAZ520" s="13"/>
      <c r="WBA520" s="193"/>
      <c r="WBB520" s="379"/>
      <c r="WBC520" s="379"/>
      <c r="WBD520" s="379"/>
      <c r="WBE520" s="379"/>
      <c r="WBF520" s="379"/>
      <c r="WBG520" s="13"/>
      <c r="WBH520" s="13"/>
      <c r="WBI520" s="193"/>
      <c r="WBJ520" s="379"/>
      <c r="WBK520" s="379"/>
      <c r="WBL520" s="379"/>
      <c r="WBM520" s="379"/>
      <c r="WBN520" s="379"/>
      <c r="WBO520" s="13"/>
      <c r="WBP520" s="13"/>
      <c r="WBQ520" s="193"/>
      <c r="WBR520" s="379"/>
      <c r="WBS520" s="379"/>
      <c r="WBT520" s="379"/>
      <c r="WBU520" s="379"/>
      <c r="WBV520" s="379"/>
      <c r="WBW520" s="13"/>
      <c r="WBX520" s="13"/>
      <c r="WBY520" s="193"/>
      <c r="WBZ520" s="379"/>
      <c r="WCA520" s="379"/>
      <c r="WCB520" s="379"/>
      <c r="WCC520" s="379"/>
      <c r="WCD520" s="379"/>
      <c r="WCE520" s="13"/>
      <c r="WCF520" s="13"/>
      <c r="WCG520" s="193"/>
      <c r="WCH520" s="379"/>
      <c r="WCI520" s="379"/>
      <c r="WCJ520" s="379"/>
      <c r="WCK520" s="379"/>
      <c r="WCL520" s="379"/>
      <c r="WCM520" s="13"/>
      <c r="WCN520" s="13"/>
      <c r="WCO520" s="193"/>
      <c r="WCP520" s="379"/>
      <c r="WCQ520" s="379"/>
      <c r="WCR520" s="379"/>
      <c r="WCS520" s="379"/>
      <c r="WCT520" s="379"/>
      <c r="WCU520" s="13"/>
      <c r="WCV520" s="13"/>
      <c r="WCW520" s="193"/>
      <c r="WCX520" s="379"/>
      <c r="WCY520" s="379"/>
      <c r="WCZ520" s="379"/>
      <c r="WDA520" s="379"/>
      <c r="WDB520" s="379"/>
      <c r="WDC520" s="13"/>
      <c r="WDD520" s="13"/>
      <c r="WDE520" s="193"/>
      <c r="WDF520" s="379"/>
      <c r="WDG520" s="379"/>
      <c r="WDH520" s="379"/>
      <c r="WDI520" s="379"/>
      <c r="WDJ520" s="379"/>
      <c r="WDK520" s="13"/>
      <c r="WDL520" s="13"/>
      <c r="WDM520" s="193"/>
      <c r="WDN520" s="379"/>
      <c r="WDO520" s="379"/>
      <c r="WDP520" s="379"/>
      <c r="WDQ520" s="379"/>
      <c r="WDR520" s="379"/>
      <c r="WDS520" s="13"/>
      <c r="WDT520" s="13"/>
      <c r="WDU520" s="193"/>
      <c r="WDV520" s="379"/>
      <c r="WDW520" s="379"/>
      <c r="WDX520" s="379"/>
      <c r="WDY520" s="379"/>
      <c r="WDZ520" s="379"/>
      <c r="WEA520" s="13"/>
      <c r="WEB520" s="13"/>
      <c r="WEC520" s="193"/>
      <c r="WED520" s="379"/>
      <c r="WEE520" s="379"/>
      <c r="WEF520" s="379"/>
      <c r="WEG520" s="379"/>
      <c r="WEH520" s="379"/>
      <c r="WEI520" s="13"/>
      <c r="WEJ520" s="13"/>
      <c r="WEK520" s="193"/>
      <c r="WEL520" s="379"/>
      <c r="WEM520" s="379"/>
      <c r="WEN520" s="379"/>
      <c r="WEO520" s="379"/>
      <c r="WEP520" s="379"/>
      <c r="WEQ520" s="13"/>
      <c r="WER520" s="13"/>
      <c r="WES520" s="193"/>
      <c r="WET520" s="379"/>
      <c r="WEU520" s="379"/>
      <c r="WEV520" s="379"/>
      <c r="WEW520" s="379"/>
      <c r="WEX520" s="379"/>
      <c r="WEY520" s="13"/>
      <c r="WEZ520" s="13"/>
      <c r="WFA520" s="193"/>
      <c r="WFB520" s="379"/>
      <c r="WFC520" s="379"/>
      <c r="WFD520" s="379"/>
      <c r="WFE520" s="379"/>
      <c r="WFF520" s="379"/>
      <c r="WFG520" s="13"/>
      <c r="WFH520" s="13"/>
      <c r="WFI520" s="193"/>
      <c r="WFJ520" s="379"/>
      <c r="WFK520" s="379"/>
      <c r="WFL520" s="379"/>
      <c r="WFM520" s="379"/>
      <c r="WFN520" s="379"/>
      <c r="WFO520" s="13"/>
      <c r="WFP520" s="13"/>
      <c r="WFQ520" s="193"/>
      <c r="WFR520" s="379"/>
      <c r="WFS520" s="379"/>
      <c r="WFT520" s="379"/>
      <c r="WFU520" s="379"/>
      <c r="WFV520" s="379"/>
      <c r="WFW520" s="13"/>
      <c r="WFX520" s="13"/>
      <c r="WFY520" s="193"/>
      <c r="WFZ520" s="379"/>
      <c r="WGA520" s="379"/>
      <c r="WGB520" s="379"/>
      <c r="WGC520" s="379"/>
      <c r="WGD520" s="379"/>
      <c r="WGE520" s="13"/>
      <c r="WGF520" s="13"/>
      <c r="WGG520" s="193"/>
      <c r="WGH520" s="379"/>
      <c r="WGI520" s="379"/>
      <c r="WGJ520" s="379"/>
      <c r="WGK520" s="379"/>
      <c r="WGL520" s="379"/>
      <c r="WGM520" s="13"/>
      <c r="WGN520" s="13"/>
      <c r="WGO520" s="193"/>
      <c r="WGP520" s="379"/>
      <c r="WGQ520" s="379"/>
      <c r="WGR520" s="379"/>
      <c r="WGS520" s="379"/>
      <c r="WGT520" s="379"/>
      <c r="WGU520" s="13"/>
      <c r="WGV520" s="13"/>
      <c r="WGW520" s="193"/>
      <c r="WGX520" s="379"/>
      <c r="WGY520" s="379"/>
      <c r="WGZ520" s="379"/>
      <c r="WHA520" s="379"/>
      <c r="WHB520" s="379"/>
      <c r="WHC520" s="13"/>
      <c r="WHD520" s="13"/>
      <c r="WHE520" s="193"/>
      <c r="WHF520" s="379"/>
      <c r="WHG520" s="379"/>
      <c r="WHH520" s="379"/>
      <c r="WHI520" s="379"/>
      <c r="WHJ520" s="379"/>
      <c r="WHK520" s="13"/>
      <c r="WHL520" s="13"/>
      <c r="WHM520" s="193"/>
      <c r="WHN520" s="379"/>
      <c r="WHO520" s="379"/>
      <c r="WHP520" s="379"/>
      <c r="WHQ520" s="379"/>
      <c r="WHR520" s="379"/>
      <c r="WHS520" s="13"/>
      <c r="WHT520" s="13"/>
      <c r="WHU520" s="193"/>
      <c r="WHV520" s="379"/>
      <c r="WHW520" s="379"/>
      <c r="WHX520" s="379"/>
      <c r="WHY520" s="379"/>
      <c r="WHZ520" s="379"/>
      <c r="WIA520" s="13"/>
      <c r="WIB520" s="13"/>
      <c r="WIC520" s="193"/>
      <c r="WID520" s="379"/>
      <c r="WIE520" s="379"/>
      <c r="WIF520" s="379"/>
      <c r="WIG520" s="379"/>
      <c r="WIH520" s="379"/>
      <c r="WII520" s="13"/>
      <c r="WIJ520" s="13"/>
      <c r="WIK520" s="193"/>
      <c r="WIL520" s="379"/>
      <c r="WIM520" s="379"/>
      <c r="WIN520" s="379"/>
      <c r="WIO520" s="379"/>
      <c r="WIP520" s="379"/>
      <c r="WIQ520" s="13"/>
      <c r="WIR520" s="13"/>
      <c r="WIS520" s="193"/>
      <c r="WIT520" s="379"/>
      <c r="WIU520" s="379"/>
      <c r="WIV520" s="379"/>
      <c r="WIW520" s="379"/>
      <c r="WIX520" s="379"/>
      <c r="WIY520" s="13"/>
      <c r="WIZ520" s="13"/>
      <c r="WJA520" s="193"/>
      <c r="WJB520" s="379"/>
      <c r="WJC520" s="379"/>
      <c r="WJD520" s="379"/>
      <c r="WJE520" s="379"/>
      <c r="WJF520" s="379"/>
      <c r="WJG520" s="13"/>
      <c r="WJH520" s="13"/>
      <c r="WJI520" s="193"/>
      <c r="WJJ520" s="379"/>
      <c r="WJK520" s="379"/>
      <c r="WJL520" s="379"/>
      <c r="WJM520" s="379"/>
      <c r="WJN520" s="379"/>
      <c r="WJO520" s="13"/>
      <c r="WJP520" s="13"/>
      <c r="WJQ520" s="193"/>
      <c r="WJR520" s="379"/>
      <c r="WJS520" s="379"/>
      <c r="WJT520" s="379"/>
      <c r="WJU520" s="379"/>
      <c r="WJV520" s="379"/>
      <c r="WJW520" s="13"/>
      <c r="WJX520" s="13"/>
      <c r="WJY520" s="193"/>
      <c r="WJZ520" s="379"/>
      <c r="WKA520" s="379"/>
      <c r="WKB520" s="379"/>
      <c r="WKC520" s="379"/>
      <c r="WKD520" s="379"/>
      <c r="WKE520" s="13"/>
      <c r="WKF520" s="13"/>
      <c r="WKG520" s="193"/>
      <c r="WKH520" s="379"/>
      <c r="WKI520" s="379"/>
      <c r="WKJ520" s="379"/>
      <c r="WKK520" s="379"/>
      <c r="WKL520" s="379"/>
      <c r="WKM520" s="13"/>
      <c r="WKN520" s="13"/>
      <c r="WKO520" s="193"/>
      <c r="WKP520" s="379"/>
      <c r="WKQ520" s="379"/>
      <c r="WKR520" s="379"/>
      <c r="WKS520" s="379"/>
      <c r="WKT520" s="379"/>
      <c r="WKU520" s="13"/>
      <c r="WKV520" s="13"/>
      <c r="WKW520" s="193"/>
      <c r="WKX520" s="379"/>
      <c r="WKY520" s="379"/>
      <c r="WKZ520" s="379"/>
      <c r="WLA520" s="379"/>
      <c r="WLB520" s="379"/>
      <c r="WLC520" s="13"/>
      <c r="WLD520" s="13"/>
      <c r="WLE520" s="193"/>
      <c r="WLF520" s="379"/>
      <c r="WLG520" s="379"/>
      <c r="WLH520" s="379"/>
      <c r="WLI520" s="379"/>
      <c r="WLJ520" s="379"/>
      <c r="WLK520" s="13"/>
      <c r="WLL520" s="13"/>
      <c r="WLM520" s="193"/>
      <c r="WLN520" s="379"/>
      <c r="WLO520" s="379"/>
      <c r="WLP520" s="379"/>
      <c r="WLQ520" s="379"/>
      <c r="WLR520" s="379"/>
      <c r="WLS520" s="13"/>
      <c r="WLT520" s="13"/>
      <c r="WLU520" s="193"/>
      <c r="WLV520" s="379"/>
      <c r="WLW520" s="379"/>
      <c r="WLX520" s="379"/>
      <c r="WLY520" s="379"/>
      <c r="WLZ520" s="379"/>
      <c r="WMA520" s="13"/>
      <c r="WMB520" s="13"/>
      <c r="WMC520" s="193"/>
      <c r="WMD520" s="379"/>
      <c r="WME520" s="379"/>
      <c r="WMF520" s="379"/>
      <c r="WMG520" s="379"/>
      <c r="WMH520" s="379"/>
      <c r="WMI520" s="13"/>
      <c r="WMJ520" s="13"/>
      <c r="WMK520" s="193"/>
      <c r="WML520" s="379"/>
      <c r="WMM520" s="379"/>
      <c r="WMN520" s="379"/>
      <c r="WMO520" s="379"/>
      <c r="WMP520" s="379"/>
      <c r="WMQ520" s="13"/>
      <c r="WMR520" s="13"/>
      <c r="WMS520" s="193"/>
      <c r="WMT520" s="379"/>
      <c r="WMU520" s="379"/>
      <c r="WMV520" s="379"/>
      <c r="WMW520" s="379"/>
      <c r="WMX520" s="379"/>
      <c r="WMY520" s="13"/>
      <c r="WMZ520" s="13"/>
      <c r="WNA520" s="193"/>
      <c r="WNB520" s="379"/>
      <c r="WNC520" s="379"/>
      <c r="WND520" s="379"/>
      <c r="WNE520" s="379"/>
      <c r="WNF520" s="379"/>
      <c r="WNG520" s="13"/>
      <c r="WNH520" s="13"/>
      <c r="WNI520" s="193"/>
      <c r="WNJ520" s="379"/>
      <c r="WNK520" s="379"/>
      <c r="WNL520" s="379"/>
      <c r="WNM520" s="379"/>
      <c r="WNN520" s="379"/>
      <c r="WNO520" s="13"/>
      <c r="WNP520" s="13"/>
      <c r="WNQ520" s="193"/>
      <c r="WNR520" s="379"/>
      <c r="WNS520" s="379"/>
      <c r="WNT520" s="379"/>
      <c r="WNU520" s="379"/>
      <c r="WNV520" s="379"/>
      <c r="WNW520" s="13"/>
      <c r="WNX520" s="13"/>
      <c r="WNY520" s="193"/>
      <c r="WNZ520" s="379"/>
      <c r="WOA520" s="379"/>
      <c r="WOB520" s="379"/>
      <c r="WOC520" s="379"/>
      <c r="WOD520" s="379"/>
      <c r="WOE520" s="13"/>
      <c r="WOF520" s="13"/>
      <c r="WOG520" s="193"/>
      <c r="WOH520" s="379"/>
      <c r="WOI520" s="379"/>
      <c r="WOJ520" s="379"/>
      <c r="WOK520" s="379"/>
      <c r="WOL520" s="379"/>
      <c r="WOM520" s="13"/>
      <c r="WON520" s="13"/>
      <c r="WOO520" s="193"/>
      <c r="WOP520" s="379"/>
      <c r="WOQ520" s="379"/>
      <c r="WOR520" s="379"/>
      <c r="WOS520" s="379"/>
      <c r="WOT520" s="379"/>
      <c r="WOU520" s="13"/>
      <c r="WOV520" s="13"/>
      <c r="WOW520" s="193"/>
      <c r="WOX520" s="379"/>
      <c r="WOY520" s="379"/>
      <c r="WOZ520" s="379"/>
      <c r="WPA520" s="379"/>
      <c r="WPB520" s="379"/>
      <c r="WPC520" s="13"/>
      <c r="WPD520" s="13"/>
      <c r="WPE520" s="193"/>
      <c r="WPF520" s="379"/>
      <c r="WPG520" s="379"/>
      <c r="WPH520" s="379"/>
      <c r="WPI520" s="379"/>
      <c r="WPJ520" s="379"/>
      <c r="WPK520" s="13"/>
      <c r="WPL520" s="13"/>
      <c r="WPM520" s="193"/>
      <c r="WPN520" s="379"/>
      <c r="WPO520" s="379"/>
      <c r="WPP520" s="379"/>
      <c r="WPQ520" s="379"/>
      <c r="WPR520" s="379"/>
      <c r="WPS520" s="13"/>
      <c r="WPT520" s="13"/>
      <c r="WPU520" s="193"/>
      <c r="WPV520" s="379"/>
      <c r="WPW520" s="379"/>
      <c r="WPX520" s="379"/>
      <c r="WPY520" s="379"/>
      <c r="WPZ520" s="379"/>
      <c r="WQA520" s="13"/>
      <c r="WQB520" s="13"/>
      <c r="WQC520" s="193"/>
      <c r="WQD520" s="379"/>
      <c r="WQE520" s="379"/>
      <c r="WQF520" s="379"/>
      <c r="WQG520" s="379"/>
      <c r="WQH520" s="379"/>
      <c r="WQI520" s="13"/>
      <c r="WQJ520" s="13"/>
      <c r="WQK520" s="193"/>
      <c r="WQL520" s="379"/>
      <c r="WQM520" s="379"/>
      <c r="WQN520" s="379"/>
      <c r="WQO520" s="379"/>
      <c r="WQP520" s="379"/>
      <c r="WQQ520" s="13"/>
      <c r="WQR520" s="13"/>
      <c r="WQS520" s="193"/>
      <c r="WQT520" s="379"/>
      <c r="WQU520" s="379"/>
      <c r="WQV520" s="379"/>
      <c r="WQW520" s="379"/>
      <c r="WQX520" s="379"/>
      <c r="WQY520" s="13"/>
      <c r="WQZ520" s="13"/>
      <c r="WRA520" s="193"/>
      <c r="WRB520" s="379"/>
      <c r="WRC520" s="379"/>
      <c r="WRD520" s="379"/>
      <c r="WRE520" s="379"/>
      <c r="WRF520" s="379"/>
      <c r="WRG520" s="13"/>
      <c r="WRH520" s="13"/>
      <c r="WRI520" s="193"/>
      <c r="WRJ520" s="379"/>
      <c r="WRK520" s="379"/>
      <c r="WRL520" s="379"/>
      <c r="WRM520" s="379"/>
      <c r="WRN520" s="379"/>
      <c r="WRO520" s="13"/>
      <c r="WRP520" s="13"/>
      <c r="WRQ520" s="193"/>
      <c r="WRR520" s="379"/>
      <c r="WRS520" s="379"/>
      <c r="WRT520" s="379"/>
      <c r="WRU520" s="379"/>
      <c r="WRV520" s="379"/>
      <c r="WRW520" s="13"/>
      <c r="WRX520" s="13"/>
      <c r="WRY520" s="193"/>
      <c r="WRZ520" s="379"/>
      <c r="WSA520" s="379"/>
      <c r="WSB520" s="379"/>
      <c r="WSC520" s="379"/>
      <c r="WSD520" s="379"/>
      <c r="WSE520" s="13"/>
      <c r="WSF520" s="13"/>
      <c r="WSG520" s="193"/>
      <c r="WSH520" s="379"/>
      <c r="WSI520" s="379"/>
      <c r="WSJ520" s="379"/>
      <c r="WSK520" s="379"/>
      <c r="WSL520" s="379"/>
      <c r="WSM520" s="13"/>
      <c r="WSN520" s="13"/>
      <c r="WSO520" s="193"/>
      <c r="WSP520" s="379"/>
      <c r="WSQ520" s="379"/>
      <c r="WSR520" s="379"/>
      <c r="WSS520" s="379"/>
      <c r="WST520" s="379"/>
      <c r="WSU520" s="13"/>
      <c r="WSV520" s="13"/>
      <c r="WSW520" s="193"/>
      <c r="WSX520" s="379"/>
      <c r="WSY520" s="379"/>
      <c r="WSZ520" s="379"/>
      <c r="WTA520" s="379"/>
      <c r="WTB520" s="379"/>
      <c r="WTC520" s="13"/>
      <c r="WTD520" s="13"/>
      <c r="WTE520" s="193"/>
      <c r="WTF520" s="379"/>
      <c r="WTG520" s="379"/>
      <c r="WTH520" s="379"/>
      <c r="WTI520" s="379"/>
      <c r="WTJ520" s="379"/>
      <c r="WTK520" s="13"/>
      <c r="WTL520" s="13"/>
      <c r="WTM520" s="193"/>
      <c r="WTN520" s="379"/>
      <c r="WTO520" s="379"/>
      <c r="WTP520" s="379"/>
      <c r="WTQ520" s="379"/>
      <c r="WTR520" s="379"/>
      <c r="WTS520" s="13"/>
      <c r="WTT520" s="13"/>
      <c r="WTU520" s="193"/>
      <c r="WTV520" s="379"/>
      <c r="WTW520" s="379"/>
      <c r="WTX520" s="379"/>
      <c r="WTY520" s="379"/>
      <c r="WTZ520" s="379"/>
      <c r="WUA520" s="13"/>
      <c r="WUB520" s="13"/>
      <c r="WUC520" s="193"/>
      <c r="WUD520" s="379"/>
      <c r="WUE520" s="379"/>
      <c r="WUF520" s="379"/>
      <c r="WUG520" s="379"/>
      <c r="WUH520" s="379"/>
      <c r="WUI520" s="13"/>
      <c r="WUJ520" s="13"/>
      <c r="WUK520" s="193"/>
      <c r="WUL520" s="379"/>
      <c r="WUM520" s="379"/>
      <c r="WUN520" s="379"/>
      <c r="WUO520" s="379"/>
      <c r="WUP520" s="379"/>
      <c r="WUQ520" s="13"/>
      <c r="WUR520" s="13"/>
      <c r="WUS520" s="193"/>
      <c r="WUT520" s="379"/>
      <c r="WUU520" s="379"/>
      <c r="WUV520" s="379"/>
      <c r="WUW520" s="379"/>
      <c r="WUX520" s="379"/>
      <c r="WUY520" s="13"/>
      <c r="WUZ520" s="13"/>
      <c r="WVA520" s="193"/>
      <c r="WVB520" s="379"/>
      <c r="WVC520" s="379"/>
      <c r="WVD520" s="379"/>
      <c r="WVE520" s="379"/>
      <c r="WVF520" s="379"/>
      <c r="WVG520" s="13"/>
      <c r="WVH520" s="13"/>
      <c r="WVI520" s="193"/>
      <c r="WVJ520" s="379"/>
      <c r="WVK520" s="379"/>
      <c r="WVL520" s="379"/>
      <c r="WVM520" s="379"/>
      <c r="WVN520" s="379"/>
      <c r="WVO520" s="13"/>
      <c r="WVP520" s="13"/>
      <c r="WVQ520" s="193"/>
      <c r="WVR520" s="379"/>
      <c r="WVS520" s="379"/>
      <c r="WVT520" s="379"/>
      <c r="WVU520" s="379"/>
      <c r="WVV520" s="379"/>
      <c r="WVW520" s="13"/>
      <c r="WVX520" s="13"/>
      <c r="WVY520" s="193"/>
      <c r="WVZ520" s="379"/>
      <c r="WWA520" s="379"/>
      <c r="WWB520" s="379"/>
      <c r="WWC520" s="379"/>
      <c r="WWD520" s="379"/>
      <c r="WWE520" s="13"/>
      <c r="WWF520" s="13"/>
      <c r="WWG520" s="193"/>
      <c r="WWH520" s="379"/>
      <c r="WWI520" s="379"/>
      <c r="WWJ520" s="379"/>
      <c r="WWK520" s="379"/>
      <c r="WWL520" s="379"/>
      <c r="WWM520" s="13"/>
      <c r="WWN520" s="13"/>
      <c r="WWO520" s="193"/>
      <c r="WWP520" s="379"/>
      <c r="WWQ520" s="379"/>
      <c r="WWR520" s="379"/>
      <c r="WWS520" s="379"/>
      <c r="WWT520" s="379"/>
      <c r="WWU520" s="13"/>
      <c r="WWV520" s="13"/>
      <c r="WWW520" s="193"/>
      <c r="WWX520" s="379"/>
      <c r="WWY520" s="379"/>
      <c r="WWZ520" s="379"/>
      <c r="WXA520" s="379"/>
      <c r="WXB520" s="379"/>
      <c r="WXC520" s="13"/>
      <c r="WXD520" s="13"/>
      <c r="WXE520" s="193"/>
      <c r="WXF520" s="379"/>
      <c r="WXG520" s="379"/>
      <c r="WXH520" s="379"/>
      <c r="WXI520" s="379"/>
      <c r="WXJ520" s="379"/>
      <c r="WXK520" s="13"/>
      <c r="WXL520" s="13"/>
      <c r="WXM520" s="193"/>
      <c r="WXN520" s="379"/>
      <c r="WXO520" s="379"/>
      <c r="WXP520" s="379"/>
      <c r="WXQ520" s="379"/>
      <c r="WXR520" s="379"/>
      <c r="WXS520" s="13"/>
      <c r="WXT520" s="13"/>
      <c r="WXU520" s="193"/>
      <c r="WXV520" s="379"/>
      <c r="WXW520" s="379"/>
      <c r="WXX520" s="379"/>
      <c r="WXY520" s="379"/>
      <c r="WXZ520" s="379"/>
      <c r="WYA520" s="13"/>
      <c r="WYB520" s="13"/>
      <c r="WYC520" s="193"/>
      <c r="WYD520" s="379"/>
      <c r="WYE520" s="379"/>
      <c r="WYF520" s="379"/>
      <c r="WYG520" s="379"/>
      <c r="WYH520" s="379"/>
      <c r="WYI520" s="13"/>
      <c r="WYJ520" s="13"/>
      <c r="WYK520" s="193"/>
      <c r="WYL520" s="379"/>
      <c r="WYM520" s="379"/>
      <c r="WYN520" s="379"/>
      <c r="WYO520" s="379"/>
      <c r="WYP520" s="379"/>
      <c r="WYQ520" s="13"/>
      <c r="WYR520" s="13"/>
      <c r="WYS520" s="193"/>
      <c r="WYT520" s="379"/>
      <c r="WYU520" s="379"/>
      <c r="WYV520" s="379"/>
      <c r="WYW520" s="379"/>
      <c r="WYX520" s="379"/>
      <c r="WYY520" s="13"/>
      <c r="WYZ520" s="13"/>
      <c r="WZA520" s="193"/>
      <c r="WZB520" s="379"/>
      <c r="WZC520" s="379"/>
      <c r="WZD520" s="379"/>
      <c r="WZE520" s="379"/>
      <c r="WZF520" s="379"/>
      <c r="WZG520" s="13"/>
      <c r="WZH520" s="13"/>
      <c r="WZI520" s="193"/>
      <c r="WZJ520" s="379"/>
      <c r="WZK520" s="379"/>
      <c r="WZL520" s="379"/>
      <c r="WZM520" s="379"/>
      <c r="WZN520" s="379"/>
      <c r="WZO520" s="13"/>
      <c r="WZP520" s="13"/>
      <c r="WZQ520" s="193"/>
      <c r="WZR520" s="379"/>
      <c r="WZS520" s="379"/>
      <c r="WZT520" s="379"/>
      <c r="WZU520" s="379"/>
      <c r="WZV520" s="379"/>
      <c r="WZW520" s="13"/>
      <c r="WZX520" s="13"/>
      <c r="WZY520" s="193"/>
      <c r="WZZ520" s="379"/>
      <c r="XAA520" s="379"/>
      <c r="XAB520" s="379"/>
      <c r="XAC520" s="379"/>
      <c r="XAD520" s="379"/>
      <c r="XAE520" s="13"/>
      <c r="XAF520" s="13"/>
      <c r="XAG520" s="193"/>
      <c r="XAH520" s="379"/>
      <c r="XAI520" s="379"/>
      <c r="XAJ520" s="379"/>
      <c r="XAK520" s="379"/>
      <c r="XAL520" s="379"/>
      <c r="XAM520" s="13"/>
      <c r="XAN520" s="13"/>
      <c r="XAO520" s="193"/>
      <c r="XAP520" s="379"/>
      <c r="XAQ520" s="379"/>
      <c r="XAR520" s="379"/>
      <c r="XAS520" s="379"/>
      <c r="XAT520" s="379"/>
      <c r="XAU520" s="13"/>
      <c r="XAV520" s="13"/>
      <c r="XAW520" s="193"/>
      <c r="XAX520" s="379"/>
      <c r="XAY520" s="379"/>
      <c r="XAZ520" s="379"/>
      <c r="XBA520" s="379"/>
      <c r="XBB520" s="379"/>
      <c r="XBC520" s="13"/>
      <c r="XBD520" s="13"/>
      <c r="XBE520" s="193"/>
      <c r="XBF520" s="379"/>
      <c r="XBG520" s="379"/>
      <c r="XBH520" s="379"/>
      <c r="XBI520" s="379"/>
      <c r="XBJ520" s="379"/>
      <c r="XBK520" s="13"/>
      <c r="XBL520" s="13"/>
      <c r="XBM520" s="193"/>
      <c r="XBN520" s="379"/>
      <c r="XBO520" s="379"/>
      <c r="XBP520" s="379"/>
      <c r="XBQ520" s="379"/>
      <c r="XBR520" s="379"/>
      <c r="XBS520" s="13"/>
      <c r="XBT520" s="13"/>
      <c r="XBU520" s="193"/>
      <c r="XBV520" s="379"/>
      <c r="XBW520" s="379"/>
      <c r="XBX520" s="379"/>
      <c r="XBY520" s="379"/>
      <c r="XBZ520" s="379"/>
      <c r="XCA520" s="13"/>
      <c r="XCB520" s="13"/>
      <c r="XCC520" s="193"/>
      <c r="XCD520" s="379"/>
      <c r="XCE520" s="379"/>
      <c r="XCF520" s="379"/>
      <c r="XCG520" s="379"/>
      <c r="XCH520" s="379"/>
      <c r="XCI520" s="13"/>
      <c r="XCJ520" s="13"/>
      <c r="XCK520" s="193"/>
      <c r="XCL520" s="379"/>
      <c r="XCM520" s="379"/>
      <c r="XCN520" s="379"/>
      <c r="XCO520" s="379"/>
      <c r="XCP520" s="379"/>
      <c r="XCQ520" s="13"/>
      <c r="XCR520" s="13"/>
      <c r="XCS520" s="193"/>
      <c r="XCT520" s="379"/>
      <c r="XCU520" s="379"/>
      <c r="XCV520" s="379"/>
      <c r="XCW520" s="379"/>
      <c r="XCX520" s="379"/>
      <c r="XCY520" s="13"/>
      <c r="XCZ520" s="13"/>
      <c r="XDA520" s="193"/>
      <c r="XDB520" s="379"/>
      <c r="XDC520" s="379"/>
      <c r="XDD520" s="379"/>
      <c r="XDE520" s="379"/>
      <c r="XDF520" s="379"/>
      <c r="XDG520" s="13"/>
      <c r="XDH520" s="13"/>
      <c r="XDI520" s="193"/>
      <c r="XDJ520" s="379"/>
      <c r="XDK520" s="379"/>
      <c r="XDL520" s="379"/>
      <c r="XDM520" s="379"/>
      <c r="XDN520" s="379"/>
      <c r="XDO520" s="13"/>
      <c r="XDP520" s="13"/>
      <c r="XDQ520" s="193"/>
      <c r="XDR520" s="379"/>
      <c r="XDS520" s="379"/>
      <c r="XDT520" s="379"/>
      <c r="XDU520" s="379"/>
      <c r="XDV520" s="379"/>
      <c r="XDW520" s="13"/>
      <c r="XDX520" s="13"/>
      <c r="XDY520" s="193"/>
      <c r="XDZ520" s="379"/>
      <c r="XEA520" s="379"/>
      <c r="XEB520" s="379"/>
      <c r="XEC520" s="379"/>
      <c r="XED520" s="379"/>
      <c r="XEE520" s="13"/>
      <c r="XEF520" s="13"/>
      <c r="XEG520" s="193"/>
      <c r="XEH520" s="379"/>
      <c r="XEI520" s="379"/>
      <c r="XEJ520" s="379"/>
      <c r="XEK520" s="379"/>
      <c r="XEL520" s="379"/>
      <c r="XEM520" s="13"/>
      <c r="XEN520" s="13"/>
      <c r="XEO520" s="193"/>
      <c r="XEP520" s="379"/>
      <c r="XEQ520" s="379"/>
      <c r="XER520" s="379"/>
      <c r="XES520" s="379"/>
      <c r="XET520" s="379"/>
      <c r="XEU520" s="13"/>
      <c r="XEV520" s="13"/>
      <c r="XEW520" s="193"/>
      <c r="XEX520" s="379"/>
      <c r="XEY520" s="379"/>
      <c r="XEZ520" s="379"/>
      <c r="XFA520" s="379"/>
      <c r="XFB520" s="379"/>
      <c r="XFC520" s="13"/>
      <c r="XFD520" s="13"/>
    </row>
    <row r="521" spans="1:16384" s="640" customFormat="1" ht="18" customHeight="1" x14ac:dyDescent="0.3">
      <c r="A521" s="2314"/>
      <c r="B521" s="1718" t="s">
        <v>1055</v>
      </c>
      <c r="C521" s="1718"/>
      <c r="D521" s="1718"/>
      <c r="E521" s="1718"/>
      <c r="F521" s="385" t="s">
        <v>12</v>
      </c>
      <c r="G521" s="69">
        <f>G522+G523</f>
        <v>3500</v>
      </c>
      <c r="H521" s="69">
        <f>H522/0.95</f>
        <v>3500</v>
      </c>
      <c r="I521" s="69"/>
      <c r="J521" s="69"/>
      <c r="K521" s="69"/>
      <c r="L521" s="69"/>
      <c r="M521" s="396"/>
      <c r="N521" s="609"/>
      <c r="O521" s="383"/>
      <c r="P521" s="1100"/>
    </row>
    <row r="522" spans="1:16384" s="640" customFormat="1" ht="18" customHeight="1" x14ac:dyDescent="0.3">
      <c r="A522" s="2314"/>
      <c r="B522" s="1718"/>
      <c r="C522" s="1718"/>
      <c r="D522" s="1718"/>
      <c r="E522" s="1718"/>
      <c r="F522" s="385" t="s">
        <v>13</v>
      </c>
      <c r="G522" s="69">
        <f>H522</f>
        <v>3325</v>
      </c>
      <c r="H522" s="69">
        <v>3325</v>
      </c>
      <c r="I522" s="69"/>
      <c r="J522" s="69"/>
      <c r="K522" s="69"/>
      <c r="L522" s="69"/>
      <c r="M522" s="396"/>
      <c r="N522" s="609"/>
      <c r="O522" s="69"/>
      <c r="P522" s="1117" t="s">
        <v>1576</v>
      </c>
      <c r="W522" s="640">
        <v>1</v>
      </c>
    </row>
    <row r="523" spans="1:16384" s="640" customFormat="1" ht="18" customHeight="1" x14ac:dyDescent="0.3">
      <c r="A523" s="2314"/>
      <c r="B523" s="1718"/>
      <c r="C523" s="1718"/>
      <c r="D523" s="1718"/>
      <c r="E523" s="1718"/>
      <c r="F523" s="385" t="s">
        <v>14</v>
      </c>
      <c r="G523" s="69">
        <f>H523</f>
        <v>175</v>
      </c>
      <c r="H523" s="69">
        <f>H521*0.05</f>
        <v>175</v>
      </c>
      <c r="I523" s="69"/>
      <c r="J523" s="69"/>
      <c r="K523" s="69"/>
      <c r="L523" s="69"/>
      <c r="M523" s="396"/>
      <c r="N523" s="609"/>
      <c r="O523" s="609"/>
      <c r="P523" s="1177"/>
    </row>
    <row r="524" spans="1:16384" s="640" customFormat="1" ht="18" customHeight="1" x14ac:dyDescent="0.3">
      <c r="A524" s="2314"/>
      <c r="B524" s="1718" t="s">
        <v>1056</v>
      </c>
      <c r="C524" s="1718"/>
      <c r="D524" s="1718"/>
      <c r="E524" s="1718"/>
      <c r="F524" s="385" t="s">
        <v>12</v>
      </c>
      <c r="G524" s="69">
        <f>G525+G526</f>
        <v>4800</v>
      </c>
      <c r="H524" s="69">
        <f>H525/0.95</f>
        <v>4800</v>
      </c>
      <c r="I524" s="69"/>
      <c r="J524" s="69"/>
      <c r="K524" s="69"/>
      <c r="L524" s="69"/>
      <c r="M524" s="396"/>
      <c r="N524" s="609"/>
      <c r="O524" s="609"/>
      <c r="P524" s="1177"/>
      <c r="W524" s="640">
        <v>1</v>
      </c>
    </row>
    <row r="525" spans="1:16384" s="640" customFormat="1" ht="18" customHeight="1" x14ac:dyDescent="0.3">
      <c r="A525" s="2314"/>
      <c r="B525" s="1718"/>
      <c r="C525" s="1718"/>
      <c r="D525" s="1718"/>
      <c r="E525" s="1718"/>
      <c r="F525" s="385" t="s">
        <v>13</v>
      </c>
      <c r="G525" s="69">
        <f>H525</f>
        <v>4560</v>
      </c>
      <c r="H525" s="69">
        <v>4560</v>
      </c>
      <c r="I525" s="69"/>
      <c r="J525" s="69"/>
      <c r="K525" s="69"/>
      <c r="L525" s="69"/>
      <c r="M525" s="396"/>
      <c r="N525" s="609"/>
      <c r="O525" s="609"/>
      <c r="P525" s="1177" t="s">
        <v>1576</v>
      </c>
    </row>
    <row r="526" spans="1:16384" s="640" customFormat="1" ht="18" customHeight="1" x14ac:dyDescent="0.3">
      <c r="A526" s="2314"/>
      <c r="B526" s="1718"/>
      <c r="C526" s="1718"/>
      <c r="D526" s="1718"/>
      <c r="E526" s="1718"/>
      <c r="F526" s="385" t="s">
        <v>14</v>
      </c>
      <c r="G526" s="69">
        <f>H526</f>
        <v>240</v>
      </c>
      <c r="H526" s="69">
        <f>H524*0.05</f>
        <v>240</v>
      </c>
      <c r="I526" s="69"/>
      <c r="J526" s="69"/>
      <c r="K526" s="69"/>
      <c r="L526" s="69"/>
      <c r="M526" s="396"/>
      <c r="N526" s="609"/>
      <c r="O526" s="609"/>
      <c r="P526" s="1177"/>
    </row>
    <row r="527" spans="1:16384" s="663" customFormat="1" ht="18" customHeight="1" x14ac:dyDescent="0.3">
      <c r="A527" s="2314" t="s">
        <v>781</v>
      </c>
      <c r="B527" s="2415" t="s">
        <v>396</v>
      </c>
      <c r="C527" s="2415"/>
      <c r="D527" s="2415"/>
      <c r="E527" s="2415"/>
      <c r="F527" s="658" t="s">
        <v>12</v>
      </c>
      <c r="G527" s="659">
        <f t="shared" ref="G527:G535" si="267">SUM(H527:L527)</f>
        <v>51974.71</v>
      </c>
      <c r="H527" s="659">
        <f>H528+H529</f>
        <v>51974.71</v>
      </c>
      <c r="I527" s="659">
        <f t="shared" ref="I527:L527" si="268">I528+I529</f>
        <v>0</v>
      </c>
      <c r="J527" s="659">
        <f t="shared" si="268"/>
        <v>0</v>
      </c>
      <c r="K527" s="659">
        <f t="shared" si="268"/>
        <v>0</v>
      </c>
      <c r="L527" s="659">
        <f t="shared" si="268"/>
        <v>0</v>
      </c>
      <c r="M527" s="660">
        <v>2018</v>
      </c>
      <c r="N527" s="660">
        <v>2019</v>
      </c>
      <c r="O527" s="661"/>
      <c r="P527" s="1174" t="s">
        <v>1577</v>
      </c>
    </row>
    <row r="528" spans="1:16384" s="663" customFormat="1" ht="18" customHeight="1" x14ac:dyDescent="0.3">
      <c r="A528" s="2314"/>
      <c r="B528" s="2415"/>
      <c r="C528" s="2415"/>
      <c r="D528" s="2415"/>
      <c r="E528" s="2415"/>
      <c r="F528" s="658" t="s">
        <v>13</v>
      </c>
      <c r="G528" s="664">
        <f t="shared" si="267"/>
        <v>49437.55</v>
      </c>
      <c r="H528" s="664">
        <f>H531+H534+H537</f>
        <v>49437.55</v>
      </c>
      <c r="I528" s="664">
        <f t="shared" ref="I528:L528" si="269">I534</f>
        <v>0</v>
      </c>
      <c r="J528" s="664">
        <f t="shared" si="269"/>
        <v>0</v>
      </c>
      <c r="K528" s="664">
        <f t="shared" si="269"/>
        <v>0</v>
      </c>
      <c r="L528" s="664">
        <f t="shared" si="269"/>
        <v>0</v>
      </c>
      <c r="M528" s="664">
        <v>1</v>
      </c>
      <c r="N528" s="664"/>
      <c r="O528" s="661"/>
      <c r="P528" s="1175"/>
    </row>
    <row r="529" spans="1:23" s="663" customFormat="1" ht="18" customHeight="1" x14ac:dyDescent="0.3">
      <c r="A529" s="2314"/>
      <c r="B529" s="2415"/>
      <c r="C529" s="2415"/>
      <c r="D529" s="2415"/>
      <c r="E529" s="2415"/>
      <c r="F529" s="658" t="s">
        <v>14</v>
      </c>
      <c r="G529" s="664">
        <f t="shared" si="267"/>
        <v>2537.16</v>
      </c>
      <c r="H529" s="664">
        <f>H532+H535+H538</f>
        <v>2537.16</v>
      </c>
      <c r="I529" s="664">
        <f t="shared" ref="I529:L529" si="270">I535</f>
        <v>0</v>
      </c>
      <c r="J529" s="664">
        <f t="shared" si="270"/>
        <v>0</v>
      </c>
      <c r="K529" s="664">
        <f t="shared" si="270"/>
        <v>0</v>
      </c>
      <c r="L529" s="664">
        <f t="shared" si="270"/>
        <v>0</v>
      </c>
      <c r="M529" s="661"/>
      <c r="N529" s="661"/>
      <c r="O529" s="661"/>
      <c r="P529" s="1176"/>
    </row>
    <row r="530" spans="1:23" s="640" customFormat="1" ht="18" customHeight="1" x14ac:dyDescent="0.3">
      <c r="A530" s="2314"/>
      <c r="B530" s="1718" t="s">
        <v>1036</v>
      </c>
      <c r="C530" s="1718"/>
      <c r="D530" s="1718"/>
      <c r="E530" s="1718"/>
      <c r="F530" s="385" t="s">
        <v>12</v>
      </c>
      <c r="G530" s="69">
        <f t="shared" ref="G530:G532" si="271">SUM(H530:L530)</f>
        <v>13000</v>
      </c>
      <c r="H530" s="69">
        <v>13000</v>
      </c>
      <c r="I530" s="389"/>
      <c r="J530" s="389"/>
      <c r="K530" s="389"/>
      <c r="L530" s="389"/>
      <c r="M530" s="609"/>
      <c r="N530" s="609"/>
      <c r="O530" s="609"/>
      <c r="P530" s="1177"/>
    </row>
    <row r="531" spans="1:23" s="640" customFormat="1" ht="18" customHeight="1" x14ac:dyDescent="0.3">
      <c r="A531" s="2314"/>
      <c r="B531" s="1718"/>
      <c r="C531" s="1718"/>
      <c r="D531" s="1718"/>
      <c r="E531" s="1718"/>
      <c r="F531" s="385" t="s">
        <v>13</v>
      </c>
      <c r="G531" s="69">
        <f t="shared" si="271"/>
        <v>12350</v>
      </c>
      <c r="H531" s="69">
        <f>H530-H532</f>
        <v>12350</v>
      </c>
      <c r="I531" s="69"/>
      <c r="J531" s="69"/>
      <c r="K531" s="69"/>
      <c r="L531" s="69"/>
      <c r="M531" s="609"/>
      <c r="N531" s="609"/>
      <c r="O531" s="609"/>
      <c r="P531" s="1177" t="s">
        <v>1578</v>
      </c>
      <c r="W531" s="640">
        <v>1</v>
      </c>
    </row>
    <row r="532" spans="1:23" s="640" customFormat="1" ht="18" customHeight="1" x14ac:dyDescent="0.3">
      <c r="A532" s="2314"/>
      <c r="B532" s="1718"/>
      <c r="C532" s="1718"/>
      <c r="D532" s="1718"/>
      <c r="E532" s="1718"/>
      <c r="F532" s="385" t="s">
        <v>14</v>
      </c>
      <c r="G532" s="69">
        <f t="shared" si="271"/>
        <v>650</v>
      </c>
      <c r="H532" s="69">
        <f>ROUNDUP(0.05*H530,2)</f>
        <v>650</v>
      </c>
      <c r="I532" s="69"/>
      <c r="J532" s="69"/>
      <c r="K532" s="69"/>
      <c r="L532" s="69"/>
      <c r="M532" s="609"/>
      <c r="N532" s="609"/>
      <c r="O532" s="609"/>
      <c r="P532" s="1177"/>
    </row>
    <row r="533" spans="1:23" s="640" customFormat="1" ht="18" customHeight="1" x14ac:dyDescent="0.3">
      <c r="A533" s="2314"/>
      <c r="B533" s="1718" t="s">
        <v>421</v>
      </c>
      <c r="C533" s="1718"/>
      <c r="D533" s="1718"/>
      <c r="E533" s="1718"/>
      <c r="F533" s="385" t="s">
        <v>12</v>
      </c>
      <c r="G533" s="69">
        <f t="shared" si="267"/>
        <v>37743.269999999997</v>
      </c>
      <c r="H533" s="69">
        <f>H534+H535</f>
        <v>37743.269999999997</v>
      </c>
      <c r="I533" s="69"/>
      <c r="J533" s="69"/>
      <c r="K533" s="69"/>
      <c r="L533" s="69"/>
      <c r="M533" s="609"/>
      <c r="N533" s="609"/>
      <c r="O533" s="383"/>
      <c r="P533" s="1100"/>
    </row>
    <row r="534" spans="1:23" s="640" customFormat="1" ht="18" customHeight="1" x14ac:dyDescent="0.3">
      <c r="A534" s="2314"/>
      <c r="B534" s="1718"/>
      <c r="C534" s="1718"/>
      <c r="D534" s="1718"/>
      <c r="E534" s="1718"/>
      <c r="F534" s="385" t="s">
        <v>13</v>
      </c>
      <c r="G534" s="69">
        <f t="shared" si="267"/>
        <v>35856.11</v>
      </c>
      <c r="H534" s="69">
        <f>26773.43+9082.68</f>
        <v>35856.11</v>
      </c>
      <c r="I534" s="69"/>
      <c r="J534" s="69"/>
      <c r="K534" s="69"/>
      <c r="L534" s="69"/>
      <c r="M534" s="609"/>
      <c r="N534" s="609"/>
      <c r="O534" s="69"/>
      <c r="P534" s="1117" t="s">
        <v>1579</v>
      </c>
      <c r="W534" s="640">
        <v>1</v>
      </c>
    </row>
    <row r="535" spans="1:23" s="640" customFormat="1" ht="18" customHeight="1" x14ac:dyDescent="0.3">
      <c r="A535" s="2314"/>
      <c r="B535" s="1718"/>
      <c r="C535" s="1718"/>
      <c r="D535" s="1718"/>
      <c r="E535" s="1718"/>
      <c r="F535" s="385" t="s">
        <v>14</v>
      </c>
      <c r="G535" s="69">
        <f t="shared" si="267"/>
        <v>1887.16</v>
      </c>
      <c r="H535" s="69">
        <v>1887.16</v>
      </c>
      <c r="I535" s="69"/>
      <c r="J535" s="69"/>
      <c r="K535" s="69"/>
      <c r="L535" s="69"/>
      <c r="M535" s="609"/>
      <c r="N535" s="609"/>
      <c r="O535" s="609"/>
      <c r="P535" s="1177"/>
    </row>
    <row r="536" spans="1:23" s="640" customFormat="1" ht="18" customHeight="1" x14ac:dyDescent="0.3">
      <c r="A536" s="2314"/>
      <c r="B536" s="1718" t="s">
        <v>1040</v>
      </c>
      <c r="C536" s="1718"/>
      <c r="D536" s="1718"/>
      <c r="E536" s="1718"/>
      <c r="F536" s="385" t="s">
        <v>12</v>
      </c>
      <c r="G536" s="69">
        <f>SUM(H536:L536)</f>
        <v>1231.44</v>
      </c>
      <c r="H536" s="69">
        <f>H537+H538</f>
        <v>1231.44</v>
      </c>
      <c r="I536" s="69"/>
      <c r="J536" s="69"/>
      <c r="K536" s="69"/>
      <c r="L536" s="69"/>
      <c r="M536" s="609"/>
      <c r="N536" s="609"/>
      <c r="O536" s="609"/>
      <c r="P536" s="1177"/>
    </row>
    <row r="537" spans="1:23" s="640" customFormat="1" ht="18" customHeight="1" x14ac:dyDescent="0.3">
      <c r="A537" s="2314"/>
      <c r="B537" s="1718"/>
      <c r="C537" s="1718"/>
      <c r="D537" s="1718"/>
      <c r="E537" s="1718"/>
      <c r="F537" s="385" t="s">
        <v>13</v>
      </c>
      <c r="G537" s="69">
        <f>SUM(H537:L537)</f>
        <v>1231.44</v>
      </c>
      <c r="H537" s="69">
        <v>1231.44</v>
      </c>
      <c r="I537" s="69"/>
      <c r="J537" s="69"/>
      <c r="K537" s="69"/>
      <c r="L537" s="69"/>
      <c r="M537" s="609"/>
      <c r="N537" s="609"/>
      <c r="O537" s="609"/>
      <c r="P537" s="1177" t="s">
        <v>1578</v>
      </c>
      <c r="W537" s="640">
        <v>1</v>
      </c>
    </row>
    <row r="538" spans="1:23" s="640" customFormat="1" ht="18" customHeight="1" x14ac:dyDescent="0.3">
      <c r="A538" s="2314"/>
      <c r="B538" s="1718"/>
      <c r="C538" s="1718"/>
      <c r="D538" s="1718"/>
      <c r="E538" s="1718"/>
      <c r="F538" s="385" t="s">
        <v>14</v>
      </c>
      <c r="G538" s="69">
        <f>SUM(H538:L538)</f>
        <v>0</v>
      </c>
      <c r="H538" s="69">
        <v>0</v>
      </c>
      <c r="I538" s="69"/>
      <c r="J538" s="69"/>
      <c r="K538" s="69"/>
      <c r="L538" s="69"/>
      <c r="M538" s="609"/>
      <c r="N538" s="609"/>
      <c r="O538" s="609"/>
      <c r="P538" s="1177"/>
    </row>
    <row r="539" spans="1:23" s="663" customFormat="1" ht="18" customHeight="1" x14ac:dyDescent="0.3">
      <c r="A539" s="2314" t="s">
        <v>782</v>
      </c>
      <c r="B539" s="2415" t="s">
        <v>422</v>
      </c>
      <c r="C539" s="2415"/>
      <c r="D539" s="2415"/>
      <c r="E539" s="2415"/>
      <c r="F539" s="658" t="s">
        <v>12</v>
      </c>
      <c r="G539" s="659">
        <f t="shared" ref="G539:G541" si="272">SUM(H539:L539)</f>
        <v>375644.1</v>
      </c>
      <c r="H539" s="659">
        <f>H540+H541</f>
        <v>375644.1</v>
      </c>
      <c r="I539" s="659">
        <f t="shared" ref="I539:L539" si="273">I540+I541</f>
        <v>0</v>
      </c>
      <c r="J539" s="659">
        <f t="shared" si="273"/>
        <v>0</v>
      </c>
      <c r="K539" s="659">
        <f t="shared" si="273"/>
        <v>0</v>
      </c>
      <c r="L539" s="659">
        <f t="shared" si="273"/>
        <v>0</v>
      </c>
      <c r="M539" s="660">
        <v>2018</v>
      </c>
      <c r="N539" s="660">
        <v>2019</v>
      </c>
      <c r="O539" s="661"/>
      <c r="P539" s="1174" t="s">
        <v>1580</v>
      </c>
    </row>
    <row r="540" spans="1:23" s="663" customFormat="1" ht="18" customHeight="1" x14ac:dyDescent="0.3">
      <c r="A540" s="2314"/>
      <c r="B540" s="2415"/>
      <c r="C540" s="2415"/>
      <c r="D540" s="2415"/>
      <c r="E540" s="2415"/>
      <c r="F540" s="658" t="s">
        <v>13</v>
      </c>
      <c r="G540" s="664">
        <f t="shared" si="272"/>
        <v>351504.76</v>
      </c>
      <c r="H540" s="664">
        <f>H543+H546+H549+H552+H555+H558+H561+H564+H567+H570+H573+H576+H579+H582+H585+H588+H591+H594+H597+H600+H603+H606+H609</f>
        <v>351504.76</v>
      </c>
      <c r="I540" s="664">
        <f t="shared" ref="I540:L540" si="274">I543+I549</f>
        <v>0</v>
      </c>
      <c r="J540" s="664">
        <f t="shared" si="274"/>
        <v>0</v>
      </c>
      <c r="K540" s="664">
        <f t="shared" si="274"/>
        <v>0</v>
      </c>
      <c r="L540" s="664">
        <f t="shared" si="274"/>
        <v>0</v>
      </c>
      <c r="M540" s="664">
        <v>9</v>
      </c>
      <c r="N540" s="664"/>
      <c r="O540" s="661"/>
      <c r="P540" s="1175"/>
    </row>
    <row r="541" spans="1:23" s="663" customFormat="1" ht="18" customHeight="1" x14ac:dyDescent="0.3">
      <c r="A541" s="2314"/>
      <c r="B541" s="2415"/>
      <c r="C541" s="2415"/>
      <c r="D541" s="2415"/>
      <c r="E541" s="2415"/>
      <c r="F541" s="658" t="s">
        <v>14</v>
      </c>
      <c r="G541" s="664">
        <f t="shared" si="272"/>
        <v>24139.34</v>
      </c>
      <c r="H541" s="664">
        <f>H544+H547+H550+H553+H556+H559+H562+H565+H568+H571+H574+H577+H580+H583+H586+H589+H592+H595+H598+H601+H604+H607+H610</f>
        <v>24139.34</v>
      </c>
      <c r="I541" s="664">
        <f t="shared" ref="I541:L541" si="275">I544+I550</f>
        <v>0</v>
      </c>
      <c r="J541" s="664">
        <f t="shared" si="275"/>
        <v>0</v>
      </c>
      <c r="K541" s="664">
        <f t="shared" si="275"/>
        <v>0</v>
      </c>
      <c r="L541" s="664">
        <f t="shared" si="275"/>
        <v>0</v>
      </c>
      <c r="M541" s="661"/>
      <c r="N541" s="661"/>
      <c r="O541" s="661"/>
      <c r="P541" s="1176"/>
    </row>
    <row r="542" spans="1:23" s="640" customFormat="1" ht="18" customHeight="1" x14ac:dyDescent="0.3">
      <c r="A542" s="2314" t="s">
        <v>702</v>
      </c>
      <c r="B542" s="1718" t="s">
        <v>423</v>
      </c>
      <c r="C542" s="1718"/>
      <c r="D542" s="1718"/>
      <c r="E542" s="1718"/>
      <c r="F542" s="385" t="s">
        <v>12</v>
      </c>
      <c r="G542" s="69">
        <f t="shared" ref="G542:G550" si="276">SUM(H542:L542)</f>
        <v>36574.47</v>
      </c>
      <c r="H542" s="69">
        <f>H543+H544</f>
        <v>36574.47</v>
      </c>
      <c r="I542" s="69"/>
      <c r="J542" s="69"/>
      <c r="K542" s="69"/>
      <c r="L542" s="69"/>
      <c r="M542" s="609"/>
      <c r="N542" s="609"/>
      <c r="O542" s="609"/>
      <c r="P542" s="1177"/>
    </row>
    <row r="543" spans="1:23" s="640" customFormat="1" ht="18" customHeight="1" x14ac:dyDescent="0.3">
      <c r="A543" s="2314"/>
      <c r="B543" s="1718"/>
      <c r="C543" s="1718"/>
      <c r="D543" s="1718"/>
      <c r="E543" s="1718"/>
      <c r="F543" s="385" t="s">
        <v>13</v>
      </c>
      <c r="G543" s="69">
        <f t="shared" si="276"/>
        <v>34745.75</v>
      </c>
      <c r="H543" s="69">
        <f>30212.42+4533.33</f>
        <v>34745.75</v>
      </c>
      <c r="I543" s="69"/>
      <c r="J543" s="69"/>
      <c r="K543" s="69"/>
      <c r="L543" s="69"/>
      <c r="M543" s="609"/>
      <c r="N543" s="609"/>
      <c r="O543" s="609"/>
      <c r="P543" s="1177" t="s">
        <v>1581</v>
      </c>
      <c r="W543" s="640">
        <v>1</v>
      </c>
    </row>
    <row r="544" spans="1:23" s="640" customFormat="1" ht="18" customHeight="1" x14ac:dyDescent="0.3">
      <c r="A544" s="2314"/>
      <c r="B544" s="1718"/>
      <c r="C544" s="1718"/>
      <c r="D544" s="1718"/>
      <c r="E544" s="1718"/>
      <c r="F544" s="385" t="s">
        <v>14</v>
      </c>
      <c r="G544" s="69">
        <f t="shared" si="276"/>
        <v>1828.72</v>
      </c>
      <c r="H544" s="69">
        <f>1590.13+238.59</f>
        <v>1828.72</v>
      </c>
      <c r="I544" s="69"/>
      <c r="J544" s="69"/>
      <c r="K544" s="69"/>
      <c r="L544" s="69"/>
      <c r="M544" s="609"/>
      <c r="N544" s="609"/>
      <c r="O544" s="609"/>
      <c r="P544" s="1177"/>
    </row>
    <row r="545" spans="1:23" s="640" customFormat="1" ht="18" customHeight="1" x14ac:dyDescent="0.3">
      <c r="A545" s="2314" t="s">
        <v>621</v>
      </c>
      <c r="B545" s="1718" t="s">
        <v>1033</v>
      </c>
      <c r="C545" s="1718"/>
      <c r="D545" s="1718"/>
      <c r="E545" s="1718"/>
      <c r="F545" s="385" t="s">
        <v>12</v>
      </c>
      <c r="G545" s="69">
        <f t="shared" ref="G545:G547" si="277">SUM(H545:L545)</f>
        <v>1297.49</v>
      </c>
      <c r="H545" s="69">
        <f>H546+H547</f>
        <v>1297.49</v>
      </c>
      <c r="I545" s="69"/>
      <c r="J545" s="69"/>
      <c r="K545" s="69"/>
      <c r="L545" s="69"/>
      <c r="M545" s="609"/>
      <c r="N545" s="609"/>
      <c r="O545" s="609"/>
      <c r="P545" s="1177"/>
    </row>
    <row r="546" spans="1:23" s="640" customFormat="1" ht="18" customHeight="1" x14ac:dyDescent="0.3">
      <c r="A546" s="2314"/>
      <c r="B546" s="1718"/>
      <c r="C546" s="1718"/>
      <c r="D546" s="1718"/>
      <c r="E546" s="1718"/>
      <c r="F546" s="385" t="s">
        <v>13</v>
      </c>
      <c r="G546" s="69">
        <f t="shared" si="277"/>
        <v>1232.6099999999999</v>
      </c>
      <c r="H546" s="69">
        <f>14695.82-13463.21</f>
        <v>1232.6099999999999</v>
      </c>
      <c r="I546" s="69"/>
      <c r="J546" s="69"/>
      <c r="K546" s="69"/>
      <c r="L546" s="69"/>
      <c r="M546" s="609"/>
      <c r="N546" s="609"/>
      <c r="O546" s="609"/>
      <c r="P546" s="1177" t="s">
        <v>1582</v>
      </c>
      <c r="W546" s="640">
        <v>1</v>
      </c>
    </row>
    <row r="547" spans="1:23" s="640" customFormat="1" ht="18" customHeight="1" x14ac:dyDescent="0.3">
      <c r="A547" s="2314"/>
      <c r="B547" s="1718"/>
      <c r="C547" s="1718"/>
      <c r="D547" s="1718"/>
      <c r="E547" s="1718"/>
      <c r="F547" s="385" t="s">
        <v>14</v>
      </c>
      <c r="G547" s="69">
        <f t="shared" si="277"/>
        <v>64.88</v>
      </c>
      <c r="H547" s="69">
        <f>773.47-708.59</f>
        <v>64.88</v>
      </c>
      <c r="I547" s="69"/>
      <c r="J547" s="69"/>
      <c r="K547" s="69"/>
      <c r="L547" s="69"/>
      <c r="M547" s="609"/>
      <c r="N547" s="609"/>
      <c r="O547" s="609"/>
      <c r="P547" s="1177"/>
    </row>
    <row r="548" spans="1:23" s="640" customFormat="1" ht="40.5" customHeight="1" x14ac:dyDescent="0.3">
      <c r="A548" s="2314" t="s">
        <v>503</v>
      </c>
      <c r="B548" s="1718" t="s">
        <v>424</v>
      </c>
      <c r="C548" s="1718"/>
      <c r="D548" s="1718"/>
      <c r="E548" s="1718"/>
      <c r="F548" s="385" t="s">
        <v>12</v>
      </c>
      <c r="G548" s="69">
        <f t="shared" si="276"/>
        <v>176065.69</v>
      </c>
      <c r="H548" s="69">
        <f>H549+H550</f>
        <v>176065.69</v>
      </c>
      <c r="I548" s="69"/>
      <c r="J548" s="69"/>
      <c r="K548" s="69"/>
      <c r="L548" s="69"/>
      <c r="M548" s="609"/>
      <c r="N548" s="609"/>
      <c r="O548" s="609"/>
      <c r="P548" s="1177"/>
    </row>
    <row r="549" spans="1:23" s="640" customFormat="1" ht="36.75" customHeight="1" x14ac:dyDescent="0.3">
      <c r="A549" s="2314"/>
      <c r="B549" s="1718"/>
      <c r="C549" s="1718"/>
      <c r="D549" s="1718"/>
      <c r="E549" s="1718"/>
      <c r="F549" s="385" t="s">
        <v>13</v>
      </c>
      <c r="G549" s="69">
        <f t="shared" si="276"/>
        <v>168118.32</v>
      </c>
      <c r="H549" s="69">
        <f>17118.32+151000</f>
        <v>168118.32</v>
      </c>
      <c r="I549" s="69"/>
      <c r="J549" s="69"/>
      <c r="K549" s="69"/>
      <c r="L549" s="69"/>
      <c r="M549" s="609"/>
      <c r="N549" s="609"/>
      <c r="O549" s="609"/>
      <c r="P549" s="1177" t="s">
        <v>1581</v>
      </c>
      <c r="W549" s="640">
        <v>1</v>
      </c>
    </row>
    <row r="550" spans="1:23" s="640" customFormat="1" ht="51" customHeight="1" x14ac:dyDescent="0.3">
      <c r="A550" s="2314"/>
      <c r="B550" s="1718"/>
      <c r="C550" s="1718"/>
      <c r="D550" s="1718"/>
      <c r="E550" s="1718"/>
      <c r="F550" s="385" t="s">
        <v>14</v>
      </c>
      <c r="G550" s="69">
        <f t="shared" si="276"/>
        <v>7947.37</v>
      </c>
      <c r="H550" s="69">
        <v>7947.37</v>
      </c>
      <c r="I550" s="69"/>
      <c r="J550" s="69"/>
      <c r="K550" s="69"/>
      <c r="L550" s="69"/>
      <c r="M550" s="609"/>
      <c r="N550" s="609"/>
      <c r="O550" s="609"/>
      <c r="P550" s="1177"/>
    </row>
    <row r="551" spans="1:23" s="640" customFormat="1" ht="32.25" customHeight="1" x14ac:dyDescent="0.3">
      <c r="A551" s="2314" t="s">
        <v>685</v>
      </c>
      <c r="B551" s="1718" t="s">
        <v>1032</v>
      </c>
      <c r="C551" s="1718"/>
      <c r="D551" s="1718"/>
      <c r="E551" s="1718"/>
      <c r="F551" s="385" t="s">
        <v>12</v>
      </c>
      <c r="G551" s="69">
        <f t="shared" ref="G551:G553" si="278">SUM(H551:L551)</f>
        <v>1835.04</v>
      </c>
      <c r="H551" s="69">
        <f>H552+H553</f>
        <v>1835.04</v>
      </c>
      <c r="I551" s="389"/>
      <c r="J551" s="389"/>
      <c r="K551" s="389"/>
      <c r="L551" s="389"/>
      <c r="M551" s="383"/>
      <c r="N551" s="383"/>
      <c r="O551" s="609"/>
      <c r="P551" s="1177"/>
    </row>
    <row r="552" spans="1:23" s="640" customFormat="1" ht="18" customHeight="1" x14ac:dyDescent="0.3">
      <c r="A552" s="2314"/>
      <c r="B552" s="1718"/>
      <c r="C552" s="1718"/>
      <c r="D552" s="1718"/>
      <c r="E552" s="1718"/>
      <c r="F552" s="385" t="s">
        <v>13</v>
      </c>
      <c r="G552" s="69">
        <f t="shared" si="278"/>
        <v>1806.1</v>
      </c>
      <c r="H552" s="69">
        <f>95047.38-93241.277</f>
        <v>1806.1</v>
      </c>
      <c r="I552" s="69"/>
      <c r="J552" s="69"/>
      <c r="K552" s="69"/>
      <c r="L552" s="69"/>
      <c r="M552" s="69"/>
      <c r="N552" s="69"/>
      <c r="O552" s="609"/>
      <c r="P552" s="1177" t="s">
        <v>1583</v>
      </c>
    </row>
    <row r="553" spans="1:23" s="640" customFormat="1" ht="18" customHeight="1" x14ac:dyDescent="0.3">
      <c r="A553" s="2314"/>
      <c r="B553" s="1718"/>
      <c r="C553" s="1718"/>
      <c r="D553" s="1718"/>
      <c r="E553" s="1718"/>
      <c r="F553" s="385" t="s">
        <v>14</v>
      </c>
      <c r="G553" s="69">
        <f t="shared" si="278"/>
        <v>28.94</v>
      </c>
      <c r="H553" s="69">
        <f>5002.5-4973.564</f>
        <v>28.94</v>
      </c>
      <c r="I553" s="69"/>
      <c r="J553" s="69"/>
      <c r="K553" s="69"/>
      <c r="L553" s="69"/>
      <c r="M553" s="609"/>
      <c r="N553" s="609"/>
      <c r="O553" s="609"/>
      <c r="P553" s="1177"/>
    </row>
    <row r="554" spans="1:23" s="640" customFormat="1" ht="18" customHeight="1" x14ac:dyDescent="0.3">
      <c r="A554" s="2314" t="s">
        <v>477</v>
      </c>
      <c r="B554" s="1718" t="s">
        <v>1704</v>
      </c>
      <c r="C554" s="1718"/>
      <c r="D554" s="1718"/>
      <c r="E554" s="1718"/>
      <c r="F554" s="385" t="s">
        <v>12</v>
      </c>
      <c r="G554" s="69">
        <f t="shared" ref="G554:G556" si="279">SUM(H554:L554)</f>
        <v>6003.5</v>
      </c>
      <c r="H554" s="69">
        <f>H555+H556</f>
        <v>6003.5</v>
      </c>
      <c r="I554" s="69"/>
      <c r="J554" s="69"/>
      <c r="K554" s="69"/>
      <c r="L554" s="69"/>
      <c r="M554" s="609"/>
      <c r="N554" s="609"/>
      <c r="O554" s="609"/>
      <c r="P554" s="1177"/>
    </row>
    <row r="555" spans="1:23" s="640" customFormat="1" ht="18" customHeight="1" x14ac:dyDescent="0.3">
      <c r="A555" s="2314"/>
      <c r="B555" s="1718"/>
      <c r="C555" s="1718"/>
      <c r="D555" s="1718"/>
      <c r="E555" s="1718"/>
      <c r="F555" s="385" t="s">
        <v>13</v>
      </c>
      <c r="G555" s="69">
        <f t="shared" si="279"/>
        <v>5403.15</v>
      </c>
      <c r="H555" s="69">
        <v>5403.15</v>
      </c>
      <c r="I555" s="69"/>
      <c r="J555" s="69"/>
      <c r="K555" s="69"/>
      <c r="L555" s="69"/>
      <c r="M555" s="609"/>
      <c r="N555" s="609"/>
      <c r="O555" s="609"/>
      <c r="P555" s="1177" t="s">
        <v>1584</v>
      </c>
      <c r="W555" s="640">
        <v>1</v>
      </c>
    </row>
    <row r="556" spans="1:23" s="640" customFormat="1" ht="18" customHeight="1" x14ac:dyDescent="0.3">
      <c r="A556" s="2314"/>
      <c r="B556" s="1718"/>
      <c r="C556" s="1718"/>
      <c r="D556" s="1718"/>
      <c r="E556" s="1718"/>
      <c r="F556" s="385" t="s">
        <v>14</v>
      </c>
      <c r="G556" s="69">
        <f t="shared" si="279"/>
        <v>600.35</v>
      </c>
      <c r="H556" s="69">
        <v>600.35</v>
      </c>
      <c r="I556" s="69"/>
      <c r="J556" s="69"/>
      <c r="K556" s="69"/>
      <c r="L556" s="69"/>
      <c r="M556" s="609"/>
      <c r="N556" s="609"/>
      <c r="O556" s="609"/>
      <c r="P556" s="1177"/>
    </row>
    <row r="557" spans="1:23" s="640" customFormat="1" ht="18" customHeight="1" x14ac:dyDescent="0.3">
      <c r="A557" s="2314" t="s">
        <v>444</v>
      </c>
      <c r="B557" s="1718" t="s">
        <v>1703</v>
      </c>
      <c r="C557" s="1718"/>
      <c r="D557" s="1718"/>
      <c r="E557" s="1718"/>
      <c r="F557" s="385" t="s">
        <v>12</v>
      </c>
      <c r="G557" s="69">
        <f t="shared" ref="G557:G580" si="280">SUM(H557:L557)</f>
        <v>5989.27</v>
      </c>
      <c r="H557" s="69">
        <f>H558+H559</f>
        <v>5989.27</v>
      </c>
      <c r="I557" s="69"/>
      <c r="J557" s="69"/>
      <c r="K557" s="69"/>
      <c r="L557" s="69"/>
      <c r="M557" s="609"/>
      <c r="N557" s="609"/>
      <c r="O557" s="609"/>
      <c r="P557" s="1177"/>
    </row>
    <row r="558" spans="1:23" s="640" customFormat="1" ht="18" customHeight="1" x14ac:dyDescent="0.3">
      <c r="A558" s="2314"/>
      <c r="B558" s="1718"/>
      <c r="C558" s="1718"/>
      <c r="D558" s="1718"/>
      <c r="E558" s="1718"/>
      <c r="F558" s="385" t="s">
        <v>13</v>
      </c>
      <c r="G558" s="69">
        <f t="shared" si="280"/>
        <v>5390.34</v>
      </c>
      <c r="H558" s="69">
        <v>5390.34</v>
      </c>
      <c r="I558" s="69"/>
      <c r="J558" s="69"/>
      <c r="K558" s="69"/>
      <c r="L558" s="69"/>
      <c r="M558" s="609"/>
      <c r="N558" s="609"/>
      <c r="O558" s="609"/>
      <c r="P558" s="1177" t="s">
        <v>1585</v>
      </c>
      <c r="W558" s="640">
        <v>1</v>
      </c>
    </row>
    <row r="559" spans="1:23" s="640" customFormat="1" ht="18" customHeight="1" x14ac:dyDescent="0.3">
      <c r="A559" s="2314"/>
      <c r="B559" s="1718"/>
      <c r="C559" s="1718"/>
      <c r="D559" s="1718"/>
      <c r="E559" s="1718"/>
      <c r="F559" s="385" t="s">
        <v>14</v>
      </c>
      <c r="G559" s="69">
        <f t="shared" si="280"/>
        <v>598.92999999999995</v>
      </c>
      <c r="H559" s="69">
        <v>598.92999999999995</v>
      </c>
      <c r="I559" s="69"/>
      <c r="J559" s="69"/>
      <c r="K559" s="69"/>
      <c r="L559" s="69"/>
      <c r="M559" s="609"/>
      <c r="N559" s="609"/>
      <c r="O559" s="609"/>
      <c r="P559" s="1177"/>
    </row>
    <row r="560" spans="1:23" s="640" customFormat="1" ht="18" customHeight="1" x14ac:dyDescent="0.3">
      <c r="A560" s="2314" t="s">
        <v>959</v>
      </c>
      <c r="B560" s="1718" t="s">
        <v>1702</v>
      </c>
      <c r="C560" s="1718"/>
      <c r="D560" s="1718"/>
      <c r="E560" s="1718"/>
      <c r="F560" s="385" t="s">
        <v>12</v>
      </c>
      <c r="G560" s="69">
        <f t="shared" si="280"/>
        <v>11283.09</v>
      </c>
      <c r="H560" s="69">
        <f>H561+H562</f>
        <v>11283.09</v>
      </c>
      <c r="I560" s="69"/>
      <c r="J560" s="69"/>
      <c r="K560" s="69"/>
      <c r="L560" s="69"/>
      <c r="M560" s="609"/>
      <c r="N560" s="609"/>
      <c r="O560" s="609"/>
      <c r="P560" s="1177"/>
    </row>
    <row r="561" spans="1:23" s="640" customFormat="1" ht="18" customHeight="1" x14ac:dyDescent="0.3">
      <c r="A561" s="2314"/>
      <c r="B561" s="1718"/>
      <c r="C561" s="1718"/>
      <c r="D561" s="1718"/>
      <c r="E561" s="1718"/>
      <c r="F561" s="385" t="s">
        <v>13</v>
      </c>
      <c r="G561" s="69">
        <f t="shared" si="280"/>
        <v>10154.780000000001</v>
      </c>
      <c r="H561" s="69">
        <v>10154.780000000001</v>
      </c>
      <c r="I561" s="69"/>
      <c r="J561" s="69"/>
      <c r="K561" s="69"/>
      <c r="L561" s="69"/>
      <c r="M561" s="609"/>
      <c r="N561" s="609"/>
      <c r="O561" s="609"/>
      <c r="P561" s="1177" t="s">
        <v>1584</v>
      </c>
      <c r="W561" s="640">
        <v>1</v>
      </c>
    </row>
    <row r="562" spans="1:23" s="640" customFormat="1" ht="18" customHeight="1" x14ac:dyDescent="0.3">
      <c r="A562" s="2314"/>
      <c r="B562" s="1718"/>
      <c r="C562" s="1718"/>
      <c r="D562" s="1718"/>
      <c r="E562" s="1718"/>
      <c r="F562" s="385" t="s">
        <v>14</v>
      </c>
      <c r="G562" s="69">
        <f t="shared" si="280"/>
        <v>1128.31</v>
      </c>
      <c r="H562" s="69">
        <v>1128.31</v>
      </c>
      <c r="I562" s="69"/>
      <c r="J562" s="69"/>
      <c r="K562" s="69"/>
      <c r="L562" s="69"/>
      <c r="M562" s="609"/>
      <c r="N562" s="609"/>
      <c r="O562" s="609"/>
      <c r="P562" s="1177"/>
    </row>
    <row r="563" spans="1:23" s="640" customFormat="1" ht="18" customHeight="1" x14ac:dyDescent="0.3">
      <c r="A563" s="2314" t="s">
        <v>961</v>
      </c>
      <c r="B563" s="1718" t="s">
        <v>1701</v>
      </c>
      <c r="C563" s="1718"/>
      <c r="D563" s="1718"/>
      <c r="E563" s="1718"/>
      <c r="F563" s="385" t="s">
        <v>12</v>
      </c>
      <c r="G563" s="69">
        <f t="shared" si="280"/>
        <v>10085.89</v>
      </c>
      <c r="H563" s="69">
        <f>H564+H565</f>
        <v>10085.89</v>
      </c>
      <c r="I563" s="69"/>
      <c r="J563" s="69"/>
      <c r="K563" s="69"/>
      <c r="L563" s="69"/>
      <c r="M563" s="609"/>
      <c r="N563" s="609"/>
      <c r="O563" s="609"/>
      <c r="P563" s="1177"/>
    </row>
    <row r="564" spans="1:23" s="640" customFormat="1" ht="18" customHeight="1" x14ac:dyDescent="0.3">
      <c r="A564" s="2314"/>
      <c r="B564" s="1718"/>
      <c r="C564" s="1718"/>
      <c r="D564" s="1718"/>
      <c r="E564" s="1718"/>
      <c r="F564" s="385" t="s">
        <v>13</v>
      </c>
      <c r="G564" s="69">
        <f t="shared" si="280"/>
        <v>9077.2999999999993</v>
      </c>
      <c r="H564" s="69">
        <v>9077.2999999999993</v>
      </c>
      <c r="I564" s="69"/>
      <c r="J564" s="69"/>
      <c r="K564" s="69"/>
      <c r="L564" s="69"/>
      <c r="M564" s="609"/>
      <c r="N564" s="609"/>
      <c r="O564" s="609"/>
      <c r="P564" s="1177" t="s">
        <v>1584</v>
      </c>
      <c r="W564" s="640">
        <v>1</v>
      </c>
    </row>
    <row r="565" spans="1:23" s="640" customFormat="1" ht="18" customHeight="1" x14ac:dyDescent="0.3">
      <c r="A565" s="2314"/>
      <c r="B565" s="1718"/>
      <c r="C565" s="1718"/>
      <c r="D565" s="1718"/>
      <c r="E565" s="1718"/>
      <c r="F565" s="385" t="s">
        <v>14</v>
      </c>
      <c r="G565" s="69">
        <f t="shared" si="280"/>
        <v>1008.59</v>
      </c>
      <c r="H565" s="69">
        <v>1008.59</v>
      </c>
      <c r="I565" s="69"/>
      <c r="J565" s="69"/>
      <c r="K565" s="69"/>
      <c r="L565" s="69"/>
      <c r="M565" s="609"/>
      <c r="N565" s="609"/>
      <c r="O565" s="609"/>
      <c r="P565" s="1177"/>
    </row>
    <row r="566" spans="1:23" s="640" customFormat="1" ht="18" customHeight="1" x14ac:dyDescent="0.3">
      <c r="A566" s="2314" t="s">
        <v>963</v>
      </c>
      <c r="B566" s="2375" t="s">
        <v>1418</v>
      </c>
      <c r="C566" s="2375"/>
      <c r="D566" s="2375"/>
      <c r="E566" s="2375"/>
      <c r="F566" s="385" t="s">
        <v>12</v>
      </c>
      <c r="G566" s="69">
        <f t="shared" ref="G566:G568" si="281">SUM(H566:L566)</f>
        <v>10291</v>
      </c>
      <c r="H566" s="69">
        <f>H567+H568</f>
        <v>10291</v>
      </c>
      <c r="I566" s="69"/>
      <c r="J566" s="69"/>
      <c r="K566" s="69"/>
      <c r="L566" s="69"/>
      <c r="M566" s="609"/>
      <c r="N566" s="609"/>
      <c r="O566" s="609"/>
      <c r="P566" s="1177"/>
    </row>
    <row r="567" spans="1:23" s="640" customFormat="1" ht="18" customHeight="1" x14ac:dyDescent="0.3">
      <c r="A567" s="2314"/>
      <c r="B567" s="2375"/>
      <c r="C567" s="2375"/>
      <c r="D567" s="2375"/>
      <c r="E567" s="2375"/>
      <c r="F567" s="385" t="s">
        <v>13</v>
      </c>
      <c r="G567" s="69">
        <f t="shared" si="281"/>
        <v>9776.4500000000007</v>
      </c>
      <c r="H567" s="69">
        <v>9776.4500000000007</v>
      </c>
      <c r="I567" s="69"/>
      <c r="J567" s="69"/>
      <c r="K567" s="69"/>
      <c r="L567" s="69"/>
      <c r="M567" s="609"/>
      <c r="N567" s="609"/>
      <c r="O567" s="609"/>
      <c r="P567" s="1179" t="s">
        <v>1586</v>
      </c>
    </row>
    <row r="568" spans="1:23" s="640" customFormat="1" ht="18" customHeight="1" x14ac:dyDescent="0.3">
      <c r="A568" s="2314"/>
      <c r="B568" s="2375"/>
      <c r="C568" s="2375"/>
      <c r="D568" s="2375"/>
      <c r="E568" s="2375"/>
      <c r="F568" s="385" t="s">
        <v>14</v>
      </c>
      <c r="G568" s="69">
        <f t="shared" si="281"/>
        <v>514.54999999999995</v>
      </c>
      <c r="H568" s="69">
        <v>514.54999999999995</v>
      </c>
      <c r="I568" s="69"/>
      <c r="J568" s="69"/>
      <c r="K568" s="69"/>
      <c r="L568" s="69"/>
      <c r="M568" s="609"/>
      <c r="N568" s="609"/>
      <c r="O568" s="609"/>
      <c r="P568" s="1177"/>
    </row>
    <row r="569" spans="1:23" s="640" customFormat="1" ht="18" customHeight="1" x14ac:dyDescent="0.3">
      <c r="A569" s="2314" t="s">
        <v>969</v>
      </c>
      <c r="B569" s="1718" t="s">
        <v>1700</v>
      </c>
      <c r="C569" s="1718"/>
      <c r="D569" s="1718"/>
      <c r="E569" s="1718"/>
      <c r="F569" s="385" t="s">
        <v>12</v>
      </c>
      <c r="G569" s="69">
        <f t="shared" si="280"/>
        <v>2636.07</v>
      </c>
      <c r="H569" s="69">
        <f>H570+H571</f>
        <v>2636.07</v>
      </c>
      <c r="I569" s="69"/>
      <c r="J569" s="69"/>
      <c r="K569" s="69"/>
      <c r="L569" s="69"/>
      <c r="M569" s="609"/>
      <c r="N569" s="609"/>
      <c r="O569" s="609"/>
      <c r="P569" s="1177"/>
    </row>
    <row r="570" spans="1:23" s="640" customFormat="1" ht="18" customHeight="1" x14ac:dyDescent="0.3">
      <c r="A570" s="2314"/>
      <c r="B570" s="1718"/>
      <c r="C570" s="1718"/>
      <c r="D570" s="1718"/>
      <c r="E570" s="1718"/>
      <c r="F570" s="385" t="s">
        <v>13</v>
      </c>
      <c r="G570" s="69">
        <f t="shared" si="280"/>
        <v>2372.46</v>
      </c>
      <c r="H570" s="69">
        <v>2372.46</v>
      </c>
      <c r="I570" s="69"/>
      <c r="J570" s="69"/>
      <c r="K570" s="69"/>
      <c r="L570" s="69"/>
      <c r="M570" s="609"/>
      <c r="N570" s="609"/>
      <c r="O570" s="609"/>
      <c r="P570" s="1177" t="s">
        <v>1584</v>
      </c>
      <c r="W570" s="640">
        <v>1</v>
      </c>
    </row>
    <row r="571" spans="1:23" s="640" customFormat="1" ht="18" customHeight="1" x14ac:dyDescent="0.3">
      <c r="A571" s="2314"/>
      <c r="B571" s="1718"/>
      <c r="C571" s="1718"/>
      <c r="D571" s="1718"/>
      <c r="E571" s="1718"/>
      <c r="F571" s="385" t="s">
        <v>14</v>
      </c>
      <c r="G571" s="69">
        <f t="shared" si="280"/>
        <v>263.61</v>
      </c>
      <c r="H571" s="69">
        <v>263.61</v>
      </c>
      <c r="I571" s="69"/>
      <c r="J571" s="69"/>
      <c r="K571" s="69"/>
      <c r="L571" s="69"/>
      <c r="M571" s="609"/>
      <c r="N571" s="609"/>
      <c r="O571" s="609"/>
      <c r="P571" s="1177"/>
    </row>
    <row r="572" spans="1:23" s="640" customFormat="1" ht="18" customHeight="1" x14ac:dyDescent="0.3">
      <c r="A572" s="2314" t="s">
        <v>973</v>
      </c>
      <c r="B572" s="1718" t="s">
        <v>1699</v>
      </c>
      <c r="C572" s="1718"/>
      <c r="D572" s="1718"/>
      <c r="E572" s="1718"/>
      <c r="F572" s="385" t="s">
        <v>12</v>
      </c>
      <c r="G572" s="69">
        <f t="shared" si="280"/>
        <v>3070.94</v>
      </c>
      <c r="H572" s="69">
        <f>H573+H574</f>
        <v>3070.94</v>
      </c>
      <c r="I572" s="69"/>
      <c r="J572" s="69"/>
      <c r="K572" s="69"/>
      <c r="L572" s="69"/>
      <c r="M572" s="609"/>
      <c r="N572" s="609"/>
      <c r="O572" s="609"/>
      <c r="P572" s="1177"/>
    </row>
    <row r="573" spans="1:23" s="640" customFormat="1" ht="18" customHeight="1" x14ac:dyDescent="0.3">
      <c r="A573" s="2314"/>
      <c r="B573" s="1718"/>
      <c r="C573" s="1718"/>
      <c r="D573" s="1718"/>
      <c r="E573" s="1718"/>
      <c r="F573" s="385" t="s">
        <v>13</v>
      </c>
      <c r="G573" s="69">
        <f t="shared" si="280"/>
        <v>2763.85</v>
      </c>
      <c r="H573" s="69">
        <v>2763.85</v>
      </c>
      <c r="I573" s="69"/>
      <c r="J573" s="69"/>
      <c r="K573" s="69"/>
      <c r="L573" s="69"/>
      <c r="M573" s="609"/>
      <c r="N573" s="609"/>
      <c r="O573" s="609"/>
      <c r="P573" s="1177" t="s">
        <v>1584</v>
      </c>
      <c r="W573" s="640">
        <v>1</v>
      </c>
    </row>
    <row r="574" spans="1:23" s="640" customFormat="1" ht="18" customHeight="1" x14ac:dyDescent="0.3">
      <c r="A574" s="2314"/>
      <c r="B574" s="1718"/>
      <c r="C574" s="1718"/>
      <c r="D574" s="1718"/>
      <c r="E574" s="1718"/>
      <c r="F574" s="385" t="s">
        <v>14</v>
      </c>
      <c r="G574" s="69">
        <f t="shared" si="280"/>
        <v>307.08999999999997</v>
      </c>
      <c r="H574" s="69">
        <v>307.08999999999997</v>
      </c>
      <c r="I574" s="69"/>
      <c r="J574" s="69"/>
      <c r="K574" s="69"/>
      <c r="L574" s="69"/>
      <c r="M574" s="609"/>
      <c r="N574" s="609"/>
      <c r="O574" s="609"/>
      <c r="P574" s="1177"/>
    </row>
    <row r="575" spans="1:23" s="640" customFormat="1" ht="18" customHeight="1" x14ac:dyDescent="0.3">
      <c r="A575" s="2314" t="s">
        <v>703</v>
      </c>
      <c r="B575" s="2375" t="s">
        <v>1030</v>
      </c>
      <c r="C575" s="2375"/>
      <c r="D575" s="2375"/>
      <c r="E575" s="2375"/>
      <c r="F575" s="385" t="s">
        <v>12</v>
      </c>
      <c r="G575" s="69">
        <f t="shared" ref="G575:G577" si="282">SUM(H575:L575)</f>
        <v>14929.74</v>
      </c>
      <c r="H575" s="69">
        <f>H576+H577</f>
        <v>14929.74</v>
      </c>
      <c r="I575" s="69"/>
      <c r="J575" s="69"/>
      <c r="K575" s="69"/>
      <c r="L575" s="69"/>
      <c r="M575" s="609"/>
      <c r="N575" s="609"/>
      <c r="O575" s="385"/>
      <c r="P575" s="1106"/>
      <c r="Q575" s="385"/>
      <c r="R575" s="69"/>
      <c r="S575" s="69"/>
    </row>
    <row r="576" spans="1:23" s="640" customFormat="1" ht="18" customHeight="1" x14ac:dyDescent="0.3">
      <c r="A576" s="2314"/>
      <c r="B576" s="2375"/>
      <c r="C576" s="2375"/>
      <c r="D576" s="2375"/>
      <c r="E576" s="2375"/>
      <c r="F576" s="385" t="s">
        <v>13</v>
      </c>
      <c r="G576" s="69">
        <f t="shared" si="282"/>
        <v>14183.25</v>
      </c>
      <c r="H576" s="69">
        <f>34765.69-20582.44</f>
        <v>14183.25</v>
      </c>
      <c r="I576" s="69"/>
      <c r="J576" s="69"/>
      <c r="K576" s="69"/>
      <c r="L576" s="69"/>
      <c r="M576" s="609"/>
      <c r="N576" s="609"/>
      <c r="O576" s="385"/>
      <c r="P576" s="1180" t="s">
        <v>1582</v>
      </c>
      <c r="Q576" s="385"/>
      <c r="R576" s="69"/>
      <c r="S576" s="69"/>
      <c r="W576" s="640">
        <v>1</v>
      </c>
    </row>
    <row r="577" spans="1:23" s="640" customFormat="1" ht="18" customHeight="1" x14ac:dyDescent="0.3">
      <c r="A577" s="2314"/>
      <c r="B577" s="2375"/>
      <c r="C577" s="2375"/>
      <c r="D577" s="2375"/>
      <c r="E577" s="2375"/>
      <c r="F577" s="385" t="s">
        <v>14</v>
      </c>
      <c r="G577" s="69">
        <f t="shared" si="282"/>
        <v>746.49</v>
      </c>
      <c r="H577" s="69">
        <v>746.49</v>
      </c>
      <c r="I577" s="69"/>
      <c r="J577" s="69"/>
      <c r="K577" s="69"/>
      <c r="L577" s="69"/>
      <c r="M577" s="609"/>
      <c r="N577" s="609"/>
      <c r="O577" s="385"/>
      <c r="P577" s="1106"/>
      <c r="Q577" s="385"/>
      <c r="R577" s="69"/>
      <c r="S577" s="69"/>
    </row>
    <row r="578" spans="1:23" s="640" customFormat="1" ht="18" customHeight="1" x14ac:dyDescent="0.3">
      <c r="A578" s="2314" t="s">
        <v>704</v>
      </c>
      <c r="B578" s="1718" t="s">
        <v>1698</v>
      </c>
      <c r="C578" s="1718"/>
      <c r="D578" s="1718"/>
      <c r="E578" s="1718"/>
      <c r="F578" s="385" t="s">
        <v>12</v>
      </c>
      <c r="G578" s="69">
        <f t="shared" si="280"/>
        <v>1279.6199999999999</v>
      </c>
      <c r="H578" s="69">
        <f>H579+H580</f>
        <v>1279.6199999999999</v>
      </c>
      <c r="I578" s="69"/>
      <c r="J578" s="69"/>
      <c r="K578" s="69"/>
      <c r="L578" s="69"/>
      <c r="M578" s="609"/>
      <c r="N578" s="609"/>
      <c r="O578" s="269"/>
      <c r="P578" s="629"/>
      <c r="Q578" s="385"/>
      <c r="R578" s="69"/>
      <c r="S578" s="69"/>
    </row>
    <row r="579" spans="1:23" s="640" customFormat="1" ht="18" customHeight="1" x14ac:dyDescent="0.3">
      <c r="A579" s="2314"/>
      <c r="B579" s="1718"/>
      <c r="C579" s="1718"/>
      <c r="D579" s="1718"/>
      <c r="E579" s="1718"/>
      <c r="F579" s="385" t="s">
        <v>13</v>
      </c>
      <c r="G579" s="69">
        <f t="shared" si="280"/>
        <v>1151.6600000000001</v>
      </c>
      <c r="H579" s="69">
        <v>1151.6600000000001</v>
      </c>
      <c r="I579" s="69"/>
      <c r="J579" s="69"/>
      <c r="K579" s="69"/>
      <c r="L579" s="69"/>
      <c r="M579" s="609"/>
      <c r="N579" s="609"/>
      <c r="O579" s="269"/>
      <c r="P579" s="629" t="s">
        <v>1587</v>
      </c>
      <c r="Q579" s="385"/>
      <c r="R579" s="69"/>
      <c r="S579" s="69"/>
    </row>
    <row r="580" spans="1:23" s="640" customFormat="1" ht="18" customHeight="1" x14ac:dyDescent="0.3">
      <c r="A580" s="2314"/>
      <c r="B580" s="1718"/>
      <c r="C580" s="1718"/>
      <c r="D580" s="1718"/>
      <c r="E580" s="1718"/>
      <c r="F580" s="385" t="s">
        <v>14</v>
      </c>
      <c r="G580" s="69">
        <f t="shared" si="280"/>
        <v>127.96</v>
      </c>
      <c r="H580" s="69">
        <v>127.96</v>
      </c>
      <c r="I580" s="69"/>
      <c r="J580" s="69"/>
      <c r="K580" s="69"/>
      <c r="L580" s="69"/>
      <c r="M580" s="609"/>
      <c r="N580" s="609"/>
      <c r="O580" s="269"/>
      <c r="P580" s="629"/>
      <c r="Q580" s="385"/>
      <c r="R580" s="69"/>
      <c r="S580" s="69"/>
    </row>
    <row r="581" spans="1:23" s="640" customFormat="1" ht="18" customHeight="1" x14ac:dyDescent="0.3">
      <c r="A581" s="2314" t="s">
        <v>705</v>
      </c>
      <c r="B581" s="1718" t="s">
        <v>1031</v>
      </c>
      <c r="C581" s="1718"/>
      <c r="D581" s="1718"/>
      <c r="E581" s="1718"/>
      <c r="F581" s="385" t="s">
        <v>12</v>
      </c>
      <c r="G581" s="69">
        <f t="shared" ref="G581:G583" si="283">SUM(H581:L581)</f>
        <v>9133.6</v>
      </c>
      <c r="H581" s="69">
        <f>H582+H583</f>
        <v>9133.6</v>
      </c>
      <c r="I581" s="69"/>
      <c r="J581" s="69"/>
      <c r="K581" s="69"/>
      <c r="L581" s="2314"/>
      <c r="M581" s="385"/>
      <c r="N581" s="385"/>
      <c r="O581" s="385"/>
      <c r="P581" s="1106" t="s">
        <v>1586</v>
      </c>
      <c r="Q581" s="385"/>
      <c r="R581" s="69"/>
      <c r="S581" s="69"/>
    </row>
    <row r="582" spans="1:23" s="640" customFormat="1" ht="18" customHeight="1" x14ac:dyDescent="0.3">
      <c r="A582" s="2314"/>
      <c r="B582" s="1718"/>
      <c r="C582" s="1718"/>
      <c r="D582" s="1718"/>
      <c r="E582" s="1718"/>
      <c r="F582" s="385" t="s">
        <v>13</v>
      </c>
      <c r="G582" s="69">
        <f t="shared" si="283"/>
        <v>8676.92</v>
      </c>
      <c r="H582" s="69">
        <f>31000.78-22323.86</f>
        <v>8676.92</v>
      </c>
      <c r="I582" s="69"/>
      <c r="J582" s="69"/>
      <c r="K582" s="69"/>
      <c r="L582" s="2314"/>
      <c r="M582" s="385"/>
      <c r="N582" s="385"/>
      <c r="O582" s="385"/>
      <c r="P582" s="1106"/>
      <c r="Q582" s="385"/>
      <c r="R582" s="69"/>
      <c r="S582" s="69"/>
    </row>
    <row r="583" spans="1:23" s="640" customFormat="1" ht="18" customHeight="1" x14ac:dyDescent="0.3">
      <c r="A583" s="2314"/>
      <c r="B583" s="1718"/>
      <c r="C583" s="1718"/>
      <c r="D583" s="1718"/>
      <c r="E583" s="1718"/>
      <c r="F583" s="385" t="s">
        <v>14</v>
      </c>
      <c r="G583" s="69">
        <f t="shared" si="283"/>
        <v>456.68</v>
      </c>
      <c r="H583" s="69">
        <v>456.68</v>
      </c>
      <c r="I583" s="69"/>
      <c r="J583" s="69"/>
      <c r="K583" s="69"/>
      <c r="L583" s="2314"/>
      <c r="M583" s="385"/>
      <c r="N583" s="385"/>
      <c r="O583" s="385"/>
      <c r="P583" s="1106"/>
      <c r="Q583" s="385"/>
      <c r="R583" s="69"/>
      <c r="S583" s="69"/>
    </row>
    <row r="584" spans="1:23" s="640" customFormat="1" ht="18" customHeight="1" x14ac:dyDescent="0.3">
      <c r="A584" s="2314" t="s">
        <v>706</v>
      </c>
      <c r="B584" s="2375" t="s">
        <v>1057</v>
      </c>
      <c r="C584" s="2375"/>
      <c r="D584" s="2375"/>
      <c r="E584" s="2375"/>
      <c r="F584" s="385" t="s">
        <v>12</v>
      </c>
      <c r="G584" s="69">
        <f>G585+G586</f>
        <v>23984.53</v>
      </c>
      <c r="H584" s="69">
        <f>H585/0.9</f>
        <v>23984.53</v>
      </c>
      <c r="I584" s="69"/>
      <c r="J584" s="69"/>
      <c r="K584" s="69"/>
      <c r="L584" s="2314"/>
      <c r="M584" s="269"/>
      <c r="N584" s="269"/>
      <c r="O584" s="385"/>
      <c r="P584" s="1106"/>
      <c r="Q584" s="385"/>
      <c r="R584" s="69"/>
      <c r="S584" s="69"/>
    </row>
    <row r="585" spans="1:23" s="640" customFormat="1" ht="18" customHeight="1" x14ac:dyDescent="0.3">
      <c r="A585" s="2314"/>
      <c r="B585" s="2375"/>
      <c r="C585" s="2375"/>
      <c r="D585" s="2375"/>
      <c r="E585" s="2375"/>
      <c r="F585" s="385" t="s">
        <v>13</v>
      </c>
      <c r="G585" s="69">
        <f>H585</f>
        <v>21586.080000000002</v>
      </c>
      <c r="H585" s="69">
        <v>21586.080000000002</v>
      </c>
      <c r="I585" s="69"/>
      <c r="J585" s="69"/>
      <c r="K585" s="69"/>
      <c r="L585" s="2314"/>
      <c r="M585" s="269"/>
      <c r="N585" s="269"/>
      <c r="O585" s="385"/>
      <c r="P585" s="1106" t="s">
        <v>1576</v>
      </c>
      <c r="Q585" s="385"/>
      <c r="R585" s="69"/>
      <c r="S585" s="69"/>
      <c r="W585" s="640">
        <v>1</v>
      </c>
    </row>
    <row r="586" spans="1:23" s="640" customFormat="1" ht="18" customHeight="1" x14ac:dyDescent="0.3">
      <c r="A586" s="2314"/>
      <c r="B586" s="2375"/>
      <c r="C586" s="2375"/>
      <c r="D586" s="2375"/>
      <c r="E586" s="2375"/>
      <c r="F586" s="385" t="s">
        <v>14</v>
      </c>
      <c r="G586" s="69">
        <f>H586</f>
        <v>2398.4499999999998</v>
      </c>
      <c r="H586" s="69">
        <f>H584*0.1</f>
        <v>2398.4499999999998</v>
      </c>
      <c r="I586" s="69"/>
      <c r="J586" s="69"/>
      <c r="K586" s="69"/>
      <c r="L586" s="2314"/>
      <c r="M586" s="269"/>
      <c r="N586" s="269"/>
      <c r="O586" s="385"/>
      <c r="P586" s="1106"/>
      <c r="Q586" s="385"/>
      <c r="R586" s="69"/>
      <c r="S586" s="69"/>
    </row>
    <row r="587" spans="1:23" s="640" customFormat="1" ht="18" customHeight="1" x14ac:dyDescent="0.3">
      <c r="A587" s="2314" t="s">
        <v>707</v>
      </c>
      <c r="B587" s="1718" t="s">
        <v>1058</v>
      </c>
      <c r="C587" s="1718"/>
      <c r="D587" s="1718"/>
      <c r="E587" s="1718"/>
      <c r="F587" s="385" t="s">
        <v>12</v>
      </c>
      <c r="G587" s="69">
        <f>G588+G589</f>
        <v>1507.52</v>
      </c>
      <c r="H587" s="69">
        <f>H588/0.9</f>
        <v>1507.52</v>
      </c>
      <c r="I587" s="69"/>
      <c r="J587" s="69"/>
      <c r="K587" s="69"/>
      <c r="L587" s="2314"/>
      <c r="M587" s="385"/>
      <c r="N587" s="385"/>
      <c r="O587" s="269"/>
      <c r="P587" s="401"/>
      <c r="Q587" s="385"/>
      <c r="R587" s="69"/>
      <c r="S587" s="69"/>
    </row>
    <row r="588" spans="1:23" s="640" customFormat="1" ht="18" customHeight="1" x14ac:dyDescent="0.3">
      <c r="A588" s="2314"/>
      <c r="B588" s="1718"/>
      <c r="C588" s="1718"/>
      <c r="D588" s="1718"/>
      <c r="E588" s="1718"/>
      <c r="F588" s="385" t="s">
        <v>13</v>
      </c>
      <c r="G588" s="69">
        <f>H588</f>
        <v>1356.77</v>
      </c>
      <c r="H588" s="69">
        <v>1356.77</v>
      </c>
      <c r="I588" s="69"/>
      <c r="J588" s="69"/>
      <c r="K588" s="69"/>
      <c r="L588" s="2314"/>
      <c r="M588" s="385"/>
      <c r="N588" s="385"/>
      <c r="O588" s="269"/>
      <c r="P588" s="402" t="s">
        <v>1576</v>
      </c>
      <c r="Q588" s="385"/>
      <c r="R588" s="69"/>
      <c r="S588" s="69"/>
      <c r="W588" s="640">
        <v>1</v>
      </c>
    </row>
    <row r="589" spans="1:23" s="640" customFormat="1" ht="18" customHeight="1" x14ac:dyDescent="0.3">
      <c r="A589" s="2314"/>
      <c r="B589" s="1718"/>
      <c r="C589" s="1718"/>
      <c r="D589" s="1718"/>
      <c r="E589" s="1718"/>
      <c r="F589" s="385" t="s">
        <v>14</v>
      </c>
      <c r="G589" s="69">
        <f>H589</f>
        <v>150.75</v>
      </c>
      <c r="H589" s="69">
        <f>H587*0.1</f>
        <v>150.75</v>
      </c>
      <c r="I589" s="69"/>
      <c r="J589" s="69"/>
      <c r="K589" s="69"/>
      <c r="L589" s="2314"/>
      <c r="M589" s="385"/>
      <c r="N589" s="385"/>
      <c r="O589" s="269"/>
      <c r="P589" s="403"/>
      <c r="Q589" s="385"/>
      <c r="R589" s="69"/>
      <c r="S589" s="69"/>
    </row>
    <row r="590" spans="1:23" s="640" customFormat="1" ht="18" customHeight="1" x14ac:dyDescent="0.3">
      <c r="A590" s="2314" t="s">
        <v>708</v>
      </c>
      <c r="B590" s="2375" t="s">
        <v>1059</v>
      </c>
      <c r="C590" s="2375"/>
      <c r="D590" s="2375"/>
      <c r="E590" s="2375"/>
      <c r="F590" s="385" t="s">
        <v>12</v>
      </c>
      <c r="G590" s="69">
        <f>G591+G592</f>
        <v>2399.39</v>
      </c>
      <c r="H590" s="69">
        <f>H591/0.9</f>
        <v>2399.39</v>
      </c>
      <c r="I590" s="69"/>
      <c r="J590" s="69"/>
      <c r="K590" s="69"/>
      <c r="L590" s="2314"/>
      <c r="M590" s="385"/>
      <c r="N590" s="385"/>
      <c r="O590" s="385"/>
      <c r="P590" s="1106"/>
      <c r="Q590" s="385"/>
      <c r="R590" s="69"/>
      <c r="S590" s="69"/>
    </row>
    <row r="591" spans="1:23" s="640" customFormat="1" ht="18" customHeight="1" x14ac:dyDescent="0.3">
      <c r="A591" s="2314"/>
      <c r="B591" s="2375"/>
      <c r="C591" s="2375"/>
      <c r="D591" s="2375"/>
      <c r="E591" s="2375"/>
      <c r="F591" s="385" t="s">
        <v>13</v>
      </c>
      <c r="G591" s="69">
        <f>H591</f>
        <v>2159.4499999999998</v>
      </c>
      <c r="H591" s="69">
        <v>2159.4499999999998</v>
      </c>
      <c r="I591" s="69"/>
      <c r="J591" s="69"/>
      <c r="K591" s="69"/>
      <c r="L591" s="2314"/>
      <c r="M591" s="385"/>
      <c r="N591" s="385"/>
      <c r="O591" s="385"/>
      <c r="P591" s="402" t="s">
        <v>1576</v>
      </c>
      <c r="Q591" s="385"/>
      <c r="R591" s="69"/>
      <c r="S591" s="69"/>
      <c r="W591" s="640">
        <v>1</v>
      </c>
    </row>
    <row r="592" spans="1:23" s="640" customFormat="1" ht="18" customHeight="1" x14ac:dyDescent="0.3">
      <c r="A592" s="2314"/>
      <c r="B592" s="2375"/>
      <c r="C592" s="2375"/>
      <c r="D592" s="2375"/>
      <c r="E592" s="2375"/>
      <c r="F592" s="385" t="s">
        <v>14</v>
      </c>
      <c r="G592" s="69">
        <f>H592</f>
        <v>239.94</v>
      </c>
      <c r="H592" s="69">
        <f>H590*0.1</f>
        <v>239.94</v>
      </c>
      <c r="I592" s="69"/>
      <c r="J592" s="69"/>
      <c r="K592" s="69"/>
      <c r="L592" s="2314"/>
      <c r="M592" s="385"/>
      <c r="N592" s="385"/>
      <c r="O592" s="385"/>
      <c r="P592" s="1106"/>
      <c r="Q592" s="385"/>
      <c r="R592" s="69"/>
      <c r="S592" s="69"/>
    </row>
    <row r="593" spans="1:23" s="640" customFormat="1" ht="18" customHeight="1" x14ac:dyDescent="0.3">
      <c r="A593" s="2314" t="s">
        <v>709</v>
      </c>
      <c r="B593" s="1718" t="s">
        <v>1060</v>
      </c>
      <c r="C593" s="1718"/>
      <c r="D593" s="1718"/>
      <c r="E593" s="1718"/>
      <c r="F593" s="385" t="s">
        <v>12</v>
      </c>
      <c r="G593" s="69">
        <f>G594+G595</f>
        <v>1398.21</v>
      </c>
      <c r="H593" s="69">
        <f>H594/0.9</f>
        <v>1398.21</v>
      </c>
      <c r="I593" s="69"/>
      <c r="J593" s="69"/>
      <c r="K593" s="69"/>
      <c r="L593" s="2314"/>
      <c r="M593" s="269"/>
      <c r="N593" s="269"/>
      <c r="O593" s="385"/>
      <c r="P593" s="1106"/>
      <c r="Q593" s="385"/>
      <c r="R593" s="69"/>
      <c r="S593" s="69"/>
    </row>
    <row r="594" spans="1:23" s="640" customFormat="1" ht="18" customHeight="1" x14ac:dyDescent="0.3">
      <c r="A594" s="2314"/>
      <c r="B594" s="1718"/>
      <c r="C594" s="1718"/>
      <c r="D594" s="1718"/>
      <c r="E594" s="1718"/>
      <c r="F594" s="385" t="s">
        <v>13</v>
      </c>
      <c r="G594" s="69">
        <f>H594</f>
        <v>1258.3900000000001</v>
      </c>
      <c r="H594" s="69">
        <v>1258.3900000000001</v>
      </c>
      <c r="I594" s="69"/>
      <c r="J594" s="69"/>
      <c r="K594" s="69"/>
      <c r="L594" s="2314"/>
      <c r="M594" s="269"/>
      <c r="N594" s="269"/>
      <c r="O594" s="385"/>
      <c r="P594" s="402" t="s">
        <v>1576</v>
      </c>
      <c r="Q594" s="385"/>
      <c r="R594" s="69"/>
      <c r="S594" s="69"/>
      <c r="W594" s="640">
        <v>1</v>
      </c>
    </row>
    <row r="595" spans="1:23" s="640" customFormat="1" ht="18" customHeight="1" x14ac:dyDescent="0.3">
      <c r="A595" s="2314"/>
      <c r="B595" s="1718"/>
      <c r="C595" s="1718"/>
      <c r="D595" s="1718"/>
      <c r="E595" s="1718"/>
      <c r="F595" s="385" t="s">
        <v>14</v>
      </c>
      <c r="G595" s="69">
        <f>H595</f>
        <v>139.82</v>
      </c>
      <c r="H595" s="69">
        <f>H593*0.1</f>
        <v>139.82</v>
      </c>
      <c r="I595" s="69"/>
      <c r="J595" s="69"/>
      <c r="K595" s="69"/>
      <c r="L595" s="2314"/>
      <c r="M595" s="269"/>
      <c r="N595" s="269"/>
      <c r="O595" s="385"/>
      <c r="P595" s="1106"/>
      <c r="Q595" s="385"/>
      <c r="R595" s="69"/>
      <c r="S595" s="69"/>
    </row>
    <row r="596" spans="1:23" s="640" customFormat="1" ht="18" customHeight="1" x14ac:dyDescent="0.3">
      <c r="A596" s="2314" t="s">
        <v>710</v>
      </c>
      <c r="B596" s="2375" t="s">
        <v>1061</v>
      </c>
      <c r="C596" s="2375"/>
      <c r="D596" s="2375"/>
      <c r="E596" s="2375"/>
      <c r="F596" s="385" t="s">
        <v>12</v>
      </c>
      <c r="G596" s="69">
        <f>G597+G598</f>
        <v>7448.4</v>
      </c>
      <c r="H596" s="69">
        <f>H597/0.9</f>
        <v>7448.4</v>
      </c>
      <c r="I596" s="69"/>
      <c r="J596" s="69"/>
      <c r="K596" s="69"/>
      <c r="L596" s="2314"/>
      <c r="M596" s="385"/>
      <c r="N596" s="385"/>
      <c r="O596" s="609"/>
      <c r="P596" s="1177"/>
    </row>
    <row r="597" spans="1:23" s="640" customFormat="1" ht="18" customHeight="1" x14ac:dyDescent="0.3">
      <c r="A597" s="2314"/>
      <c r="B597" s="2375"/>
      <c r="C597" s="2375"/>
      <c r="D597" s="2375"/>
      <c r="E597" s="2375"/>
      <c r="F597" s="385" t="s">
        <v>13</v>
      </c>
      <c r="G597" s="69">
        <f>H597</f>
        <v>6703.56</v>
      </c>
      <c r="H597" s="69">
        <v>6703.56</v>
      </c>
      <c r="I597" s="69"/>
      <c r="J597" s="69"/>
      <c r="K597" s="69"/>
      <c r="L597" s="2314"/>
      <c r="M597" s="385"/>
      <c r="N597" s="385"/>
      <c r="O597" s="609"/>
      <c r="P597" s="1181" t="s">
        <v>1576</v>
      </c>
      <c r="W597" s="640">
        <v>1</v>
      </c>
    </row>
    <row r="598" spans="1:23" s="640" customFormat="1" ht="18" customHeight="1" x14ac:dyDescent="0.3">
      <c r="A598" s="2314"/>
      <c r="B598" s="2375"/>
      <c r="C598" s="2375"/>
      <c r="D598" s="2375"/>
      <c r="E598" s="2375"/>
      <c r="F598" s="385" t="s">
        <v>14</v>
      </c>
      <c r="G598" s="69">
        <f>H598</f>
        <v>744.84</v>
      </c>
      <c r="H598" s="69">
        <f>H596*0.1</f>
        <v>744.84</v>
      </c>
      <c r="I598" s="69"/>
      <c r="J598" s="69"/>
      <c r="K598" s="69"/>
      <c r="L598" s="2314"/>
      <c r="M598" s="385"/>
      <c r="N598" s="385"/>
      <c r="O598" s="609"/>
      <c r="P598" s="1177"/>
    </row>
    <row r="599" spans="1:23" s="640" customFormat="1" ht="18" customHeight="1" x14ac:dyDescent="0.3">
      <c r="A599" s="2314" t="s">
        <v>711</v>
      </c>
      <c r="B599" s="1718" t="s">
        <v>1062</v>
      </c>
      <c r="C599" s="1718"/>
      <c r="D599" s="1718"/>
      <c r="E599" s="1718"/>
      <c r="F599" s="385" t="s">
        <v>12</v>
      </c>
      <c r="G599" s="69">
        <f>G600+G601</f>
        <v>14681.3</v>
      </c>
      <c r="H599" s="69">
        <f>H600/0.9</f>
        <v>14681.3</v>
      </c>
      <c r="I599" s="69"/>
      <c r="J599" s="69"/>
      <c r="K599" s="69"/>
      <c r="L599" s="2314"/>
      <c r="M599" s="385"/>
      <c r="N599" s="385"/>
      <c r="O599" s="609"/>
      <c r="P599" s="1177"/>
    </row>
    <row r="600" spans="1:23" s="640" customFormat="1" ht="18" customHeight="1" x14ac:dyDescent="0.3">
      <c r="A600" s="2314"/>
      <c r="B600" s="1718"/>
      <c r="C600" s="1718"/>
      <c r="D600" s="1718"/>
      <c r="E600" s="1718"/>
      <c r="F600" s="385" t="s">
        <v>13</v>
      </c>
      <c r="G600" s="69">
        <f>H600</f>
        <v>13213.17</v>
      </c>
      <c r="H600" s="69">
        <v>13213.17</v>
      </c>
      <c r="I600" s="69"/>
      <c r="J600" s="69"/>
      <c r="K600" s="69"/>
      <c r="L600" s="2314"/>
      <c r="M600" s="385"/>
      <c r="N600" s="385"/>
      <c r="O600" s="609"/>
      <c r="P600" s="1181" t="s">
        <v>1576</v>
      </c>
      <c r="W600" s="640">
        <v>1</v>
      </c>
    </row>
    <row r="601" spans="1:23" s="640" customFormat="1" ht="18" customHeight="1" x14ac:dyDescent="0.3">
      <c r="A601" s="2314"/>
      <c r="B601" s="1718"/>
      <c r="C601" s="1718"/>
      <c r="D601" s="1718"/>
      <c r="E601" s="1718"/>
      <c r="F601" s="385" t="s">
        <v>14</v>
      </c>
      <c r="G601" s="69">
        <f>H601</f>
        <v>1468.13</v>
      </c>
      <c r="H601" s="69">
        <f>H599*0.1</f>
        <v>1468.13</v>
      </c>
      <c r="I601" s="69"/>
      <c r="J601" s="69"/>
      <c r="K601" s="69"/>
      <c r="L601" s="2314"/>
      <c r="M601" s="385"/>
      <c r="N601" s="385"/>
      <c r="O601" s="609"/>
      <c r="P601" s="1177"/>
    </row>
    <row r="602" spans="1:23" s="640" customFormat="1" ht="18" customHeight="1" x14ac:dyDescent="0.3">
      <c r="A602" s="2314" t="s">
        <v>1504</v>
      </c>
      <c r="B602" s="2375" t="s">
        <v>1063</v>
      </c>
      <c r="C602" s="2375"/>
      <c r="D602" s="2375"/>
      <c r="E602" s="2375"/>
      <c r="F602" s="385" t="s">
        <v>12</v>
      </c>
      <c r="G602" s="69">
        <f>G603+G604</f>
        <v>16000.78</v>
      </c>
      <c r="H602" s="69">
        <f>H603/0.9</f>
        <v>16000.78</v>
      </c>
      <c r="I602" s="69"/>
      <c r="J602" s="69"/>
      <c r="K602" s="69"/>
      <c r="L602" s="69"/>
      <c r="M602" s="609"/>
      <c r="N602" s="609"/>
      <c r="O602" s="609"/>
      <c r="P602" s="1177"/>
    </row>
    <row r="603" spans="1:23" s="640" customFormat="1" ht="18" customHeight="1" x14ac:dyDescent="0.3">
      <c r="A603" s="2314"/>
      <c r="B603" s="2375"/>
      <c r="C603" s="2375"/>
      <c r="D603" s="2375"/>
      <c r="E603" s="2375"/>
      <c r="F603" s="385" t="s">
        <v>13</v>
      </c>
      <c r="G603" s="69">
        <f>H603</f>
        <v>14400.7</v>
      </c>
      <c r="H603" s="69">
        <v>14400.7</v>
      </c>
      <c r="I603" s="69"/>
      <c r="J603" s="69"/>
      <c r="K603" s="69"/>
      <c r="L603" s="69"/>
      <c r="M603" s="609"/>
      <c r="N603" s="609"/>
      <c r="O603" s="609"/>
      <c r="P603" s="1181" t="s">
        <v>1576</v>
      </c>
      <c r="W603" s="640">
        <v>1</v>
      </c>
    </row>
    <row r="604" spans="1:23" s="640" customFormat="1" ht="18" customHeight="1" x14ac:dyDescent="0.3">
      <c r="A604" s="2314"/>
      <c r="B604" s="2375"/>
      <c r="C604" s="2375"/>
      <c r="D604" s="2375"/>
      <c r="E604" s="2375"/>
      <c r="F604" s="385" t="s">
        <v>14</v>
      </c>
      <c r="G604" s="69">
        <f>H604</f>
        <v>1600.08</v>
      </c>
      <c r="H604" s="69">
        <f>H602*0.1</f>
        <v>1600.08</v>
      </c>
      <c r="I604" s="69"/>
      <c r="J604" s="69"/>
      <c r="K604" s="69"/>
      <c r="L604" s="69"/>
      <c r="M604" s="609"/>
      <c r="N604" s="609"/>
      <c r="O604" s="609"/>
      <c r="P604" s="1177"/>
    </row>
    <row r="605" spans="1:23" s="640" customFormat="1" ht="18" customHeight="1" x14ac:dyDescent="0.3">
      <c r="A605" s="2314" t="s">
        <v>712</v>
      </c>
      <c r="B605" s="1718" t="s">
        <v>1064</v>
      </c>
      <c r="C605" s="1718"/>
      <c r="D605" s="1718"/>
      <c r="E605" s="1718"/>
      <c r="F605" s="385" t="s">
        <v>12</v>
      </c>
      <c r="G605" s="69">
        <f>G606+G607</f>
        <v>5257.4</v>
      </c>
      <c r="H605" s="69">
        <f>H606/0.9</f>
        <v>5257.4</v>
      </c>
      <c r="I605" s="69"/>
      <c r="J605" s="69"/>
      <c r="K605" s="69"/>
      <c r="L605" s="69"/>
      <c r="M605" s="609"/>
      <c r="N605" s="609"/>
      <c r="O605" s="609"/>
      <c r="P605" s="1177"/>
    </row>
    <row r="606" spans="1:23" s="640" customFormat="1" ht="18" customHeight="1" x14ac:dyDescent="0.3">
      <c r="A606" s="2314"/>
      <c r="B606" s="1718"/>
      <c r="C606" s="1718"/>
      <c r="D606" s="1718"/>
      <c r="E606" s="1718"/>
      <c r="F606" s="385" t="s">
        <v>13</v>
      </c>
      <c r="G606" s="69">
        <f>H606</f>
        <v>4731.66</v>
      </c>
      <c r="H606" s="69">
        <v>4731.66</v>
      </c>
      <c r="I606" s="69"/>
      <c r="J606" s="69"/>
      <c r="K606" s="69"/>
      <c r="L606" s="69"/>
      <c r="M606" s="609"/>
      <c r="N606" s="609"/>
      <c r="O606" s="609"/>
      <c r="P606" s="1181" t="s">
        <v>1576</v>
      </c>
      <c r="W606" s="640">
        <v>1</v>
      </c>
    </row>
    <row r="607" spans="1:23" s="640" customFormat="1" ht="18" customHeight="1" x14ac:dyDescent="0.3">
      <c r="A607" s="2314"/>
      <c r="B607" s="1718"/>
      <c r="C607" s="1718"/>
      <c r="D607" s="1718"/>
      <c r="E607" s="1718"/>
      <c r="F607" s="385" t="s">
        <v>14</v>
      </c>
      <c r="G607" s="69">
        <f>H607</f>
        <v>525.74</v>
      </c>
      <c r="H607" s="69">
        <f>H605*0.1</f>
        <v>525.74</v>
      </c>
      <c r="I607" s="69"/>
      <c r="J607" s="69"/>
      <c r="K607" s="69"/>
      <c r="L607" s="69"/>
      <c r="M607" s="609"/>
      <c r="N607" s="609"/>
      <c r="O607" s="609"/>
      <c r="P607" s="1177"/>
    </row>
    <row r="608" spans="1:23" s="640" customFormat="1" ht="18" customHeight="1" x14ac:dyDescent="0.3">
      <c r="A608" s="2314" t="s">
        <v>713</v>
      </c>
      <c r="B608" s="1718" t="s">
        <v>1065</v>
      </c>
      <c r="C608" s="1718"/>
      <c r="D608" s="1718"/>
      <c r="E608" s="1718"/>
      <c r="F608" s="385" t="s">
        <v>12</v>
      </c>
      <c r="G608" s="69">
        <f>G609+G610</f>
        <v>12491.16</v>
      </c>
      <c r="H608" s="69">
        <f>H609/0.9</f>
        <v>12491.16</v>
      </c>
      <c r="I608" s="69"/>
      <c r="J608" s="69"/>
      <c r="K608" s="69"/>
      <c r="L608" s="69"/>
      <c r="M608" s="609"/>
      <c r="N608" s="609"/>
      <c r="O608" s="609"/>
      <c r="P608" s="1177"/>
    </row>
    <row r="609" spans="1:24" s="640" customFormat="1" ht="18" customHeight="1" x14ac:dyDescent="0.3">
      <c r="A609" s="2314"/>
      <c r="B609" s="1718"/>
      <c r="C609" s="1718"/>
      <c r="D609" s="1718"/>
      <c r="E609" s="1718"/>
      <c r="F609" s="385" t="s">
        <v>13</v>
      </c>
      <c r="G609" s="69">
        <f>H609</f>
        <v>11242.04</v>
      </c>
      <c r="H609" s="69">
        <v>11242.04</v>
      </c>
      <c r="I609" s="69"/>
      <c r="J609" s="69"/>
      <c r="K609" s="69"/>
      <c r="L609" s="69"/>
      <c r="M609" s="609"/>
      <c r="N609" s="609"/>
      <c r="O609" s="609"/>
      <c r="P609" s="1181" t="s">
        <v>1576</v>
      </c>
      <c r="W609" s="640">
        <v>1</v>
      </c>
    </row>
    <row r="610" spans="1:24" s="640" customFormat="1" ht="18" customHeight="1" x14ac:dyDescent="0.3">
      <c r="A610" s="2314"/>
      <c r="B610" s="1718"/>
      <c r="C610" s="1718"/>
      <c r="D610" s="1718"/>
      <c r="E610" s="1718"/>
      <c r="F610" s="385" t="s">
        <v>14</v>
      </c>
      <c r="G610" s="69">
        <f>H610</f>
        <v>1249.1199999999999</v>
      </c>
      <c r="H610" s="69">
        <f>H608*0.1</f>
        <v>1249.1199999999999</v>
      </c>
      <c r="I610" s="69"/>
      <c r="J610" s="69"/>
      <c r="K610" s="69"/>
      <c r="L610" s="69"/>
      <c r="M610" s="609"/>
      <c r="N610" s="609"/>
      <c r="O610" s="609"/>
      <c r="P610" s="1177"/>
    </row>
    <row r="611" spans="1:24" s="663" customFormat="1" ht="18" customHeight="1" x14ac:dyDescent="0.3">
      <c r="A611" s="2314" t="s">
        <v>1043</v>
      </c>
      <c r="B611" s="2440" t="s">
        <v>357</v>
      </c>
      <c r="C611" s="2440"/>
      <c r="D611" s="2440"/>
      <c r="E611" s="2440"/>
      <c r="F611" s="658" t="s">
        <v>12</v>
      </c>
      <c r="G611" s="664">
        <f t="shared" ref="G611:G616" si="284">SUM(H611:L611)</f>
        <v>30533.37</v>
      </c>
      <c r="H611" s="664">
        <f>H612+H613</f>
        <v>7815.47</v>
      </c>
      <c r="I611" s="664">
        <f>I612+I613</f>
        <v>22717.9</v>
      </c>
      <c r="J611" s="664"/>
      <c r="K611" s="664"/>
      <c r="L611" s="664"/>
      <c r="M611" s="660">
        <v>2018</v>
      </c>
      <c r="N611" s="660">
        <v>2019</v>
      </c>
      <c r="O611" s="661"/>
      <c r="P611" s="1174" t="s">
        <v>1588</v>
      </c>
    </row>
    <row r="612" spans="1:24" s="663" customFormat="1" ht="32.25" customHeight="1" x14ac:dyDescent="0.3">
      <c r="A612" s="2314"/>
      <c r="B612" s="2440"/>
      <c r="C612" s="2440"/>
      <c r="D612" s="2440"/>
      <c r="E612" s="2440"/>
      <c r="F612" s="658" t="s">
        <v>13</v>
      </c>
      <c r="G612" s="664">
        <f t="shared" si="284"/>
        <v>29006.69</v>
      </c>
      <c r="H612" s="664">
        <f>H615+H618+H621</f>
        <v>7424.69</v>
      </c>
      <c r="I612" s="664">
        <f>I618+I621</f>
        <v>21582</v>
      </c>
      <c r="J612" s="664"/>
      <c r="K612" s="664"/>
      <c r="L612" s="664"/>
      <c r="M612" s="664">
        <v>1</v>
      </c>
      <c r="N612" s="664">
        <v>2</v>
      </c>
      <c r="O612" s="661"/>
      <c r="P612" s="1175"/>
    </row>
    <row r="613" spans="1:24" s="663" customFormat="1" ht="55.5" customHeight="1" x14ac:dyDescent="0.3">
      <c r="A613" s="2314"/>
      <c r="B613" s="2440"/>
      <c r="C613" s="2440"/>
      <c r="D613" s="2440"/>
      <c r="E613" s="2440"/>
      <c r="F613" s="658" t="s">
        <v>14</v>
      </c>
      <c r="G613" s="664">
        <f t="shared" si="284"/>
        <v>1526.68</v>
      </c>
      <c r="H613" s="664">
        <f>H616+H619+H622</f>
        <v>390.78</v>
      </c>
      <c r="I613" s="664">
        <f>I619+I622</f>
        <v>1135.9000000000001</v>
      </c>
      <c r="J613" s="664"/>
      <c r="K613" s="664"/>
      <c r="L613" s="664"/>
      <c r="M613" s="661"/>
      <c r="N613" s="661"/>
      <c r="O613" s="661"/>
      <c r="P613" s="1176"/>
    </row>
    <row r="614" spans="1:24" s="640" customFormat="1" ht="18" customHeight="1" x14ac:dyDescent="0.3">
      <c r="A614" s="2314"/>
      <c r="B614" s="2375" t="s">
        <v>1419</v>
      </c>
      <c r="C614" s="2375"/>
      <c r="D614" s="2375"/>
      <c r="E614" s="2375"/>
      <c r="F614" s="385" t="s">
        <v>12</v>
      </c>
      <c r="G614" s="69">
        <f t="shared" si="284"/>
        <v>7815.47</v>
      </c>
      <c r="H614" s="69">
        <f>H615+H616</f>
        <v>7815.47</v>
      </c>
      <c r="I614" s="69"/>
      <c r="J614" s="69"/>
      <c r="K614" s="69"/>
      <c r="L614" s="69"/>
      <c r="M614" s="609"/>
      <c r="N614" s="609"/>
      <c r="O614" s="609"/>
      <c r="P614" s="1177"/>
    </row>
    <row r="615" spans="1:24" s="640" customFormat="1" ht="18" customHeight="1" x14ac:dyDescent="0.3">
      <c r="A615" s="2314"/>
      <c r="B615" s="2375"/>
      <c r="C615" s="2375"/>
      <c r="D615" s="2375"/>
      <c r="E615" s="2375"/>
      <c r="F615" s="385" t="s">
        <v>13</v>
      </c>
      <c r="G615" s="69">
        <f t="shared" si="284"/>
        <v>7424.69</v>
      </c>
      <c r="H615" s="69">
        <v>7424.69</v>
      </c>
      <c r="I615" s="69"/>
      <c r="J615" s="69"/>
      <c r="K615" s="69"/>
      <c r="L615" s="69"/>
      <c r="M615" s="609"/>
      <c r="N615" s="609"/>
      <c r="O615" s="609"/>
      <c r="P615" s="1177" t="s">
        <v>1578</v>
      </c>
      <c r="W615" s="640">
        <v>1</v>
      </c>
    </row>
    <row r="616" spans="1:24" s="640" customFormat="1" ht="18" customHeight="1" x14ac:dyDescent="0.3">
      <c r="A616" s="2314"/>
      <c r="B616" s="2375"/>
      <c r="C616" s="2375"/>
      <c r="D616" s="2375"/>
      <c r="E616" s="2375"/>
      <c r="F616" s="385" t="s">
        <v>14</v>
      </c>
      <c r="G616" s="69">
        <f t="shared" si="284"/>
        <v>390.78</v>
      </c>
      <c r="H616" s="69">
        <v>390.78</v>
      </c>
      <c r="I616" s="69"/>
      <c r="J616" s="69"/>
      <c r="K616" s="69"/>
      <c r="L616" s="69"/>
      <c r="M616" s="609"/>
      <c r="N616" s="609"/>
      <c r="O616" s="609"/>
      <c r="P616" s="1177"/>
    </row>
    <row r="617" spans="1:24" s="640" customFormat="1" ht="18" customHeight="1" x14ac:dyDescent="0.3">
      <c r="A617" s="2314"/>
      <c r="B617" s="2375" t="s">
        <v>1517</v>
      </c>
      <c r="C617" s="2375"/>
      <c r="D617" s="2375"/>
      <c r="E617" s="2375"/>
      <c r="F617" s="385" t="s">
        <v>12</v>
      </c>
      <c r="G617" s="69">
        <f>G618+G619</f>
        <v>19875.79</v>
      </c>
      <c r="H617" s="69">
        <f>H618/0.95</f>
        <v>0</v>
      </c>
      <c r="I617" s="69">
        <f>I618/0.95</f>
        <v>19875.79</v>
      </c>
      <c r="J617" s="69"/>
      <c r="K617" s="69"/>
      <c r="L617" s="69"/>
      <c r="M617" s="609"/>
      <c r="N617" s="609"/>
      <c r="O617" s="383"/>
      <c r="P617" s="1100"/>
    </row>
    <row r="618" spans="1:24" s="640" customFormat="1" ht="18" customHeight="1" x14ac:dyDescent="0.3">
      <c r="A618" s="2314"/>
      <c r="B618" s="2375"/>
      <c r="C618" s="2375"/>
      <c r="D618" s="2375"/>
      <c r="E618" s="2375"/>
      <c r="F618" s="385" t="s">
        <v>13</v>
      </c>
      <c r="G618" s="69">
        <f>H618+I618</f>
        <v>18882</v>
      </c>
      <c r="H618" s="69">
        <v>0</v>
      </c>
      <c r="I618" s="69">
        <v>18882</v>
      </c>
      <c r="J618" s="69"/>
      <c r="K618" s="69"/>
      <c r="L618" s="69"/>
      <c r="M618" s="609"/>
      <c r="N618" s="609"/>
      <c r="O618" s="69"/>
      <c r="P618" s="1117" t="s">
        <v>1589</v>
      </c>
      <c r="X618" s="640">
        <v>1</v>
      </c>
    </row>
    <row r="619" spans="1:24" s="640" customFormat="1" ht="18" customHeight="1" x14ac:dyDescent="0.3">
      <c r="A619" s="2314"/>
      <c r="B619" s="2375"/>
      <c r="C619" s="2375"/>
      <c r="D619" s="2375"/>
      <c r="E619" s="2375"/>
      <c r="F619" s="385" t="s">
        <v>14</v>
      </c>
      <c r="G619" s="69">
        <f>H619+I619</f>
        <v>993.79</v>
      </c>
      <c r="H619" s="69">
        <f>H617*0.5</f>
        <v>0</v>
      </c>
      <c r="I619" s="69">
        <f>I617*0.05</f>
        <v>993.79</v>
      </c>
      <c r="J619" s="69"/>
      <c r="K619" s="69"/>
      <c r="L619" s="69"/>
      <c r="M619" s="609"/>
      <c r="N619" s="609"/>
      <c r="O619" s="609"/>
      <c r="P619" s="1177"/>
    </row>
    <row r="620" spans="1:24" s="640" customFormat="1" ht="18" customHeight="1" x14ac:dyDescent="0.3">
      <c r="A620" s="2314"/>
      <c r="B620" s="2375" t="s">
        <v>1068</v>
      </c>
      <c r="C620" s="2375"/>
      <c r="D620" s="2375"/>
      <c r="E620" s="2375"/>
      <c r="F620" s="385" t="s">
        <v>12</v>
      </c>
      <c r="G620" s="69">
        <f>G621+G622</f>
        <v>2842.11</v>
      </c>
      <c r="H620" s="69">
        <f>H621/0.95</f>
        <v>0</v>
      </c>
      <c r="I620" s="69">
        <f>I621/0.95</f>
        <v>2842.11</v>
      </c>
      <c r="J620" s="69"/>
      <c r="K620" s="69"/>
      <c r="L620" s="69"/>
      <c r="M620" s="609"/>
      <c r="N620" s="609"/>
      <c r="O620" s="609"/>
      <c r="P620" s="1177"/>
    </row>
    <row r="621" spans="1:24" s="640" customFormat="1" ht="18" customHeight="1" x14ac:dyDescent="0.3">
      <c r="A621" s="2314"/>
      <c r="B621" s="2375"/>
      <c r="C621" s="2375"/>
      <c r="D621" s="2375"/>
      <c r="E621" s="2375"/>
      <c r="F621" s="385" t="s">
        <v>13</v>
      </c>
      <c r="G621" s="69">
        <f>H621+I621</f>
        <v>2700</v>
      </c>
      <c r="H621" s="69">
        <v>0</v>
      </c>
      <c r="I621" s="69">
        <v>2700</v>
      </c>
      <c r="J621" s="69"/>
      <c r="K621" s="69"/>
      <c r="L621" s="69"/>
      <c r="M621" s="609"/>
      <c r="N621" s="609"/>
      <c r="O621" s="609"/>
      <c r="P621" s="1177" t="s">
        <v>1590</v>
      </c>
      <c r="X621" s="640">
        <v>1</v>
      </c>
    </row>
    <row r="622" spans="1:24" s="640" customFormat="1" ht="18" customHeight="1" x14ac:dyDescent="0.3">
      <c r="A622" s="2314"/>
      <c r="B622" s="2375"/>
      <c r="C622" s="2375"/>
      <c r="D622" s="2375"/>
      <c r="E622" s="2375"/>
      <c r="F622" s="385" t="s">
        <v>14</v>
      </c>
      <c r="G622" s="69">
        <f>H622+I622</f>
        <v>142.11000000000001</v>
      </c>
      <c r="H622" s="69">
        <v>0</v>
      </c>
      <c r="I622" s="69">
        <f>I620*0.05</f>
        <v>142.11000000000001</v>
      </c>
      <c r="J622" s="69"/>
      <c r="K622" s="69"/>
      <c r="L622" s="69"/>
      <c r="M622" s="609"/>
      <c r="N622" s="609"/>
      <c r="O622" s="609"/>
      <c r="P622" s="1177"/>
    </row>
    <row r="623" spans="1:24" s="663" customFormat="1" ht="18" customHeight="1" x14ac:dyDescent="0.3">
      <c r="A623" s="2314" t="s">
        <v>783</v>
      </c>
      <c r="B623" s="2315" t="s">
        <v>68</v>
      </c>
      <c r="C623" s="2315"/>
      <c r="D623" s="2315"/>
      <c r="E623" s="2315"/>
      <c r="F623" s="658" t="s">
        <v>12</v>
      </c>
      <c r="G623" s="659">
        <f t="shared" ref="G623:G625" si="285">SUM(H623:L623)</f>
        <v>103021.68</v>
      </c>
      <c r="H623" s="659">
        <f>H624+H625</f>
        <v>103021.68</v>
      </c>
      <c r="I623" s="659"/>
      <c r="J623" s="659"/>
      <c r="K623" s="659"/>
      <c r="L623" s="659"/>
      <c r="M623" s="660">
        <v>2018</v>
      </c>
      <c r="N623" s="660">
        <v>2019</v>
      </c>
      <c r="O623" s="661"/>
      <c r="P623" s="1174" t="s">
        <v>1591</v>
      </c>
    </row>
    <row r="624" spans="1:24" s="663" customFormat="1" ht="18" customHeight="1" x14ac:dyDescent="0.3">
      <c r="A624" s="2314"/>
      <c r="B624" s="2315"/>
      <c r="C624" s="2315"/>
      <c r="D624" s="2315"/>
      <c r="E624" s="2315"/>
      <c r="F624" s="658" t="s">
        <v>13</v>
      </c>
      <c r="G624" s="664">
        <f t="shared" si="285"/>
        <v>96445.39</v>
      </c>
      <c r="H624" s="664">
        <f>H627+H630+H633+H636+H639</f>
        <v>96445.39</v>
      </c>
      <c r="I624" s="664"/>
      <c r="J624" s="664"/>
      <c r="K624" s="664"/>
      <c r="L624" s="664"/>
      <c r="M624" s="664">
        <v>4</v>
      </c>
      <c r="N624" s="664"/>
      <c r="O624" s="661"/>
      <c r="P624" s="1175"/>
    </row>
    <row r="625" spans="1:23" s="663" customFormat="1" ht="43.5" customHeight="1" x14ac:dyDescent="0.3">
      <c r="A625" s="2314"/>
      <c r="B625" s="2315"/>
      <c r="C625" s="2315"/>
      <c r="D625" s="2315"/>
      <c r="E625" s="2315"/>
      <c r="F625" s="658" t="s">
        <v>14</v>
      </c>
      <c r="G625" s="664">
        <f t="shared" si="285"/>
        <v>6576.29</v>
      </c>
      <c r="H625" s="664">
        <f>H628+H631+H634+H637+H640</f>
        <v>6576.29</v>
      </c>
      <c r="I625" s="664"/>
      <c r="J625" s="664"/>
      <c r="K625" s="664"/>
      <c r="L625" s="664"/>
      <c r="M625" s="661"/>
      <c r="N625" s="661"/>
      <c r="O625" s="661"/>
      <c r="P625" s="1176"/>
    </row>
    <row r="626" spans="1:23" s="640" customFormat="1" ht="18" customHeight="1" x14ac:dyDescent="0.3">
      <c r="A626" s="2314"/>
      <c r="B626" s="1718" t="s">
        <v>425</v>
      </c>
      <c r="C626" s="1718"/>
      <c r="D626" s="1718"/>
      <c r="E626" s="1718"/>
      <c r="F626" s="385" t="s">
        <v>12</v>
      </c>
      <c r="G626" s="69">
        <f>SUM(H626:L626)</f>
        <v>45580.75</v>
      </c>
      <c r="H626" s="69">
        <f>H627+H628</f>
        <v>45580.75</v>
      </c>
      <c r="I626" s="69"/>
      <c r="J626" s="69"/>
      <c r="K626" s="69"/>
      <c r="L626" s="69"/>
      <c r="M626" s="609"/>
      <c r="N626" s="609"/>
      <c r="O626" s="609"/>
      <c r="P626" s="1177"/>
    </row>
    <row r="627" spans="1:23" s="640" customFormat="1" ht="18" customHeight="1" x14ac:dyDescent="0.3">
      <c r="A627" s="2314"/>
      <c r="B627" s="1718"/>
      <c r="C627" s="1718"/>
      <c r="D627" s="1718"/>
      <c r="E627" s="1718"/>
      <c r="F627" s="385" t="s">
        <v>13</v>
      </c>
      <c r="G627" s="69">
        <f>SUM(H627:L627)</f>
        <v>43302.26</v>
      </c>
      <c r="H627" s="69">
        <f>28138.38+15163.88</f>
        <v>43302.26</v>
      </c>
      <c r="I627" s="69"/>
      <c r="J627" s="69"/>
      <c r="K627" s="69"/>
      <c r="L627" s="69"/>
      <c r="M627" s="609"/>
      <c r="N627" s="609"/>
      <c r="O627" s="609"/>
      <c r="P627" s="1177" t="s">
        <v>1557</v>
      </c>
      <c r="W627" s="640">
        <v>1</v>
      </c>
    </row>
    <row r="628" spans="1:23" s="640" customFormat="1" ht="18" customHeight="1" x14ac:dyDescent="0.3">
      <c r="A628" s="2314"/>
      <c r="B628" s="1718"/>
      <c r="C628" s="1718"/>
      <c r="D628" s="1718"/>
      <c r="E628" s="1718"/>
      <c r="F628" s="385" t="s">
        <v>14</v>
      </c>
      <c r="G628" s="69">
        <f>SUM(H628:L628)</f>
        <v>2278.4899999999998</v>
      </c>
      <c r="H628" s="69">
        <f>1480.38+798.11</f>
        <v>2278.4899999999998</v>
      </c>
      <c r="I628" s="69"/>
      <c r="J628" s="69"/>
      <c r="K628" s="69"/>
      <c r="L628" s="69"/>
      <c r="M628" s="609"/>
      <c r="N628" s="609"/>
      <c r="O628" s="609"/>
      <c r="P628" s="1177"/>
    </row>
    <row r="629" spans="1:23" s="640" customFormat="1" ht="18" customHeight="1" x14ac:dyDescent="0.3">
      <c r="A629" s="2314"/>
      <c r="B629" s="2375" t="s">
        <v>1420</v>
      </c>
      <c r="C629" s="2375"/>
      <c r="D629" s="2375"/>
      <c r="E629" s="2375"/>
      <c r="F629" s="385" t="s">
        <v>12</v>
      </c>
      <c r="G629" s="69">
        <f t="shared" ref="G629:G631" si="286">SUM(H629:L629)</f>
        <v>37934.86</v>
      </c>
      <c r="H629" s="69">
        <f>H630+H631</f>
        <v>37934.86</v>
      </c>
      <c r="I629" s="69"/>
      <c r="J629" s="69"/>
      <c r="K629" s="69"/>
      <c r="L629" s="69"/>
      <c r="M629" s="609"/>
      <c r="N629" s="609"/>
      <c r="O629" s="609"/>
      <c r="P629" s="1177"/>
    </row>
    <row r="630" spans="1:23" s="640" customFormat="1" ht="18" customHeight="1" x14ac:dyDescent="0.3">
      <c r="A630" s="2314"/>
      <c r="B630" s="2375"/>
      <c r="C630" s="2375"/>
      <c r="D630" s="2375"/>
      <c r="E630" s="2375"/>
      <c r="F630" s="385" t="s">
        <v>13</v>
      </c>
      <c r="G630" s="69">
        <f t="shared" si="286"/>
        <v>34141.370000000003</v>
      </c>
      <c r="H630" s="69">
        <f>59578.5-25437.13</f>
        <v>34141.370000000003</v>
      </c>
      <c r="I630" s="69"/>
      <c r="J630" s="69"/>
      <c r="K630" s="69"/>
      <c r="L630" s="69"/>
      <c r="M630" s="609"/>
      <c r="N630" s="609"/>
      <c r="O630" s="609"/>
      <c r="P630" s="1177" t="s">
        <v>1578</v>
      </c>
      <c r="W630" s="640">
        <v>1</v>
      </c>
    </row>
    <row r="631" spans="1:23" s="640" customFormat="1" ht="18" customHeight="1" x14ac:dyDescent="0.3">
      <c r="A631" s="2314"/>
      <c r="B631" s="2375"/>
      <c r="C631" s="2375"/>
      <c r="D631" s="2375"/>
      <c r="E631" s="2375"/>
      <c r="F631" s="385" t="s">
        <v>14</v>
      </c>
      <c r="G631" s="69">
        <f t="shared" si="286"/>
        <v>3793.49</v>
      </c>
      <c r="H631" s="69">
        <f>6619.84-2826.35</f>
        <v>3793.49</v>
      </c>
      <c r="I631" s="69"/>
      <c r="J631" s="69"/>
      <c r="K631" s="69"/>
      <c r="L631" s="69"/>
      <c r="M631" s="609"/>
      <c r="N631" s="609"/>
      <c r="O631" s="609"/>
      <c r="P631" s="1177"/>
    </row>
    <row r="632" spans="1:23" s="640" customFormat="1" ht="18" customHeight="1" x14ac:dyDescent="0.3">
      <c r="A632" s="2314"/>
      <c r="B632" s="2375" t="s">
        <v>1131</v>
      </c>
      <c r="C632" s="2375"/>
      <c r="D632" s="2375"/>
      <c r="E632" s="2375"/>
      <c r="F632" s="385" t="s">
        <v>12</v>
      </c>
      <c r="G632" s="69">
        <f t="shared" ref="G632:G637" si="287">SUM(H632:L632)</f>
        <v>10732.75</v>
      </c>
      <c r="H632" s="69">
        <v>10732.75</v>
      </c>
      <c r="I632" s="69"/>
      <c r="J632" s="69"/>
      <c r="K632" s="69"/>
      <c r="L632" s="69"/>
      <c r="M632" s="609"/>
      <c r="N632" s="609"/>
      <c r="O632" s="609"/>
      <c r="P632" s="1177"/>
    </row>
    <row r="633" spans="1:23" s="640" customFormat="1" ht="18" customHeight="1" x14ac:dyDescent="0.3">
      <c r="A633" s="2314"/>
      <c r="B633" s="2375"/>
      <c r="C633" s="2375"/>
      <c r="D633" s="2375"/>
      <c r="E633" s="2375"/>
      <c r="F633" s="385" t="s">
        <v>13</v>
      </c>
      <c r="G633" s="69">
        <f t="shared" si="287"/>
        <v>9419.7900000000009</v>
      </c>
      <c r="H633" s="69">
        <v>9419.7900000000009</v>
      </c>
      <c r="I633" s="69"/>
      <c r="J633" s="69"/>
      <c r="K633" s="69"/>
      <c r="L633" s="69"/>
      <c r="M633" s="609"/>
      <c r="N633" s="609"/>
      <c r="O633" s="609"/>
      <c r="P633" s="1177" t="s">
        <v>1614</v>
      </c>
    </row>
    <row r="634" spans="1:23" s="640" customFormat="1" ht="18" customHeight="1" x14ac:dyDescent="0.3">
      <c r="A634" s="2314"/>
      <c r="B634" s="2375"/>
      <c r="C634" s="2375"/>
      <c r="D634" s="2375"/>
      <c r="E634" s="2375"/>
      <c r="F634" s="385" t="s">
        <v>14</v>
      </c>
      <c r="G634" s="69">
        <f t="shared" si="287"/>
        <v>0</v>
      </c>
      <c r="H634" s="69">
        <v>0</v>
      </c>
      <c r="I634" s="69"/>
      <c r="J634" s="69"/>
      <c r="K634" s="69"/>
      <c r="L634" s="69"/>
      <c r="M634" s="609"/>
      <c r="N634" s="609"/>
      <c r="O634" s="609"/>
      <c r="P634" s="1177"/>
    </row>
    <row r="635" spans="1:23" s="640" customFormat="1" ht="18" customHeight="1" x14ac:dyDescent="0.3">
      <c r="A635" s="2314"/>
      <c r="B635" s="2375" t="s">
        <v>1421</v>
      </c>
      <c r="C635" s="2375"/>
      <c r="D635" s="2375"/>
      <c r="E635" s="2375"/>
      <c r="F635" s="385" t="s">
        <v>12</v>
      </c>
      <c r="G635" s="69">
        <f t="shared" si="287"/>
        <v>10086.280000000001</v>
      </c>
      <c r="H635" s="69">
        <f>H636/0.95</f>
        <v>10086.280000000001</v>
      </c>
      <c r="I635" s="69"/>
      <c r="J635" s="69"/>
      <c r="K635" s="69"/>
      <c r="L635" s="69"/>
      <c r="M635" s="609"/>
      <c r="N635" s="609"/>
      <c r="O635" s="609"/>
      <c r="P635" s="1177"/>
    </row>
    <row r="636" spans="1:23" s="640" customFormat="1" ht="18" customHeight="1" x14ac:dyDescent="0.3">
      <c r="A636" s="2314"/>
      <c r="B636" s="2375"/>
      <c r="C636" s="2375"/>
      <c r="D636" s="2375"/>
      <c r="E636" s="2375"/>
      <c r="F636" s="385" t="s">
        <v>13</v>
      </c>
      <c r="G636" s="69">
        <f t="shared" si="287"/>
        <v>9581.9699999999993</v>
      </c>
      <c r="H636" s="69">
        <f>5761+3820.97</f>
        <v>9581.9699999999993</v>
      </c>
      <c r="I636" s="69"/>
      <c r="J636" s="69"/>
      <c r="K636" s="69"/>
      <c r="L636" s="69"/>
      <c r="M636" s="609"/>
      <c r="N636" s="609"/>
      <c r="O636" s="609"/>
      <c r="P636" s="1177" t="s">
        <v>1592</v>
      </c>
      <c r="W636" s="640">
        <v>1</v>
      </c>
    </row>
    <row r="637" spans="1:23" s="640" customFormat="1" ht="18" customHeight="1" x14ac:dyDescent="0.3">
      <c r="A637" s="2314"/>
      <c r="B637" s="2375"/>
      <c r="C637" s="2375"/>
      <c r="D637" s="2375"/>
      <c r="E637" s="2375"/>
      <c r="F637" s="385" t="s">
        <v>14</v>
      </c>
      <c r="G637" s="69">
        <f t="shared" si="287"/>
        <v>504.31</v>
      </c>
      <c r="H637" s="69">
        <f>H635*0.05</f>
        <v>504.31</v>
      </c>
      <c r="I637" s="69"/>
      <c r="J637" s="69"/>
      <c r="K637" s="69"/>
      <c r="L637" s="69"/>
      <c r="M637" s="609"/>
      <c r="N637" s="609"/>
      <c r="O637" s="609"/>
      <c r="P637" s="1177"/>
    </row>
    <row r="638" spans="1:23" s="676" customFormat="1" ht="18" customHeight="1" x14ac:dyDescent="0.3">
      <c r="A638" s="2437"/>
      <c r="B638" s="2424" t="s">
        <v>1072</v>
      </c>
      <c r="C638" s="2424"/>
      <c r="D638" s="2424"/>
      <c r="E638" s="2424"/>
      <c r="F638" s="672" t="s">
        <v>12</v>
      </c>
      <c r="G638" s="870">
        <f>G639+G640</f>
        <v>0</v>
      </c>
      <c r="H638" s="870">
        <f>H639+H640</f>
        <v>0</v>
      </c>
      <c r="I638" s="673"/>
      <c r="J638" s="673"/>
      <c r="K638" s="673"/>
      <c r="L638" s="673"/>
      <c r="M638" s="674"/>
      <c r="N638" s="675"/>
      <c r="O638" s="675"/>
      <c r="P638" s="1182"/>
    </row>
    <row r="639" spans="1:23" s="676" customFormat="1" ht="18" customHeight="1" x14ac:dyDescent="0.3">
      <c r="A639" s="2437"/>
      <c r="B639" s="2424"/>
      <c r="C639" s="2424"/>
      <c r="D639" s="2424"/>
      <c r="E639" s="2424"/>
      <c r="F639" s="672" t="s">
        <v>13</v>
      </c>
      <c r="G639" s="870">
        <f>H639</f>
        <v>0</v>
      </c>
      <c r="H639" s="870">
        <f>5738.26*0</f>
        <v>0</v>
      </c>
      <c r="I639" s="673"/>
      <c r="J639" s="673"/>
      <c r="K639" s="673"/>
      <c r="L639" s="673"/>
      <c r="M639" s="674"/>
      <c r="N639" s="675"/>
      <c r="O639" s="675"/>
      <c r="P639" s="1183" t="s">
        <v>1424</v>
      </c>
    </row>
    <row r="640" spans="1:23" s="676" customFormat="1" ht="18" customHeight="1" x14ac:dyDescent="0.3">
      <c r="A640" s="2437"/>
      <c r="B640" s="2424"/>
      <c r="C640" s="2424"/>
      <c r="D640" s="2424"/>
      <c r="E640" s="2424"/>
      <c r="F640" s="672" t="s">
        <v>14</v>
      </c>
      <c r="G640" s="870">
        <f>H640</f>
        <v>0</v>
      </c>
      <c r="H640" s="870">
        <v>0</v>
      </c>
      <c r="I640" s="673"/>
      <c r="J640" s="673"/>
      <c r="K640" s="673"/>
      <c r="L640" s="673"/>
      <c r="M640" s="674"/>
      <c r="N640" s="675"/>
      <c r="O640" s="675"/>
      <c r="P640" s="1182"/>
    </row>
    <row r="641" spans="1:24" s="640" customFormat="1" ht="18" customHeight="1" x14ac:dyDescent="0.3">
      <c r="A641" s="2314"/>
      <c r="B641" s="2315" t="s">
        <v>1333</v>
      </c>
      <c r="C641" s="2315"/>
      <c r="D641" s="2315"/>
      <c r="E641" s="2315"/>
      <c r="F641" s="1077" t="s">
        <v>12</v>
      </c>
      <c r="G641" s="659">
        <f>G643+G642</f>
        <v>41320.839999999997</v>
      </c>
      <c r="H641" s="659">
        <f>H643+H642</f>
        <v>41320.839999999997</v>
      </c>
      <c r="I641" s="659"/>
      <c r="J641" s="664"/>
      <c r="K641" s="664"/>
      <c r="L641" s="664"/>
      <c r="M641" s="1129"/>
      <c r="N641" s="661"/>
      <c r="O641" s="609"/>
      <c r="P641" s="1184" t="s">
        <v>1593</v>
      </c>
    </row>
    <row r="642" spans="1:24" s="640" customFormat="1" ht="18" customHeight="1" x14ac:dyDescent="0.3">
      <c r="A642" s="2314"/>
      <c r="B642" s="2315"/>
      <c r="C642" s="2315"/>
      <c r="D642" s="2315"/>
      <c r="E642" s="2315"/>
      <c r="F642" s="1077" t="s">
        <v>13</v>
      </c>
      <c r="G642" s="664">
        <f>H642</f>
        <v>41320.839999999997</v>
      </c>
      <c r="H642" s="664">
        <f>H645</f>
        <v>41320.839999999997</v>
      </c>
      <c r="I642" s="664"/>
      <c r="J642" s="664"/>
      <c r="K642" s="664"/>
      <c r="L642" s="664"/>
      <c r="M642" s="1129"/>
      <c r="N642" s="661"/>
      <c r="O642" s="609"/>
      <c r="P642" s="1175"/>
    </row>
    <row r="643" spans="1:24" s="640" customFormat="1" ht="18" customHeight="1" x14ac:dyDescent="0.3">
      <c r="A643" s="2314"/>
      <c r="B643" s="2315"/>
      <c r="C643" s="2315"/>
      <c r="D643" s="2315"/>
      <c r="E643" s="2315"/>
      <c r="F643" s="1077" t="s">
        <v>14</v>
      </c>
      <c r="G643" s="664">
        <f>H643</f>
        <v>0</v>
      </c>
      <c r="H643" s="664">
        <f>H646</f>
        <v>0</v>
      </c>
      <c r="I643" s="664"/>
      <c r="J643" s="664"/>
      <c r="K643" s="664"/>
      <c r="L643" s="664"/>
      <c r="M643" s="1129"/>
      <c r="N643" s="661"/>
      <c r="O643" s="609"/>
      <c r="P643" s="1176"/>
    </row>
    <row r="644" spans="1:24" s="640" customFormat="1" ht="27.75" customHeight="1" x14ac:dyDescent="0.3">
      <c r="A644" s="2314"/>
      <c r="B644" s="2228" t="s">
        <v>1657</v>
      </c>
      <c r="C644" s="2228"/>
      <c r="D644" s="2228"/>
      <c r="E644" s="2228"/>
      <c r="F644" s="385" t="s">
        <v>12</v>
      </c>
      <c r="G644" s="69">
        <f t="shared" ref="G644:G646" si="288">SUM(H644:L644)</f>
        <v>41320.839999999997</v>
      </c>
      <c r="H644" s="69">
        <f>H645+H646</f>
        <v>41320.839999999997</v>
      </c>
      <c r="I644" s="1325"/>
      <c r="J644" s="1325"/>
      <c r="K644" s="1325"/>
      <c r="L644" s="1325"/>
      <c r="M644" s="1326" t="s">
        <v>1034</v>
      </c>
      <c r="N644" s="1327"/>
      <c r="O644" s="1327"/>
      <c r="P644" s="1177"/>
      <c r="W644" s="640">
        <v>1</v>
      </c>
    </row>
    <row r="645" spans="1:24" s="640" customFormat="1" ht="26.25" customHeight="1" x14ac:dyDescent="0.35">
      <c r="A645" s="2314"/>
      <c r="B645" s="2228"/>
      <c r="C645" s="2228"/>
      <c r="D645" s="2228"/>
      <c r="E645" s="2228"/>
      <c r="F645" s="385" t="s">
        <v>13</v>
      </c>
      <c r="G645" s="69">
        <f t="shared" si="288"/>
        <v>41320.839999999997</v>
      </c>
      <c r="H645" s="69">
        <v>41320.839999999997</v>
      </c>
      <c r="I645" s="1325"/>
      <c r="J645" s="1325"/>
      <c r="K645" s="1325"/>
      <c r="L645" s="1325"/>
      <c r="M645" s="1326" t="s">
        <v>1035</v>
      </c>
      <c r="N645" s="1327"/>
      <c r="O645" s="1327"/>
      <c r="P645" s="1177" t="s">
        <v>1578</v>
      </c>
      <c r="Q645" s="1321"/>
    </row>
    <row r="646" spans="1:24" s="640" customFormat="1" ht="41.25" customHeight="1" x14ac:dyDescent="0.3">
      <c r="A646" s="2314"/>
      <c r="B646" s="2228"/>
      <c r="C646" s="2228"/>
      <c r="D646" s="2228"/>
      <c r="E646" s="2228"/>
      <c r="F646" s="385" t="s">
        <v>14</v>
      </c>
      <c r="G646" s="69">
        <f t="shared" si="288"/>
        <v>0</v>
      </c>
      <c r="H646" s="69">
        <f>(H645/99)*0</f>
        <v>0</v>
      </c>
      <c r="I646" s="1325"/>
      <c r="J646" s="1325"/>
      <c r="K646" s="1325"/>
      <c r="L646" s="1325"/>
      <c r="M646" s="1326"/>
      <c r="N646" s="1327"/>
      <c r="O646" s="1327"/>
      <c r="P646" s="1177"/>
    </row>
    <row r="647" spans="1:24" s="640" customFormat="1" ht="30.75" customHeight="1" x14ac:dyDescent="0.3">
      <c r="A647" s="2314"/>
      <c r="B647" s="2315" t="s">
        <v>1464</v>
      </c>
      <c r="C647" s="2315"/>
      <c r="D647" s="2315"/>
      <c r="E647" s="2315"/>
      <c r="F647" s="1077" t="s">
        <v>12</v>
      </c>
      <c r="G647" s="664">
        <f>G648+G649</f>
        <v>170000</v>
      </c>
      <c r="H647" s="664">
        <f>H648+H649</f>
        <v>100000</v>
      </c>
      <c r="I647" s="664">
        <f>I648+I649</f>
        <v>70000</v>
      </c>
      <c r="J647" s="664"/>
      <c r="K647" s="664"/>
      <c r="L647" s="664"/>
      <c r="M647" s="660">
        <v>2018</v>
      </c>
      <c r="N647" s="660">
        <v>2019</v>
      </c>
      <c r="O647" s="383"/>
      <c r="P647" s="1122" t="s">
        <v>1594</v>
      </c>
    </row>
    <row r="648" spans="1:24" s="640" customFormat="1" ht="48" customHeight="1" x14ac:dyDescent="0.3">
      <c r="A648" s="2314"/>
      <c r="B648" s="2315"/>
      <c r="C648" s="2315"/>
      <c r="D648" s="2315"/>
      <c r="E648" s="2315"/>
      <c r="F648" s="1077" t="s">
        <v>13</v>
      </c>
      <c r="G648" s="664">
        <f t="shared" ref="G648:I649" si="289">G651</f>
        <v>161500</v>
      </c>
      <c r="H648" s="664">
        <f t="shared" si="289"/>
        <v>95000</v>
      </c>
      <c r="I648" s="664">
        <f t="shared" si="289"/>
        <v>66500</v>
      </c>
      <c r="J648" s="664"/>
      <c r="K648" s="664"/>
      <c r="L648" s="664"/>
      <c r="M648" s="664"/>
      <c r="N648" s="664">
        <v>1</v>
      </c>
      <c r="O648" s="69"/>
      <c r="P648" s="1185"/>
    </row>
    <row r="649" spans="1:24" s="640" customFormat="1" ht="45" customHeight="1" x14ac:dyDescent="0.3">
      <c r="A649" s="2314"/>
      <c r="B649" s="2315"/>
      <c r="C649" s="2315"/>
      <c r="D649" s="2315"/>
      <c r="E649" s="2315"/>
      <c r="F649" s="1077" t="s">
        <v>14</v>
      </c>
      <c r="G649" s="664">
        <f t="shared" si="289"/>
        <v>8500</v>
      </c>
      <c r="H649" s="664">
        <f t="shared" si="289"/>
        <v>5000</v>
      </c>
      <c r="I649" s="664">
        <f t="shared" si="289"/>
        <v>3500</v>
      </c>
      <c r="J649" s="664"/>
      <c r="K649" s="664"/>
      <c r="L649" s="664"/>
      <c r="M649" s="1129"/>
      <c r="N649" s="661"/>
      <c r="O649" s="609"/>
      <c r="P649" s="1176"/>
    </row>
    <row r="650" spans="1:24" s="640" customFormat="1" ht="18" customHeight="1" x14ac:dyDescent="0.3">
      <c r="A650" s="2314"/>
      <c r="B650" s="2021" t="s">
        <v>1069</v>
      </c>
      <c r="C650" s="2021"/>
      <c r="D650" s="2021"/>
      <c r="E650" s="2021"/>
      <c r="F650" s="385" t="s">
        <v>12</v>
      </c>
      <c r="G650" s="69">
        <f>G651+G652</f>
        <v>170000</v>
      </c>
      <c r="H650" s="69">
        <f>H651/0.95</f>
        <v>100000</v>
      </c>
      <c r="I650" s="69">
        <f>I651/0.95</f>
        <v>70000</v>
      </c>
      <c r="J650" s="69"/>
      <c r="K650" s="69"/>
      <c r="L650" s="69"/>
      <c r="M650" s="641"/>
      <c r="N650" s="609"/>
      <c r="O650" s="609"/>
      <c r="P650" s="1177"/>
    </row>
    <row r="651" spans="1:24" s="640" customFormat="1" ht="39.75" customHeight="1" x14ac:dyDescent="0.3">
      <c r="A651" s="2314"/>
      <c r="B651" s="2021"/>
      <c r="C651" s="2021"/>
      <c r="D651" s="2021"/>
      <c r="E651" s="2021"/>
      <c r="F651" s="385" t="s">
        <v>13</v>
      </c>
      <c r="G651" s="69">
        <f>H651+I651</f>
        <v>161500</v>
      </c>
      <c r="H651" s="952">
        <f>28500+66500</f>
        <v>95000</v>
      </c>
      <c r="I651" s="69">
        <v>66500</v>
      </c>
      <c r="J651" s="69"/>
      <c r="K651" s="69"/>
      <c r="L651" s="69"/>
      <c r="M651" s="641"/>
      <c r="N651" s="609"/>
      <c r="O651" s="609"/>
      <c r="P651" s="1177" t="s">
        <v>1595</v>
      </c>
      <c r="X651" s="640">
        <v>1</v>
      </c>
    </row>
    <row r="652" spans="1:24" s="640" customFormat="1" ht="45.75" customHeight="1" x14ac:dyDescent="0.3">
      <c r="A652" s="2314"/>
      <c r="B652" s="2021"/>
      <c r="C652" s="2021"/>
      <c r="D652" s="2021"/>
      <c r="E652" s="2021"/>
      <c r="F652" s="385" t="s">
        <v>14</v>
      </c>
      <c r="G652" s="69">
        <f>H652+I652</f>
        <v>8500</v>
      </c>
      <c r="H652" s="952">
        <f>H650*0.05</f>
        <v>5000</v>
      </c>
      <c r="I652" s="69">
        <f>I650*0.05</f>
        <v>3500</v>
      </c>
      <c r="J652" s="69"/>
      <c r="K652" s="69"/>
      <c r="L652" s="69"/>
      <c r="M652" s="641"/>
      <c r="N652" s="609"/>
      <c r="O652" s="609"/>
      <c r="P652" s="1177"/>
    </row>
    <row r="653" spans="1:24" s="663" customFormat="1" ht="18" customHeight="1" x14ac:dyDescent="0.3">
      <c r="A653" s="2314" t="s">
        <v>784</v>
      </c>
      <c r="B653" s="2315" t="s">
        <v>32</v>
      </c>
      <c r="C653" s="2315"/>
      <c r="D653" s="2315"/>
      <c r="E653" s="2315"/>
      <c r="F653" s="658" t="s">
        <v>12</v>
      </c>
      <c r="G653" s="659">
        <f t="shared" ref="G653:G655" si="290">SUM(H653:L653)</f>
        <v>620201.36</v>
      </c>
      <c r="H653" s="659">
        <f>H654+H655</f>
        <v>109401.28</v>
      </c>
      <c r="I653" s="659">
        <f>I654+I655</f>
        <v>204220.79999999999</v>
      </c>
      <c r="J653" s="659">
        <f>J654+J655</f>
        <v>306579.28000000003</v>
      </c>
      <c r="K653" s="659"/>
      <c r="L653" s="659"/>
      <c r="M653" s="665">
        <v>2018</v>
      </c>
      <c r="N653" s="665">
        <v>2019</v>
      </c>
      <c r="O653" s="665">
        <v>2020</v>
      </c>
      <c r="P653" s="1174" t="s">
        <v>1596</v>
      </c>
    </row>
    <row r="654" spans="1:24" s="663" customFormat="1" ht="18" customHeight="1" x14ac:dyDescent="0.3">
      <c r="A654" s="2314"/>
      <c r="B654" s="2315"/>
      <c r="C654" s="2315"/>
      <c r="D654" s="2315"/>
      <c r="E654" s="2315"/>
      <c r="F654" s="658" t="s">
        <v>13</v>
      </c>
      <c r="G654" s="664">
        <f t="shared" si="290"/>
        <v>560580.21</v>
      </c>
      <c r="H654" s="664">
        <f>H657+H660+H663+H666+H669+H672+H675+H678+H681</f>
        <v>100860.49</v>
      </c>
      <c r="I654" s="664">
        <f t="shared" ref="H654:J655" si="291">I657+I660+I663+I666+I669+I672+I675+I678+I681</f>
        <v>183798.72</v>
      </c>
      <c r="J654" s="664">
        <f t="shared" si="291"/>
        <v>275921</v>
      </c>
      <c r="K654" s="664"/>
      <c r="L654" s="664"/>
      <c r="M654" s="666">
        <v>3</v>
      </c>
      <c r="N654" s="666">
        <v>0</v>
      </c>
      <c r="O654" s="666">
        <v>2</v>
      </c>
      <c r="P654" s="1175"/>
    </row>
    <row r="655" spans="1:24" s="663" customFormat="1" ht="18" customHeight="1" x14ac:dyDescent="0.3">
      <c r="A655" s="2314"/>
      <c r="B655" s="2315"/>
      <c r="C655" s="2315"/>
      <c r="D655" s="2315"/>
      <c r="E655" s="2315"/>
      <c r="F655" s="658" t="s">
        <v>14</v>
      </c>
      <c r="G655" s="664">
        <f t="shared" si="290"/>
        <v>59621.15</v>
      </c>
      <c r="H655" s="664">
        <f t="shared" si="291"/>
        <v>8540.7900000000009</v>
      </c>
      <c r="I655" s="664">
        <f t="shared" si="291"/>
        <v>20422.080000000002</v>
      </c>
      <c r="J655" s="664">
        <f t="shared" si="291"/>
        <v>30658.28</v>
      </c>
      <c r="K655" s="664"/>
      <c r="L655" s="664"/>
      <c r="M655" s="661"/>
      <c r="N655" s="661"/>
      <c r="O655" s="661"/>
      <c r="P655" s="1176"/>
    </row>
    <row r="656" spans="1:24" s="640" customFormat="1" ht="18" customHeight="1" x14ac:dyDescent="0.3">
      <c r="A656" s="2314" t="s">
        <v>702</v>
      </c>
      <c r="B656" s="1770" t="s">
        <v>816</v>
      </c>
      <c r="C656" s="1770"/>
      <c r="D656" s="1770"/>
      <c r="E656" s="1770"/>
      <c r="F656" s="385" t="s">
        <v>12</v>
      </c>
      <c r="G656" s="69">
        <f t="shared" ref="G656:G661" si="292">SUM(H656:L656)</f>
        <v>21255.01</v>
      </c>
      <c r="H656" s="69">
        <f>H657+H658</f>
        <v>21255.01</v>
      </c>
      <c r="I656" s="69">
        <v>0</v>
      </c>
      <c r="J656" s="69">
        <v>0</v>
      </c>
      <c r="K656" s="69"/>
      <c r="L656" s="69"/>
      <c r="M656" s="609"/>
      <c r="N656" s="609"/>
      <c r="O656" s="609"/>
      <c r="P656" s="1177"/>
    </row>
    <row r="657" spans="1:23" s="640" customFormat="1" ht="18" customHeight="1" x14ac:dyDescent="0.3">
      <c r="A657" s="2314"/>
      <c r="B657" s="1770"/>
      <c r="C657" s="1770"/>
      <c r="D657" s="1770"/>
      <c r="E657" s="1770"/>
      <c r="F657" s="385" t="s">
        <v>13</v>
      </c>
      <c r="G657" s="69">
        <f t="shared" si="292"/>
        <v>19129.509999999998</v>
      </c>
      <c r="H657" s="69">
        <f>13390.66+5738.85</f>
        <v>19129.509999999998</v>
      </c>
      <c r="I657" s="69">
        <v>0</v>
      </c>
      <c r="J657" s="69">
        <v>0</v>
      </c>
      <c r="K657" s="69"/>
      <c r="L657" s="69"/>
      <c r="M657" s="609"/>
      <c r="N657" s="609"/>
      <c r="O657" s="609"/>
      <c r="P657" s="1177" t="s">
        <v>1597</v>
      </c>
      <c r="W657" s="640">
        <v>1</v>
      </c>
    </row>
    <row r="658" spans="1:23" s="640" customFormat="1" ht="30.75" customHeight="1" x14ac:dyDescent="0.3">
      <c r="A658" s="2314"/>
      <c r="B658" s="1770"/>
      <c r="C658" s="1770"/>
      <c r="D658" s="1770"/>
      <c r="E658" s="1770"/>
      <c r="F658" s="385" t="s">
        <v>14</v>
      </c>
      <c r="G658" s="69">
        <f t="shared" si="292"/>
        <v>2125.5</v>
      </c>
      <c r="H658" s="69">
        <f>1487.85+637.65</f>
        <v>2125.5</v>
      </c>
      <c r="I658" s="69">
        <v>0</v>
      </c>
      <c r="J658" s="69">
        <v>0</v>
      </c>
      <c r="K658" s="69"/>
      <c r="L658" s="69"/>
      <c r="M658" s="609"/>
      <c r="N658" s="609"/>
      <c r="O658" s="609"/>
      <c r="P658" s="1177"/>
    </row>
    <row r="659" spans="1:23" s="640" customFormat="1" ht="18" customHeight="1" x14ac:dyDescent="0.3">
      <c r="A659" s="2314" t="s">
        <v>621</v>
      </c>
      <c r="B659" s="1770" t="s">
        <v>817</v>
      </c>
      <c r="C659" s="1770"/>
      <c r="D659" s="1770"/>
      <c r="E659" s="1770"/>
      <c r="F659" s="385" t="s">
        <v>12</v>
      </c>
      <c r="G659" s="69">
        <f t="shared" si="292"/>
        <v>25270.67</v>
      </c>
      <c r="H659" s="69">
        <f>H660+H661</f>
        <v>25270.67</v>
      </c>
      <c r="I659" s="69">
        <v>0</v>
      </c>
      <c r="J659" s="69">
        <v>0</v>
      </c>
      <c r="K659" s="69"/>
      <c r="L659" s="69"/>
      <c r="M659" s="609"/>
      <c r="N659" s="609"/>
      <c r="O659" s="609"/>
      <c r="P659" s="1177"/>
    </row>
    <row r="660" spans="1:23" s="640" customFormat="1" ht="18" customHeight="1" x14ac:dyDescent="0.3">
      <c r="A660" s="2314"/>
      <c r="B660" s="1770"/>
      <c r="C660" s="1770"/>
      <c r="D660" s="1770"/>
      <c r="E660" s="1770"/>
      <c r="F660" s="385" t="s">
        <v>13</v>
      </c>
      <c r="G660" s="69">
        <f t="shared" si="292"/>
        <v>22855.38</v>
      </c>
      <c r="H660" s="69">
        <f>15998.77+6856.61</f>
        <v>22855.38</v>
      </c>
      <c r="I660" s="69">
        <v>0</v>
      </c>
      <c r="J660" s="69">
        <v>0</v>
      </c>
      <c r="K660" s="69"/>
      <c r="L660" s="69"/>
      <c r="M660" s="609"/>
      <c r="N660" s="609"/>
      <c r="O660" s="609"/>
      <c r="P660" s="1177" t="s">
        <v>1597</v>
      </c>
      <c r="W660" s="640">
        <v>1</v>
      </c>
    </row>
    <row r="661" spans="1:23" s="640" customFormat="1" ht="48.75" customHeight="1" x14ac:dyDescent="0.3">
      <c r="A661" s="2314"/>
      <c r="B661" s="1770"/>
      <c r="C661" s="1770"/>
      <c r="D661" s="1770"/>
      <c r="E661" s="1770"/>
      <c r="F661" s="385" t="s">
        <v>14</v>
      </c>
      <c r="G661" s="69">
        <f t="shared" si="292"/>
        <v>2415.29</v>
      </c>
      <c r="H661" s="69">
        <f>1777.64+637.65</f>
        <v>2415.29</v>
      </c>
      <c r="I661" s="69">
        <v>0</v>
      </c>
      <c r="J661" s="69">
        <v>0</v>
      </c>
      <c r="K661" s="69"/>
      <c r="L661" s="69"/>
      <c r="M661" s="609"/>
      <c r="N661" s="609"/>
      <c r="O661" s="609"/>
      <c r="P661" s="1177"/>
    </row>
    <row r="662" spans="1:23" s="640" customFormat="1" ht="18" customHeight="1" x14ac:dyDescent="0.3">
      <c r="A662" s="2314" t="s">
        <v>503</v>
      </c>
      <c r="B662" s="1770" t="s">
        <v>1697</v>
      </c>
      <c r="C662" s="1770"/>
      <c r="D662" s="1770"/>
      <c r="E662" s="1770"/>
      <c r="F662" s="385" t="s">
        <v>12</v>
      </c>
      <c r="G662" s="69">
        <f t="shared" ref="G662:G664" si="293">SUM(H662:L662)</f>
        <v>40000</v>
      </c>
      <c r="H662" s="69">
        <f>H663+H664</f>
        <v>40000</v>
      </c>
      <c r="I662" s="69">
        <v>0</v>
      </c>
      <c r="J662" s="69">
        <v>0</v>
      </c>
      <c r="K662" s="69"/>
      <c r="L662" s="69"/>
      <c r="M662" s="609"/>
      <c r="N662" s="609"/>
      <c r="O662" s="609"/>
      <c r="P662" s="1177"/>
      <c r="Q662" s="1345" t="s">
        <v>1662</v>
      </c>
    </row>
    <row r="663" spans="1:23" s="640" customFormat="1" ht="18" customHeight="1" x14ac:dyDescent="0.3">
      <c r="A663" s="2314"/>
      <c r="B663" s="1770"/>
      <c r="C663" s="1770"/>
      <c r="D663" s="1770"/>
      <c r="E663" s="1770"/>
      <c r="F663" s="385" t="s">
        <v>13</v>
      </c>
      <c r="G663" s="69">
        <f t="shared" si="293"/>
        <v>36000</v>
      </c>
      <c r="H663" s="952">
        <f>36001-1</f>
        <v>36000</v>
      </c>
      <c r="I663" s="69">
        <v>0</v>
      </c>
      <c r="J663" s="69">
        <v>0</v>
      </c>
      <c r="K663" s="69"/>
      <c r="L663" s="69"/>
      <c r="M663" s="609"/>
      <c r="N663" s="609"/>
      <c r="O663" s="609"/>
      <c r="P663" s="1177" t="s">
        <v>1584</v>
      </c>
      <c r="W663" s="640">
        <v>1</v>
      </c>
    </row>
    <row r="664" spans="1:23" s="640" customFormat="1" ht="18" customHeight="1" x14ac:dyDescent="0.3">
      <c r="A664" s="2314"/>
      <c r="B664" s="1770"/>
      <c r="C664" s="1770"/>
      <c r="D664" s="1770"/>
      <c r="E664" s="1770"/>
      <c r="F664" s="385" t="s">
        <v>14</v>
      </c>
      <c r="G664" s="69">
        <f t="shared" si="293"/>
        <v>4000</v>
      </c>
      <c r="H664" s="69">
        <v>4000</v>
      </c>
      <c r="I664" s="69"/>
      <c r="J664" s="69">
        <v>0</v>
      </c>
      <c r="K664" s="69"/>
      <c r="L664" s="69"/>
      <c r="M664" s="609"/>
      <c r="N664" s="609"/>
      <c r="O664" s="609"/>
      <c r="P664" s="1177"/>
    </row>
    <row r="665" spans="1:23" s="640" customFormat="1" ht="18" customHeight="1" x14ac:dyDescent="0.3">
      <c r="A665" s="2314" t="s">
        <v>685</v>
      </c>
      <c r="B665" s="2375" t="s">
        <v>1037</v>
      </c>
      <c r="C665" s="2375"/>
      <c r="D665" s="2375"/>
      <c r="E665" s="2375"/>
      <c r="F665" s="385" t="s">
        <v>12</v>
      </c>
      <c r="G665" s="69">
        <f t="shared" ref="G665:G676" si="294">SUM(H665:L665)</f>
        <v>3401.32</v>
      </c>
      <c r="H665" s="69">
        <f>H666+H667</f>
        <v>3401.32</v>
      </c>
      <c r="I665" s="389">
        <v>0</v>
      </c>
      <c r="J665" s="389">
        <v>0</v>
      </c>
      <c r="K665" s="389"/>
      <c r="L665" s="389"/>
      <c r="M665" s="609"/>
      <c r="N665" s="609"/>
      <c r="O665" s="609"/>
      <c r="P665" s="1177"/>
    </row>
    <row r="666" spans="1:23" s="640" customFormat="1" ht="18" customHeight="1" x14ac:dyDescent="0.3">
      <c r="A666" s="2314"/>
      <c r="B666" s="2375"/>
      <c r="C666" s="2375"/>
      <c r="D666" s="2375"/>
      <c r="E666" s="2375"/>
      <c r="F666" s="385" t="s">
        <v>13</v>
      </c>
      <c r="G666" s="69">
        <f t="shared" si="294"/>
        <v>3401.32</v>
      </c>
      <c r="H666" s="69">
        <v>3401.32</v>
      </c>
      <c r="I666" s="69">
        <v>0</v>
      </c>
      <c r="J666" s="69">
        <v>0</v>
      </c>
      <c r="K666" s="69"/>
      <c r="L666" s="69"/>
      <c r="M666" s="609"/>
      <c r="N666" s="609"/>
      <c r="O666" s="609"/>
      <c r="P666" s="1177" t="s">
        <v>1598</v>
      </c>
    </row>
    <row r="667" spans="1:23" s="640" customFormat="1" ht="18" customHeight="1" x14ac:dyDescent="0.3">
      <c r="A667" s="2314"/>
      <c r="B667" s="2375"/>
      <c r="C667" s="2375"/>
      <c r="D667" s="2375"/>
      <c r="E667" s="2375"/>
      <c r="F667" s="385" t="s">
        <v>14</v>
      </c>
      <c r="G667" s="69">
        <f t="shared" si="294"/>
        <v>0</v>
      </c>
      <c r="H667" s="69">
        <v>0</v>
      </c>
      <c r="I667" s="69">
        <v>0</v>
      </c>
      <c r="J667" s="69">
        <v>0</v>
      </c>
      <c r="K667" s="69"/>
      <c r="L667" s="69"/>
      <c r="M667" s="609"/>
      <c r="N667" s="609"/>
      <c r="O667" s="609"/>
      <c r="P667" s="1177"/>
    </row>
    <row r="668" spans="1:23" s="640" customFormat="1" ht="18" customHeight="1" x14ac:dyDescent="0.3">
      <c r="A668" s="1359" t="s">
        <v>477</v>
      </c>
      <c r="B668" s="2375" t="s">
        <v>1112</v>
      </c>
      <c r="C668" s="2375"/>
      <c r="D668" s="2375"/>
      <c r="E668" s="2375"/>
      <c r="F668" s="385" t="s">
        <v>12</v>
      </c>
      <c r="G668" s="69">
        <f>G669+G670</f>
        <v>13208.85</v>
      </c>
      <c r="H668" s="69">
        <f>H669+I671</f>
        <v>13208.85</v>
      </c>
      <c r="I668" s="389">
        <v>0</v>
      </c>
      <c r="J668" s="389">
        <v>0</v>
      </c>
      <c r="K668" s="389"/>
      <c r="L668" s="389"/>
      <c r="M668" s="609"/>
      <c r="N668" s="609"/>
      <c r="O668" s="609"/>
      <c r="P668" s="1177"/>
    </row>
    <row r="669" spans="1:23" s="640" customFormat="1" ht="18" customHeight="1" x14ac:dyDescent="0.3">
      <c r="A669" s="1359"/>
      <c r="B669" s="2375"/>
      <c r="C669" s="2375"/>
      <c r="D669" s="2375"/>
      <c r="E669" s="2375"/>
      <c r="F669" s="385" t="s">
        <v>13</v>
      </c>
      <c r="G669" s="69">
        <f>SUM(H669:L669)</f>
        <v>13208.85</v>
      </c>
      <c r="H669" s="69">
        <v>13208.85</v>
      </c>
      <c r="I669" s="69">
        <v>0</v>
      </c>
      <c r="J669" s="69">
        <v>0</v>
      </c>
      <c r="K669" s="69"/>
      <c r="L669" s="69"/>
      <c r="M669" s="609"/>
      <c r="N669" s="609"/>
      <c r="O669" s="609"/>
      <c r="P669" s="1177" t="s">
        <v>1598</v>
      </c>
    </row>
    <row r="670" spans="1:23" s="640" customFormat="1" ht="18" customHeight="1" x14ac:dyDescent="0.4">
      <c r="A670" s="1359"/>
      <c r="B670" s="2375"/>
      <c r="C670" s="2375"/>
      <c r="D670" s="2375"/>
      <c r="E670" s="2375"/>
      <c r="F670" s="385" t="s">
        <v>14</v>
      </c>
      <c r="G670" s="69">
        <f>SUM(H670:L670)</f>
        <v>0</v>
      </c>
      <c r="H670" s="69">
        <v>0</v>
      </c>
      <c r="I670" s="69">
        <v>0</v>
      </c>
      <c r="J670" s="69">
        <v>0</v>
      </c>
      <c r="K670" s="69"/>
      <c r="L670" s="69"/>
      <c r="M670" s="609"/>
      <c r="N670" s="609"/>
      <c r="O670" s="609"/>
      <c r="P670" s="1177"/>
      <c r="Q670" s="604" t="s">
        <v>1655</v>
      </c>
    </row>
    <row r="671" spans="1:23" s="640" customFormat="1" ht="18" customHeight="1" x14ac:dyDescent="0.3">
      <c r="A671" s="2314" t="s">
        <v>444</v>
      </c>
      <c r="B671" s="2375" t="s">
        <v>1038</v>
      </c>
      <c r="C671" s="2375"/>
      <c r="D671" s="2375"/>
      <c r="E671" s="2375"/>
      <c r="F671" s="385" t="s">
        <v>12</v>
      </c>
      <c r="G671" s="69">
        <f t="shared" si="294"/>
        <v>4426.1099999999997</v>
      </c>
      <c r="H671" s="69">
        <f>H672+H673</f>
        <v>4426.1099999999997</v>
      </c>
      <c r="I671" s="389">
        <v>0</v>
      </c>
      <c r="J671" s="389">
        <v>0</v>
      </c>
      <c r="K671" s="389"/>
      <c r="L671" s="389"/>
      <c r="M671" s="609"/>
      <c r="N671" s="609"/>
      <c r="O671" s="609"/>
      <c r="P671" s="1177"/>
    </row>
    <row r="672" spans="1:23" s="640" customFormat="1" ht="45" customHeight="1" x14ac:dyDescent="0.3">
      <c r="A672" s="2314"/>
      <c r="B672" s="2375"/>
      <c r="C672" s="2375"/>
      <c r="D672" s="2375"/>
      <c r="E672" s="2375"/>
      <c r="F672" s="385" t="s">
        <v>13</v>
      </c>
      <c r="G672" s="69">
        <f t="shared" si="294"/>
        <v>4426.1099999999997</v>
      </c>
      <c r="H672" s="69">
        <v>4426.1099999999997</v>
      </c>
      <c r="I672" s="69">
        <v>0</v>
      </c>
      <c r="J672" s="69">
        <v>0</v>
      </c>
      <c r="K672" s="69"/>
      <c r="L672" s="69"/>
      <c r="M672" s="609"/>
      <c r="N672" s="609"/>
      <c r="O672" s="609"/>
      <c r="P672" s="1177" t="s">
        <v>1598</v>
      </c>
    </row>
    <row r="673" spans="1:25" s="640" customFormat="1" ht="45" customHeight="1" x14ac:dyDescent="0.3">
      <c r="A673" s="2314"/>
      <c r="B673" s="2375"/>
      <c r="C673" s="2375"/>
      <c r="D673" s="2375"/>
      <c r="E673" s="2375"/>
      <c r="F673" s="385" t="s">
        <v>14</v>
      </c>
      <c r="G673" s="69">
        <f t="shared" si="294"/>
        <v>0</v>
      </c>
      <c r="H673" s="69">
        <v>0</v>
      </c>
      <c r="I673" s="69">
        <v>0</v>
      </c>
      <c r="J673" s="69">
        <v>0</v>
      </c>
      <c r="K673" s="69"/>
      <c r="L673" s="69"/>
      <c r="M673" s="609"/>
      <c r="N673" s="609"/>
      <c r="O673" s="609"/>
      <c r="P673" s="1177"/>
    </row>
    <row r="674" spans="1:25" s="640" customFormat="1" ht="18" customHeight="1" x14ac:dyDescent="0.3">
      <c r="A674" s="2314" t="s">
        <v>959</v>
      </c>
      <c r="B674" s="2375" t="s">
        <v>1039</v>
      </c>
      <c r="C674" s="2375"/>
      <c r="D674" s="2375"/>
      <c r="E674" s="2375"/>
      <c r="F674" s="385" t="s">
        <v>12</v>
      </c>
      <c r="G674" s="69">
        <f t="shared" si="294"/>
        <v>1839.32</v>
      </c>
      <c r="H674" s="69">
        <f>H675+H676</f>
        <v>1839.32</v>
      </c>
      <c r="I674" s="389">
        <v>0</v>
      </c>
      <c r="J674" s="389">
        <v>0</v>
      </c>
      <c r="K674" s="389"/>
      <c r="L674" s="389"/>
      <c r="M674" s="609"/>
      <c r="N674" s="609"/>
      <c r="O674" s="609"/>
      <c r="P674" s="1177"/>
    </row>
    <row r="675" spans="1:25" s="640" customFormat="1" ht="27.75" customHeight="1" x14ac:dyDescent="0.3">
      <c r="A675" s="2314"/>
      <c r="B675" s="2375"/>
      <c r="C675" s="2375"/>
      <c r="D675" s="2375"/>
      <c r="E675" s="2375"/>
      <c r="F675" s="385" t="s">
        <v>13</v>
      </c>
      <c r="G675" s="69">
        <f t="shared" si="294"/>
        <v>1839.32</v>
      </c>
      <c r="H675" s="69">
        <v>1839.32</v>
      </c>
      <c r="I675" s="69">
        <v>0</v>
      </c>
      <c r="J675" s="69">
        <v>0</v>
      </c>
      <c r="K675" s="69"/>
      <c r="L675" s="69"/>
      <c r="M675" s="609"/>
      <c r="N675" s="609"/>
      <c r="O675" s="609"/>
      <c r="P675" s="1177" t="s">
        <v>1598</v>
      </c>
    </row>
    <row r="676" spans="1:25" s="640" customFormat="1" ht="45" customHeight="1" x14ac:dyDescent="0.3">
      <c r="A676" s="2314"/>
      <c r="B676" s="2375"/>
      <c r="C676" s="2375"/>
      <c r="D676" s="2375"/>
      <c r="E676" s="2375"/>
      <c r="F676" s="385" t="s">
        <v>14</v>
      </c>
      <c r="G676" s="69">
        <f t="shared" si="294"/>
        <v>0</v>
      </c>
      <c r="H676" s="69">
        <v>0</v>
      </c>
      <c r="I676" s="69">
        <v>0</v>
      </c>
      <c r="J676" s="69">
        <v>0</v>
      </c>
      <c r="K676" s="69"/>
      <c r="L676" s="69"/>
      <c r="M676" s="609"/>
      <c r="N676" s="609"/>
      <c r="O676" s="609"/>
      <c r="P676" s="1177"/>
    </row>
    <row r="677" spans="1:25" s="640" customFormat="1" ht="18" customHeight="1" x14ac:dyDescent="0.3">
      <c r="A677" s="2314" t="s">
        <v>961</v>
      </c>
      <c r="B677" s="2181" t="s">
        <v>1066</v>
      </c>
      <c r="C677" s="2181"/>
      <c r="D677" s="2181"/>
      <c r="E677" s="2181"/>
      <c r="F677" s="385" t="s">
        <v>12</v>
      </c>
      <c r="G677" s="69">
        <f>G678+G679</f>
        <v>165000.07999999999</v>
      </c>
      <c r="H677" s="69">
        <v>0</v>
      </c>
      <c r="I677" s="389">
        <f>I678/0.9</f>
        <v>66000</v>
      </c>
      <c r="J677" s="389">
        <f>J678/0.9</f>
        <v>99000</v>
      </c>
      <c r="K677" s="389"/>
      <c r="L677" s="389"/>
      <c r="M677" s="609"/>
      <c r="N677" s="609"/>
      <c r="O677" s="383"/>
      <c r="P677" s="1100"/>
    </row>
    <row r="678" spans="1:25" s="640" customFormat="1" ht="51" customHeight="1" x14ac:dyDescent="0.3">
      <c r="A678" s="2314"/>
      <c r="B678" s="2181"/>
      <c r="C678" s="2181"/>
      <c r="D678" s="2181"/>
      <c r="E678" s="2181"/>
      <c r="F678" s="385" t="s">
        <v>13</v>
      </c>
      <c r="G678" s="69">
        <f>H678+I678+J678</f>
        <v>148500</v>
      </c>
      <c r="H678" s="69">
        <v>0</v>
      </c>
      <c r="I678" s="69">
        <v>59400</v>
      </c>
      <c r="J678" s="952">
        <f>89100.08-0.08</f>
        <v>89100</v>
      </c>
      <c r="K678" s="69"/>
      <c r="L678" s="69"/>
      <c r="M678" s="609"/>
      <c r="N678" s="609"/>
      <c r="O678" s="69"/>
      <c r="P678" s="1117" t="s">
        <v>1599</v>
      </c>
      <c r="Y678" s="640">
        <v>1</v>
      </c>
    </row>
    <row r="679" spans="1:25" s="640" customFormat="1" ht="40.5" customHeight="1" x14ac:dyDescent="0.45">
      <c r="A679" s="2314"/>
      <c r="B679" s="2181"/>
      <c r="C679" s="2181"/>
      <c r="D679" s="2181"/>
      <c r="E679" s="2181"/>
      <c r="F679" s="385" t="s">
        <v>14</v>
      </c>
      <c r="G679" s="69">
        <f>H679+I679+J679</f>
        <v>16500.080000000002</v>
      </c>
      <c r="H679" s="69">
        <v>0</v>
      </c>
      <c r="I679" s="69">
        <f>I677*0.1</f>
        <v>6600</v>
      </c>
      <c r="J679" s="952">
        <f>(J677*0.1)+0.08</f>
        <v>9900.08</v>
      </c>
      <c r="K679" s="69"/>
      <c r="L679" s="69"/>
      <c r="M679" s="609"/>
      <c r="N679" s="609"/>
      <c r="O679" s="609"/>
      <c r="P679" s="1177"/>
      <c r="Q679" s="280" t="s">
        <v>1456</v>
      </c>
    </row>
    <row r="680" spans="1:25" s="640" customFormat="1" ht="28.5" customHeight="1" x14ac:dyDescent="0.3">
      <c r="A680" s="2314" t="s">
        <v>963</v>
      </c>
      <c r="B680" s="2181" t="s">
        <v>1067</v>
      </c>
      <c r="C680" s="2181"/>
      <c r="D680" s="2181"/>
      <c r="E680" s="2181"/>
      <c r="F680" s="385" t="s">
        <v>12</v>
      </c>
      <c r="G680" s="69">
        <f>G681+G682</f>
        <v>345800</v>
      </c>
      <c r="H680" s="69">
        <v>0</v>
      </c>
      <c r="I680" s="389">
        <f>I681/0.9</f>
        <v>138220.79999999999</v>
      </c>
      <c r="J680" s="961">
        <f>J681+J682</f>
        <v>207579.2</v>
      </c>
      <c r="K680" s="389"/>
      <c r="L680" s="389"/>
      <c r="M680" s="609"/>
      <c r="N680" s="609"/>
      <c r="O680" s="609"/>
      <c r="P680" s="1177"/>
    </row>
    <row r="681" spans="1:25" s="640" customFormat="1" ht="51" customHeight="1" x14ac:dyDescent="0.3">
      <c r="A681" s="2314"/>
      <c r="B681" s="2181"/>
      <c r="C681" s="2181"/>
      <c r="D681" s="2181"/>
      <c r="E681" s="2181"/>
      <c r="F681" s="385" t="s">
        <v>13</v>
      </c>
      <c r="G681" s="69">
        <f>H681+I681+J681</f>
        <v>311219.71999999997</v>
      </c>
      <c r="H681" s="69">
        <v>0</v>
      </c>
      <c r="I681" s="69">
        <v>124398.72</v>
      </c>
      <c r="J681" s="952">
        <f>186821.28-(0.28)</f>
        <v>186821</v>
      </c>
      <c r="K681" s="69"/>
      <c r="L681" s="69"/>
      <c r="M681" s="609"/>
      <c r="N681" s="609"/>
      <c r="O681" s="609"/>
      <c r="P681" s="1178" t="s">
        <v>1599</v>
      </c>
      <c r="Y681" s="640">
        <v>1</v>
      </c>
    </row>
    <row r="682" spans="1:25" s="640" customFormat="1" ht="48" customHeight="1" x14ac:dyDescent="0.3">
      <c r="A682" s="2314"/>
      <c r="B682" s="2181"/>
      <c r="C682" s="2181"/>
      <c r="D682" s="2181"/>
      <c r="E682" s="2181"/>
      <c r="F682" s="385" t="s">
        <v>14</v>
      </c>
      <c r="G682" s="69">
        <f>H682+I682+J682</f>
        <v>34580.28</v>
      </c>
      <c r="H682" s="69">
        <v>0</v>
      </c>
      <c r="I682" s="69">
        <f>I680*0.1</f>
        <v>13822.08</v>
      </c>
      <c r="J682" s="952">
        <f>20757.89+0.28+0.03</f>
        <v>20758.2</v>
      </c>
      <c r="K682" s="69"/>
      <c r="L682" s="69"/>
      <c r="M682" s="609"/>
      <c r="N682" s="609"/>
      <c r="O682" s="609"/>
      <c r="P682" s="1186"/>
    </row>
    <row r="683" spans="1:25" s="663" customFormat="1" ht="18" customHeight="1" x14ac:dyDescent="0.3">
      <c r="A683" s="2314" t="s">
        <v>785</v>
      </c>
      <c r="B683" s="2415" t="s">
        <v>151</v>
      </c>
      <c r="C683" s="2415"/>
      <c r="D683" s="2415"/>
      <c r="E683" s="2415"/>
      <c r="F683" s="658" t="s">
        <v>12</v>
      </c>
      <c r="G683" s="659">
        <f t="shared" ref="G683:G685" si="295">SUM(H683:L683)</f>
        <v>31812.87</v>
      </c>
      <c r="H683" s="659">
        <f>H684+H685</f>
        <v>31812.87</v>
      </c>
      <c r="I683" s="659"/>
      <c r="J683" s="659"/>
      <c r="K683" s="659"/>
      <c r="L683" s="659"/>
      <c r="M683" s="660">
        <v>2018</v>
      </c>
      <c r="N683" s="660">
        <v>2019</v>
      </c>
      <c r="O683" s="661"/>
      <c r="P683" s="1174" t="s">
        <v>1600</v>
      </c>
    </row>
    <row r="684" spans="1:25" s="663" customFormat="1" ht="18" customHeight="1" x14ac:dyDescent="0.3">
      <c r="A684" s="2314"/>
      <c r="B684" s="2415"/>
      <c r="C684" s="2415"/>
      <c r="D684" s="2415"/>
      <c r="E684" s="2415"/>
      <c r="F684" s="658" t="s">
        <v>13</v>
      </c>
      <c r="G684" s="664">
        <f t="shared" si="295"/>
        <v>30222.23</v>
      </c>
      <c r="H684" s="664">
        <f>H687+H690+H693+H696+H699+H702</f>
        <v>30222.23</v>
      </c>
      <c r="I684" s="664"/>
      <c r="J684" s="664"/>
      <c r="K684" s="664"/>
      <c r="L684" s="664"/>
      <c r="M684" s="664">
        <v>6</v>
      </c>
      <c r="N684" s="664"/>
      <c r="O684" s="661"/>
      <c r="P684" s="1175"/>
    </row>
    <row r="685" spans="1:25" s="663" customFormat="1" ht="18" customHeight="1" x14ac:dyDescent="0.3">
      <c r="A685" s="2314"/>
      <c r="B685" s="2415"/>
      <c r="C685" s="2415"/>
      <c r="D685" s="2415"/>
      <c r="E685" s="2415"/>
      <c r="F685" s="658" t="s">
        <v>14</v>
      </c>
      <c r="G685" s="664">
        <f t="shared" si="295"/>
        <v>1590.64</v>
      </c>
      <c r="H685" s="664">
        <f>H688+H691+H694+H697+H700+H703</f>
        <v>1590.64</v>
      </c>
      <c r="I685" s="664"/>
      <c r="J685" s="664"/>
      <c r="K685" s="664"/>
      <c r="L685" s="664"/>
      <c r="M685" s="661"/>
      <c r="N685" s="661"/>
      <c r="O685" s="661"/>
      <c r="P685" s="1176"/>
    </row>
    <row r="686" spans="1:25" s="640" customFormat="1" ht="18" customHeight="1" x14ac:dyDescent="0.3">
      <c r="A686" s="2314"/>
      <c r="B686" s="1770" t="s">
        <v>1688</v>
      </c>
      <c r="C686" s="1770"/>
      <c r="D686" s="1770"/>
      <c r="E686" s="1770"/>
      <c r="F686" s="385" t="s">
        <v>12</v>
      </c>
      <c r="G686" s="69">
        <f t="shared" ref="G686:G688" si="296">SUM(H686:L686)</f>
        <v>14165.51</v>
      </c>
      <c r="H686" s="69">
        <f>H687+H688</f>
        <v>14165.51</v>
      </c>
      <c r="I686" s="69"/>
      <c r="J686" s="69"/>
      <c r="K686" s="69"/>
      <c r="L686" s="69"/>
      <c r="M686" s="609"/>
      <c r="N686" s="609"/>
      <c r="O686" s="609"/>
      <c r="P686" s="1177"/>
    </row>
    <row r="687" spans="1:25" s="640" customFormat="1" ht="18" customHeight="1" x14ac:dyDescent="0.3">
      <c r="A687" s="2314"/>
      <c r="B687" s="1770"/>
      <c r="C687" s="1770"/>
      <c r="D687" s="1770"/>
      <c r="E687" s="1770"/>
      <c r="F687" s="385" t="s">
        <v>13</v>
      </c>
      <c r="G687" s="69">
        <f t="shared" si="296"/>
        <v>13457.23</v>
      </c>
      <c r="H687" s="69">
        <v>13457.23</v>
      </c>
      <c r="I687" s="69"/>
      <c r="J687" s="69"/>
      <c r="K687" s="69"/>
      <c r="L687" s="69"/>
      <c r="M687" s="609"/>
      <c r="N687" s="609"/>
      <c r="O687" s="609"/>
      <c r="P687" s="1177" t="s">
        <v>1601</v>
      </c>
      <c r="W687" s="640">
        <v>1</v>
      </c>
    </row>
    <row r="688" spans="1:25" s="640" customFormat="1" ht="18" customHeight="1" x14ac:dyDescent="0.3">
      <c r="A688" s="2314"/>
      <c r="B688" s="1770"/>
      <c r="C688" s="1770"/>
      <c r="D688" s="1770"/>
      <c r="E688" s="1770"/>
      <c r="F688" s="385" t="s">
        <v>14</v>
      </c>
      <c r="G688" s="69">
        <f t="shared" si="296"/>
        <v>708.28</v>
      </c>
      <c r="H688" s="69">
        <v>708.28</v>
      </c>
      <c r="I688" s="69"/>
      <c r="J688" s="69"/>
      <c r="K688" s="69"/>
      <c r="L688" s="69"/>
      <c r="M688" s="609"/>
      <c r="N688" s="609"/>
      <c r="O688" s="609"/>
      <c r="P688" s="1177"/>
    </row>
    <row r="689" spans="1:23" s="640" customFormat="1" ht="18" customHeight="1" x14ac:dyDescent="0.3">
      <c r="A689" s="2314"/>
      <c r="B689" s="1770" t="s">
        <v>1689</v>
      </c>
      <c r="C689" s="1770"/>
      <c r="D689" s="1770"/>
      <c r="E689" s="1770"/>
      <c r="F689" s="385" t="s">
        <v>12</v>
      </c>
      <c r="G689" s="69">
        <f t="shared" ref="G689:G694" si="297">SUM(H689:L689)</f>
        <v>2984.09</v>
      </c>
      <c r="H689" s="69">
        <f>H690+H691</f>
        <v>2984.09</v>
      </c>
      <c r="I689" s="69"/>
      <c r="J689" s="69"/>
      <c r="K689" s="69"/>
      <c r="L689" s="69"/>
      <c r="M689" s="609"/>
      <c r="N689" s="609"/>
      <c r="O689" s="609"/>
      <c r="P689" s="1177"/>
    </row>
    <row r="690" spans="1:23" s="640" customFormat="1" ht="18" customHeight="1" x14ac:dyDescent="0.3">
      <c r="A690" s="2314"/>
      <c r="B690" s="1770"/>
      <c r="C690" s="1770"/>
      <c r="D690" s="1770"/>
      <c r="E690" s="1770"/>
      <c r="F690" s="385" t="s">
        <v>13</v>
      </c>
      <c r="G690" s="69">
        <f t="shared" si="297"/>
        <v>2834.89</v>
      </c>
      <c r="H690" s="69">
        <v>2834.89</v>
      </c>
      <c r="I690" s="69"/>
      <c r="J690" s="69"/>
      <c r="K690" s="69"/>
      <c r="L690" s="69"/>
      <c r="M690" s="609"/>
      <c r="N690" s="609"/>
      <c r="O690" s="609"/>
      <c r="P690" s="1177" t="s">
        <v>1602</v>
      </c>
      <c r="W690" s="640">
        <v>1</v>
      </c>
    </row>
    <row r="691" spans="1:23" s="640" customFormat="1" ht="18" customHeight="1" x14ac:dyDescent="0.3">
      <c r="A691" s="2314"/>
      <c r="B691" s="1770"/>
      <c r="C691" s="1770"/>
      <c r="D691" s="1770"/>
      <c r="E691" s="1770"/>
      <c r="F691" s="385" t="s">
        <v>14</v>
      </c>
      <c r="G691" s="69">
        <f t="shared" si="297"/>
        <v>149.19999999999999</v>
      </c>
      <c r="H691" s="69">
        <v>149.19999999999999</v>
      </c>
      <c r="I691" s="69"/>
      <c r="J691" s="69"/>
      <c r="K691" s="69"/>
      <c r="L691" s="69"/>
      <c r="M691" s="609"/>
      <c r="N691" s="609"/>
      <c r="O691" s="609"/>
      <c r="P691" s="1177"/>
    </row>
    <row r="692" spans="1:23" s="640" customFormat="1" ht="18" customHeight="1" x14ac:dyDescent="0.3">
      <c r="A692" s="2314"/>
      <c r="B692" s="1770" t="s">
        <v>1690</v>
      </c>
      <c r="C692" s="1770"/>
      <c r="D692" s="1770"/>
      <c r="E692" s="1770"/>
      <c r="F692" s="385" t="s">
        <v>12</v>
      </c>
      <c r="G692" s="69">
        <f t="shared" si="297"/>
        <v>816.56</v>
      </c>
      <c r="H692" s="69">
        <f>H693+H694</f>
        <v>816.56</v>
      </c>
      <c r="I692" s="69"/>
      <c r="J692" s="69"/>
      <c r="K692" s="69"/>
      <c r="L692" s="69"/>
      <c r="M692" s="609"/>
      <c r="N692" s="609"/>
      <c r="O692" s="609"/>
      <c r="P692" s="1177"/>
    </row>
    <row r="693" spans="1:23" s="640" customFormat="1" ht="18" customHeight="1" x14ac:dyDescent="0.3">
      <c r="A693" s="2314"/>
      <c r="B693" s="1770"/>
      <c r="C693" s="1770"/>
      <c r="D693" s="1770"/>
      <c r="E693" s="1770"/>
      <c r="F693" s="385" t="s">
        <v>13</v>
      </c>
      <c r="G693" s="69">
        <f t="shared" si="297"/>
        <v>775.73</v>
      </c>
      <c r="H693" s="69">
        <v>775.73</v>
      </c>
      <c r="I693" s="69"/>
      <c r="J693" s="69"/>
      <c r="K693" s="69"/>
      <c r="L693" s="69"/>
      <c r="M693" s="609"/>
      <c r="N693" s="609"/>
      <c r="O693" s="609"/>
      <c r="P693" s="1177" t="s">
        <v>1601</v>
      </c>
      <c r="W693" s="640">
        <v>1</v>
      </c>
    </row>
    <row r="694" spans="1:23" s="640" customFormat="1" ht="18" customHeight="1" x14ac:dyDescent="0.3">
      <c r="A694" s="2314"/>
      <c r="B694" s="1770"/>
      <c r="C694" s="1770"/>
      <c r="D694" s="1770"/>
      <c r="E694" s="1770"/>
      <c r="F694" s="385" t="s">
        <v>14</v>
      </c>
      <c r="G694" s="69">
        <f t="shared" si="297"/>
        <v>40.83</v>
      </c>
      <c r="H694" s="69">
        <v>40.83</v>
      </c>
      <c r="I694" s="69"/>
      <c r="J694" s="69"/>
      <c r="K694" s="69"/>
      <c r="L694" s="69"/>
      <c r="M694" s="609"/>
      <c r="N694" s="609"/>
      <c r="O694" s="609"/>
      <c r="P694" s="1177"/>
    </row>
    <row r="695" spans="1:23" s="640" customFormat="1" ht="18" customHeight="1" x14ac:dyDescent="0.3">
      <c r="A695" s="2314"/>
      <c r="B695" s="1770" t="s">
        <v>1691</v>
      </c>
      <c r="C695" s="1770"/>
      <c r="D695" s="1770"/>
      <c r="E695" s="1770"/>
      <c r="F695" s="385" t="s">
        <v>12</v>
      </c>
      <c r="G695" s="69">
        <f t="shared" ref="G695:G697" si="298">SUM(H695:L695)</f>
        <v>560.02</v>
      </c>
      <c r="H695" s="69">
        <f>H696+H697</f>
        <v>560.02</v>
      </c>
      <c r="I695" s="69"/>
      <c r="J695" s="69"/>
      <c r="K695" s="69"/>
      <c r="L695" s="69"/>
      <c r="M695" s="609"/>
      <c r="N695" s="609"/>
      <c r="O695" s="609"/>
      <c r="P695" s="1177"/>
    </row>
    <row r="696" spans="1:23" s="640" customFormat="1" ht="18" customHeight="1" x14ac:dyDescent="0.3">
      <c r="A696" s="2314"/>
      <c r="B696" s="1770"/>
      <c r="C696" s="1770"/>
      <c r="D696" s="1770"/>
      <c r="E696" s="1770"/>
      <c r="F696" s="385" t="s">
        <v>13</v>
      </c>
      <c r="G696" s="69">
        <f t="shared" si="298"/>
        <v>532.02</v>
      </c>
      <c r="H696" s="69">
        <v>532.02</v>
      </c>
      <c r="I696" s="69"/>
      <c r="J696" s="69"/>
      <c r="K696" s="69"/>
      <c r="L696" s="69"/>
      <c r="M696" s="609"/>
      <c r="N696" s="609"/>
      <c r="O696" s="609"/>
      <c r="P696" s="1177" t="s">
        <v>1601</v>
      </c>
      <c r="W696" s="640">
        <v>1</v>
      </c>
    </row>
    <row r="697" spans="1:23" s="640" customFormat="1" ht="18" customHeight="1" x14ac:dyDescent="0.3">
      <c r="A697" s="2314"/>
      <c r="B697" s="1770"/>
      <c r="C697" s="1770"/>
      <c r="D697" s="1770"/>
      <c r="E697" s="1770"/>
      <c r="F697" s="385" t="s">
        <v>14</v>
      </c>
      <c r="G697" s="69">
        <f t="shared" si="298"/>
        <v>28</v>
      </c>
      <c r="H697" s="69">
        <v>28</v>
      </c>
      <c r="I697" s="69"/>
      <c r="J697" s="69"/>
      <c r="K697" s="69"/>
      <c r="L697" s="69"/>
      <c r="M697" s="609"/>
      <c r="N697" s="609"/>
      <c r="O697" s="609"/>
      <c r="P697" s="1177"/>
    </row>
    <row r="698" spans="1:23" s="640" customFormat="1" ht="18" customHeight="1" x14ac:dyDescent="0.3">
      <c r="A698" s="2314"/>
      <c r="B698" s="1770" t="s">
        <v>1692</v>
      </c>
      <c r="C698" s="1770"/>
      <c r="D698" s="1770"/>
      <c r="E698" s="1770"/>
      <c r="F698" s="385" t="s">
        <v>12</v>
      </c>
      <c r="G698" s="69">
        <f t="shared" ref="G698:G700" si="299">SUM(H698:L698)</f>
        <v>10881.69</v>
      </c>
      <c r="H698" s="69">
        <f>H699+H700</f>
        <v>10881.69</v>
      </c>
      <c r="I698" s="69"/>
      <c r="J698" s="69"/>
      <c r="K698" s="69"/>
      <c r="L698" s="69"/>
      <c r="M698" s="609"/>
      <c r="N698" s="609"/>
      <c r="O698" s="383"/>
      <c r="P698" s="1100"/>
    </row>
    <row r="699" spans="1:23" s="640" customFormat="1" ht="18" customHeight="1" x14ac:dyDescent="0.3">
      <c r="A699" s="2314"/>
      <c r="B699" s="1770"/>
      <c r="C699" s="1770"/>
      <c r="D699" s="1770"/>
      <c r="E699" s="1770"/>
      <c r="F699" s="385" t="s">
        <v>13</v>
      </c>
      <c r="G699" s="69">
        <f t="shared" si="299"/>
        <v>10337.61</v>
      </c>
      <c r="H699" s="69">
        <v>10337.61</v>
      </c>
      <c r="I699" s="69"/>
      <c r="J699" s="69"/>
      <c r="K699" s="69"/>
      <c r="L699" s="69"/>
      <c r="M699" s="609"/>
      <c r="N699" s="609"/>
      <c r="O699" s="69"/>
      <c r="P699" s="1117" t="s">
        <v>1601</v>
      </c>
      <c r="W699" s="640">
        <v>1</v>
      </c>
    </row>
    <row r="700" spans="1:23" s="640" customFormat="1" ht="18" customHeight="1" x14ac:dyDescent="0.3">
      <c r="A700" s="2314"/>
      <c r="B700" s="1770"/>
      <c r="C700" s="1770"/>
      <c r="D700" s="1770"/>
      <c r="E700" s="1770"/>
      <c r="F700" s="385" t="s">
        <v>14</v>
      </c>
      <c r="G700" s="69">
        <f t="shared" si="299"/>
        <v>544.08000000000004</v>
      </c>
      <c r="H700" s="69">
        <v>544.08000000000004</v>
      </c>
      <c r="I700" s="69"/>
      <c r="J700" s="69"/>
      <c r="K700" s="69"/>
      <c r="L700" s="69"/>
      <c r="M700" s="609"/>
      <c r="N700" s="609"/>
      <c r="O700" s="609"/>
      <c r="P700" s="1177"/>
    </row>
    <row r="701" spans="1:23" s="640" customFormat="1" ht="18" customHeight="1" x14ac:dyDescent="0.3">
      <c r="A701" s="2314"/>
      <c r="B701" s="1770" t="s">
        <v>1693</v>
      </c>
      <c r="C701" s="1770"/>
      <c r="D701" s="1770"/>
      <c r="E701" s="1770"/>
      <c r="F701" s="385" t="s">
        <v>12</v>
      </c>
      <c r="G701" s="69">
        <f t="shared" ref="G701:G703" si="300">SUM(H701:L701)</f>
        <v>2405</v>
      </c>
      <c r="H701" s="69">
        <f>H702+H703</f>
        <v>2405</v>
      </c>
      <c r="I701" s="69"/>
      <c r="J701" s="69"/>
      <c r="K701" s="69"/>
      <c r="L701" s="69"/>
      <c r="M701" s="609"/>
      <c r="N701" s="609"/>
      <c r="O701" s="609"/>
      <c r="P701" s="1177"/>
    </row>
    <row r="702" spans="1:23" s="640" customFormat="1" ht="18" customHeight="1" x14ac:dyDescent="0.3">
      <c r="A702" s="2314"/>
      <c r="B702" s="1770"/>
      <c r="C702" s="1770"/>
      <c r="D702" s="1770"/>
      <c r="E702" s="1770"/>
      <c r="F702" s="385" t="s">
        <v>13</v>
      </c>
      <c r="G702" s="69">
        <f t="shared" si="300"/>
        <v>2284.75</v>
      </c>
      <c r="H702" s="69">
        <v>2284.75</v>
      </c>
      <c r="I702" s="69"/>
      <c r="J702" s="69"/>
      <c r="K702" s="69"/>
      <c r="L702" s="69"/>
      <c r="M702" s="609"/>
      <c r="N702" s="609"/>
      <c r="O702" s="609"/>
      <c r="P702" s="1177" t="s">
        <v>1601</v>
      </c>
      <c r="W702" s="640">
        <v>1</v>
      </c>
    </row>
    <row r="703" spans="1:23" s="640" customFormat="1" ht="18" customHeight="1" x14ac:dyDescent="0.3">
      <c r="A703" s="2314"/>
      <c r="B703" s="1770"/>
      <c r="C703" s="1770"/>
      <c r="D703" s="1770"/>
      <c r="E703" s="1770"/>
      <c r="F703" s="385" t="s">
        <v>14</v>
      </c>
      <c r="G703" s="69">
        <f t="shared" si="300"/>
        <v>120.25</v>
      </c>
      <c r="H703" s="69">
        <v>120.25</v>
      </c>
      <c r="I703" s="69"/>
      <c r="J703" s="69"/>
      <c r="K703" s="69"/>
      <c r="L703" s="69"/>
      <c r="M703" s="609"/>
      <c r="N703" s="609"/>
      <c r="O703" s="609"/>
      <c r="P703" s="1177"/>
    </row>
    <row r="704" spans="1:23" s="663" customFormat="1" ht="18" customHeight="1" x14ac:dyDescent="0.3">
      <c r="A704" s="2314" t="s">
        <v>786</v>
      </c>
      <c r="B704" s="2315" t="s">
        <v>426</v>
      </c>
      <c r="C704" s="2315"/>
      <c r="D704" s="2315"/>
      <c r="E704" s="2315"/>
      <c r="F704" s="658" t="s">
        <v>12</v>
      </c>
      <c r="G704" s="659">
        <f t="shared" ref="G704:G706" si="301">SUM(H704:L704)</f>
        <v>6685.42</v>
      </c>
      <c r="H704" s="659">
        <f>H705+H706</f>
        <v>6685.42</v>
      </c>
      <c r="I704" s="659"/>
      <c r="J704" s="659"/>
      <c r="K704" s="659"/>
      <c r="L704" s="659"/>
      <c r="M704" s="660">
        <v>2018</v>
      </c>
      <c r="N704" s="660">
        <v>2019</v>
      </c>
      <c r="O704" s="660"/>
      <c r="P704" s="1187" t="s">
        <v>1603</v>
      </c>
    </row>
    <row r="705" spans="1:23" s="663" customFormat="1" ht="18" customHeight="1" x14ac:dyDescent="0.3">
      <c r="A705" s="2314"/>
      <c r="B705" s="2315"/>
      <c r="C705" s="2315"/>
      <c r="D705" s="2315"/>
      <c r="E705" s="2315"/>
      <c r="F705" s="658" t="s">
        <v>13</v>
      </c>
      <c r="G705" s="664">
        <f t="shared" si="301"/>
        <v>6351.15</v>
      </c>
      <c r="H705" s="664">
        <f>H708</f>
        <v>6351.15</v>
      </c>
      <c r="I705" s="664"/>
      <c r="J705" s="664"/>
      <c r="K705" s="664"/>
      <c r="L705" s="664"/>
      <c r="M705" s="664">
        <v>1</v>
      </c>
      <c r="N705" s="664"/>
      <c r="O705" s="664"/>
      <c r="P705" s="1185"/>
    </row>
    <row r="706" spans="1:23" s="663" customFormat="1" ht="18" customHeight="1" x14ac:dyDescent="0.3">
      <c r="A706" s="2314"/>
      <c r="B706" s="2315"/>
      <c r="C706" s="2315"/>
      <c r="D706" s="2315"/>
      <c r="E706" s="2315"/>
      <c r="F706" s="658" t="s">
        <v>14</v>
      </c>
      <c r="G706" s="664">
        <f t="shared" si="301"/>
        <v>334.27</v>
      </c>
      <c r="H706" s="664">
        <f>H709</f>
        <v>334.27</v>
      </c>
      <c r="I706" s="664"/>
      <c r="J706" s="664"/>
      <c r="K706" s="664"/>
      <c r="L706" s="664"/>
      <c r="M706" s="661"/>
      <c r="N706" s="661"/>
      <c r="O706" s="661"/>
      <c r="P706" s="1176"/>
    </row>
    <row r="707" spans="1:23" s="640" customFormat="1" ht="18" customHeight="1" x14ac:dyDescent="0.3">
      <c r="A707" s="2314"/>
      <c r="B707" s="1718" t="s">
        <v>1694</v>
      </c>
      <c r="C707" s="1718"/>
      <c r="D707" s="1718"/>
      <c r="E707" s="1718"/>
      <c r="F707" s="385" t="s">
        <v>12</v>
      </c>
      <c r="G707" s="69">
        <f t="shared" ref="G707:G709" si="302">SUM(H707:L707)</f>
        <v>6685.42</v>
      </c>
      <c r="H707" s="69">
        <f>H708+H709</f>
        <v>6685.42</v>
      </c>
      <c r="I707" s="69"/>
      <c r="J707" s="69"/>
      <c r="K707" s="69"/>
      <c r="L707" s="69"/>
      <c r="M707" s="609"/>
      <c r="N707" s="609"/>
      <c r="O707" s="609"/>
      <c r="P707" s="1177"/>
    </row>
    <row r="708" spans="1:23" s="640" customFormat="1" ht="18" customHeight="1" x14ac:dyDescent="0.3">
      <c r="A708" s="2314"/>
      <c r="B708" s="1718"/>
      <c r="C708" s="1718"/>
      <c r="D708" s="1718"/>
      <c r="E708" s="1718"/>
      <c r="F708" s="385" t="s">
        <v>13</v>
      </c>
      <c r="G708" s="69">
        <f t="shared" si="302"/>
        <v>6351.15</v>
      </c>
      <c r="H708" s="69">
        <v>6351.15</v>
      </c>
      <c r="I708" s="69"/>
      <c r="J708" s="69"/>
      <c r="K708" s="69"/>
      <c r="L708" s="69"/>
      <c r="M708" s="609"/>
      <c r="N708" s="609"/>
      <c r="O708" s="609"/>
      <c r="P708" s="1177" t="s">
        <v>1604</v>
      </c>
      <c r="W708" s="640">
        <v>1</v>
      </c>
    </row>
    <row r="709" spans="1:23" s="640" customFormat="1" ht="18" customHeight="1" x14ac:dyDescent="0.3">
      <c r="A709" s="2314"/>
      <c r="B709" s="1718"/>
      <c r="C709" s="1718"/>
      <c r="D709" s="1718"/>
      <c r="E709" s="1718"/>
      <c r="F709" s="385" t="s">
        <v>14</v>
      </c>
      <c r="G709" s="69">
        <f t="shared" si="302"/>
        <v>334.27</v>
      </c>
      <c r="H709" s="69">
        <v>334.27</v>
      </c>
      <c r="I709" s="69"/>
      <c r="J709" s="69"/>
      <c r="K709" s="69"/>
      <c r="L709" s="69"/>
      <c r="M709" s="609"/>
      <c r="N709" s="609"/>
      <c r="O709" s="609"/>
      <c r="P709" s="1177"/>
    </row>
    <row r="710" spans="1:23" s="663" customFormat="1" ht="18" customHeight="1" x14ac:dyDescent="0.3">
      <c r="A710" s="2314" t="s">
        <v>787</v>
      </c>
      <c r="B710" s="2315" t="s">
        <v>935</v>
      </c>
      <c r="C710" s="2315"/>
      <c r="D710" s="2315"/>
      <c r="E710" s="2315"/>
      <c r="F710" s="658" t="s">
        <v>12</v>
      </c>
      <c r="G710" s="659">
        <f t="shared" ref="G710:G712" si="303">SUM(H710:L710)</f>
        <v>14951.33</v>
      </c>
      <c r="H710" s="659">
        <f>H711+H712</f>
        <v>14951.33</v>
      </c>
      <c r="I710" s="659"/>
      <c r="J710" s="659"/>
      <c r="K710" s="659"/>
      <c r="L710" s="659"/>
      <c r="M710" s="660">
        <v>2018</v>
      </c>
      <c r="N710" s="660">
        <v>2019</v>
      </c>
      <c r="O710" s="661"/>
      <c r="P710" s="1188" t="s">
        <v>1605</v>
      </c>
    </row>
    <row r="711" spans="1:23" s="663" customFormat="1" ht="18" customHeight="1" x14ac:dyDescent="0.3">
      <c r="A711" s="2314"/>
      <c r="B711" s="2315"/>
      <c r="C711" s="2315"/>
      <c r="D711" s="2315"/>
      <c r="E711" s="2315"/>
      <c r="F711" s="658" t="s">
        <v>13</v>
      </c>
      <c r="G711" s="664">
        <f t="shared" si="303"/>
        <v>14203.76</v>
      </c>
      <c r="H711" s="664">
        <f>H714+H717</f>
        <v>14203.76</v>
      </c>
      <c r="I711" s="664"/>
      <c r="J711" s="664"/>
      <c r="K711" s="664"/>
      <c r="L711" s="664"/>
      <c r="M711" s="664">
        <v>1</v>
      </c>
      <c r="N711" s="664"/>
      <c r="O711" s="661"/>
      <c r="P711" s="1189"/>
    </row>
    <row r="712" spans="1:23" s="663" customFormat="1" ht="18" customHeight="1" x14ac:dyDescent="0.3">
      <c r="A712" s="2314"/>
      <c r="B712" s="2315"/>
      <c r="C712" s="2315"/>
      <c r="D712" s="2315"/>
      <c r="E712" s="2315"/>
      <c r="F712" s="658" t="s">
        <v>14</v>
      </c>
      <c r="G712" s="664">
        <f t="shared" si="303"/>
        <v>747.57</v>
      </c>
      <c r="H712" s="664">
        <f>H715+H718</f>
        <v>747.57</v>
      </c>
      <c r="I712" s="664"/>
      <c r="J712" s="664"/>
      <c r="K712" s="664"/>
      <c r="L712" s="664"/>
      <c r="M712" s="661"/>
      <c r="N712" s="661"/>
      <c r="O712" s="661"/>
      <c r="P712" s="1190"/>
    </row>
    <row r="713" spans="1:23" s="640" customFormat="1" ht="18" customHeight="1" x14ac:dyDescent="0.3">
      <c r="A713" s="2314"/>
      <c r="B713" s="1718" t="s">
        <v>1695</v>
      </c>
      <c r="C713" s="1718"/>
      <c r="D713" s="1718"/>
      <c r="E713" s="1718"/>
      <c r="F713" s="385" t="s">
        <v>12</v>
      </c>
      <c r="G713" s="69">
        <f t="shared" ref="G713:G715" si="304">SUM(H713:L713)</f>
        <v>3209.91</v>
      </c>
      <c r="H713" s="69">
        <f>H714+H715</f>
        <v>3209.91</v>
      </c>
      <c r="I713" s="69"/>
      <c r="J713" s="69"/>
      <c r="K713" s="69"/>
      <c r="L713" s="69"/>
      <c r="M713" s="609"/>
      <c r="N713" s="609"/>
      <c r="O713" s="609"/>
      <c r="P713" s="1177"/>
    </row>
    <row r="714" spans="1:23" s="640" customFormat="1" ht="18" customHeight="1" x14ac:dyDescent="0.3">
      <c r="A714" s="2314"/>
      <c r="B714" s="1718"/>
      <c r="C714" s="1718"/>
      <c r="D714" s="1718"/>
      <c r="E714" s="1718"/>
      <c r="F714" s="385" t="s">
        <v>13</v>
      </c>
      <c r="G714" s="69">
        <f t="shared" si="304"/>
        <v>3049.41</v>
      </c>
      <c r="H714" s="69">
        <v>3049.41</v>
      </c>
      <c r="I714" s="69"/>
      <c r="J714" s="69"/>
      <c r="K714" s="69"/>
      <c r="L714" s="69"/>
      <c r="M714" s="609"/>
      <c r="N714" s="609"/>
      <c r="O714" s="609"/>
      <c r="P714" s="1177" t="s">
        <v>1606</v>
      </c>
      <c r="W714" s="640">
        <v>1</v>
      </c>
    </row>
    <row r="715" spans="1:23" s="640" customFormat="1" ht="18" customHeight="1" x14ac:dyDescent="0.3">
      <c r="A715" s="2314"/>
      <c r="B715" s="1718"/>
      <c r="C715" s="1718"/>
      <c r="D715" s="1718"/>
      <c r="E715" s="1718"/>
      <c r="F715" s="385" t="s">
        <v>14</v>
      </c>
      <c r="G715" s="69">
        <f t="shared" si="304"/>
        <v>160.5</v>
      </c>
      <c r="H715" s="69">
        <v>160.5</v>
      </c>
      <c r="I715" s="69"/>
      <c r="J715" s="69"/>
      <c r="K715" s="69"/>
      <c r="L715" s="69"/>
      <c r="M715" s="609"/>
      <c r="N715" s="609"/>
      <c r="O715" s="609"/>
      <c r="P715" s="1177"/>
    </row>
    <row r="716" spans="1:23" s="640" customFormat="1" ht="18" customHeight="1" x14ac:dyDescent="0.3">
      <c r="A716" s="2314"/>
      <c r="B716" s="2375" t="s">
        <v>1422</v>
      </c>
      <c r="C716" s="2375"/>
      <c r="D716" s="2375"/>
      <c r="E716" s="2375"/>
      <c r="F716" s="385" t="s">
        <v>12</v>
      </c>
      <c r="G716" s="69">
        <f t="shared" ref="G716:G718" si="305">SUM(H716:L716)</f>
        <v>11741.42</v>
      </c>
      <c r="H716" s="69">
        <f>H718+H717</f>
        <v>11741.42</v>
      </c>
      <c r="I716" s="69"/>
      <c r="J716" s="69"/>
      <c r="K716" s="69"/>
      <c r="L716" s="69"/>
      <c r="M716" s="609"/>
      <c r="N716" s="609"/>
      <c r="O716" s="609"/>
      <c r="P716" s="1177"/>
    </row>
    <row r="717" spans="1:23" s="640" customFormat="1" ht="18" customHeight="1" x14ac:dyDescent="0.3">
      <c r="A717" s="2314"/>
      <c r="B717" s="2375"/>
      <c r="C717" s="2375"/>
      <c r="D717" s="2375"/>
      <c r="E717" s="2375"/>
      <c r="F717" s="385" t="s">
        <v>13</v>
      </c>
      <c r="G717" s="69">
        <f t="shared" si="305"/>
        <v>11154.35</v>
      </c>
      <c r="H717" s="69">
        <f>13054.14-1899.79</f>
        <v>11154.35</v>
      </c>
      <c r="I717" s="69"/>
      <c r="J717" s="69"/>
      <c r="K717" s="69"/>
      <c r="L717" s="69"/>
      <c r="M717" s="609"/>
      <c r="N717" s="609"/>
      <c r="O717" s="609"/>
      <c r="P717" s="1177" t="s">
        <v>1607</v>
      </c>
    </row>
    <row r="718" spans="1:23" s="640" customFormat="1" ht="18" customHeight="1" x14ac:dyDescent="0.3">
      <c r="A718" s="2314"/>
      <c r="B718" s="2375"/>
      <c r="C718" s="2375"/>
      <c r="D718" s="2375"/>
      <c r="E718" s="2375"/>
      <c r="F718" s="385" t="s">
        <v>14</v>
      </c>
      <c r="G718" s="69">
        <f t="shared" si="305"/>
        <v>587.07000000000005</v>
      </c>
      <c r="H718" s="69">
        <f>687.06-99.99</f>
        <v>587.07000000000005</v>
      </c>
      <c r="I718" s="69"/>
      <c r="J718" s="69"/>
      <c r="K718" s="69"/>
      <c r="L718" s="69"/>
      <c r="M718" s="609"/>
      <c r="N718" s="609"/>
      <c r="O718" s="609"/>
      <c r="P718" s="1177"/>
    </row>
    <row r="719" spans="1:23" s="663" customFormat="1" ht="18" customHeight="1" x14ac:dyDescent="0.3">
      <c r="A719" s="2314" t="s">
        <v>1024</v>
      </c>
      <c r="B719" s="2315" t="s">
        <v>324</v>
      </c>
      <c r="C719" s="2315"/>
      <c r="D719" s="2315"/>
      <c r="E719" s="2315"/>
      <c r="F719" s="658" t="s">
        <v>12</v>
      </c>
      <c r="G719" s="664">
        <f t="shared" ref="G719:G724" si="306">SUM(H719:L719)</f>
        <v>0</v>
      </c>
      <c r="H719" s="664">
        <f>H720+H721</f>
        <v>0</v>
      </c>
      <c r="I719" s="664"/>
      <c r="J719" s="664"/>
      <c r="K719" s="664"/>
      <c r="L719" s="664"/>
      <c r="M719" s="661"/>
      <c r="N719" s="661"/>
      <c r="O719" s="661"/>
      <c r="P719" s="1188"/>
    </row>
    <row r="720" spans="1:23" s="663" customFormat="1" ht="18" customHeight="1" x14ac:dyDescent="0.3">
      <c r="A720" s="2314"/>
      <c r="B720" s="2315"/>
      <c r="C720" s="2315"/>
      <c r="D720" s="2315"/>
      <c r="E720" s="2315"/>
      <c r="F720" s="658" t="s">
        <v>13</v>
      </c>
      <c r="G720" s="664">
        <f t="shared" si="306"/>
        <v>0</v>
      </c>
      <c r="H720" s="664">
        <f>H723</f>
        <v>0</v>
      </c>
      <c r="I720" s="664"/>
      <c r="J720" s="664"/>
      <c r="K720" s="664"/>
      <c r="L720" s="664"/>
      <c r="M720" s="661"/>
      <c r="N720" s="661"/>
      <c r="O720" s="661"/>
      <c r="P720" s="1189"/>
    </row>
    <row r="721" spans="1:23" s="663" customFormat="1" ht="18" customHeight="1" x14ac:dyDescent="0.3">
      <c r="A721" s="2314"/>
      <c r="B721" s="2315"/>
      <c r="C721" s="2315"/>
      <c r="D721" s="2315"/>
      <c r="E721" s="2315"/>
      <c r="F721" s="658" t="s">
        <v>14</v>
      </c>
      <c r="G721" s="664">
        <f t="shared" si="306"/>
        <v>0</v>
      </c>
      <c r="H721" s="664">
        <f>H724</f>
        <v>0</v>
      </c>
      <c r="I721" s="664"/>
      <c r="J721" s="664"/>
      <c r="K721" s="664"/>
      <c r="L721" s="664"/>
      <c r="M721" s="661"/>
      <c r="N721" s="661"/>
      <c r="O721" s="661"/>
      <c r="P721" s="1190"/>
    </row>
    <row r="722" spans="1:23" s="640" customFormat="1" ht="18" customHeight="1" x14ac:dyDescent="0.3">
      <c r="A722" s="2314"/>
      <c r="B722" s="1718" t="s">
        <v>1025</v>
      </c>
      <c r="C722" s="1718"/>
      <c r="D722" s="1718"/>
      <c r="E722" s="1718"/>
      <c r="F722" s="385" t="s">
        <v>12</v>
      </c>
      <c r="G722" s="69">
        <f t="shared" si="306"/>
        <v>0</v>
      </c>
      <c r="H722" s="69">
        <v>0</v>
      </c>
      <c r="I722" s="69"/>
      <c r="J722" s="69"/>
      <c r="K722" s="69"/>
      <c r="L722" s="69"/>
      <c r="M722" s="609"/>
      <c r="N722" s="609"/>
      <c r="O722" s="609"/>
      <c r="P722" s="1177"/>
    </row>
    <row r="723" spans="1:23" s="640" customFormat="1" ht="18" customHeight="1" x14ac:dyDescent="0.3">
      <c r="A723" s="2314"/>
      <c r="B723" s="1718"/>
      <c r="C723" s="1718"/>
      <c r="D723" s="1718"/>
      <c r="E723" s="1718"/>
      <c r="F723" s="385" t="s">
        <v>13</v>
      </c>
      <c r="G723" s="69">
        <f t="shared" si="306"/>
        <v>0</v>
      </c>
      <c r="H723" s="69">
        <v>0</v>
      </c>
      <c r="I723" s="69"/>
      <c r="J723" s="69"/>
      <c r="K723" s="69"/>
      <c r="L723" s="69"/>
      <c r="M723" s="609"/>
      <c r="N723" s="609"/>
      <c r="O723" s="609"/>
      <c r="P723" s="1177"/>
    </row>
    <row r="724" spans="1:23" s="640" customFormat="1" ht="18" customHeight="1" x14ac:dyDescent="0.3">
      <c r="A724" s="2314"/>
      <c r="B724" s="1718"/>
      <c r="C724" s="1718"/>
      <c r="D724" s="1718"/>
      <c r="E724" s="1718"/>
      <c r="F724" s="385" t="s">
        <v>14</v>
      </c>
      <c r="G724" s="69">
        <f t="shared" si="306"/>
        <v>0</v>
      </c>
      <c r="H724" s="69">
        <v>0</v>
      </c>
      <c r="I724" s="69"/>
      <c r="J724" s="69"/>
      <c r="K724" s="69"/>
      <c r="L724" s="69"/>
      <c r="M724" s="609"/>
      <c r="N724" s="609"/>
      <c r="O724" s="609"/>
      <c r="P724" s="1177"/>
    </row>
    <row r="725" spans="1:23" s="663" customFormat="1" ht="18" customHeight="1" x14ac:dyDescent="0.3">
      <c r="A725" s="1777" t="s">
        <v>1028</v>
      </c>
      <c r="B725" s="2315" t="s">
        <v>390</v>
      </c>
      <c r="C725" s="2315"/>
      <c r="D725" s="2315"/>
      <c r="E725" s="2315"/>
      <c r="F725" s="658" t="s">
        <v>12</v>
      </c>
      <c r="G725" s="664">
        <f>G726+G727</f>
        <v>4535.76</v>
      </c>
      <c r="H725" s="664">
        <f>H726+H727</f>
        <v>4535.76</v>
      </c>
      <c r="I725" s="664"/>
      <c r="J725" s="664"/>
      <c r="K725" s="664"/>
      <c r="L725" s="664"/>
      <c r="M725" s="660"/>
      <c r="N725" s="660"/>
      <c r="O725" s="661"/>
      <c r="P725" s="1188"/>
    </row>
    <row r="726" spans="1:23" s="663" customFormat="1" ht="18" customHeight="1" x14ac:dyDescent="0.3">
      <c r="A726" s="1777"/>
      <c r="B726" s="2315"/>
      <c r="C726" s="2315"/>
      <c r="D726" s="2315"/>
      <c r="E726" s="2315"/>
      <c r="F726" s="658" t="s">
        <v>13</v>
      </c>
      <c r="G726" s="664">
        <f>H726</f>
        <v>4535.76</v>
      </c>
      <c r="H726" s="664">
        <f>H729</f>
        <v>4535.76</v>
      </c>
      <c r="I726" s="664"/>
      <c r="J726" s="664"/>
      <c r="K726" s="664"/>
      <c r="L726" s="664"/>
      <c r="M726" s="664"/>
      <c r="N726" s="664"/>
      <c r="O726" s="661"/>
      <c r="P726" s="1189"/>
    </row>
    <row r="727" spans="1:23" s="663" customFormat="1" ht="18" customHeight="1" x14ac:dyDescent="0.3">
      <c r="A727" s="1777"/>
      <c r="B727" s="2315"/>
      <c r="C727" s="2315"/>
      <c r="D727" s="2315"/>
      <c r="E727" s="2315"/>
      <c r="F727" s="658" t="s">
        <v>14</v>
      </c>
      <c r="G727" s="664">
        <f>H727</f>
        <v>0</v>
      </c>
      <c r="H727" s="664">
        <f>H730</f>
        <v>0</v>
      </c>
      <c r="I727" s="664"/>
      <c r="J727" s="664"/>
      <c r="K727" s="664"/>
      <c r="L727" s="664"/>
      <c r="M727" s="661"/>
      <c r="N727" s="661"/>
      <c r="O727" s="661"/>
      <c r="P727" s="1190"/>
    </row>
    <row r="728" spans="1:23" s="640" customFormat="1" ht="18" customHeight="1" x14ac:dyDescent="0.3">
      <c r="A728" s="2314"/>
      <c r="B728" s="2375" t="s">
        <v>1029</v>
      </c>
      <c r="C728" s="2375"/>
      <c r="D728" s="2375"/>
      <c r="E728" s="2375"/>
      <c r="F728" s="385" t="s">
        <v>12</v>
      </c>
      <c r="G728" s="69">
        <f>H728</f>
        <v>4535.76</v>
      </c>
      <c r="H728" s="69">
        <f>H729+H730</f>
        <v>4535.76</v>
      </c>
      <c r="I728" s="69"/>
      <c r="J728" s="69"/>
      <c r="K728" s="69"/>
      <c r="L728" s="69"/>
      <c r="M728" s="609"/>
      <c r="N728" s="609"/>
      <c r="O728" s="609"/>
      <c r="P728" s="1177"/>
    </row>
    <row r="729" spans="1:23" s="640" customFormat="1" ht="18" customHeight="1" x14ac:dyDescent="0.3">
      <c r="A729" s="2314"/>
      <c r="B729" s="2375"/>
      <c r="C729" s="2375"/>
      <c r="D729" s="2375"/>
      <c r="E729" s="2375"/>
      <c r="F729" s="385" t="s">
        <v>13</v>
      </c>
      <c r="G729" s="69">
        <f>H729</f>
        <v>4535.76</v>
      </c>
      <c r="H729" s="69">
        <f>13500.29-8964.53</f>
        <v>4535.76</v>
      </c>
      <c r="I729" s="69"/>
      <c r="J729" s="69"/>
      <c r="K729" s="69"/>
      <c r="L729" s="69"/>
      <c r="M729" s="609"/>
      <c r="N729" s="609"/>
      <c r="O729" s="609"/>
      <c r="P729" s="1177" t="s">
        <v>1608</v>
      </c>
      <c r="W729" s="640">
        <v>1</v>
      </c>
    </row>
    <row r="730" spans="1:23" s="640" customFormat="1" ht="18" customHeight="1" x14ac:dyDescent="0.3">
      <c r="A730" s="2314"/>
      <c r="B730" s="2375"/>
      <c r="C730" s="2375"/>
      <c r="D730" s="2375"/>
      <c r="E730" s="2375"/>
      <c r="F730" s="385" t="s">
        <v>14</v>
      </c>
      <c r="G730" s="69">
        <v>0</v>
      </c>
      <c r="H730" s="69">
        <v>0</v>
      </c>
      <c r="I730" s="69"/>
      <c r="J730" s="69"/>
      <c r="K730" s="69"/>
      <c r="L730" s="69"/>
      <c r="M730" s="609"/>
      <c r="N730" s="609"/>
      <c r="O730" s="609"/>
      <c r="P730" s="1177"/>
    </row>
    <row r="731" spans="1:23" s="663" customFormat="1" ht="18" customHeight="1" x14ac:dyDescent="0.3">
      <c r="A731" s="1777" t="s">
        <v>1042</v>
      </c>
      <c r="B731" s="2440" t="s">
        <v>97</v>
      </c>
      <c r="C731" s="2440"/>
      <c r="D731" s="2440"/>
      <c r="E731" s="2440"/>
      <c r="F731" s="658" t="s">
        <v>12</v>
      </c>
      <c r="G731" s="664">
        <f t="shared" ref="G731:G733" si="307">SUM(H731:L731)</f>
        <v>2662.17</v>
      </c>
      <c r="H731" s="664">
        <f>H732+H733</f>
        <v>2662.17</v>
      </c>
      <c r="I731" s="664"/>
      <c r="J731" s="664"/>
      <c r="K731" s="664"/>
      <c r="L731" s="664"/>
      <c r="M731" s="660">
        <v>2018</v>
      </c>
      <c r="N731" s="660">
        <v>2019</v>
      </c>
      <c r="O731" s="660"/>
      <c r="P731" s="1191" t="s">
        <v>1609</v>
      </c>
    </row>
    <row r="732" spans="1:23" s="663" customFormat="1" ht="18" customHeight="1" x14ac:dyDescent="0.3">
      <c r="A732" s="1777"/>
      <c r="B732" s="2440"/>
      <c r="C732" s="2440"/>
      <c r="D732" s="2440"/>
      <c r="E732" s="2440"/>
      <c r="F732" s="658" t="s">
        <v>13</v>
      </c>
      <c r="G732" s="664">
        <f t="shared" si="307"/>
        <v>2529.06</v>
      </c>
      <c r="H732" s="664">
        <f>H735</f>
        <v>2529.06</v>
      </c>
      <c r="I732" s="664"/>
      <c r="J732" s="664"/>
      <c r="K732" s="664"/>
      <c r="L732" s="664"/>
      <c r="M732" s="664">
        <v>1</v>
      </c>
      <c r="N732" s="664"/>
      <c r="O732" s="664"/>
      <c r="P732" s="1192"/>
    </row>
    <row r="733" spans="1:23" s="663" customFormat="1" ht="18" customHeight="1" x14ac:dyDescent="0.3">
      <c r="A733" s="1777"/>
      <c r="B733" s="2440"/>
      <c r="C733" s="2440"/>
      <c r="D733" s="2440"/>
      <c r="E733" s="2440"/>
      <c r="F733" s="658" t="s">
        <v>14</v>
      </c>
      <c r="G733" s="664">
        <f t="shared" si="307"/>
        <v>133.11000000000001</v>
      </c>
      <c r="H733" s="664">
        <f>H736</f>
        <v>133.11000000000001</v>
      </c>
      <c r="I733" s="664"/>
      <c r="J733" s="664"/>
      <c r="K733" s="664"/>
      <c r="L733" s="664"/>
      <c r="M733" s="661"/>
      <c r="N733" s="661"/>
      <c r="O733" s="661"/>
      <c r="P733" s="1190"/>
    </row>
    <row r="734" spans="1:23" s="640" customFormat="1" ht="18" customHeight="1" x14ac:dyDescent="0.3">
      <c r="A734" s="2314"/>
      <c r="B734" s="2375" t="s">
        <v>1041</v>
      </c>
      <c r="C734" s="2375"/>
      <c r="D734" s="2375"/>
      <c r="E734" s="2375"/>
      <c r="F734" s="385" t="s">
        <v>12</v>
      </c>
      <c r="G734" s="69">
        <f t="shared" ref="G734:G736" si="308">SUM(H734:L734)</f>
        <v>2662.17</v>
      </c>
      <c r="H734" s="69">
        <v>2662.17</v>
      </c>
      <c r="I734" s="69"/>
      <c r="J734" s="69"/>
      <c r="K734" s="69"/>
      <c r="L734" s="69"/>
      <c r="M734" s="609"/>
      <c r="N734" s="609"/>
      <c r="O734" s="609"/>
      <c r="P734" s="1177"/>
    </row>
    <row r="735" spans="1:23" s="640" customFormat="1" ht="18" customHeight="1" x14ac:dyDescent="0.3">
      <c r="A735" s="2314"/>
      <c r="B735" s="2375"/>
      <c r="C735" s="2375"/>
      <c r="D735" s="2375"/>
      <c r="E735" s="2375"/>
      <c r="F735" s="385" t="s">
        <v>13</v>
      </c>
      <c r="G735" s="69">
        <f t="shared" si="308"/>
        <v>2529.06</v>
      </c>
      <c r="H735" s="69">
        <f>H734-H736</f>
        <v>2529.06</v>
      </c>
      <c r="I735" s="69"/>
      <c r="J735" s="69"/>
      <c r="K735" s="69"/>
      <c r="L735" s="69"/>
      <c r="M735" s="609"/>
      <c r="N735" s="609"/>
      <c r="O735" s="609"/>
      <c r="P735" s="1177" t="s">
        <v>1610</v>
      </c>
      <c r="Q735" s="69">
        <v>369717</v>
      </c>
      <c r="W735" s="640">
        <v>1</v>
      </c>
    </row>
    <row r="736" spans="1:23" s="640" customFormat="1" ht="27.75" customHeight="1" x14ac:dyDescent="0.3">
      <c r="A736" s="2314"/>
      <c r="B736" s="2375"/>
      <c r="C736" s="2375"/>
      <c r="D736" s="2375"/>
      <c r="E736" s="2375"/>
      <c r="F736" s="385" t="s">
        <v>14</v>
      </c>
      <c r="G736" s="69">
        <f t="shared" si="308"/>
        <v>133.11000000000001</v>
      </c>
      <c r="H736" s="69">
        <f>ROUNDUP(0.05*H734,2)</f>
        <v>133.11000000000001</v>
      </c>
      <c r="I736" s="69"/>
      <c r="J736" s="69"/>
      <c r="K736" s="69"/>
      <c r="L736" s="69"/>
      <c r="M736" s="609"/>
      <c r="N736" s="609"/>
      <c r="O736" s="609"/>
      <c r="P736" s="1177"/>
      <c r="Q736" s="69">
        <v>281595</v>
      </c>
    </row>
    <row r="737" spans="1:26" s="663" customFormat="1" ht="18" customHeight="1" x14ac:dyDescent="0.3">
      <c r="A737" s="1777" t="s">
        <v>1042</v>
      </c>
      <c r="B737" s="2440" t="s">
        <v>1044</v>
      </c>
      <c r="C737" s="2440"/>
      <c r="D737" s="2440"/>
      <c r="E737" s="2440"/>
      <c r="F737" s="824" t="s">
        <v>12</v>
      </c>
      <c r="G737" s="664">
        <f t="shared" ref="G737:G739" si="309">SUM(H737:L737)</f>
        <v>5400</v>
      </c>
      <c r="H737" s="664">
        <f>H738+H739</f>
        <v>5400</v>
      </c>
      <c r="I737" s="664"/>
      <c r="J737" s="664"/>
      <c r="K737" s="664"/>
      <c r="L737" s="664"/>
      <c r="M737" s="660">
        <v>2018</v>
      </c>
      <c r="N737" s="660">
        <v>2019</v>
      </c>
      <c r="O737" s="660"/>
      <c r="P737" s="1191" t="s">
        <v>1611</v>
      </c>
    </row>
    <row r="738" spans="1:26" s="663" customFormat="1" ht="18" customHeight="1" x14ac:dyDescent="0.3">
      <c r="A738" s="1777"/>
      <c r="B738" s="2440"/>
      <c r="C738" s="2440"/>
      <c r="D738" s="2440"/>
      <c r="E738" s="2440"/>
      <c r="F738" s="824" t="s">
        <v>13</v>
      </c>
      <c r="G738" s="664">
        <f t="shared" si="309"/>
        <v>5130</v>
      </c>
      <c r="H738" s="664">
        <f>H741</f>
        <v>5130</v>
      </c>
      <c r="I738" s="664"/>
      <c r="J738" s="664"/>
      <c r="K738" s="664"/>
      <c r="L738" s="664"/>
      <c r="M738" s="664">
        <v>1</v>
      </c>
      <c r="N738" s="664"/>
      <c r="O738" s="664"/>
      <c r="P738" s="1192"/>
    </row>
    <row r="739" spans="1:26" s="663" customFormat="1" ht="18" customHeight="1" x14ac:dyDescent="0.3">
      <c r="A739" s="1777"/>
      <c r="B739" s="2440"/>
      <c r="C739" s="2440"/>
      <c r="D739" s="2440"/>
      <c r="E739" s="2440"/>
      <c r="F739" s="824" t="s">
        <v>14</v>
      </c>
      <c r="G739" s="664">
        <f t="shared" si="309"/>
        <v>270</v>
      </c>
      <c r="H739" s="664">
        <f>H742</f>
        <v>270</v>
      </c>
      <c r="I739" s="664"/>
      <c r="J739" s="664"/>
      <c r="K739" s="664"/>
      <c r="L739" s="664"/>
      <c r="M739" s="661"/>
      <c r="N739" s="661"/>
      <c r="O739" s="661"/>
      <c r="P739" s="1190"/>
    </row>
    <row r="740" spans="1:26" s="640" customFormat="1" ht="18" customHeight="1" x14ac:dyDescent="0.3">
      <c r="A740" s="2314"/>
      <c r="B740" s="2375" t="s">
        <v>1434</v>
      </c>
      <c r="C740" s="2375"/>
      <c r="D740" s="2375"/>
      <c r="E740" s="2375"/>
      <c r="F740" s="802" t="s">
        <v>12</v>
      </c>
      <c r="G740" s="69">
        <f>SUM(H740:L740)</f>
        <v>5400</v>
      </c>
      <c r="H740" s="69">
        <f>H741+H742</f>
        <v>5400</v>
      </c>
      <c r="I740" s="69"/>
      <c r="J740" s="69"/>
      <c r="K740" s="69"/>
      <c r="L740" s="69"/>
      <c r="M740" s="609"/>
      <c r="N740" s="609"/>
      <c r="O740" s="609"/>
      <c r="P740" s="1177"/>
    </row>
    <row r="741" spans="1:26" s="640" customFormat="1" ht="35.25" customHeight="1" x14ac:dyDescent="0.3">
      <c r="A741" s="2314"/>
      <c r="B741" s="2375"/>
      <c r="C741" s="2375"/>
      <c r="D741" s="2375"/>
      <c r="E741" s="2375"/>
      <c r="F741" s="802" t="s">
        <v>13</v>
      </c>
      <c r="G741" s="69">
        <f t="shared" ref="G741:G742" si="310">SUM(H741:L741)</f>
        <v>5130</v>
      </c>
      <c r="H741" s="952">
        <v>5130</v>
      </c>
      <c r="I741" s="69"/>
      <c r="J741" s="69"/>
      <c r="K741" s="69"/>
      <c r="L741" s="69"/>
      <c r="M741" s="609"/>
      <c r="N741" s="609"/>
      <c r="O741" s="609"/>
      <c r="P741" s="1177" t="s">
        <v>1612</v>
      </c>
      <c r="Q741" s="69">
        <v>369717</v>
      </c>
      <c r="W741" s="640">
        <v>1</v>
      </c>
    </row>
    <row r="742" spans="1:26" s="640" customFormat="1" ht="57" customHeight="1" x14ac:dyDescent="0.3">
      <c r="A742" s="2314"/>
      <c r="B742" s="2375"/>
      <c r="C742" s="2375"/>
      <c r="D742" s="2375"/>
      <c r="E742" s="2375"/>
      <c r="F742" s="802" t="s">
        <v>14</v>
      </c>
      <c r="G742" s="69">
        <f t="shared" si="310"/>
        <v>270</v>
      </c>
      <c r="H742" s="952">
        <v>270</v>
      </c>
      <c r="I742" s="69"/>
      <c r="J742" s="69"/>
      <c r="K742" s="69"/>
      <c r="L742" s="69"/>
      <c r="M742" s="609"/>
      <c r="N742" s="609"/>
      <c r="O742" s="609"/>
      <c r="P742" s="1177"/>
      <c r="Q742" s="69">
        <v>281595</v>
      </c>
    </row>
    <row r="743" spans="1:26" s="640" customFormat="1" ht="25.5" customHeight="1" x14ac:dyDescent="0.3">
      <c r="A743" s="1359"/>
      <c r="B743" s="2338" t="s">
        <v>757</v>
      </c>
      <c r="C743" s="2339"/>
      <c r="D743" s="2339"/>
      <c r="E743" s="2340"/>
      <c r="F743" s="385" t="s">
        <v>13</v>
      </c>
      <c r="G743" s="69">
        <f>H743+I743+J743+K743</f>
        <v>2.8</v>
      </c>
      <c r="H743" s="952">
        <f>0.27+1</f>
        <v>1.27</v>
      </c>
      <c r="I743" s="952">
        <v>1.53</v>
      </c>
      <c r="J743" s="69">
        <v>0</v>
      </c>
      <c r="K743" s="69"/>
      <c r="L743" s="69"/>
      <c r="M743" s="609"/>
      <c r="N743" s="609"/>
      <c r="O743" s="609"/>
      <c r="P743" s="1177"/>
      <c r="Q743" s="69"/>
    </row>
    <row r="744" spans="1:26" s="681" customFormat="1" ht="13.8" x14ac:dyDescent="0.3">
      <c r="A744" s="2314" t="s">
        <v>788</v>
      </c>
      <c r="B744" s="2439" t="s">
        <v>371</v>
      </c>
      <c r="C744" s="2439"/>
      <c r="D744" s="2439"/>
      <c r="E744" s="2439"/>
      <c r="F744" s="678" t="s">
        <v>12</v>
      </c>
      <c r="G744" s="682">
        <f>G745+G746</f>
        <v>924263.84</v>
      </c>
      <c r="H744" s="682">
        <f t="shared" ref="H744:L744" si="311">H745+H746</f>
        <v>405624.68</v>
      </c>
      <c r="I744" s="682">
        <f t="shared" si="311"/>
        <v>299413.87</v>
      </c>
      <c r="J744" s="682">
        <f t="shared" si="311"/>
        <v>219225.29</v>
      </c>
      <c r="K744" s="682">
        <f t="shared" si="311"/>
        <v>0</v>
      </c>
      <c r="L744" s="682">
        <f t="shared" si="311"/>
        <v>0</v>
      </c>
      <c r="M744" s="683">
        <v>2018</v>
      </c>
      <c r="N744" s="683">
        <v>2019</v>
      </c>
      <c r="O744" s="679"/>
      <c r="P744" s="680"/>
      <c r="Q744" s="650">
        <v>208264</v>
      </c>
    </row>
    <row r="745" spans="1:26" s="681" customFormat="1" ht="38.25" customHeight="1" x14ac:dyDescent="0.3">
      <c r="A745" s="2314"/>
      <c r="B745" s="2439"/>
      <c r="C745" s="2439"/>
      <c r="D745" s="2439"/>
      <c r="E745" s="2439"/>
      <c r="F745" s="678" t="s">
        <v>13</v>
      </c>
      <c r="G745" s="684">
        <f>H745+I745+J745+K745+L745</f>
        <v>859576</v>
      </c>
      <c r="H745" s="684">
        <f>H748+H754+H760+H766+H772+H778+H790+H796+H805+H811+H817+H823+H829</f>
        <v>369717</v>
      </c>
      <c r="I745" s="684">
        <f>I778+I790+I796+I805+I811+I817+I823+I829+I834</f>
        <v>281595</v>
      </c>
      <c r="J745" s="684">
        <f>J778+J796+J805+J811+J834</f>
        <v>208264</v>
      </c>
      <c r="K745" s="684">
        <f t="shared" ref="K745:L745" si="312">K748+K754+K760+K766+K772+K778+K790+K796+K805+K811+K817+K823+K829</f>
        <v>0</v>
      </c>
      <c r="L745" s="684">
        <f t="shared" si="312"/>
        <v>0</v>
      </c>
      <c r="M745" s="684">
        <f>M748+M754+M760+M766+M772+M778+M790+M796+M805+M811+M817+M823+M829</f>
        <v>5</v>
      </c>
      <c r="N745" s="684">
        <f t="shared" ref="N745" si="313">N748+N754+N760+N766+N772+N778+N790+N796+N805+N811+N817+N823+N829</f>
        <v>6</v>
      </c>
      <c r="O745" s="679"/>
      <c r="P745" s="1193" t="s">
        <v>1613</v>
      </c>
      <c r="W745" s="681">
        <f>SUM(W470:W743)</f>
        <v>56</v>
      </c>
      <c r="X745" s="681">
        <f>SUM(X470:X743)</f>
        <v>6</v>
      </c>
      <c r="Y745" s="681">
        <f>SUM(Y470:Y743)</f>
        <v>2</v>
      </c>
      <c r="Z745" s="681">
        <f>SUM(Z470:Z743)</f>
        <v>0</v>
      </c>
    </row>
    <row r="746" spans="1:26" s="681" customFormat="1" ht="31.5" customHeight="1" x14ac:dyDescent="0.3">
      <c r="A746" s="2314"/>
      <c r="B746" s="2439"/>
      <c r="C746" s="2439"/>
      <c r="D746" s="2439"/>
      <c r="E746" s="2439"/>
      <c r="F746" s="678" t="s">
        <v>14</v>
      </c>
      <c r="G746" s="684">
        <f>H746+I746+J746+K746+L746</f>
        <v>64687.839999999997</v>
      </c>
      <c r="H746" s="684">
        <f>H749+H755+H761+H767+H773+H779+H791+H797+H806+H812+H818+H824+H830</f>
        <v>35907.68</v>
      </c>
      <c r="I746" s="684">
        <f t="shared" ref="I746:L746" si="314">I749+I755+I761+I767+I773+I779+I791+I797+I806+I812+I818+I824+I830</f>
        <v>17818.87</v>
      </c>
      <c r="J746" s="684">
        <f t="shared" si="314"/>
        <v>10961.29</v>
      </c>
      <c r="K746" s="684">
        <f t="shared" si="314"/>
        <v>0</v>
      </c>
      <c r="L746" s="684">
        <f t="shared" si="314"/>
        <v>0</v>
      </c>
      <c r="M746" s="685"/>
      <c r="N746" s="685"/>
      <c r="O746" s="679"/>
      <c r="P746" s="680"/>
    </row>
    <row r="747" spans="1:26" s="663" customFormat="1" ht="27" customHeight="1" x14ac:dyDescent="0.3">
      <c r="A747" s="2314" t="s">
        <v>789</v>
      </c>
      <c r="B747" s="2315" t="s">
        <v>396</v>
      </c>
      <c r="C747" s="2315"/>
      <c r="D747" s="2315"/>
      <c r="E747" s="2315"/>
      <c r="F747" s="658" t="s">
        <v>12</v>
      </c>
      <c r="G747" s="659">
        <f>G748+G749</f>
        <v>70644.289999999994</v>
      </c>
      <c r="H747" s="659">
        <f>H748+H749</f>
        <v>70644.289999999994</v>
      </c>
      <c r="I747" s="659"/>
      <c r="J747" s="659"/>
      <c r="K747" s="659"/>
      <c r="L747" s="659"/>
      <c r="M747" s="661"/>
      <c r="N747" s="661"/>
      <c r="O747" s="661"/>
      <c r="P747" s="662"/>
    </row>
    <row r="748" spans="1:26" s="663" customFormat="1" ht="27" customHeight="1" x14ac:dyDescent="0.3">
      <c r="A748" s="2314"/>
      <c r="B748" s="2315"/>
      <c r="C748" s="2315"/>
      <c r="D748" s="2315"/>
      <c r="E748" s="2315"/>
      <c r="F748" s="658" t="s">
        <v>13</v>
      </c>
      <c r="G748" s="664">
        <f>H748+I748+J748+K748+L748</f>
        <v>67112</v>
      </c>
      <c r="H748" s="664">
        <f>H751</f>
        <v>67112</v>
      </c>
      <c r="I748" s="664"/>
      <c r="J748" s="664"/>
      <c r="K748" s="664"/>
      <c r="L748" s="664"/>
      <c r="M748" s="664">
        <v>1</v>
      </c>
      <c r="N748" s="661"/>
      <c r="O748" s="661"/>
      <c r="P748" s="662"/>
    </row>
    <row r="749" spans="1:26" s="663" customFormat="1" ht="27" customHeight="1" x14ac:dyDescent="0.3">
      <c r="A749" s="2314"/>
      <c r="B749" s="2315"/>
      <c r="C749" s="2315"/>
      <c r="D749" s="2315"/>
      <c r="E749" s="2315"/>
      <c r="F749" s="658" t="s">
        <v>14</v>
      </c>
      <c r="G749" s="664">
        <f>H749+I749+J749+K749+L749</f>
        <v>3532.29</v>
      </c>
      <c r="H749" s="664">
        <f>H752</f>
        <v>3532.29</v>
      </c>
      <c r="I749" s="664"/>
      <c r="J749" s="664"/>
      <c r="K749" s="664"/>
      <c r="L749" s="664"/>
      <c r="M749" s="661"/>
      <c r="N749" s="661"/>
      <c r="O749" s="661"/>
      <c r="P749" s="662"/>
    </row>
    <row r="750" spans="1:26" s="640" customFormat="1" ht="27" customHeight="1" x14ac:dyDescent="0.3">
      <c r="A750" s="2438"/>
      <c r="B750" s="1718" t="s">
        <v>397</v>
      </c>
      <c r="C750" s="1718"/>
      <c r="D750" s="1718"/>
      <c r="E750" s="1718"/>
      <c r="F750" s="385" t="s">
        <v>12</v>
      </c>
      <c r="G750" s="69">
        <f>G751+G752</f>
        <v>70644.289999999994</v>
      </c>
      <c r="H750" s="69">
        <f>H751+H752</f>
        <v>70644.289999999994</v>
      </c>
      <c r="I750" s="69"/>
      <c r="J750" s="69"/>
      <c r="K750" s="69"/>
      <c r="L750" s="69"/>
      <c r="M750" s="609"/>
      <c r="N750" s="609"/>
      <c r="O750" s="609"/>
      <c r="P750" s="639"/>
    </row>
    <row r="751" spans="1:26" s="640" customFormat="1" ht="27" customHeight="1" x14ac:dyDescent="0.3">
      <c r="A751" s="2438"/>
      <c r="B751" s="1718"/>
      <c r="C751" s="1718"/>
      <c r="D751" s="1718"/>
      <c r="E751" s="1718"/>
      <c r="F751" s="385" t="s">
        <v>13</v>
      </c>
      <c r="G751" s="69">
        <f>SUM(H751:L751)</f>
        <v>67112</v>
      </c>
      <c r="H751" s="69">
        <v>67112</v>
      </c>
      <c r="I751" s="69"/>
      <c r="J751" s="69"/>
      <c r="K751" s="69"/>
      <c r="L751" s="69"/>
      <c r="M751" s="609"/>
      <c r="N751" s="609"/>
      <c r="O751" s="609"/>
      <c r="P751" s="639"/>
      <c r="W751" s="640">
        <v>1</v>
      </c>
    </row>
    <row r="752" spans="1:26" s="640" customFormat="1" ht="27" customHeight="1" x14ac:dyDescent="0.3">
      <c r="A752" s="2438"/>
      <c r="B752" s="1718"/>
      <c r="C752" s="1718"/>
      <c r="D752" s="1718"/>
      <c r="E752" s="1718"/>
      <c r="F752" s="385" t="s">
        <v>14</v>
      </c>
      <c r="G752" s="69">
        <f>SUM(H752:L752)</f>
        <v>3532.29</v>
      </c>
      <c r="H752" s="69">
        <v>3532.29</v>
      </c>
      <c r="I752" s="69"/>
      <c r="J752" s="69"/>
      <c r="K752" s="69"/>
      <c r="L752" s="69"/>
      <c r="M752" s="609"/>
      <c r="N752" s="609"/>
      <c r="O752" s="609"/>
      <c r="P752" s="639"/>
    </row>
    <row r="753" spans="1:23" s="663" customFormat="1" ht="27" customHeight="1" x14ac:dyDescent="0.3">
      <c r="A753" s="2314" t="s">
        <v>790</v>
      </c>
      <c r="B753" s="2315" t="s">
        <v>398</v>
      </c>
      <c r="C753" s="2315"/>
      <c r="D753" s="2315"/>
      <c r="E753" s="2315"/>
      <c r="F753" s="658" t="s">
        <v>12</v>
      </c>
      <c r="G753" s="659">
        <f t="shared" ref="G753" si="315">G754+G755</f>
        <v>37637.699999999997</v>
      </c>
      <c r="H753" s="659">
        <f>H754+H755</f>
        <v>37637.699999999997</v>
      </c>
      <c r="I753" s="659"/>
      <c r="J753" s="659"/>
      <c r="K753" s="659"/>
      <c r="L753" s="659"/>
      <c r="M753" s="661"/>
      <c r="N753" s="661"/>
      <c r="O753" s="661"/>
      <c r="P753" s="662"/>
    </row>
    <row r="754" spans="1:23" s="663" customFormat="1" ht="27" customHeight="1" x14ac:dyDescent="0.3">
      <c r="A754" s="2314"/>
      <c r="B754" s="2315"/>
      <c r="C754" s="2315"/>
      <c r="D754" s="2315"/>
      <c r="E754" s="2315"/>
      <c r="F754" s="658" t="s">
        <v>13</v>
      </c>
      <c r="G754" s="664">
        <f>SUM(H754:L754)</f>
        <v>35756</v>
      </c>
      <c r="H754" s="664">
        <f>H757</f>
        <v>35756</v>
      </c>
      <c r="I754" s="664"/>
      <c r="J754" s="664"/>
      <c r="K754" s="664"/>
      <c r="L754" s="664"/>
      <c r="M754" s="664">
        <v>1</v>
      </c>
      <c r="N754" s="661"/>
      <c r="O754" s="661"/>
      <c r="P754" s="662"/>
    </row>
    <row r="755" spans="1:23" s="663" customFormat="1" ht="27" customHeight="1" x14ac:dyDescent="0.3">
      <c r="A755" s="2314"/>
      <c r="B755" s="2315"/>
      <c r="C755" s="2315"/>
      <c r="D755" s="2315"/>
      <c r="E755" s="2315"/>
      <c r="F755" s="658" t="s">
        <v>14</v>
      </c>
      <c r="G755" s="664">
        <f>SUM(H755:L755)</f>
        <v>1881.7</v>
      </c>
      <c r="H755" s="664">
        <f>H758</f>
        <v>1881.7</v>
      </c>
      <c r="I755" s="664"/>
      <c r="J755" s="664"/>
      <c r="K755" s="664"/>
      <c r="L755" s="664"/>
      <c r="M755" s="661"/>
      <c r="N755" s="661"/>
      <c r="O755" s="661"/>
      <c r="P755" s="662"/>
    </row>
    <row r="756" spans="1:23" s="640" customFormat="1" ht="27" customHeight="1" x14ac:dyDescent="0.3">
      <c r="A756" s="2438"/>
      <c r="B756" s="1718" t="s">
        <v>399</v>
      </c>
      <c r="C756" s="1718"/>
      <c r="D756" s="1718"/>
      <c r="E756" s="1718"/>
      <c r="F756" s="385" t="s">
        <v>12</v>
      </c>
      <c r="G756" s="69">
        <f>SUM(H756:L756)</f>
        <v>37637.699999999997</v>
      </c>
      <c r="H756" s="69">
        <f>H757+H758</f>
        <v>37637.699999999997</v>
      </c>
      <c r="I756" s="69"/>
      <c r="J756" s="69"/>
      <c r="K756" s="69"/>
      <c r="L756" s="69"/>
      <c r="M756" s="609"/>
      <c r="N756" s="609"/>
      <c r="O756" s="609"/>
      <c r="P756" s="639"/>
    </row>
    <row r="757" spans="1:23" s="640" customFormat="1" ht="27" customHeight="1" x14ac:dyDescent="0.3">
      <c r="A757" s="2438"/>
      <c r="B757" s="1718"/>
      <c r="C757" s="1718"/>
      <c r="D757" s="1718"/>
      <c r="E757" s="1718"/>
      <c r="F757" s="385" t="s">
        <v>13</v>
      </c>
      <c r="G757" s="69">
        <f>SUM(H757:L757)</f>
        <v>35756</v>
      </c>
      <c r="H757" s="69">
        <v>35756</v>
      </c>
      <c r="I757" s="69"/>
      <c r="J757" s="69"/>
      <c r="K757" s="69"/>
      <c r="L757" s="69"/>
      <c r="M757" s="609"/>
      <c r="N757" s="609"/>
      <c r="O757" s="609"/>
      <c r="P757" s="639"/>
      <c r="W757" s="640">
        <v>1</v>
      </c>
    </row>
    <row r="758" spans="1:23" s="640" customFormat="1" ht="27" customHeight="1" x14ac:dyDescent="0.3">
      <c r="A758" s="2438"/>
      <c r="B758" s="1718"/>
      <c r="C758" s="1718"/>
      <c r="D758" s="1718"/>
      <c r="E758" s="1718"/>
      <c r="F758" s="385" t="s">
        <v>14</v>
      </c>
      <c r="G758" s="69">
        <f>SUM(H758:L758)</f>
        <v>1881.7</v>
      </c>
      <c r="H758" s="69">
        <v>1881.7</v>
      </c>
      <c r="I758" s="69"/>
      <c r="J758" s="69"/>
      <c r="K758" s="69"/>
      <c r="L758" s="69"/>
      <c r="M758" s="609"/>
      <c r="N758" s="609"/>
      <c r="O758" s="609"/>
      <c r="P758" s="639"/>
    </row>
    <row r="759" spans="1:23" s="663" customFormat="1" ht="27" customHeight="1" x14ac:dyDescent="0.3">
      <c r="A759" s="2314" t="s">
        <v>791</v>
      </c>
      <c r="B759" s="2315" t="s">
        <v>400</v>
      </c>
      <c r="C759" s="2315"/>
      <c r="D759" s="2315"/>
      <c r="E759" s="2315"/>
      <c r="F759" s="658" t="s">
        <v>12</v>
      </c>
      <c r="G759" s="659">
        <f t="shared" ref="G759" si="316">G760+G761</f>
        <v>102695</v>
      </c>
      <c r="H759" s="659">
        <f>H760+H761</f>
        <v>102695</v>
      </c>
      <c r="I759" s="659"/>
      <c r="J759" s="659"/>
      <c r="K759" s="659"/>
      <c r="L759" s="659"/>
      <c r="M759" s="661"/>
      <c r="N759" s="661"/>
      <c r="O759" s="661"/>
      <c r="P759" s="662"/>
    </row>
    <row r="760" spans="1:23" s="663" customFormat="1" ht="27" customHeight="1" x14ac:dyDescent="0.3">
      <c r="A760" s="2314"/>
      <c r="B760" s="2315"/>
      <c r="C760" s="2315"/>
      <c r="D760" s="2315"/>
      <c r="E760" s="2315"/>
      <c r="F760" s="658" t="s">
        <v>13</v>
      </c>
      <c r="G760" s="664">
        <f>SUM(H760:L760)</f>
        <v>97560</v>
      </c>
      <c r="H760" s="664">
        <f>H763</f>
        <v>97560</v>
      </c>
      <c r="I760" s="664"/>
      <c r="J760" s="664"/>
      <c r="K760" s="664"/>
      <c r="L760" s="664"/>
      <c r="M760" s="664">
        <v>1</v>
      </c>
      <c r="N760" s="661"/>
      <c r="O760" s="661"/>
      <c r="P760" s="662"/>
    </row>
    <row r="761" spans="1:23" s="663" customFormat="1" ht="27" customHeight="1" x14ac:dyDescent="0.3">
      <c r="A761" s="2314"/>
      <c r="B761" s="2315"/>
      <c r="C761" s="2315"/>
      <c r="D761" s="2315"/>
      <c r="E761" s="2315"/>
      <c r="F761" s="658" t="s">
        <v>14</v>
      </c>
      <c r="G761" s="664">
        <f>SUM(H761:L761)</f>
        <v>5135</v>
      </c>
      <c r="H761" s="664">
        <f>H764</f>
        <v>5135</v>
      </c>
      <c r="I761" s="664"/>
      <c r="J761" s="664"/>
      <c r="K761" s="664"/>
      <c r="L761" s="664"/>
      <c r="M761" s="661"/>
      <c r="N761" s="661"/>
      <c r="O761" s="661"/>
      <c r="P761" s="662"/>
    </row>
    <row r="762" spans="1:23" s="640" customFormat="1" ht="27" customHeight="1" x14ac:dyDescent="0.3">
      <c r="A762" s="2438"/>
      <c r="B762" s="1718" t="s">
        <v>401</v>
      </c>
      <c r="C762" s="1718"/>
      <c r="D762" s="1718"/>
      <c r="E762" s="1718"/>
      <c r="F762" s="385" t="s">
        <v>12</v>
      </c>
      <c r="G762" s="69">
        <f>SUM(H762:L762)</f>
        <v>102695</v>
      </c>
      <c r="H762" s="69">
        <f>H763+H764</f>
        <v>102695</v>
      </c>
      <c r="I762" s="69"/>
      <c r="J762" s="69"/>
      <c r="K762" s="69"/>
      <c r="L762" s="69"/>
      <c r="M762" s="609"/>
      <c r="N762" s="609"/>
      <c r="O762" s="609"/>
      <c r="P762" s="639"/>
    </row>
    <row r="763" spans="1:23" s="640" customFormat="1" ht="27" customHeight="1" x14ac:dyDescent="0.3">
      <c r="A763" s="2438"/>
      <c r="B763" s="1718"/>
      <c r="C763" s="1718"/>
      <c r="D763" s="1718"/>
      <c r="E763" s="1718"/>
      <c r="F763" s="385" t="s">
        <v>13</v>
      </c>
      <c r="G763" s="69">
        <f>SUM(H763:L763)</f>
        <v>97560</v>
      </c>
      <c r="H763" s="69">
        <v>97560</v>
      </c>
      <c r="I763" s="69"/>
      <c r="J763" s="69"/>
      <c r="K763" s="69"/>
      <c r="L763" s="69"/>
      <c r="M763" s="609"/>
      <c r="N763" s="609"/>
      <c r="O763" s="609"/>
      <c r="P763" s="639"/>
      <c r="W763" s="640">
        <v>1</v>
      </c>
    </row>
    <row r="764" spans="1:23" s="640" customFormat="1" ht="27" customHeight="1" x14ac:dyDescent="0.3">
      <c r="A764" s="2438"/>
      <c r="B764" s="1718"/>
      <c r="C764" s="1718"/>
      <c r="D764" s="1718"/>
      <c r="E764" s="1718"/>
      <c r="F764" s="385" t="s">
        <v>14</v>
      </c>
      <c r="G764" s="69">
        <f>SUM(H764:L764)</f>
        <v>5135</v>
      </c>
      <c r="H764" s="69">
        <v>5135</v>
      </c>
      <c r="I764" s="69"/>
      <c r="J764" s="69"/>
      <c r="K764" s="69"/>
      <c r="L764" s="69"/>
      <c r="M764" s="609"/>
      <c r="N764" s="609"/>
      <c r="O764" s="609"/>
      <c r="P764" s="639"/>
    </row>
    <row r="765" spans="1:23" s="663" customFormat="1" ht="27" customHeight="1" x14ac:dyDescent="0.3">
      <c r="A765" s="2314" t="s">
        <v>792</v>
      </c>
      <c r="B765" s="2315" t="s">
        <v>151</v>
      </c>
      <c r="C765" s="2315"/>
      <c r="D765" s="2315"/>
      <c r="E765" s="2315"/>
      <c r="F765" s="658" t="s">
        <v>12</v>
      </c>
      <c r="G765" s="659">
        <f t="shared" ref="G765" si="317">G766+G767</f>
        <v>105700.2</v>
      </c>
      <c r="H765" s="659">
        <f>H766+H767</f>
        <v>105700.2</v>
      </c>
      <c r="I765" s="659"/>
      <c r="J765" s="659"/>
      <c r="K765" s="659"/>
      <c r="L765" s="659"/>
      <c r="M765" s="661"/>
      <c r="N765" s="661"/>
      <c r="O765" s="661"/>
      <c r="P765" s="662"/>
    </row>
    <row r="766" spans="1:23" s="663" customFormat="1" ht="27" customHeight="1" x14ac:dyDescent="0.3">
      <c r="A766" s="2314"/>
      <c r="B766" s="2315"/>
      <c r="C766" s="2315"/>
      <c r="D766" s="2315"/>
      <c r="E766" s="2315"/>
      <c r="F766" s="658" t="s">
        <v>13</v>
      </c>
      <c r="G766" s="664">
        <f t="shared" ref="G766:G767" si="318">G769</f>
        <v>100415</v>
      </c>
      <c r="H766" s="664">
        <f>H769</f>
        <v>100415</v>
      </c>
      <c r="I766" s="664"/>
      <c r="J766" s="664"/>
      <c r="K766" s="664"/>
      <c r="L766" s="664"/>
      <c r="M766" s="664">
        <v>1</v>
      </c>
      <c r="N766" s="661"/>
      <c r="O766" s="661"/>
      <c r="P766" s="662"/>
    </row>
    <row r="767" spans="1:23" s="663" customFormat="1" ht="27" customHeight="1" x14ac:dyDescent="0.3">
      <c r="A767" s="2314"/>
      <c r="B767" s="2315"/>
      <c r="C767" s="2315"/>
      <c r="D767" s="2315"/>
      <c r="E767" s="2315"/>
      <c r="F767" s="658" t="s">
        <v>14</v>
      </c>
      <c r="G767" s="664">
        <f t="shared" si="318"/>
        <v>5285.2</v>
      </c>
      <c r="H767" s="664">
        <f>H770</f>
        <v>5285.2</v>
      </c>
      <c r="I767" s="664"/>
      <c r="J767" s="664"/>
      <c r="K767" s="664"/>
      <c r="L767" s="664"/>
      <c r="M767" s="661"/>
      <c r="N767" s="661"/>
      <c r="O767" s="661"/>
      <c r="P767" s="662"/>
    </row>
    <row r="768" spans="1:23" s="640" customFormat="1" ht="27" customHeight="1" x14ac:dyDescent="0.3">
      <c r="A768" s="2438"/>
      <c r="B768" s="1718" t="s">
        <v>402</v>
      </c>
      <c r="C768" s="1718"/>
      <c r="D768" s="1718"/>
      <c r="E768" s="1718"/>
      <c r="F768" s="385" t="s">
        <v>12</v>
      </c>
      <c r="G768" s="69">
        <f t="shared" ref="G768:L768" si="319">G769+G770</f>
        <v>105700.2</v>
      </c>
      <c r="H768" s="69">
        <f>H769+H770</f>
        <v>105700.2</v>
      </c>
      <c r="I768" s="69"/>
      <c r="J768" s="69">
        <f t="shared" si="319"/>
        <v>0</v>
      </c>
      <c r="K768" s="69">
        <f t="shared" si="319"/>
        <v>0</v>
      </c>
      <c r="L768" s="69">
        <f t="shared" si="319"/>
        <v>0</v>
      </c>
      <c r="M768" s="609"/>
      <c r="N768" s="609"/>
      <c r="O768" s="609"/>
      <c r="P768" s="639"/>
    </row>
    <row r="769" spans="1:25" s="640" customFormat="1" ht="27" customHeight="1" x14ac:dyDescent="0.3">
      <c r="A769" s="2438"/>
      <c r="B769" s="1718"/>
      <c r="C769" s="1718"/>
      <c r="D769" s="1718"/>
      <c r="E769" s="1718"/>
      <c r="F769" s="385" t="s">
        <v>13</v>
      </c>
      <c r="G769" s="69">
        <f>SUM(H769:L769)</f>
        <v>100415</v>
      </c>
      <c r="H769" s="69">
        <v>100415</v>
      </c>
      <c r="I769" s="69"/>
      <c r="J769" s="69"/>
      <c r="K769" s="69"/>
      <c r="L769" s="69"/>
      <c r="M769" s="609"/>
      <c r="N769" s="609"/>
      <c r="O769" s="609"/>
      <c r="P769" s="639"/>
      <c r="W769" s="640">
        <v>1</v>
      </c>
    </row>
    <row r="770" spans="1:25" s="640" customFormat="1" ht="27" customHeight="1" x14ac:dyDescent="0.3">
      <c r="A770" s="2438"/>
      <c r="B770" s="1718"/>
      <c r="C770" s="1718"/>
      <c r="D770" s="1718"/>
      <c r="E770" s="1718"/>
      <c r="F770" s="385" t="s">
        <v>14</v>
      </c>
      <c r="G770" s="69">
        <f>SUM(H770:L770)</f>
        <v>5285.2</v>
      </c>
      <c r="H770" s="69">
        <v>5285.2</v>
      </c>
      <c r="I770" s="69"/>
      <c r="J770" s="69"/>
      <c r="K770" s="69"/>
      <c r="L770" s="69"/>
      <c r="M770" s="609"/>
      <c r="N770" s="609"/>
      <c r="O770" s="609"/>
      <c r="P770" s="639"/>
    </row>
    <row r="771" spans="1:25" s="663" customFormat="1" ht="27" customHeight="1" x14ac:dyDescent="0.3">
      <c r="A771" s="2314" t="s">
        <v>793</v>
      </c>
      <c r="B771" s="2315" t="s">
        <v>174</v>
      </c>
      <c r="C771" s="2315"/>
      <c r="D771" s="2315"/>
      <c r="E771" s="2315"/>
      <c r="F771" s="658" t="s">
        <v>12</v>
      </c>
      <c r="G771" s="659">
        <f>G772+G773</f>
        <v>72498.490000000005</v>
      </c>
      <c r="H771" s="659">
        <f>H772+H773</f>
        <v>72498.490000000005</v>
      </c>
      <c r="I771" s="659"/>
      <c r="J771" s="659"/>
      <c r="K771" s="659"/>
      <c r="L771" s="659"/>
      <c r="M771" s="661"/>
      <c r="N771" s="661"/>
      <c r="O771" s="664"/>
      <c r="P771" s="667">
        <v>2020</v>
      </c>
    </row>
    <row r="772" spans="1:25" s="663" customFormat="1" ht="27" customHeight="1" x14ac:dyDescent="0.3">
      <c r="A772" s="2314"/>
      <c r="B772" s="2315"/>
      <c r="C772" s="2315"/>
      <c r="D772" s="2315"/>
      <c r="E772" s="2315"/>
      <c r="F772" s="658" t="s">
        <v>13</v>
      </c>
      <c r="G772" s="664">
        <f t="shared" ref="G772:G773" si="320">G775</f>
        <v>68874</v>
      </c>
      <c r="H772" s="664">
        <f>H775</f>
        <v>68874</v>
      </c>
      <c r="I772" s="664"/>
      <c r="J772" s="664"/>
      <c r="K772" s="664"/>
      <c r="L772" s="664"/>
      <c r="M772" s="664">
        <v>1</v>
      </c>
      <c r="N772" s="661"/>
      <c r="O772" s="664"/>
      <c r="P772" s="667">
        <v>1</v>
      </c>
    </row>
    <row r="773" spans="1:25" s="663" customFormat="1" ht="27" customHeight="1" x14ac:dyDescent="0.3">
      <c r="A773" s="2314"/>
      <c r="B773" s="2315"/>
      <c r="C773" s="2315"/>
      <c r="D773" s="2315"/>
      <c r="E773" s="2315"/>
      <c r="F773" s="658" t="s">
        <v>14</v>
      </c>
      <c r="G773" s="664">
        <f t="shared" si="320"/>
        <v>3624.49</v>
      </c>
      <c r="H773" s="664">
        <f>H776</f>
        <v>3624.49</v>
      </c>
      <c r="I773" s="664"/>
      <c r="J773" s="664"/>
      <c r="K773" s="664"/>
      <c r="L773" s="664"/>
      <c r="M773" s="661"/>
      <c r="N773" s="661"/>
      <c r="O773" s="661"/>
      <c r="P773" s="662"/>
    </row>
    <row r="774" spans="1:25" s="640" customFormat="1" ht="27" customHeight="1" x14ac:dyDescent="0.3">
      <c r="A774" s="2438"/>
      <c r="B774" s="1718" t="s">
        <v>989</v>
      </c>
      <c r="C774" s="1718"/>
      <c r="D774" s="1718"/>
      <c r="E774" s="1718"/>
      <c r="F774" s="385" t="s">
        <v>12</v>
      </c>
      <c r="G774" s="69">
        <f t="shared" ref="G774:L774" si="321">G775+G776</f>
        <v>72498.490000000005</v>
      </c>
      <c r="H774" s="69">
        <f>H775+H776</f>
        <v>72498.490000000005</v>
      </c>
      <c r="I774" s="69"/>
      <c r="J774" s="69">
        <f t="shared" si="321"/>
        <v>0</v>
      </c>
      <c r="K774" s="69">
        <f t="shared" si="321"/>
        <v>0</v>
      </c>
      <c r="L774" s="69">
        <f t="shared" si="321"/>
        <v>0</v>
      </c>
      <c r="M774" s="609"/>
      <c r="N774" s="609"/>
      <c r="O774" s="609"/>
      <c r="P774" s="639"/>
    </row>
    <row r="775" spans="1:25" s="640" customFormat="1" ht="27" customHeight="1" x14ac:dyDescent="0.3">
      <c r="A775" s="2438"/>
      <c r="B775" s="1718"/>
      <c r="C775" s="1718"/>
      <c r="D775" s="1718"/>
      <c r="E775" s="1718"/>
      <c r="F775" s="385" t="s">
        <v>13</v>
      </c>
      <c r="G775" s="69">
        <f>SUM(H775:L775)</f>
        <v>68874</v>
      </c>
      <c r="H775" s="69">
        <v>68874</v>
      </c>
      <c r="I775" s="69"/>
      <c r="J775" s="69"/>
      <c r="K775" s="69"/>
      <c r="L775" s="69"/>
      <c r="M775" s="609"/>
      <c r="N775" s="609"/>
      <c r="O775" s="609"/>
      <c r="P775" s="639"/>
      <c r="W775" s="640">
        <v>1</v>
      </c>
    </row>
    <row r="776" spans="1:25" s="640" customFormat="1" ht="27" customHeight="1" x14ac:dyDescent="0.3">
      <c r="A776" s="2438"/>
      <c r="B776" s="1718"/>
      <c r="C776" s="1718"/>
      <c r="D776" s="1718"/>
      <c r="E776" s="1718"/>
      <c r="F776" s="385" t="s">
        <v>14</v>
      </c>
      <c r="G776" s="69">
        <f t="shared" ref="G776" si="322">SUM(H776:L776)</f>
        <v>3624.49</v>
      </c>
      <c r="H776" s="69">
        <v>3624.49</v>
      </c>
      <c r="I776" s="69"/>
      <c r="J776" s="69"/>
      <c r="K776" s="69"/>
      <c r="L776" s="69"/>
      <c r="M776" s="609"/>
      <c r="N776" s="609"/>
      <c r="O776" s="609"/>
      <c r="P776" s="639"/>
    </row>
    <row r="777" spans="1:25" s="663" customFormat="1" ht="27" customHeight="1" x14ac:dyDescent="0.3">
      <c r="A777" s="2314" t="s">
        <v>794</v>
      </c>
      <c r="B777" s="2315" t="s">
        <v>321</v>
      </c>
      <c r="C777" s="2315"/>
      <c r="D777" s="2315"/>
      <c r="E777" s="2315"/>
      <c r="F777" s="658" t="s">
        <v>12</v>
      </c>
      <c r="G777" s="659">
        <f>G778+G779</f>
        <v>120643.41</v>
      </c>
      <c r="H777" s="659">
        <f>H778+H779</f>
        <v>1737</v>
      </c>
      <c r="I777" s="659">
        <f t="shared" ref="I777:J777" si="323">I778+I779</f>
        <v>55746.77</v>
      </c>
      <c r="J777" s="659">
        <f t="shared" si="323"/>
        <v>63159.64</v>
      </c>
      <c r="K777" s="659"/>
      <c r="L777" s="659"/>
      <c r="M777" s="664">
        <v>2018</v>
      </c>
      <c r="N777" s="664">
        <v>2019</v>
      </c>
      <c r="O777" s="664"/>
      <c r="P777" s="667">
        <v>2020</v>
      </c>
    </row>
    <row r="778" spans="1:25" s="663" customFormat="1" ht="27" customHeight="1" x14ac:dyDescent="0.3">
      <c r="A778" s="2314"/>
      <c r="B778" s="2315"/>
      <c r="C778" s="2315"/>
      <c r="D778" s="2315"/>
      <c r="E778" s="2315"/>
      <c r="F778" s="658" t="s">
        <v>13</v>
      </c>
      <c r="G778" s="664">
        <f>G781+G787</f>
        <v>112961.64</v>
      </c>
      <c r="H778" s="664">
        <f>H781+H787</f>
        <v>0</v>
      </c>
      <c r="I778" s="664">
        <f t="shared" ref="I778:J778" si="324">I781+I787</f>
        <v>52960</v>
      </c>
      <c r="J778" s="664">
        <f t="shared" si="324"/>
        <v>60001.64</v>
      </c>
      <c r="K778" s="664">
        <f t="shared" ref="K778:L778" si="325">K781+K787</f>
        <v>0</v>
      </c>
      <c r="L778" s="664">
        <f t="shared" si="325"/>
        <v>0</v>
      </c>
      <c r="M778" s="664"/>
      <c r="N778" s="664">
        <v>1</v>
      </c>
      <c r="O778" s="664"/>
      <c r="P778" s="667">
        <v>1</v>
      </c>
    </row>
    <row r="779" spans="1:25" s="663" customFormat="1" ht="27" customHeight="1" x14ac:dyDescent="0.3">
      <c r="A779" s="2314"/>
      <c r="B779" s="2315"/>
      <c r="C779" s="2315"/>
      <c r="D779" s="2315"/>
      <c r="E779" s="2315"/>
      <c r="F779" s="658" t="s">
        <v>14</v>
      </c>
      <c r="G779" s="664">
        <f>G782+G788</f>
        <v>7681.77</v>
      </c>
      <c r="H779" s="664">
        <f>H782+H788</f>
        <v>1737</v>
      </c>
      <c r="I779" s="664">
        <f t="shared" ref="I779:J779" si="326">I782+I788</f>
        <v>2786.77</v>
      </c>
      <c r="J779" s="664">
        <f t="shared" si="326"/>
        <v>3158</v>
      </c>
      <c r="K779" s="664"/>
      <c r="L779" s="664"/>
      <c r="M779" s="661"/>
      <c r="N779" s="661"/>
      <c r="O779" s="661"/>
      <c r="P779" s="662"/>
    </row>
    <row r="780" spans="1:25" s="640" customFormat="1" ht="27" customHeight="1" x14ac:dyDescent="0.3">
      <c r="A780" s="2438"/>
      <c r="B780" s="1718" t="s">
        <v>403</v>
      </c>
      <c r="C780" s="1718"/>
      <c r="D780" s="1718"/>
      <c r="E780" s="1718"/>
      <c r="F780" s="385" t="s">
        <v>12</v>
      </c>
      <c r="G780" s="69">
        <f t="shared" ref="G780" si="327">G781+G782</f>
        <v>99633.48</v>
      </c>
      <c r="H780" s="69">
        <f>H781+H782</f>
        <v>1737</v>
      </c>
      <c r="I780" s="69">
        <f t="shared" ref="I780:J780" si="328">I781+I782</f>
        <v>34736.839999999997</v>
      </c>
      <c r="J780" s="69">
        <f t="shared" si="328"/>
        <v>63159.64</v>
      </c>
      <c r="K780" s="69"/>
      <c r="L780" s="69"/>
      <c r="M780" s="609"/>
      <c r="N780" s="609"/>
      <c r="O780" s="609"/>
      <c r="P780" s="639"/>
    </row>
    <row r="781" spans="1:25" s="640" customFormat="1" ht="27" customHeight="1" x14ac:dyDescent="0.3">
      <c r="A781" s="2438"/>
      <c r="B781" s="1718"/>
      <c r="C781" s="1718"/>
      <c r="D781" s="1718"/>
      <c r="E781" s="1718"/>
      <c r="F781" s="385" t="s">
        <v>13</v>
      </c>
      <c r="G781" s="69">
        <f>SUM(H781:L781)</f>
        <v>93001.64</v>
      </c>
      <c r="H781" s="69"/>
      <c r="I781" s="69">
        <v>33000</v>
      </c>
      <c r="J781" s="69">
        <v>60001.64</v>
      </c>
      <c r="K781" s="69"/>
      <c r="L781" s="69"/>
      <c r="M781" s="609"/>
      <c r="N781" s="609"/>
      <c r="O781" s="609"/>
      <c r="P781" s="639"/>
      <c r="Y781" s="640">
        <v>1</v>
      </c>
    </row>
    <row r="782" spans="1:25" s="640" customFormat="1" ht="27" customHeight="1" x14ac:dyDescent="0.3">
      <c r="A782" s="2438"/>
      <c r="B782" s="1718"/>
      <c r="C782" s="1718"/>
      <c r="D782" s="1718"/>
      <c r="E782" s="1718"/>
      <c r="F782" s="385" t="s">
        <v>14</v>
      </c>
      <c r="G782" s="69">
        <f t="shared" ref="G782" si="329">SUM(H782:L782)</f>
        <v>6631.84</v>
      </c>
      <c r="H782" s="69">
        <v>1737</v>
      </c>
      <c r="I782" s="69">
        <v>1736.84</v>
      </c>
      <c r="J782" s="69">
        <v>3158</v>
      </c>
      <c r="K782" s="69"/>
      <c r="L782" s="69"/>
      <c r="M782" s="609"/>
      <c r="N782" s="609"/>
      <c r="O782" s="609"/>
      <c r="P782" s="639"/>
      <c r="Q782" s="640">
        <f>I788/I786</f>
        <v>4.9973036559379298E-2</v>
      </c>
    </row>
    <row r="783" spans="1:25" s="640" customFormat="1" ht="27" customHeight="1" x14ac:dyDescent="0.3">
      <c r="A783" s="2314"/>
      <c r="B783" s="2315" t="s">
        <v>991</v>
      </c>
      <c r="C783" s="2315"/>
      <c r="D783" s="2315"/>
      <c r="E783" s="2315"/>
      <c r="F783" s="958" t="s">
        <v>12</v>
      </c>
      <c r="G783" s="659">
        <f>G784+G785</f>
        <v>21009.93</v>
      </c>
      <c r="H783" s="659">
        <f>H784+H785</f>
        <v>0</v>
      </c>
      <c r="I783" s="659">
        <f t="shared" ref="I783:J783" si="330">I784+I785</f>
        <v>21009.93</v>
      </c>
      <c r="J783" s="659">
        <f t="shared" si="330"/>
        <v>0</v>
      </c>
      <c r="K783" s="659"/>
      <c r="L783" s="659"/>
      <c r="M783" s="664">
        <v>2018</v>
      </c>
      <c r="N783" s="664">
        <v>2019</v>
      </c>
      <c r="O783" s="664"/>
      <c r="P783" s="628">
        <v>2020</v>
      </c>
    </row>
    <row r="784" spans="1:25" s="640" customFormat="1" ht="27" customHeight="1" x14ac:dyDescent="0.3">
      <c r="A784" s="2314"/>
      <c r="B784" s="2315"/>
      <c r="C784" s="2315"/>
      <c r="D784" s="2315"/>
      <c r="E784" s="2315"/>
      <c r="F784" s="958" t="s">
        <v>13</v>
      </c>
      <c r="G784" s="664">
        <f>G787</f>
        <v>19960</v>
      </c>
      <c r="H784" s="664">
        <f>H787</f>
        <v>0</v>
      </c>
      <c r="I784" s="664">
        <f t="shared" ref="I784:L784" si="331">I787</f>
        <v>19960</v>
      </c>
      <c r="J784" s="664">
        <f t="shared" si="331"/>
        <v>0</v>
      </c>
      <c r="K784" s="664">
        <f t="shared" si="331"/>
        <v>0</v>
      </c>
      <c r="L784" s="664">
        <f t="shared" si="331"/>
        <v>0</v>
      </c>
      <c r="M784" s="664"/>
      <c r="N784" s="664">
        <v>1</v>
      </c>
      <c r="O784" s="664"/>
      <c r="P784" s="628"/>
    </row>
    <row r="785" spans="1:25" s="640" customFormat="1" ht="27" customHeight="1" x14ac:dyDescent="0.3">
      <c r="A785" s="2314"/>
      <c r="B785" s="2315"/>
      <c r="C785" s="2315"/>
      <c r="D785" s="2315"/>
      <c r="E785" s="2315"/>
      <c r="F785" s="958" t="s">
        <v>14</v>
      </c>
      <c r="G785" s="664">
        <f>G788</f>
        <v>1049.93</v>
      </c>
      <c r="H785" s="664">
        <f>H788</f>
        <v>0</v>
      </c>
      <c r="I785" s="664">
        <f t="shared" ref="I785:L785" si="332">I788</f>
        <v>1049.93</v>
      </c>
      <c r="J785" s="664">
        <f t="shared" si="332"/>
        <v>0</v>
      </c>
      <c r="K785" s="664">
        <f t="shared" si="332"/>
        <v>0</v>
      </c>
      <c r="L785" s="664">
        <f t="shared" si="332"/>
        <v>0</v>
      </c>
      <c r="M785" s="661"/>
      <c r="N785" s="661"/>
      <c r="O785" s="661"/>
      <c r="P785" s="639"/>
    </row>
    <row r="786" spans="1:25" s="640" customFormat="1" ht="27" customHeight="1" x14ac:dyDescent="0.3">
      <c r="A786" s="2438"/>
      <c r="B786" s="1718" t="s">
        <v>412</v>
      </c>
      <c r="C786" s="1718"/>
      <c r="D786" s="1718"/>
      <c r="E786" s="1718"/>
      <c r="F786" s="385" t="s">
        <v>12</v>
      </c>
      <c r="G786" s="69">
        <f t="shared" ref="G786" si="333">G787+G788</f>
        <v>21009.93</v>
      </c>
      <c r="H786" s="69">
        <f>H787+H788</f>
        <v>0</v>
      </c>
      <c r="I786" s="69">
        <f t="shared" ref="I786" si="334">I787+I788</f>
        <v>21009.93</v>
      </c>
      <c r="J786" s="69"/>
      <c r="K786" s="69"/>
      <c r="L786" s="69"/>
      <c r="M786" s="609"/>
      <c r="N786" s="609"/>
      <c r="O786" s="609"/>
      <c r="P786" s="639"/>
    </row>
    <row r="787" spans="1:25" s="640" customFormat="1" ht="27" customHeight="1" x14ac:dyDescent="0.3">
      <c r="A787" s="2438"/>
      <c r="B787" s="1718"/>
      <c r="C787" s="1718"/>
      <c r="D787" s="1718"/>
      <c r="E787" s="1718"/>
      <c r="F787" s="385" t="s">
        <v>13</v>
      </c>
      <c r="G787" s="69">
        <f>SUM(H787:L787)</f>
        <v>19960</v>
      </c>
      <c r="H787" s="69"/>
      <c r="I787" s="69">
        <v>19960</v>
      </c>
      <c r="J787" s="69"/>
      <c r="K787" s="69"/>
      <c r="L787" s="69"/>
      <c r="M787" s="609"/>
      <c r="N787" s="609"/>
      <c r="O787" s="609"/>
      <c r="P787" s="639"/>
      <c r="X787" s="640">
        <v>1</v>
      </c>
    </row>
    <row r="788" spans="1:25" s="640" customFormat="1" ht="27" customHeight="1" x14ac:dyDescent="0.3">
      <c r="A788" s="2438"/>
      <c r="B788" s="1718"/>
      <c r="C788" s="1718"/>
      <c r="D788" s="1718"/>
      <c r="E788" s="1718"/>
      <c r="F788" s="385" t="s">
        <v>14</v>
      </c>
      <c r="G788" s="69">
        <f t="shared" ref="G788" si="335">SUM(H788:L788)</f>
        <v>1049.93</v>
      </c>
      <c r="H788" s="69"/>
      <c r="I788" s="69">
        <v>1049.93</v>
      </c>
      <c r="J788" s="69"/>
      <c r="K788" s="69"/>
      <c r="L788" s="69"/>
      <c r="M788" s="609"/>
      <c r="N788" s="609"/>
      <c r="O788" s="609"/>
      <c r="P788" s="639"/>
    </row>
    <row r="789" spans="1:25" s="663" customFormat="1" ht="27" customHeight="1" x14ac:dyDescent="0.3">
      <c r="A789" s="2314" t="s">
        <v>795</v>
      </c>
      <c r="B789" s="2315" t="s">
        <v>335</v>
      </c>
      <c r="C789" s="2315"/>
      <c r="D789" s="2315"/>
      <c r="E789" s="2315"/>
      <c r="F789" s="658" t="s">
        <v>12</v>
      </c>
      <c r="G789" s="659">
        <f>G790+G791</f>
        <v>12323.7</v>
      </c>
      <c r="H789" s="659">
        <f>H790+H791</f>
        <v>587</v>
      </c>
      <c r="I789" s="659">
        <f>I790+I791</f>
        <v>11736.7</v>
      </c>
      <c r="J789" s="659"/>
      <c r="K789" s="659"/>
      <c r="L789" s="659"/>
      <c r="M789" s="664">
        <v>2018</v>
      </c>
      <c r="N789" s="664">
        <v>2019</v>
      </c>
      <c r="O789" s="664"/>
      <c r="P789" s="667">
        <v>2020</v>
      </c>
    </row>
    <row r="790" spans="1:25" s="663" customFormat="1" ht="27" customHeight="1" x14ac:dyDescent="0.3">
      <c r="A790" s="2314"/>
      <c r="B790" s="2315"/>
      <c r="C790" s="2315"/>
      <c r="D790" s="2315"/>
      <c r="E790" s="2315"/>
      <c r="F790" s="658" t="s">
        <v>13</v>
      </c>
      <c r="G790" s="664">
        <f t="shared" ref="G790" si="336">G793</f>
        <v>11149.9</v>
      </c>
      <c r="H790" s="664">
        <f>H793</f>
        <v>0</v>
      </c>
      <c r="I790" s="664">
        <f t="shared" ref="I790" si="337">I793</f>
        <v>11149.9</v>
      </c>
      <c r="J790" s="664"/>
      <c r="K790" s="664"/>
      <c r="L790" s="664"/>
      <c r="M790" s="664"/>
      <c r="N790" s="664">
        <v>1</v>
      </c>
      <c r="O790" s="664"/>
      <c r="P790" s="667">
        <v>1</v>
      </c>
    </row>
    <row r="791" spans="1:25" s="663" customFormat="1" ht="27" customHeight="1" x14ac:dyDescent="0.3">
      <c r="A791" s="2314"/>
      <c r="B791" s="2315"/>
      <c r="C791" s="2315"/>
      <c r="D791" s="2315"/>
      <c r="E791" s="2315"/>
      <c r="F791" s="658" t="s">
        <v>14</v>
      </c>
      <c r="G791" s="664">
        <f t="shared" ref="G791" si="338">G794</f>
        <v>1173.8</v>
      </c>
      <c r="H791" s="664">
        <f>H794</f>
        <v>587</v>
      </c>
      <c r="I791" s="664">
        <f t="shared" ref="I791" si="339">I794</f>
        <v>586.79999999999995</v>
      </c>
      <c r="J791" s="664"/>
      <c r="K791" s="664"/>
      <c r="L791" s="664"/>
      <c r="M791" s="661"/>
      <c r="N791" s="661"/>
      <c r="O791" s="661"/>
      <c r="P791" s="662"/>
    </row>
    <row r="792" spans="1:25" s="640" customFormat="1" ht="27" customHeight="1" x14ac:dyDescent="0.3">
      <c r="A792" s="2438"/>
      <c r="B792" s="1718" t="s">
        <v>990</v>
      </c>
      <c r="C792" s="1718"/>
      <c r="D792" s="1718"/>
      <c r="E792" s="1718"/>
      <c r="F792" s="385" t="s">
        <v>12</v>
      </c>
      <c r="G792" s="69">
        <f t="shared" ref="G792" si="340">G793+G794</f>
        <v>12323.7</v>
      </c>
      <c r="H792" s="69">
        <f>H793+H794</f>
        <v>587</v>
      </c>
      <c r="I792" s="69">
        <f>I793+I794</f>
        <v>11736.7</v>
      </c>
      <c r="J792" s="69"/>
      <c r="K792" s="69"/>
      <c r="L792" s="69"/>
      <c r="M792" s="609"/>
      <c r="N792" s="609"/>
      <c r="O792" s="609"/>
      <c r="P792" s="639"/>
    </row>
    <row r="793" spans="1:25" s="640" customFormat="1" ht="27" customHeight="1" x14ac:dyDescent="0.3">
      <c r="A793" s="2438"/>
      <c r="B793" s="1718"/>
      <c r="C793" s="1718"/>
      <c r="D793" s="1718"/>
      <c r="E793" s="1718"/>
      <c r="F793" s="385" t="s">
        <v>13</v>
      </c>
      <c r="G793" s="69">
        <f>SUM(H793:L793)</f>
        <v>11149.9</v>
      </c>
      <c r="H793" s="69"/>
      <c r="I793" s="69">
        <v>11149.9</v>
      </c>
      <c r="J793" s="69"/>
      <c r="K793" s="69"/>
      <c r="L793" s="69"/>
      <c r="M793" s="609"/>
      <c r="N793" s="609"/>
      <c r="O793" s="609"/>
      <c r="P793" s="639"/>
      <c r="X793" s="640">
        <v>1</v>
      </c>
    </row>
    <row r="794" spans="1:25" s="640" customFormat="1" ht="27" customHeight="1" x14ac:dyDescent="0.3">
      <c r="A794" s="2438"/>
      <c r="B794" s="1718"/>
      <c r="C794" s="1718"/>
      <c r="D794" s="1718"/>
      <c r="E794" s="1718"/>
      <c r="F794" s="385" t="s">
        <v>14</v>
      </c>
      <c r="G794" s="69">
        <f t="shared" ref="G794" si="341">SUM(H794:L794)</f>
        <v>1173.8</v>
      </c>
      <c r="H794" s="69">
        <v>587</v>
      </c>
      <c r="I794" s="69">
        <v>586.79999999999995</v>
      </c>
      <c r="J794" s="69"/>
      <c r="K794" s="69"/>
      <c r="L794" s="69"/>
      <c r="M794" s="609"/>
      <c r="N794" s="609"/>
      <c r="O794" s="609"/>
      <c r="P794" s="639"/>
    </row>
    <row r="795" spans="1:25" s="663" customFormat="1" ht="27" customHeight="1" x14ac:dyDescent="0.3">
      <c r="A795" s="2314" t="s">
        <v>796</v>
      </c>
      <c r="B795" s="2315" t="s">
        <v>347</v>
      </c>
      <c r="C795" s="2315"/>
      <c r="D795" s="2315"/>
      <c r="E795" s="2315"/>
      <c r="F795" s="658" t="s">
        <v>12</v>
      </c>
      <c r="G795" s="659">
        <f>G796+G797</f>
        <v>69520.2</v>
      </c>
      <c r="H795" s="659">
        <f>H796+H797</f>
        <v>2149</v>
      </c>
      <c r="I795" s="659">
        <f t="shared" ref="I795:J795" si="342">I796+I797</f>
        <v>44128.4</v>
      </c>
      <c r="J795" s="659">
        <f t="shared" si="342"/>
        <v>23242.799999999999</v>
      </c>
      <c r="K795" s="659"/>
      <c r="L795" s="659"/>
      <c r="M795" s="664">
        <v>2018</v>
      </c>
      <c r="N795" s="664">
        <v>2019</v>
      </c>
      <c r="O795" s="661"/>
      <c r="P795" s="662"/>
    </row>
    <row r="796" spans="1:25" s="663" customFormat="1" ht="27" customHeight="1" x14ac:dyDescent="0.3">
      <c r="A796" s="2314"/>
      <c r="B796" s="2315"/>
      <c r="C796" s="2315"/>
      <c r="D796" s="2315"/>
      <c r="E796" s="2315"/>
      <c r="F796" s="658" t="s">
        <v>13</v>
      </c>
      <c r="G796" s="664">
        <f>G799+G802</f>
        <v>62897.760000000002</v>
      </c>
      <c r="H796" s="664">
        <f>H799+H802</f>
        <v>0</v>
      </c>
      <c r="I796" s="664">
        <f t="shared" ref="I796:J796" si="343">I799+I802</f>
        <v>40817.1</v>
      </c>
      <c r="J796" s="664">
        <f t="shared" si="343"/>
        <v>22080.66</v>
      </c>
      <c r="K796" s="664"/>
      <c r="L796" s="664"/>
      <c r="M796" s="664"/>
      <c r="N796" s="664">
        <v>1</v>
      </c>
      <c r="O796" s="661"/>
      <c r="P796" s="662"/>
    </row>
    <row r="797" spans="1:25" s="663" customFormat="1" ht="27" customHeight="1" x14ac:dyDescent="0.3">
      <c r="A797" s="2314"/>
      <c r="B797" s="2315"/>
      <c r="C797" s="2315"/>
      <c r="D797" s="2315"/>
      <c r="E797" s="2315"/>
      <c r="F797" s="658" t="s">
        <v>14</v>
      </c>
      <c r="G797" s="664">
        <f>G800+G803</f>
        <v>6622.44</v>
      </c>
      <c r="H797" s="664">
        <f>H800+H803</f>
        <v>2149</v>
      </c>
      <c r="I797" s="664">
        <f t="shared" ref="I797:J797" si="344">I800+I803</f>
        <v>3311.3</v>
      </c>
      <c r="J797" s="664">
        <f t="shared" si="344"/>
        <v>1162.1400000000001</v>
      </c>
      <c r="K797" s="664"/>
      <c r="L797" s="664"/>
      <c r="M797" s="661"/>
      <c r="N797" s="661"/>
      <c r="O797" s="661"/>
      <c r="P797" s="662"/>
    </row>
    <row r="798" spans="1:25" s="640" customFormat="1" ht="27" customHeight="1" x14ac:dyDescent="0.3">
      <c r="A798" s="2438"/>
      <c r="B798" s="1718" t="s">
        <v>404</v>
      </c>
      <c r="C798" s="1718"/>
      <c r="D798" s="1718"/>
      <c r="E798" s="1718"/>
      <c r="F798" s="385" t="s">
        <v>12</v>
      </c>
      <c r="G798" s="69">
        <f t="shared" ref="G798" si="345">G799+G800</f>
        <v>24405.8</v>
      </c>
      <c r="H798" s="69">
        <f>H799+H800</f>
        <v>0</v>
      </c>
      <c r="I798" s="69">
        <f t="shared" ref="I798" si="346">I799+I800</f>
        <v>1163</v>
      </c>
      <c r="J798" s="69">
        <f t="shared" ref="J798" si="347">J799+J800</f>
        <v>23242.799999999999</v>
      </c>
      <c r="K798" s="69"/>
      <c r="L798" s="69"/>
      <c r="M798" s="609"/>
      <c r="N798" s="609"/>
      <c r="O798" s="69"/>
      <c r="P798" s="628">
        <v>2020</v>
      </c>
    </row>
    <row r="799" spans="1:25" s="640" customFormat="1" ht="27" customHeight="1" x14ac:dyDescent="0.3">
      <c r="A799" s="2438"/>
      <c r="B799" s="1718"/>
      <c r="C799" s="1718"/>
      <c r="D799" s="1718"/>
      <c r="E799" s="1718"/>
      <c r="F799" s="385" t="s">
        <v>13</v>
      </c>
      <c r="G799" s="69">
        <f>SUM(H799:L799)</f>
        <v>22080.66</v>
      </c>
      <c r="H799" s="69"/>
      <c r="I799" s="69"/>
      <c r="J799" s="69">
        <v>22080.66</v>
      </c>
      <c r="K799" s="69"/>
      <c r="L799" s="69"/>
      <c r="M799" s="609"/>
      <c r="N799" s="609"/>
      <c r="O799" s="69"/>
      <c r="P799" s="628">
        <v>1</v>
      </c>
      <c r="Y799" s="640">
        <v>1</v>
      </c>
    </row>
    <row r="800" spans="1:25" s="640" customFormat="1" ht="27" customHeight="1" x14ac:dyDescent="0.3">
      <c r="A800" s="2438"/>
      <c r="B800" s="1718"/>
      <c r="C800" s="1718"/>
      <c r="D800" s="1718"/>
      <c r="E800" s="1718"/>
      <c r="F800" s="385" t="s">
        <v>14</v>
      </c>
      <c r="G800" s="69">
        <f t="shared" ref="G800" si="348">SUM(H800:L800)</f>
        <v>2325.14</v>
      </c>
      <c r="H800" s="69"/>
      <c r="I800" s="69">
        <v>1163</v>
      </c>
      <c r="J800" s="69">
        <v>1162.1400000000001</v>
      </c>
      <c r="K800" s="69"/>
      <c r="L800" s="69"/>
      <c r="M800" s="609"/>
      <c r="N800" s="609"/>
      <c r="O800" s="609"/>
      <c r="P800" s="639"/>
    </row>
    <row r="801" spans="1:25" s="640" customFormat="1" ht="27" customHeight="1" x14ac:dyDescent="0.3">
      <c r="A801" s="2438"/>
      <c r="B801" s="1718" t="s">
        <v>405</v>
      </c>
      <c r="C801" s="1718"/>
      <c r="D801" s="1718"/>
      <c r="E801" s="1718"/>
      <c r="F801" s="385" t="s">
        <v>12</v>
      </c>
      <c r="G801" s="69">
        <f t="shared" ref="G801" si="349">G802+G803</f>
        <v>45114.400000000001</v>
      </c>
      <c r="H801" s="69">
        <f>H802+H803</f>
        <v>2149</v>
      </c>
      <c r="I801" s="69">
        <f t="shared" ref="I801" si="350">I802+I803</f>
        <v>42965.4</v>
      </c>
      <c r="J801" s="69"/>
      <c r="K801" s="69"/>
      <c r="L801" s="69"/>
      <c r="M801" s="609"/>
      <c r="N801" s="609"/>
      <c r="O801" s="609"/>
      <c r="P801" s="639"/>
    </row>
    <row r="802" spans="1:25" s="640" customFormat="1" ht="27" customHeight="1" x14ac:dyDescent="0.3">
      <c r="A802" s="2438"/>
      <c r="B802" s="1718"/>
      <c r="C802" s="1718"/>
      <c r="D802" s="1718"/>
      <c r="E802" s="1718"/>
      <c r="F802" s="385" t="s">
        <v>13</v>
      </c>
      <c r="G802" s="69">
        <f>SUM(H802:L802)</f>
        <v>40817.1</v>
      </c>
      <c r="H802" s="69"/>
      <c r="I802" s="69">
        <v>40817.1</v>
      </c>
      <c r="J802" s="69"/>
      <c r="K802" s="69"/>
      <c r="L802" s="69"/>
      <c r="M802" s="609"/>
      <c r="N802" s="609"/>
      <c r="O802" s="609"/>
      <c r="P802" s="639"/>
      <c r="X802" s="640">
        <v>1</v>
      </c>
    </row>
    <row r="803" spans="1:25" s="640" customFormat="1" ht="27" customHeight="1" x14ac:dyDescent="0.3">
      <c r="A803" s="2438"/>
      <c r="B803" s="1718"/>
      <c r="C803" s="1718"/>
      <c r="D803" s="1718"/>
      <c r="E803" s="1718"/>
      <c r="F803" s="385" t="s">
        <v>14</v>
      </c>
      <c r="G803" s="69">
        <f t="shared" ref="G803" si="351">SUM(H803:L803)</f>
        <v>4297.3</v>
      </c>
      <c r="H803" s="69">
        <v>2149</v>
      </c>
      <c r="I803" s="69">
        <v>2148.3000000000002</v>
      </c>
      <c r="J803" s="69"/>
      <c r="K803" s="69"/>
      <c r="L803" s="69"/>
      <c r="M803" s="609"/>
      <c r="N803" s="609"/>
      <c r="O803" s="609"/>
      <c r="P803" s="639"/>
    </row>
    <row r="804" spans="1:25" s="663" customFormat="1" ht="27" customHeight="1" x14ac:dyDescent="0.3">
      <c r="A804" s="2314" t="s">
        <v>797</v>
      </c>
      <c r="B804" s="2315" t="s">
        <v>406</v>
      </c>
      <c r="C804" s="2315"/>
      <c r="D804" s="2315"/>
      <c r="E804" s="2315"/>
      <c r="F804" s="658" t="s">
        <v>12</v>
      </c>
      <c r="G804" s="659">
        <f>G805+G806</f>
        <v>38554.089999999997</v>
      </c>
      <c r="H804" s="659">
        <f>H805+H806</f>
        <v>0</v>
      </c>
      <c r="I804" s="659">
        <f t="shared" ref="I804:J804" si="352">I805+I806</f>
        <v>1836</v>
      </c>
      <c r="J804" s="659">
        <f t="shared" si="352"/>
        <v>36718.089999999997</v>
      </c>
      <c r="K804" s="659"/>
      <c r="L804" s="659"/>
      <c r="M804" s="664">
        <v>2018</v>
      </c>
      <c r="N804" s="664">
        <v>2019</v>
      </c>
      <c r="O804" s="664"/>
      <c r="P804" s="667">
        <v>2020</v>
      </c>
    </row>
    <row r="805" spans="1:25" s="663" customFormat="1" ht="27" customHeight="1" x14ac:dyDescent="0.3">
      <c r="A805" s="2314"/>
      <c r="B805" s="2315"/>
      <c r="C805" s="2315"/>
      <c r="D805" s="2315"/>
      <c r="E805" s="2315"/>
      <c r="F805" s="658" t="s">
        <v>13</v>
      </c>
      <c r="G805" s="664">
        <f t="shared" ref="G805" si="353">G808</f>
        <v>34882.19</v>
      </c>
      <c r="H805" s="664">
        <f>H808</f>
        <v>0</v>
      </c>
      <c r="I805" s="664">
        <f t="shared" ref="I805:J805" si="354">I808</f>
        <v>0</v>
      </c>
      <c r="J805" s="664">
        <f t="shared" si="354"/>
        <v>34882.19</v>
      </c>
      <c r="K805" s="664"/>
      <c r="L805" s="664"/>
      <c r="M805" s="664"/>
      <c r="N805" s="664"/>
      <c r="O805" s="664"/>
      <c r="P805" s="667">
        <v>1</v>
      </c>
    </row>
    <row r="806" spans="1:25" s="663" customFormat="1" ht="27" customHeight="1" x14ac:dyDescent="0.3">
      <c r="A806" s="2314"/>
      <c r="B806" s="2315"/>
      <c r="C806" s="2315"/>
      <c r="D806" s="2315"/>
      <c r="E806" s="2315"/>
      <c r="F806" s="658" t="s">
        <v>14</v>
      </c>
      <c r="G806" s="664">
        <f t="shared" ref="G806" si="355">G809</f>
        <v>3671.9</v>
      </c>
      <c r="H806" s="664">
        <f>H809</f>
        <v>0</v>
      </c>
      <c r="I806" s="664">
        <f t="shared" ref="I806:J806" si="356">I809</f>
        <v>1836</v>
      </c>
      <c r="J806" s="664">
        <f t="shared" si="356"/>
        <v>1835.9</v>
      </c>
      <c r="K806" s="664"/>
      <c r="L806" s="664"/>
      <c r="M806" s="661"/>
      <c r="N806" s="661"/>
      <c r="O806" s="661"/>
      <c r="P806" s="662"/>
    </row>
    <row r="807" spans="1:25" s="640" customFormat="1" ht="27" customHeight="1" x14ac:dyDescent="0.3">
      <c r="A807" s="2438"/>
      <c r="B807" s="1718" t="s">
        <v>407</v>
      </c>
      <c r="C807" s="1718"/>
      <c r="D807" s="1718"/>
      <c r="E807" s="1718"/>
      <c r="F807" s="385" t="s">
        <v>12</v>
      </c>
      <c r="G807" s="69">
        <f t="shared" ref="G807" si="357">G808+G809</f>
        <v>38554.089999999997</v>
      </c>
      <c r="H807" s="69">
        <f>H808+H809</f>
        <v>0</v>
      </c>
      <c r="I807" s="69">
        <f t="shared" ref="I807" si="358">I808+I809</f>
        <v>1836</v>
      </c>
      <c r="J807" s="69">
        <f t="shared" ref="J807" si="359">J808+J809</f>
        <v>36718.089999999997</v>
      </c>
      <c r="K807" s="69"/>
      <c r="L807" s="69"/>
      <c r="M807" s="609"/>
      <c r="N807" s="609"/>
      <c r="O807" s="609"/>
      <c r="P807" s="639"/>
    </row>
    <row r="808" spans="1:25" s="640" customFormat="1" ht="27" customHeight="1" x14ac:dyDescent="0.3">
      <c r="A808" s="2438"/>
      <c r="B808" s="1718"/>
      <c r="C808" s="1718"/>
      <c r="D808" s="1718"/>
      <c r="E808" s="1718"/>
      <c r="F808" s="385" t="s">
        <v>13</v>
      </c>
      <c r="G808" s="69">
        <f>SUM(H808:L808)</f>
        <v>34882.19</v>
      </c>
      <c r="H808" s="69"/>
      <c r="I808" s="69"/>
      <c r="J808" s="69">
        <v>34882.19</v>
      </c>
      <c r="K808" s="69"/>
      <c r="L808" s="69"/>
      <c r="M808" s="609"/>
      <c r="N808" s="609"/>
      <c r="O808" s="609"/>
      <c r="P808" s="639"/>
      <c r="Y808" s="640">
        <v>1</v>
      </c>
    </row>
    <row r="809" spans="1:25" s="640" customFormat="1" ht="27" customHeight="1" x14ac:dyDescent="0.3">
      <c r="A809" s="2438"/>
      <c r="B809" s="1718"/>
      <c r="C809" s="1718"/>
      <c r="D809" s="1718"/>
      <c r="E809" s="1718"/>
      <c r="F809" s="385" t="s">
        <v>14</v>
      </c>
      <c r="G809" s="69">
        <f t="shared" ref="G809" si="360">SUM(H809:L809)</f>
        <v>3671.9</v>
      </c>
      <c r="H809" s="69"/>
      <c r="I809" s="69">
        <v>1836</v>
      </c>
      <c r="J809" s="69">
        <v>1835.9</v>
      </c>
      <c r="K809" s="69"/>
      <c r="L809" s="69"/>
      <c r="M809" s="609"/>
      <c r="N809" s="609"/>
      <c r="O809" s="609"/>
      <c r="P809" s="639"/>
    </row>
    <row r="810" spans="1:25" s="663" customFormat="1" ht="27" customHeight="1" x14ac:dyDescent="0.3">
      <c r="A810" s="2314" t="s">
        <v>798</v>
      </c>
      <c r="B810" s="2315" t="s">
        <v>323</v>
      </c>
      <c r="C810" s="2315"/>
      <c r="D810" s="2315"/>
      <c r="E810" s="2315"/>
      <c r="F810" s="658" t="s">
        <v>12</v>
      </c>
      <c r="G810" s="659">
        <f>G811+G812</f>
        <v>141251.32</v>
      </c>
      <c r="H810" s="659">
        <f>H811+H812</f>
        <v>6726</v>
      </c>
      <c r="I810" s="659">
        <f t="shared" ref="I810:J810" si="361">I811+I812</f>
        <v>38421</v>
      </c>
      <c r="J810" s="659">
        <f t="shared" si="361"/>
        <v>96104.320000000007</v>
      </c>
      <c r="K810" s="659"/>
      <c r="L810" s="659"/>
      <c r="M810" s="664">
        <v>2018</v>
      </c>
      <c r="N810" s="664">
        <v>2019</v>
      </c>
      <c r="O810" s="664"/>
      <c r="P810" s="667">
        <v>2020</v>
      </c>
    </row>
    <row r="811" spans="1:25" s="663" customFormat="1" ht="27" customHeight="1" x14ac:dyDescent="0.3">
      <c r="A811" s="2314"/>
      <c r="B811" s="2315"/>
      <c r="C811" s="2315"/>
      <c r="D811" s="2315"/>
      <c r="E811" s="2315"/>
      <c r="F811" s="658" t="s">
        <v>13</v>
      </c>
      <c r="G811" s="664">
        <f t="shared" ref="G811" si="362">G814</f>
        <v>127799.07</v>
      </c>
      <c r="H811" s="664">
        <f t="shared" ref="H811:J812" si="363">H814</f>
        <v>0</v>
      </c>
      <c r="I811" s="664">
        <f t="shared" si="363"/>
        <v>36500</v>
      </c>
      <c r="J811" s="664">
        <f t="shared" si="363"/>
        <v>91299.07</v>
      </c>
      <c r="K811" s="664"/>
      <c r="L811" s="664"/>
      <c r="M811" s="664"/>
      <c r="N811" s="664"/>
      <c r="O811" s="664"/>
      <c r="P811" s="667"/>
    </row>
    <row r="812" spans="1:25" s="663" customFormat="1" ht="27" customHeight="1" x14ac:dyDescent="0.3">
      <c r="A812" s="2314"/>
      <c r="B812" s="2315"/>
      <c r="C812" s="2315"/>
      <c r="D812" s="2315"/>
      <c r="E812" s="2315"/>
      <c r="F812" s="658" t="s">
        <v>14</v>
      </c>
      <c r="G812" s="664">
        <f t="shared" ref="G812" si="364">G815</f>
        <v>13452.25</v>
      </c>
      <c r="H812" s="664">
        <f t="shared" si="363"/>
        <v>6726</v>
      </c>
      <c r="I812" s="664">
        <f t="shared" si="363"/>
        <v>1921</v>
      </c>
      <c r="J812" s="664">
        <f t="shared" si="363"/>
        <v>4805.25</v>
      </c>
      <c r="K812" s="664"/>
      <c r="L812" s="664"/>
      <c r="M812" s="661"/>
      <c r="N812" s="661"/>
      <c r="O812" s="661"/>
      <c r="P812" s="662"/>
    </row>
    <row r="813" spans="1:25" s="640" customFormat="1" ht="27" customHeight="1" x14ac:dyDescent="0.3">
      <c r="A813" s="2438"/>
      <c r="B813" s="1718" t="s">
        <v>408</v>
      </c>
      <c r="C813" s="1718"/>
      <c r="D813" s="1718"/>
      <c r="E813" s="1718"/>
      <c r="F813" s="385" t="s">
        <v>12</v>
      </c>
      <c r="G813" s="69">
        <f t="shared" ref="G813" si="365">G814+G815</f>
        <v>141251.32</v>
      </c>
      <c r="H813" s="69">
        <f>H814+H815</f>
        <v>6726</v>
      </c>
      <c r="I813" s="69">
        <f t="shared" ref="I813" si="366">I814+I815</f>
        <v>38421</v>
      </c>
      <c r="J813" s="69">
        <f t="shared" ref="J813" si="367">J814+J815</f>
        <v>96104.320000000007</v>
      </c>
      <c r="K813" s="69"/>
      <c r="L813" s="69"/>
      <c r="M813" s="609"/>
      <c r="N813" s="609"/>
      <c r="O813" s="609"/>
      <c r="P813" s="639"/>
    </row>
    <row r="814" spans="1:25" s="640" customFormat="1" ht="27" customHeight="1" x14ac:dyDescent="0.3">
      <c r="A814" s="2438"/>
      <c r="B814" s="1718"/>
      <c r="C814" s="1718"/>
      <c r="D814" s="1718"/>
      <c r="E814" s="1718"/>
      <c r="F814" s="385" t="s">
        <v>13</v>
      </c>
      <c r="G814" s="69">
        <f>SUM(H814:L814)</f>
        <v>127799.07</v>
      </c>
      <c r="H814" s="69"/>
      <c r="I814" s="69">
        <v>36500</v>
      </c>
      <c r="J814" s="69">
        <v>91299.07</v>
      </c>
      <c r="K814" s="69"/>
      <c r="L814" s="69"/>
      <c r="M814" s="609"/>
      <c r="N814" s="609"/>
      <c r="O814" s="609"/>
      <c r="P814" s="639"/>
      <c r="Y814" s="640">
        <v>1</v>
      </c>
    </row>
    <row r="815" spans="1:25" s="640" customFormat="1" ht="27" customHeight="1" x14ac:dyDescent="0.3">
      <c r="A815" s="2438"/>
      <c r="B815" s="1718"/>
      <c r="C815" s="1718"/>
      <c r="D815" s="1718"/>
      <c r="E815" s="1718"/>
      <c r="F815" s="385" t="s">
        <v>14</v>
      </c>
      <c r="G815" s="69">
        <f t="shared" ref="G815" si="368">SUM(H815:L815)</f>
        <v>13452.25</v>
      </c>
      <c r="H815" s="69">
        <v>6726</v>
      </c>
      <c r="I815" s="69">
        <v>1921</v>
      </c>
      <c r="J815" s="69">
        <v>4805.25</v>
      </c>
      <c r="K815" s="69"/>
      <c r="L815" s="69"/>
      <c r="M815" s="609"/>
      <c r="N815" s="609"/>
      <c r="O815" s="609"/>
      <c r="P815" s="639"/>
    </row>
    <row r="816" spans="1:25" s="663" customFormat="1" ht="27" customHeight="1" x14ac:dyDescent="0.3">
      <c r="A816" s="2314" t="s">
        <v>799</v>
      </c>
      <c r="B816" s="2315" t="s">
        <v>156</v>
      </c>
      <c r="C816" s="2315"/>
      <c r="D816" s="2315"/>
      <c r="E816" s="2315"/>
      <c r="F816" s="658" t="s">
        <v>12</v>
      </c>
      <c r="G816" s="659">
        <f>G817+G818</f>
        <v>38850</v>
      </c>
      <c r="H816" s="659">
        <f>H817+H818</f>
        <v>1850</v>
      </c>
      <c r="I816" s="659">
        <f>I817+I818</f>
        <v>37000</v>
      </c>
      <c r="J816" s="659"/>
      <c r="K816" s="659"/>
      <c r="L816" s="659"/>
      <c r="M816" s="664">
        <v>2018</v>
      </c>
      <c r="N816" s="664">
        <v>2019</v>
      </c>
      <c r="O816" s="664"/>
      <c r="P816" s="667">
        <v>2020</v>
      </c>
    </row>
    <row r="817" spans="1:24" s="663" customFormat="1" ht="27" customHeight="1" x14ac:dyDescent="0.3">
      <c r="A817" s="2314"/>
      <c r="B817" s="2315"/>
      <c r="C817" s="2315"/>
      <c r="D817" s="2315"/>
      <c r="E817" s="2315"/>
      <c r="F817" s="658" t="s">
        <v>13</v>
      </c>
      <c r="G817" s="664">
        <f t="shared" ref="G817" si="369">G820</f>
        <v>35150</v>
      </c>
      <c r="H817" s="664">
        <f>H820</f>
        <v>0</v>
      </c>
      <c r="I817" s="664">
        <f>I820</f>
        <v>35150</v>
      </c>
      <c r="J817" s="664"/>
      <c r="K817" s="664"/>
      <c r="L817" s="664"/>
      <c r="M817" s="664"/>
      <c r="N817" s="664">
        <v>1</v>
      </c>
      <c r="O817" s="664"/>
      <c r="P817" s="667"/>
    </row>
    <row r="818" spans="1:24" s="663" customFormat="1" ht="27" customHeight="1" x14ac:dyDescent="0.3">
      <c r="A818" s="2314"/>
      <c r="B818" s="2315"/>
      <c r="C818" s="2315"/>
      <c r="D818" s="2315"/>
      <c r="E818" s="2315"/>
      <c r="F818" s="658" t="s">
        <v>14</v>
      </c>
      <c r="G818" s="664">
        <f t="shared" ref="G818" si="370">G821</f>
        <v>3700</v>
      </c>
      <c r="H818" s="664">
        <f>H821</f>
        <v>1850</v>
      </c>
      <c r="I818" s="664">
        <f>I821</f>
        <v>1850</v>
      </c>
      <c r="J818" s="664"/>
      <c r="K818" s="664"/>
      <c r="L818" s="664"/>
      <c r="M818" s="661"/>
      <c r="N818" s="661"/>
      <c r="O818" s="661"/>
      <c r="P818" s="662"/>
    </row>
    <row r="819" spans="1:24" s="640" customFormat="1" ht="27" customHeight="1" x14ac:dyDescent="0.3">
      <c r="A819" s="2438"/>
      <c r="B819" s="1718" t="s">
        <v>409</v>
      </c>
      <c r="C819" s="1718"/>
      <c r="D819" s="1718"/>
      <c r="E819" s="1718"/>
      <c r="F819" s="385" t="s">
        <v>12</v>
      </c>
      <c r="G819" s="69">
        <f t="shared" ref="G819" si="371">G820+G821</f>
        <v>38850</v>
      </c>
      <c r="H819" s="69">
        <f>H820+H821</f>
        <v>1850</v>
      </c>
      <c r="I819" s="69">
        <f t="shared" ref="I819" si="372">I820+I821</f>
        <v>37000</v>
      </c>
      <c r="J819" s="69"/>
      <c r="K819" s="69"/>
      <c r="L819" s="69"/>
      <c r="M819" s="609"/>
      <c r="N819" s="609"/>
      <c r="O819" s="609"/>
      <c r="P819" s="639"/>
    </row>
    <row r="820" spans="1:24" s="640" customFormat="1" ht="27" customHeight="1" x14ac:dyDescent="0.3">
      <c r="A820" s="2438"/>
      <c r="B820" s="1718"/>
      <c r="C820" s="1718"/>
      <c r="D820" s="1718"/>
      <c r="E820" s="1718"/>
      <c r="F820" s="385" t="s">
        <v>13</v>
      </c>
      <c r="G820" s="69">
        <f>SUM(H820:L820)</f>
        <v>35150</v>
      </c>
      <c r="H820" s="69"/>
      <c r="I820" s="69">
        <v>35150</v>
      </c>
      <c r="J820" s="69"/>
      <c r="K820" s="69"/>
      <c r="L820" s="69"/>
      <c r="M820" s="609"/>
      <c r="N820" s="609"/>
      <c r="O820" s="609"/>
      <c r="P820" s="639"/>
      <c r="X820" s="640">
        <v>1</v>
      </c>
    </row>
    <row r="821" spans="1:24" s="640" customFormat="1" ht="27" customHeight="1" x14ac:dyDescent="0.3">
      <c r="A821" s="2438"/>
      <c r="B821" s="1718"/>
      <c r="C821" s="1718"/>
      <c r="D821" s="1718"/>
      <c r="E821" s="1718"/>
      <c r="F821" s="385" t="s">
        <v>14</v>
      </c>
      <c r="G821" s="69">
        <f t="shared" ref="G821" si="373">SUM(H821:L821)</f>
        <v>3700</v>
      </c>
      <c r="H821" s="69">
        <v>1850</v>
      </c>
      <c r="I821" s="69">
        <v>1850</v>
      </c>
      <c r="J821" s="69"/>
      <c r="K821" s="69"/>
      <c r="L821" s="69"/>
      <c r="M821" s="609"/>
      <c r="N821" s="609"/>
      <c r="O821" s="609"/>
      <c r="P821" s="639"/>
    </row>
    <row r="822" spans="1:24" s="663" customFormat="1" ht="27" customHeight="1" x14ac:dyDescent="0.3">
      <c r="A822" s="2314" t="s">
        <v>800</v>
      </c>
      <c r="B822" s="2315" t="s">
        <v>953</v>
      </c>
      <c r="C822" s="2315"/>
      <c r="D822" s="2315"/>
      <c r="E822" s="2315"/>
      <c r="F822" s="658" t="s">
        <v>12</v>
      </c>
      <c r="G822" s="659">
        <f>G823+G824</f>
        <v>71400</v>
      </c>
      <c r="H822" s="659">
        <f>H823+H824</f>
        <v>3400</v>
      </c>
      <c r="I822" s="659">
        <f>I823+I824</f>
        <v>68000</v>
      </c>
      <c r="J822" s="659"/>
      <c r="K822" s="659"/>
      <c r="L822" s="659"/>
      <c r="M822" s="664">
        <v>2018</v>
      </c>
      <c r="N822" s="664">
        <v>2019</v>
      </c>
      <c r="O822" s="669"/>
      <c r="P822" s="670">
        <v>2020</v>
      </c>
    </row>
    <row r="823" spans="1:24" s="663" customFormat="1" ht="27" customHeight="1" x14ac:dyDescent="0.3">
      <c r="A823" s="2314"/>
      <c r="B823" s="2315"/>
      <c r="C823" s="2315"/>
      <c r="D823" s="2315"/>
      <c r="E823" s="2315"/>
      <c r="F823" s="658" t="s">
        <v>13</v>
      </c>
      <c r="G823" s="664">
        <f t="shared" ref="G823" si="374">G826</f>
        <v>64600</v>
      </c>
      <c r="H823" s="664">
        <f>H826</f>
        <v>0</v>
      </c>
      <c r="I823" s="664">
        <f>I826</f>
        <v>64600</v>
      </c>
      <c r="J823" s="664"/>
      <c r="K823" s="664"/>
      <c r="L823" s="664"/>
      <c r="M823" s="664"/>
      <c r="N823" s="664">
        <v>1</v>
      </c>
      <c r="O823" s="669"/>
      <c r="P823" s="670"/>
    </row>
    <row r="824" spans="1:24" s="663" customFormat="1" ht="27" customHeight="1" x14ac:dyDescent="0.3">
      <c r="A824" s="2314"/>
      <c r="B824" s="2315"/>
      <c r="C824" s="2315"/>
      <c r="D824" s="2315"/>
      <c r="E824" s="2315"/>
      <c r="F824" s="658" t="s">
        <v>14</v>
      </c>
      <c r="G824" s="664">
        <f t="shared" ref="G824" si="375">G827</f>
        <v>6800</v>
      </c>
      <c r="H824" s="664">
        <f>H827</f>
        <v>3400</v>
      </c>
      <c r="I824" s="664">
        <f>I827</f>
        <v>3400</v>
      </c>
      <c r="J824" s="664"/>
      <c r="K824" s="664"/>
      <c r="L824" s="664"/>
      <c r="M824" s="661"/>
      <c r="N824" s="661"/>
      <c r="O824" s="661"/>
      <c r="P824" s="662"/>
    </row>
    <row r="825" spans="1:24" s="640" customFormat="1" ht="27" customHeight="1" x14ac:dyDescent="0.3">
      <c r="A825" s="2438"/>
      <c r="B825" s="1718" t="s">
        <v>952</v>
      </c>
      <c r="C825" s="1718"/>
      <c r="D825" s="1718"/>
      <c r="E825" s="1718"/>
      <c r="F825" s="385" t="s">
        <v>12</v>
      </c>
      <c r="G825" s="69">
        <f t="shared" ref="G825" si="376">G826+G827</f>
        <v>71400</v>
      </c>
      <c r="H825" s="69">
        <f>H826+H827</f>
        <v>3400</v>
      </c>
      <c r="I825" s="69">
        <f>I826+I827</f>
        <v>68000</v>
      </c>
      <c r="J825" s="69"/>
      <c r="K825" s="69"/>
      <c r="L825" s="69"/>
      <c r="M825" s="609"/>
      <c r="N825" s="609"/>
      <c r="O825" s="609"/>
      <c r="P825" s="639"/>
    </row>
    <row r="826" spans="1:24" s="640" customFormat="1" ht="27" customHeight="1" x14ac:dyDescent="0.3">
      <c r="A826" s="2438"/>
      <c r="B826" s="1718"/>
      <c r="C826" s="1718"/>
      <c r="D826" s="1718"/>
      <c r="E826" s="1718"/>
      <c r="F826" s="385" t="s">
        <v>13</v>
      </c>
      <c r="G826" s="69">
        <f>SUM(H826:L826)</f>
        <v>64600</v>
      </c>
      <c r="H826" s="69"/>
      <c r="I826" s="69">
        <v>64600</v>
      </c>
      <c r="J826" s="69"/>
      <c r="K826" s="69"/>
      <c r="L826" s="69"/>
      <c r="M826" s="609"/>
      <c r="N826" s="609"/>
      <c r="O826" s="609"/>
      <c r="P826" s="639"/>
      <c r="X826" s="640">
        <v>1</v>
      </c>
    </row>
    <row r="827" spans="1:24" s="640" customFormat="1" ht="27" customHeight="1" x14ac:dyDescent="0.3">
      <c r="A827" s="2438"/>
      <c r="B827" s="1718"/>
      <c r="C827" s="1718"/>
      <c r="D827" s="1718"/>
      <c r="E827" s="1718"/>
      <c r="F827" s="385" t="s">
        <v>14</v>
      </c>
      <c r="G827" s="69">
        <f t="shared" ref="G827" si="377">SUM(H827:L827)</f>
        <v>6800</v>
      </c>
      <c r="H827" s="69">
        <v>3400</v>
      </c>
      <c r="I827" s="69">
        <v>3400</v>
      </c>
      <c r="J827" s="69"/>
      <c r="K827" s="69"/>
      <c r="L827" s="69"/>
      <c r="M827" s="609"/>
      <c r="N827" s="609"/>
      <c r="O827" s="609"/>
      <c r="P827" s="639"/>
    </row>
    <row r="828" spans="1:24" s="663" customFormat="1" ht="27" customHeight="1" x14ac:dyDescent="0.3">
      <c r="A828" s="2314" t="s">
        <v>801</v>
      </c>
      <c r="B828" s="2315" t="s">
        <v>411</v>
      </c>
      <c r="C828" s="2315"/>
      <c r="D828" s="2315"/>
      <c r="E828" s="2315"/>
      <c r="F828" s="658" t="s">
        <v>12</v>
      </c>
      <c r="G828" s="659">
        <f>G829+G830</f>
        <v>42545</v>
      </c>
      <c r="H828" s="659">
        <f>H829+H830</f>
        <v>0</v>
      </c>
      <c r="I828" s="659">
        <f>I829+I830</f>
        <v>42545</v>
      </c>
      <c r="J828" s="659"/>
      <c r="K828" s="659"/>
      <c r="L828" s="659"/>
      <c r="M828" s="669">
        <v>2018</v>
      </c>
      <c r="N828" s="669">
        <v>2019</v>
      </c>
      <c r="O828" s="661"/>
      <c r="P828" s="662"/>
    </row>
    <row r="829" spans="1:24" s="663" customFormat="1" ht="27" customHeight="1" x14ac:dyDescent="0.3">
      <c r="A829" s="2314"/>
      <c r="B829" s="2315"/>
      <c r="C829" s="2315"/>
      <c r="D829" s="2315"/>
      <c r="E829" s="2315"/>
      <c r="F829" s="658" t="s">
        <v>13</v>
      </c>
      <c r="G829" s="664">
        <f t="shared" ref="G829" si="378">G832</f>
        <v>40418</v>
      </c>
      <c r="H829" s="664">
        <f>H832</f>
        <v>0</v>
      </c>
      <c r="I829" s="664">
        <f>I832</f>
        <v>40418</v>
      </c>
      <c r="J829" s="664"/>
      <c r="K829" s="664"/>
      <c r="L829" s="664"/>
      <c r="M829" s="669"/>
      <c r="N829" s="669">
        <v>1</v>
      </c>
      <c r="O829" s="660"/>
      <c r="P829" s="662"/>
    </row>
    <row r="830" spans="1:24" s="663" customFormat="1" ht="27" customHeight="1" x14ac:dyDescent="0.3">
      <c r="A830" s="2314"/>
      <c r="B830" s="2315"/>
      <c r="C830" s="2315"/>
      <c r="D830" s="2315"/>
      <c r="E830" s="2315"/>
      <c r="F830" s="658" t="s">
        <v>14</v>
      </c>
      <c r="G830" s="664">
        <f t="shared" ref="G830" si="379">G833</f>
        <v>2127</v>
      </c>
      <c r="H830" s="664">
        <f>H833</f>
        <v>0</v>
      </c>
      <c r="I830" s="664">
        <f>I833</f>
        <v>2127</v>
      </c>
      <c r="J830" s="664"/>
      <c r="K830" s="664"/>
      <c r="L830" s="664"/>
      <c r="M830" s="661"/>
      <c r="N830" s="661"/>
      <c r="O830" s="664"/>
      <c r="P830" s="662"/>
    </row>
    <row r="831" spans="1:24" s="640" customFormat="1" ht="27" customHeight="1" x14ac:dyDescent="0.3">
      <c r="A831" s="2438"/>
      <c r="B831" s="1718" t="s">
        <v>410</v>
      </c>
      <c r="C831" s="1718"/>
      <c r="D831" s="1718"/>
      <c r="E831" s="1718"/>
      <c r="F831" s="385" t="s">
        <v>12</v>
      </c>
      <c r="G831" s="69">
        <f t="shared" ref="G831" si="380">G832+G833</f>
        <v>42545</v>
      </c>
      <c r="H831" s="69">
        <f>H832+H833</f>
        <v>0</v>
      </c>
      <c r="I831" s="69">
        <f>I832+I833</f>
        <v>42545</v>
      </c>
      <c r="J831" s="69"/>
      <c r="K831" s="69"/>
      <c r="L831" s="69"/>
      <c r="M831" s="609"/>
      <c r="N831" s="609"/>
      <c r="O831" s="609"/>
      <c r="P831" s="639"/>
    </row>
    <row r="832" spans="1:24" s="640" customFormat="1" ht="27" customHeight="1" x14ac:dyDescent="0.3">
      <c r="A832" s="2438"/>
      <c r="B832" s="1718"/>
      <c r="C832" s="1718"/>
      <c r="D832" s="1718"/>
      <c r="E832" s="1718"/>
      <c r="F832" s="385" t="s">
        <v>13</v>
      </c>
      <c r="G832" s="69">
        <f>SUM(H832:L832)</f>
        <v>40418</v>
      </c>
      <c r="H832" s="69"/>
      <c r="I832" s="69">
        <v>40418</v>
      </c>
      <c r="J832" s="69"/>
      <c r="K832" s="69"/>
      <c r="L832" s="69"/>
      <c r="M832" s="609"/>
      <c r="N832" s="609"/>
      <c r="O832" s="609"/>
      <c r="P832" s="639"/>
      <c r="X832" s="640">
        <v>1</v>
      </c>
    </row>
    <row r="833" spans="1:27" s="640" customFormat="1" ht="27" customHeight="1" x14ac:dyDescent="0.3">
      <c r="A833" s="2438"/>
      <c r="B833" s="1718"/>
      <c r="C833" s="1718"/>
      <c r="D833" s="1718"/>
      <c r="E833" s="1718"/>
      <c r="F833" s="385" t="s">
        <v>14</v>
      </c>
      <c r="G833" s="69">
        <f t="shared" ref="G833" si="381">SUM(H833:L833)</f>
        <v>2127</v>
      </c>
      <c r="H833" s="69"/>
      <c r="I833" s="69">
        <v>2127</v>
      </c>
      <c r="J833" s="69"/>
      <c r="K833" s="69"/>
      <c r="L833" s="69"/>
      <c r="M833" s="609"/>
      <c r="N833" s="609"/>
      <c r="O833" s="609"/>
      <c r="P833" s="639"/>
    </row>
    <row r="834" spans="1:27" s="640" customFormat="1" ht="27" customHeight="1" x14ac:dyDescent="0.3">
      <c r="A834" s="1364" t="s">
        <v>802</v>
      </c>
      <c r="B834" s="1786" t="s">
        <v>735</v>
      </c>
      <c r="C834" s="1786"/>
      <c r="D834" s="1786"/>
      <c r="E834" s="1786"/>
      <c r="F834" s="385"/>
      <c r="G834" s="69"/>
      <c r="H834" s="69"/>
      <c r="I834" s="69"/>
      <c r="J834" s="69">
        <v>0.44</v>
      </c>
      <c r="K834" s="69"/>
      <c r="L834" s="69"/>
      <c r="M834" s="609"/>
      <c r="N834" s="609"/>
      <c r="O834" s="609"/>
      <c r="P834" s="639"/>
      <c r="W834" s="640">
        <f>SUM(W748:W833)</f>
        <v>5</v>
      </c>
      <c r="X834" s="640">
        <f>SUM(X748:X833)</f>
        <v>6</v>
      </c>
      <c r="Y834" s="640">
        <f>SUM(Y748:Y833)</f>
        <v>4</v>
      </c>
      <c r="Z834" s="640">
        <f>SUM(Z748:Z833)</f>
        <v>0</v>
      </c>
      <c r="AA834" s="640">
        <f>SUM(AA748:AA833)</f>
        <v>0</v>
      </c>
    </row>
    <row r="835" spans="1:27" s="648" customFormat="1" ht="13.5" customHeight="1" x14ac:dyDescent="0.3">
      <c r="A835" s="2314" t="s">
        <v>803</v>
      </c>
      <c r="B835" s="2431" t="s">
        <v>384</v>
      </c>
      <c r="C835" s="2431"/>
      <c r="D835" s="2431"/>
      <c r="E835" s="2431"/>
      <c r="F835" s="645" t="s">
        <v>12</v>
      </c>
      <c r="G835" s="646">
        <f t="shared" ref="G835:L835" si="382">G836+G837</f>
        <v>661953.81999999995</v>
      </c>
      <c r="H835" s="646">
        <f t="shared" si="382"/>
        <v>412600.93</v>
      </c>
      <c r="I835" s="646">
        <f t="shared" si="382"/>
        <v>249352.89</v>
      </c>
      <c r="J835" s="646">
        <f t="shared" si="382"/>
        <v>0</v>
      </c>
      <c r="K835" s="646">
        <f t="shared" si="382"/>
        <v>0</v>
      </c>
      <c r="L835" s="646">
        <f t="shared" si="382"/>
        <v>0</v>
      </c>
      <c r="M835" s="668">
        <v>2018</v>
      </c>
      <c r="N835" s="668">
        <v>2019</v>
      </c>
      <c r="O835" s="651"/>
      <c r="P835" s="647"/>
    </row>
    <row r="836" spans="1:27" s="648" customFormat="1" ht="27.6" x14ac:dyDescent="0.3">
      <c r="A836" s="2314"/>
      <c r="B836" s="2431"/>
      <c r="C836" s="2431"/>
      <c r="D836" s="2431"/>
      <c r="E836" s="2431"/>
      <c r="F836" s="645" t="s">
        <v>13</v>
      </c>
      <c r="G836" s="649">
        <f>H836+I836+J836+K836+L836</f>
        <v>597920</v>
      </c>
      <c r="H836" s="649">
        <f>H839+H851+H857+H869+H878+H887+H901+H863+H896</f>
        <v>368534</v>
      </c>
      <c r="I836" s="649">
        <f t="shared" ref="I836:L836" si="383">I839+I851+I857+I869+I878+I887+I901+I863</f>
        <v>229386</v>
      </c>
      <c r="J836" s="649">
        <f t="shared" si="383"/>
        <v>0</v>
      </c>
      <c r="K836" s="649">
        <f t="shared" si="383"/>
        <v>0</v>
      </c>
      <c r="L836" s="649">
        <f t="shared" si="383"/>
        <v>0</v>
      </c>
      <c r="M836" s="649">
        <f>M839+M851+M858+M869+M878+M887+M864</f>
        <v>7</v>
      </c>
      <c r="N836" s="649">
        <f>N839+N851+N858+N869+N878+N887+N864</f>
        <v>3</v>
      </c>
      <c r="O836" s="651"/>
      <c r="P836" s="1194" t="s">
        <v>1616</v>
      </c>
    </row>
    <row r="837" spans="1:27" s="648" customFormat="1" ht="36" customHeight="1" x14ac:dyDescent="0.3">
      <c r="A837" s="2314"/>
      <c r="B837" s="2431"/>
      <c r="C837" s="2431"/>
      <c r="D837" s="2431"/>
      <c r="E837" s="2431"/>
      <c r="F837" s="645" t="s">
        <v>14</v>
      </c>
      <c r="G837" s="649">
        <f>H837+I837+J837+K837+L837</f>
        <v>64033.82</v>
      </c>
      <c r="H837" s="649">
        <f>H840+H852+H858+H870+H879+H888+H864+H897</f>
        <v>44066.93</v>
      </c>
      <c r="I837" s="649">
        <f t="shared" ref="I837:L837" si="384">I840+I852+I858+I870+I879+I888+I864</f>
        <v>19966.89</v>
      </c>
      <c r="J837" s="649">
        <f t="shared" si="384"/>
        <v>0</v>
      </c>
      <c r="K837" s="649">
        <f t="shared" si="384"/>
        <v>0</v>
      </c>
      <c r="L837" s="649">
        <f t="shared" si="384"/>
        <v>0</v>
      </c>
      <c r="M837" s="651"/>
      <c r="N837" s="651"/>
      <c r="O837" s="651"/>
      <c r="P837" s="647"/>
    </row>
    <row r="838" spans="1:27" s="663" customFormat="1" ht="21.75" customHeight="1" x14ac:dyDescent="0.3">
      <c r="A838" s="2314" t="s">
        <v>804</v>
      </c>
      <c r="B838" s="2315" t="s">
        <v>347</v>
      </c>
      <c r="C838" s="2315"/>
      <c r="D838" s="2315"/>
      <c r="E838" s="2315"/>
      <c r="F838" s="658" t="s">
        <v>12</v>
      </c>
      <c r="G838" s="659">
        <f t="shared" ref="G838:L838" si="385">G839+G840</f>
        <v>157003.35999999999</v>
      </c>
      <c r="H838" s="659">
        <f>H839+H840</f>
        <v>157003.35999999999</v>
      </c>
      <c r="I838" s="659">
        <f t="shared" si="385"/>
        <v>0</v>
      </c>
      <c r="J838" s="659">
        <f t="shared" si="385"/>
        <v>0</v>
      </c>
      <c r="K838" s="659">
        <f t="shared" si="385"/>
        <v>0</v>
      </c>
      <c r="L838" s="659">
        <f t="shared" si="385"/>
        <v>0</v>
      </c>
      <c r="M838" s="661"/>
      <c r="N838" s="661"/>
      <c r="O838" s="661"/>
      <c r="P838" s="662" t="s">
        <v>1649</v>
      </c>
    </row>
    <row r="839" spans="1:27" s="663" customFormat="1" ht="33.75" customHeight="1" x14ac:dyDescent="0.3">
      <c r="A839" s="2314"/>
      <c r="B839" s="2315"/>
      <c r="C839" s="2315"/>
      <c r="D839" s="2315"/>
      <c r="E839" s="2315"/>
      <c r="F839" s="658" t="s">
        <v>13</v>
      </c>
      <c r="G839" s="664">
        <f>H839+I839+J839+K839+L839</f>
        <v>133077.6</v>
      </c>
      <c r="H839" s="664">
        <f>H842+H845+H848</f>
        <v>133077.6</v>
      </c>
      <c r="I839" s="664">
        <v>0</v>
      </c>
      <c r="J839" s="664">
        <v>0</v>
      </c>
      <c r="K839" s="664">
        <v>0</v>
      </c>
      <c r="L839" s="664">
        <v>0</v>
      </c>
      <c r="M839" s="664">
        <v>3</v>
      </c>
      <c r="N839" s="661"/>
      <c r="O839" s="661"/>
      <c r="P839" s="662"/>
    </row>
    <row r="840" spans="1:27" s="663" customFormat="1" ht="46.5" customHeight="1" x14ac:dyDescent="0.3">
      <c r="A840" s="2314"/>
      <c r="B840" s="2315"/>
      <c r="C840" s="2315"/>
      <c r="D840" s="2315"/>
      <c r="E840" s="2315"/>
      <c r="F840" s="658" t="s">
        <v>14</v>
      </c>
      <c r="G840" s="664">
        <f>H840+I840+J840+K840+L840</f>
        <v>23925.759999999998</v>
      </c>
      <c r="H840" s="952">
        <f>H843+H846+H849</f>
        <v>23925.759999999998</v>
      </c>
      <c r="I840" s="664">
        <f t="shared" ref="I840:L840" si="386">I843+I846+I849</f>
        <v>0</v>
      </c>
      <c r="J840" s="664">
        <f t="shared" si="386"/>
        <v>0</v>
      </c>
      <c r="K840" s="664">
        <f t="shared" si="386"/>
        <v>0</v>
      </c>
      <c r="L840" s="664">
        <f t="shared" si="386"/>
        <v>0</v>
      </c>
      <c r="M840" s="661"/>
      <c r="N840" s="661"/>
      <c r="O840" s="661"/>
      <c r="P840" s="662"/>
    </row>
    <row r="841" spans="1:27" s="640" customFormat="1" ht="21.75" customHeight="1" x14ac:dyDescent="0.3">
      <c r="A841" s="2314"/>
      <c r="B841" s="1718" t="s">
        <v>386</v>
      </c>
      <c r="C841" s="1718"/>
      <c r="D841" s="1718"/>
      <c r="E841" s="1718"/>
      <c r="F841" s="385" t="s">
        <v>12</v>
      </c>
      <c r="G841" s="389">
        <f t="shared" ref="G841:L841" si="387">G842+G843</f>
        <v>79314.39</v>
      </c>
      <c r="H841" s="389">
        <f>H842+H843</f>
        <v>79314.39</v>
      </c>
      <c r="I841" s="389">
        <f t="shared" si="387"/>
        <v>0</v>
      </c>
      <c r="J841" s="389">
        <f t="shared" si="387"/>
        <v>0</v>
      </c>
      <c r="K841" s="389">
        <f t="shared" si="387"/>
        <v>0</v>
      </c>
      <c r="L841" s="389">
        <f t="shared" si="387"/>
        <v>0</v>
      </c>
      <c r="M841" s="609"/>
      <c r="N841" s="609"/>
      <c r="O841" s="609"/>
      <c r="P841" s="639"/>
    </row>
    <row r="842" spans="1:27" s="640" customFormat="1" ht="41.25" customHeight="1" x14ac:dyDescent="0.3">
      <c r="A842" s="2314"/>
      <c r="B842" s="1718"/>
      <c r="C842" s="1718"/>
      <c r="D842" s="1718"/>
      <c r="E842" s="1718"/>
      <c r="F842" s="385" t="s">
        <v>13</v>
      </c>
      <c r="G842" s="69">
        <f>H842+I842+J842+K842+L842</f>
        <v>63157.53</v>
      </c>
      <c r="H842" s="952">
        <v>63157.53</v>
      </c>
      <c r="I842" s="69">
        <v>0</v>
      </c>
      <c r="J842" s="69">
        <v>0</v>
      </c>
      <c r="K842" s="69">
        <v>0</v>
      </c>
      <c r="L842" s="69">
        <v>0</v>
      </c>
      <c r="M842" s="609"/>
      <c r="N842" s="609"/>
      <c r="O842" s="609"/>
      <c r="P842" s="639"/>
      <c r="W842" s="640">
        <v>1</v>
      </c>
    </row>
    <row r="843" spans="1:27" s="640" customFormat="1" ht="61.5" customHeight="1" x14ac:dyDescent="0.3">
      <c r="A843" s="2314"/>
      <c r="B843" s="1718"/>
      <c r="C843" s="1718"/>
      <c r="D843" s="1718"/>
      <c r="E843" s="1718"/>
      <c r="F843" s="385" t="s">
        <v>14</v>
      </c>
      <c r="G843" s="69">
        <f>H843+I843+J843+K843+L843</f>
        <v>16156.86</v>
      </c>
      <c r="H843" s="952">
        <v>16156.86</v>
      </c>
      <c r="I843" s="69">
        <v>0</v>
      </c>
      <c r="J843" s="69">
        <v>0</v>
      </c>
      <c r="K843" s="69">
        <v>0</v>
      </c>
      <c r="L843" s="69">
        <v>0</v>
      </c>
      <c r="M843" s="609"/>
      <c r="N843" s="609"/>
      <c r="O843" s="609"/>
      <c r="P843" s="639"/>
    </row>
    <row r="844" spans="1:27" s="640" customFormat="1" ht="21.75" customHeight="1" x14ac:dyDescent="0.3">
      <c r="A844" s="2314"/>
      <c r="B844" s="1718" t="s">
        <v>387</v>
      </c>
      <c r="C844" s="1718"/>
      <c r="D844" s="1718"/>
      <c r="E844" s="1718"/>
      <c r="F844" s="385" t="s">
        <v>12</v>
      </c>
      <c r="G844" s="389">
        <f t="shared" ref="G844:L844" si="388">G845+G846</f>
        <v>37486.6</v>
      </c>
      <c r="H844" s="389">
        <f>H845+H846</f>
        <v>37486.6</v>
      </c>
      <c r="I844" s="389">
        <f t="shared" si="388"/>
        <v>0</v>
      </c>
      <c r="J844" s="389">
        <f t="shared" si="388"/>
        <v>0</v>
      </c>
      <c r="K844" s="389">
        <f t="shared" si="388"/>
        <v>0</v>
      </c>
      <c r="L844" s="389">
        <f t="shared" si="388"/>
        <v>0</v>
      </c>
      <c r="M844" s="609"/>
      <c r="N844" s="609"/>
      <c r="O844" s="609"/>
      <c r="P844" s="639"/>
    </row>
    <row r="845" spans="1:27" s="640" customFormat="1" ht="44.25" customHeight="1" x14ac:dyDescent="0.3">
      <c r="A845" s="2314"/>
      <c r="B845" s="1718"/>
      <c r="C845" s="1718"/>
      <c r="D845" s="1718"/>
      <c r="E845" s="1718"/>
      <c r="F845" s="385" t="s">
        <v>13</v>
      </c>
      <c r="G845" s="69">
        <f>H845+I845+J845+K845+L845</f>
        <v>33737.94</v>
      </c>
      <c r="H845" s="952">
        <v>33737.94</v>
      </c>
      <c r="I845" s="69">
        <v>0</v>
      </c>
      <c r="J845" s="69">
        <v>0</v>
      </c>
      <c r="K845" s="69">
        <v>0</v>
      </c>
      <c r="L845" s="69">
        <v>0</v>
      </c>
      <c r="M845" s="609"/>
      <c r="N845" s="609"/>
      <c r="O845" s="609"/>
      <c r="P845" s="639"/>
      <c r="W845" s="640">
        <v>1</v>
      </c>
    </row>
    <row r="846" spans="1:27" s="640" customFormat="1" ht="61.5" customHeight="1" x14ac:dyDescent="0.3">
      <c r="A846" s="2314"/>
      <c r="B846" s="1718"/>
      <c r="C846" s="1718"/>
      <c r="D846" s="1718"/>
      <c r="E846" s="1718"/>
      <c r="F846" s="385" t="s">
        <v>14</v>
      </c>
      <c r="G846" s="69">
        <f>H846+I846+J846+K846+L846</f>
        <v>3748.66</v>
      </c>
      <c r="H846" s="952">
        <v>3748.66</v>
      </c>
      <c r="I846" s="69">
        <v>0</v>
      </c>
      <c r="J846" s="69">
        <v>0</v>
      </c>
      <c r="K846" s="69">
        <v>0</v>
      </c>
      <c r="L846" s="69">
        <v>0</v>
      </c>
      <c r="M846" s="609"/>
      <c r="N846" s="609"/>
      <c r="O846" s="609"/>
      <c r="P846" s="639"/>
    </row>
    <row r="847" spans="1:27" s="640" customFormat="1" ht="32.25" customHeight="1" x14ac:dyDescent="0.3">
      <c r="A847" s="2314"/>
      <c r="B847" s="1718" t="s">
        <v>388</v>
      </c>
      <c r="C847" s="1718"/>
      <c r="D847" s="1718"/>
      <c r="E847" s="1718"/>
      <c r="F847" s="385" t="s">
        <v>12</v>
      </c>
      <c r="G847" s="389">
        <f t="shared" ref="G847:L847" si="389">G848+G849</f>
        <v>40202.370000000003</v>
      </c>
      <c r="H847" s="389">
        <f>H848+H849</f>
        <v>40202.370000000003</v>
      </c>
      <c r="I847" s="389">
        <f t="shared" si="389"/>
        <v>0</v>
      </c>
      <c r="J847" s="389">
        <f t="shared" si="389"/>
        <v>0</v>
      </c>
      <c r="K847" s="389">
        <f t="shared" si="389"/>
        <v>0</v>
      </c>
      <c r="L847" s="389">
        <f t="shared" si="389"/>
        <v>0</v>
      </c>
      <c r="M847" s="609"/>
      <c r="N847" s="609"/>
      <c r="O847" s="609"/>
      <c r="P847" s="639"/>
    </row>
    <row r="848" spans="1:27" s="640" customFormat="1" ht="36" customHeight="1" x14ac:dyDescent="0.3">
      <c r="A848" s="2314"/>
      <c r="B848" s="1718"/>
      <c r="C848" s="1718"/>
      <c r="D848" s="1718"/>
      <c r="E848" s="1718"/>
      <c r="F848" s="385" t="s">
        <v>13</v>
      </c>
      <c r="G848" s="69">
        <f>H848+I848+J848+K848+L848</f>
        <v>36182.129999999997</v>
      </c>
      <c r="H848" s="952">
        <v>36182.129999999997</v>
      </c>
      <c r="I848" s="69">
        <v>0</v>
      </c>
      <c r="J848" s="69">
        <v>0</v>
      </c>
      <c r="K848" s="69">
        <v>0</v>
      </c>
      <c r="L848" s="69">
        <v>0</v>
      </c>
      <c r="M848" s="609"/>
      <c r="N848" s="609"/>
      <c r="O848" s="609"/>
      <c r="P848" s="639"/>
      <c r="W848" s="640">
        <v>1</v>
      </c>
    </row>
    <row r="849" spans="1:23" s="640" customFormat="1" ht="81.75" customHeight="1" x14ac:dyDescent="0.3">
      <c r="A849" s="2314"/>
      <c r="B849" s="1718"/>
      <c r="C849" s="1718"/>
      <c r="D849" s="1718"/>
      <c r="E849" s="1718"/>
      <c r="F849" s="385" t="s">
        <v>14</v>
      </c>
      <c r="G849" s="69">
        <f>H849+I849+J849+K849+L849</f>
        <v>4020.24</v>
      </c>
      <c r="H849" s="952">
        <v>4020.24</v>
      </c>
      <c r="I849" s="69">
        <v>0</v>
      </c>
      <c r="J849" s="69">
        <v>0</v>
      </c>
      <c r="K849" s="69">
        <v>0</v>
      </c>
      <c r="L849" s="69">
        <v>0</v>
      </c>
      <c r="M849" s="609"/>
      <c r="N849" s="609"/>
      <c r="O849" s="609"/>
      <c r="P849" s="639"/>
    </row>
    <row r="850" spans="1:23" s="663" customFormat="1" ht="21.75" customHeight="1" x14ac:dyDescent="0.3">
      <c r="A850" s="2314" t="s">
        <v>805</v>
      </c>
      <c r="B850" s="2315" t="s">
        <v>1539</v>
      </c>
      <c r="C850" s="2315"/>
      <c r="D850" s="2315"/>
      <c r="E850" s="2315"/>
      <c r="F850" s="658" t="s">
        <v>12</v>
      </c>
      <c r="G850" s="659">
        <f t="shared" ref="G850" si="390">G851+G852</f>
        <v>49314</v>
      </c>
      <c r="H850" s="659">
        <f>H851+H852</f>
        <v>49314</v>
      </c>
      <c r="I850" s="659">
        <f t="shared" ref="I850:L850" si="391">I851+I852</f>
        <v>0</v>
      </c>
      <c r="J850" s="659">
        <f t="shared" si="391"/>
        <v>0</v>
      </c>
      <c r="K850" s="659">
        <f t="shared" si="391"/>
        <v>0</v>
      </c>
      <c r="L850" s="659">
        <f t="shared" si="391"/>
        <v>0</v>
      </c>
      <c r="M850" s="661"/>
      <c r="N850" s="661"/>
      <c r="O850" s="661"/>
      <c r="P850" s="662"/>
    </row>
    <row r="851" spans="1:23" s="663" customFormat="1" ht="21.75" customHeight="1" x14ac:dyDescent="0.3">
      <c r="A851" s="2314"/>
      <c r="B851" s="2315"/>
      <c r="C851" s="2315"/>
      <c r="D851" s="2315"/>
      <c r="E851" s="2315"/>
      <c r="F851" s="658" t="s">
        <v>13</v>
      </c>
      <c r="G851" s="664">
        <f>H851+I851+J851+K851+L851</f>
        <v>46848.3</v>
      </c>
      <c r="H851" s="664">
        <f>H854</f>
        <v>46848.3</v>
      </c>
      <c r="I851" s="664">
        <f t="shared" ref="I851:L851" si="392">I854</f>
        <v>0</v>
      </c>
      <c r="J851" s="664">
        <f t="shared" si="392"/>
        <v>0</v>
      </c>
      <c r="K851" s="664">
        <f t="shared" si="392"/>
        <v>0</v>
      </c>
      <c r="L851" s="664">
        <f t="shared" si="392"/>
        <v>0</v>
      </c>
      <c r="M851" s="664">
        <v>1</v>
      </c>
      <c r="N851" s="661"/>
      <c r="O851" s="660"/>
      <c r="P851" s="662"/>
    </row>
    <row r="852" spans="1:23" s="663" customFormat="1" ht="21.75" customHeight="1" x14ac:dyDescent="0.3">
      <c r="A852" s="2314"/>
      <c r="B852" s="2315"/>
      <c r="C852" s="2315"/>
      <c r="D852" s="2315"/>
      <c r="E852" s="2315"/>
      <c r="F852" s="658" t="s">
        <v>14</v>
      </c>
      <c r="G852" s="664">
        <f>H852+I852+J852+K852+L852</f>
        <v>2465.6999999999998</v>
      </c>
      <c r="H852" s="664">
        <f>H855</f>
        <v>2465.6999999999998</v>
      </c>
      <c r="I852" s="664">
        <f t="shared" ref="I852:L852" si="393">I855</f>
        <v>0</v>
      </c>
      <c r="J852" s="664">
        <f t="shared" si="393"/>
        <v>0</v>
      </c>
      <c r="K852" s="664">
        <f t="shared" si="393"/>
        <v>0</v>
      </c>
      <c r="L852" s="664">
        <f t="shared" si="393"/>
        <v>0</v>
      </c>
      <c r="M852" s="661"/>
      <c r="N852" s="661"/>
      <c r="O852" s="664"/>
      <c r="P852" s="662"/>
    </row>
    <row r="853" spans="1:23" s="640" customFormat="1" ht="21.75" customHeight="1" x14ac:dyDescent="0.3">
      <c r="A853" s="2314"/>
      <c r="B853" s="1785" t="s">
        <v>1685</v>
      </c>
      <c r="C853" s="1785"/>
      <c r="D853" s="1785"/>
      <c r="E853" s="1785"/>
      <c r="F853" s="385" t="s">
        <v>12</v>
      </c>
      <c r="G853" s="389">
        <f t="shared" ref="G853:L853" si="394">G854+G855</f>
        <v>49314</v>
      </c>
      <c r="H853" s="389">
        <f t="shared" si="394"/>
        <v>49314</v>
      </c>
      <c r="I853" s="389">
        <f t="shared" si="394"/>
        <v>0</v>
      </c>
      <c r="J853" s="389">
        <f t="shared" si="394"/>
        <v>0</v>
      </c>
      <c r="K853" s="389">
        <f t="shared" si="394"/>
        <v>0</v>
      </c>
      <c r="L853" s="389">
        <f t="shared" si="394"/>
        <v>0</v>
      </c>
      <c r="M853" s="609"/>
      <c r="N853" s="609"/>
      <c r="O853" s="609"/>
      <c r="P853" s="639"/>
    </row>
    <row r="854" spans="1:23" s="640" customFormat="1" ht="21.75" customHeight="1" x14ac:dyDescent="0.3">
      <c r="A854" s="2314"/>
      <c r="B854" s="1785"/>
      <c r="C854" s="1785"/>
      <c r="D854" s="1785"/>
      <c r="E854" s="1785"/>
      <c r="F854" s="385" t="s">
        <v>13</v>
      </c>
      <c r="G854" s="69">
        <f>H854+I854+J854+K854+L854</f>
        <v>46848.3</v>
      </c>
      <c r="H854" s="69">
        <v>46848.3</v>
      </c>
      <c r="I854" s="69">
        <v>0</v>
      </c>
      <c r="J854" s="69">
        <v>0</v>
      </c>
      <c r="K854" s="69">
        <v>0</v>
      </c>
      <c r="L854" s="69">
        <v>0</v>
      </c>
      <c r="M854" s="609"/>
      <c r="N854" s="609"/>
      <c r="O854" s="609"/>
      <c r="P854" s="639"/>
      <c r="W854" s="640">
        <v>1</v>
      </c>
    </row>
    <row r="855" spans="1:23" s="640" customFormat="1" ht="21.75" customHeight="1" x14ac:dyDescent="0.3">
      <c r="A855" s="2314"/>
      <c r="B855" s="1785"/>
      <c r="C855" s="1785"/>
      <c r="D855" s="1785"/>
      <c r="E855" s="1785"/>
      <c r="F855" s="385" t="s">
        <v>14</v>
      </c>
      <c r="G855" s="69">
        <f>H855+I855+J855+K855+L855</f>
        <v>2465.6999999999998</v>
      </c>
      <c r="H855" s="69">
        <v>2465.6999999999998</v>
      </c>
      <c r="I855" s="69">
        <v>0</v>
      </c>
      <c r="J855" s="69">
        <v>0</v>
      </c>
      <c r="K855" s="69">
        <v>0</v>
      </c>
      <c r="L855" s="69">
        <v>0</v>
      </c>
      <c r="M855" s="609"/>
      <c r="N855" s="609"/>
      <c r="O855" s="609"/>
      <c r="P855" s="639"/>
    </row>
    <row r="856" spans="1:23" s="663" customFormat="1" ht="21.75" customHeight="1" x14ac:dyDescent="0.3">
      <c r="A856" s="2314" t="s">
        <v>806</v>
      </c>
      <c r="B856" s="2315" t="s">
        <v>86</v>
      </c>
      <c r="C856" s="2315"/>
      <c r="D856" s="2315"/>
      <c r="E856" s="2315"/>
      <c r="F856" s="658" t="s">
        <v>12</v>
      </c>
      <c r="G856" s="659">
        <f t="shared" ref="G856:L856" si="395">G857+G858</f>
        <v>50658</v>
      </c>
      <c r="H856" s="659">
        <f t="shared" si="395"/>
        <v>50658</v>
      </c>
      <c r="I856" s="659">
        <f t="shared" si="395"/>
        <v>0</v>
      </c>
      <c r="J856" s="659">
        <f t="shared" si="395"/>
        <v>0</v>
      </c>
      <c r="K856" s="659">
        <f t="shared" si="395"/>
        <v>0</v>
      </c>
      <c r="L856" s="659">
        <f t="shared" si="395"/>
        <v>0</v>
      </c>
      <c r="M856" s="661"/>
      <c r="N856" s="661"/>
      <c r="O856" s="661"/>
      <c r="P856" s="662"/>
    </row>
    <row r="857" spans="1:23" s="663" customFormat="1" ht="21.75" customHeight="1" x14ac:dyDescent="0.3">
      <c r="A857" s="2314"/>
      <c r="B857" s="2315"/>
      <c r="C857" s="2315"/>
      <c r="D857" s="2315"/>
      <c r="E857" s="2315"/>
      <c r="F857" s="658" t="s">
        <v>13</v>
      </c>
      <c r="G857" s="664">
        <f>H857+I857+J857+K857+L857</f>
        <v>48125.1</v>
      </c>
      <c r="H857" s="664">
        <f>H860</f>
        <v>48125.1</v>
      </c>
      <c r="I857" s="664">
        <f t="shared" ref="I857:L857" si="396">I860</f>
        <v>0</v>
      </c>
      <c r="J857" s="664">
        <f t="shared" si="396"/>
        <v>0</v>
      </c>
      <c r="K857" s="664">
        <f t="shared" si="396"/>
        <v>0</v>
      </c>
      <c r="L857" s="664">
        <f t="shared" si="396"/>
        <v>0</v>
      </c>
      <c r="M857" s="660">
        <v>2018</v>
      </c>
      <c r="N857" s="660"/>
      <c r="O857" s="660"/>
      <c r="P857" s="662"/>
    </row>
    <row r="858" spans="1:23" s="663" customFormat="1" ht="21.75" customHeight="1" x14ac:dyDescent="0.3">
      <c r="A858" s="2314"/>
      <c r="B858" s="2315"/>
      <c r="C858" s="2315"/>
      <c r="D858" s="2315"/>
      <c r="E858" s="2315"/>
      <c r="F858" s="658" t="s">
        <v>14</v>
      </c>
      <c r="G858" s="664">
        <f>H858+I858+J858+K858+L858</f>
        <v>2532.9</v>
      </c>
      <c r="H858" s="664">
        <f>H861</f>
        <v>2532.9</v>
      </c>
      <c r="I858" s="664">
        <f t="shared" ref="I858:K858" si="397">I861</f>
        <v>0</v>
      </c>
      <c r="J858" s="664">
        <f t="shared" si="397"/>
        <v>0</v>
      </c>
      <c r="K858" s="664">
        <f t="shared" si="397"/>
        <v>0</v>
      </c>
      <c r="L858" s="664">
        <f t="shared" ref="L858" si="398">L861+L867</f>
        <v>0</v>
      </c>
      <c r="M858" s="664">
        <v>1</v>
      </c>
      <c r="N858" s="664"/>
      <c r="O858" s="664"/>
      <c r="P858" s="662"/>
    </row>
    <row r="859" spans="1:23" s="640" customFormat="1" ht="21.75" customHeight="1" x14ac:dyDescent="0.3">
      <c r="A859" s="2314"/>
      <c r="B859" s="1718" t="s">
        <v>389</v>
      </c>
      <c r="C859" s="1718"/>
      <c r="D859" s="1718"/>
      <c r="E859" s="1718"/>
      <c r="F859" s="385" t="s">
        <v>12</v>
      </c>
      <c r="G859" s="389">
        <f t="shared" ref="G859:L859" si="399">G860+G861</f>
        <v>50658</v>
      </c>
      <c r="H859" s="389">
        <f>H860+H861</f>
        <v>50658</v>
      </c>
      <c r="I859" s="389">
        <f t="shared" si="399"/>
        <v>0</v>
      </c>
      <c r="J859" s="389">
        <f t="shared" si="399"/>
        <v>0</v>
      </c>
      <c r="K859" s="389">
        <f t="shared" si="399"/>
        <v>0</v>
      </c>
      <c r="L859" s="389">
        <f t="shared" si="399"/>
        <v>0</v>
      </c>
      <c r="M859" s="609"/>
      <c r="N859" s="609"/>
      <c r="O859" s="69"/>
      <c r="P859" s="639"/>
    </row>
    <row r="860" spans="1:23" s="640" customFormat="1" ht="21.75" customHeight="1" x14ac:dyDescent="0.3">
      <c r="A860" s="2314"/>
      <c r="B860" s="1718"/>
      <c r="C860" s="1718"/>
      <c r="D860" s="1718"/>
      <c r="E860" s="1718"/>
      <c r="F860" s="385" t="s">
        <v>13</v>
      </c>
      <c r="G860" s="69">
        <f>H860+I860+J860+K860+L860</f>
        <v>48125.1</v>
      </c>
      <c r="H860" s="69">
        <v>48125.1</v>
      </c>
      <c r="I860" s="69">
        <v>0</v>
      </c>
      <c r="J860" s="69">
        <v>0</v>
      </c>
      <c r="K860" s="69">
        <v>0</v>
      </c>
      <c r="L860" s="69">
        <v>0</v>
      </c>
      <c r="M860" s="69">
        <v>1</v>
      </c>
      <c r="N860" s="609"/>
      <c r="O860" s="609"/>
      <c r="P860" s="639"/>
      <c r="W860" s="640">
        <v>1</v>
      </c>
    </row>
    <row r="861" spans="1:23" s="640" customFormat="1" ht="21.75" customHeight="1" x14ac:dyDescent="0.3">
      <c r="A861" s="2314"/>
      <c r="B861" s="1718"/>
      <c r="C861" s="1718"/>
      <c r="D861" s="1718"/>
      <c r="E861" s="1718"/>
      <c r="F861" s="385" t="s">
        <v>14</v>
      </c>
      <c r="G861" s="69">
        <f>H861+I861+J861+K861+L861</f>
        <v>2532.9</v>
      </c>
      <c r="H861" s="69">
        <v>2532.9</v>
      </c>
      <c r="I861" s="69">
        <v>0</v>
      </c>
      <c r="J861" s="69">
        <v>0</v>
      </c>
      <c r="K861" s="69">
        <v>0</v>
      </c>
      <c r="L861" s="69">
        <v>0</v>
      </c>
      <c r="M861" s="609"/>
      <c r="N861" s="609"/>
      <c r="O861" s="609"/>
      <c r="P861" s="639"/>
    </row>
    <row r="862" spans="1:23" s="663" customFormat="1" ht="21.75" customHeight="1" x14ac:dyDescent="0.3">
      <c r="A862" s="2314" t="s">
        <v>807</v>
      </c>
      <c r="B862" s="2315" t="s">
        <v>174</v>
      </c>
      <c r="C862" s="2315"/>
      <c r="D862" s="2315"/>
      <c r="E862" s="2315"/>
      <c r="F862" s="658" t="s">
        <v>12</v>
      </c>
      <c r="G862" s="659">
        <f t="shared" ref="G862:L862" si="400">G863+G864</f>
        <v>53434.98</v>
      </c>
      <c r="H862" s="659">
        <f t="shared" si="400"/>
        <v>0</v>
      </c>
      <c r="I862" s="659">
        <f t="shared" si="400"/>
        <v>53434.98</v>
      </c>
      <c r="J862" s="659">
        <f t="shared" si="400"/>
        <v>0</v>
      </c>
      <c r="K862" s="659">
        <f t="shared" si="400"/>
        <v>0</v>
      </c>
      <c r="L862" s="659">
        <f t="shared" si="400"/>
        <v>0</v>
      </c>
      <c r="M862" s="661"/>
      <c r="N862" s="661"/>
      <c r="O862" s="661"/>
      <c r="P862" s="662"/>
    </row>
    <row r="863" spans="1:23" s="663" customFormat="1" ht="21.75" customHeight="1" x14ac:dyDescent="0.3">
      <c r="A863" s="2314"/>
      <c r="B863" s="2315"/>
      <c r="C863" s="2315"/>
      <c r="D863" s="2315"/>
      <c r="E863" s="2315"/>
      <c r="F863" s="658" t="s">
        <v>13</v>
      </c>
      <c r="G863" s="664">
        <f>H863+I863+J863+K863+L863</f>
        <v>50763.24</v>
      </c>
      <c r="H863" s="664">
        <f>H866</f>
        <v>0</v>
      </c>
      <c r="I863" s="664">
        <f>I866</f>
        <v>50763.24</v>
      </c>
      <c r="J863" s="664">
        <f t="shared" ref="J863:L863" si="401">J866</f>
        <v>0</v>
      </c>
      <c r="K863" s="664">
        <f t="shared" si="401"/>
        <v>0</v>
      </c>
      <c r="L863" s="664">
        <f t="shared" si="401"/>
        <v>0</v>
      </c>
      <c r="M863" s="660"/>
      <c r="N863" s="660">
        <v>2019</v>
      </c>
      <c r="O863" s="661"/>
      <c r="P863" s="662"/>
    </row>
    <row r="864" spans="1:23" s="663" customFormat="1" ht="21.75" customHeight="1" x14ac:dyDescent="0.3">
      <c r="A864" s="2314"/>
      <c r="B864" s="2315"/>
      <c r="C864" s="2315"/>
      <c r="D864" s="2315"/>
      <c r="E864" s="2315"/>
      <c r="F864" s="658" t="s">
        <v>14</v>
      </c>
      <c r="G864" s="664">
        <f>H864+I864+J864+K864+L864</f>
        <v>2671.74</v>
      </c>
      <c r="H864" s="664">
        <f>H867</f>
        <v>0</v>
      </c>
      <c r="I864" s="664">
        <f>I867</f>
        <v>2671.74</v>
      </c>
      <c r="J864" s="664">
        <f t="shared" ref="J864:L864" si="402">J867</f>
        <v>0</v>
      </c>
      <c r="K864" s="664">
        <f t="shared" si="402"/>
        <v>0</v>
      </c>
      <c r="L864" s="664">
        <f t="shared" si="402"/>
        <v>0</v>
      </c>
      <c r="M864" s="664"/>
      <c r="N864" s="664">
        <v>1</v>
      </c>
      <c r="O864" s="661"/>
      <c r="P864" s="662"/>
    </row>
    <row r="865" spans="1:24" s="640" customFormat="1" ht="21.75" customHeight="1" x14ac:dyDescent="0.3">
      <c r="A865" s="2314"/>
      <c r="B865" s="1718" t="s">
        <v>393</v>
      </c>
      <c r="C865" s="1718"/>
      <c r="D865" s="1718"/>
      <c r="E865" s="1718"/>
      <c r="F865" s="385" t="s">
        <v>12</v>
      </c>
      <c r="G865" s="389">
        <f t="shared" ref="G865:L865" si="403">G866+G867</f>
        <v>53434.98</v>
      </c>
      <c r="H865" s="389">
        <f t="shared" si="403"/>
        <v>0</v>
      </c>
      <c r="I865" s="389">
        <f>I866+I867</f>
        <v>53434.98</v>
      </c>
      <c r="J865" s="389">
        <f t="shared" si="403"/>
        <v>0</v>
      </c>
      <c r="K865" s="389">
        <f t="shared" si="403"/>
        <v>0</v>
      </c>
      <c r="L865" s="389">
        <f t="shared" si="403"/>
        <v>0</v>
      </c>
      <c r="M865" s="609"/>
      <c r="N865" s="69"/>
      <c r="O865" s="609"/>
      <c r="P865" s="639"/>
    </row>
    <row r="866" spans="1:24" s="640" customFormat="1" ht="21.75" customHeight="1" x14ac:dyDescent="0.3">
      <c r="A866" s="2314"/>
      <c r="B866" s="1718"/>
      <c r="C866" s="1718"/>
      <c r="D866" s="1718"/>
      <c r="E866" s="1718"/>
      <c r="F866" s="385" t="s">
        <v>13</v>
      </c>
      <c r="G866" s="69">
        <f>H866+I866+J866+K866+L866</f>
        <v>50763.24</v>
      </c>
      <c r="H866" s="69">
        <v>0</v>
      </c>
      <c r="I866" s="69">
        <v>50763.24</v>
      </c>
      <c r="J866" s="69">
        <v>0</v>
      </c>
      <c r="K866" s="69">
        <v>0</v>
      </c>
      <c r="L866" s="69">
        <v>0</v>
      </c>
      <c r="M866" s="609"/>
      <c r="N866" s="609"/>
      <c r="O866" s="609"/>
      <c r="P866" s="639"/>
      <c r="X866" s="640">
        <v>1</v>
      </c>
    </row>
    <row r="867" spans="1:24" s="640" customFormat="1" ht="21.75" customHeight="1" x14ac:dyDescent="0.3">
      <c r="A867" s="2314"/>
      <c r="B867" s="1718"/>
      <c r="C867" s="1718"/>
      <c r="D867" s="1718"/>
      <c r="E867" s="1718"/>
      <c r="F867" s="385" t="s">
        <v>14</v>
      </c>
      <c r="G867" s="69">
        <f>H867+I867+J867+K867+L867</f>
        <v>2671.74</v>
      </c>
      <c r="H867" s="69">
        <v>0</v>
      </c>
      <c r="I867" s="69">
        <v>2671.74</v>
      </c>
      <c r="J867" s="69">
        <v>0</v>
      </c>
      <c r="K867" s="69">
        <v>0</v>
      </c>
      <c r="L867" s="69">
        <v>0</v>
      </c>
      <c r="M867" s="609"/>
      <c r="N867" s="609"/>
      <c r="O867" s="609"/>
      <c r="P867" s="639"/>
    </row>
    <row r="868" spans="1:24" s="663" customFormat="1" ht="21.75" customHeight="1" x14ac:dyDescent="0.3">
      <c r="A868" s="2314" t="s">
        <v>889</v>
      </c>
      <c r="B868" s="2315" t="s">
        <v>390</v>
      </c>
      <c r="C868" s="2315"/>
      <c r="D868" s="2315"/>
      <c r="E868" s="2315"/>
      <c r="F868" s="658" t="s">
        <v>12</v>
      </c>
      <c r="G868" s="659">
        <f t="shared" ref="G868:L868" si="404">G869+G870</f>
        <v>229986</v>
      </c>
      <c r="H868" s="659">
        <f>H869+H870</f>
        <v>79986</v>
      </c>
      <c r="I868" s="659">
        <f t="shared" si="404"/>
        <v>150000</v>
      </c>
      <c r="J868" s="659">
        <f t="shared" si="404"/>
        <v>0</v>
      </c>
      <c r="K868" s="659">
        <f t="shared" si="404"/>
        <v>0</v>
      </c>
      <c r="L868" s="659">
        <f t="shared" si="404"/>
        <v>0</v>
      </c>
      <c r="M868" s="661"/>
      <c r="N868" s="661"/>
      <c r="O868" s="661"/>
      <c r="P868" s="662"/>
    </row>
    <row r="869" spans="1:24" s="663" customFormat="1" ht="21.75" customHeight="1" x14ac:dyDescent="0.3">
      <c r="A869" s="2314"/>
      <c r="B869" s="2315"/>
      <c r="C869" s="2315"/>
      <c r="D869" s="2315"/>
      <c r="E869" s="2315"/>
      <c r="F869" s="658" t="s">
        <v>13</v>
      </c>
      <c r="G869" s="664">
        <f>H869+I869+J869+K869+L869</f>
        <v>206987.4</v>
      </c>
      <c r="H869" s="664">
        <f>H872+H875</f>
        <v>71987.399999999994</v>
      </c>
      <c r="I869" s="664">
        <f>I872+I875</f>
        <v>135000</v>
      </c>
      <c r="J869" s="664">
        <f t="shared" ref="J869:L869" si="405">J872+J875</f>
        <v>0</v>
      </c>
      <c r="K869" s="664">
        <f t="shared" si="405"/>
        <v>0</v>
      </c>
      <c r="L869" s="664">
        <f t="shared" si="405"/>
        <v>0</v>
      </c>
      <c r="M869" s="664">
        <v>1</v>
      </c>
      <c r="N869" s="661"/>
      <c r="O869" s="661"/>
      <c r="P869" s="662"/>
    </row>
    <row r="870" spans="1:24" s="663" customFormat="1" ht="21.75" customHeight="1" x14ac:dyDescent="0.3">
      <c r="A870" s="2314"/>
      <c r="B870" s="2315"/>
      <c r="C870" s="2315"/>
      <c r="D870" s="2315"/>
      <c r="E870" s="2315"/>
      <c r="F870" s="658" t="s">
        <v>14</v>
      </c>
      <c r="G870" s="664">
        <f>H870+I870+J870+K870+L870</f>
        <v>22998.6</v>
      </c>
      <c r="H870" s="664">
        <f>H873+H876</f>
        <v>7998.6</v>
      </c>
      <c r="I870" s="664">
        <f t="shared" ref="I870:L870" si="406">I873+I876</f>
        <v>15000</v>
      </c>
      <c r="J870" s="664">
        <f t="shared" si="406"/>
        <v>0</v>
      </c>
      <c r="K870" s="664">
        <f t="shared" si="406"/>
        <v>0</v>
      </c>
      <c r="L870" s="664">
        <f t="shared" si="406"/>
        <v>0</v>
      </c>
      <c r="M870" s="661"/>
      <c r="N870" s="661"/>
      <c r="O870" s="661"/>
      <c r="P870" s="662"/>
    </row>
    <row r="871" spans="1:24" s="640" customFormat="1" ht="21.75" customHeight="1" x14ac:dyDescent="0.3">
      <c r="A871" s="2314"/>
      <c r="B871" s="2021" t="s">
        <v>391</v>
      </c>
      <c r="C871" s="2021"/>
      <c r="D871" s="2021"/>
      <c r="E871" s="2021"/>
      <c r="F871" s="1335" t="s">
        <v>12</v>
      </c>
      <c r="G871" s="1336">
        <f t="shared" ref="G871:L871" si="407">G872+G873</f>
        <v>79986</v>
      </c>
      <c r="H871" s="1336">
        <f t="shared" si="407"/>
        <v>79986</v>
      </c>
      <c r="I871" s="1336">
        <f t="shared" si="407"/>
        <v>0</v>
      </c>
      <c r="J871" s="1336">
        <f t="shared" si="407"/>
        <v>0</v>
      </c>
      <c r="K871" s="1336">
        <f t="shared" si="407"/>
        <v>0</v>
      </c>
      <c r="L871" s="1336">
        <f t="shared" si="407"/>
        <v>0</v>
      </c>
      <c r="M871" s="1342"/>
      <c r="N871" s="1342"/>
      <c r="O871" s="1342"/>
      <c r="P871" s="639"/>
    </row>
    <row r="872" spans="1:24" s="640" customFormat="1" ht="21.75" customHeight="1" x14ac:dyDescent="0.35">
      <c r="A872" s="2314"/>
      <c r="B872" s="2021"/>
      <c r="C872" s="2021"/>
      <c r="D872" s="2021"/>
      <c r="E872" s="2021"/>
      <c r="F872" s="1335" t="s">
        <v>13</v>
      </c>
      <c r="G872" s="952">
        <f>H872+I872+J872+K872+L872</f>
        <v>71987.399999999994</v>
      </c>
      <c r="H872" s="952">
        <v>71987.399999999994</v>
      </c>
      <c r="I872" s="952">
        <v>0</v>
      </c>
      <c r="J872" s="952">
        <v>0</v>
      </c>
      <c r="K872" s="952">
        <v>0</v>
      </c>
      <c r="L872" s="952">
        <v>0</v>
      </c>
      <c r="M872" s="952"/>
      <c r="N872" s="1342"/>
      <c r="O872" s="1342"/>
      <c r="P872" s="1341" t="s">
        <v>1654</v>
      </c>
      <c r="W872" s="640">
        <v>1</v>
      </c>
    </row>
    <row r="873" spans="1:24" s="640" customFormat="1" ht="21.75" customHeight="1" x14ac:dyDescent="0.3">
      <c r="A873" s="2314"/>
      <c r="B873" s="2021"/>
      <c r="C873" s="2021"/>
      <c r="D873" s="2021"/>
      <c r="E873" s="2021"/>
      <c r="F873" s="1335" t="s">
        <v>14</v>
      </c>
      <c r="G873" s="952">
        <f>H873+I873+J873+K873+L873</f>
        <v>7998.6</v>
      </c>
      <c r="H873" s="952">
        <v>7998.6</v>
      </c>
      <c r="I873" s="952">
        <v>0</v>
      </c>
      <c r="J873" s="952">
        <v>0</v>
      </c>
      <c r="K873" s="952">
        <v>0</v>
      </c>
      <c r="L873" s="952">
        <v>0</v>
      </c>
      <c r="M873" s="1342"/>
      <c r="N873" s="1342"/>
      <c r="O873" s="1342"/>
      <c r="P873" s="639"/>
    </row>
    <row r="874" spans="1:24" s="640" customFormat="1" ht="41.25" customHeight="1" x14ac:dyDescent="0.3">
      <c r="A874" s="1359"/>
      <c r="B874" s="1335" t="s">
        <v>1650</v>
      </c>
      <c r="C874" s="1335"/>
      <c r="D874" s="1335"/>
      <c r="E874" s="1335"/>
      <c r="F874" s="1335" t="s">
        <v>12</v>
      </c>
      <c r="G874" s="952">
        <f>G875+G876</f>
        <v>150000</v>
      </c>
      <c r="H874" s="952">
        <f t="shared" ref="H874:L874" si="408">H875+H876</f>
        <v>0</v>
      </c>
      <c r="I874" s="952">
        <f t="shared" si="408"/>
        <v>150000</v>
      </c>
      <c r="J874" s="952">
        <f t="shared" si="408"/>
        <v>0</v>
      </c>
      <c r="K874" s="952">
        <f t="shared" si="408"/>
        <v>0</v>
      </c>
      <c r="L874" s="952">
        <f t="shared" si="408"/>
        <v>0</v>
      </c>
      <c r="M874" s="1342"/>
      <c r="N874" s="1342"/>
      <c r="O874" s="1342"/>
      <c r="P874" s="639"/>
    </row>
    <row r="875" spans="1:24" s="640" customFormat="1" ht="36.75" customHeight="1" x14ac:dyDescent="0.3">
      <c r="A875" s="1359"/>
      <c r="B875" s="1335"/>
      <c r="C875" s="1335"/>
      <c r="D875" s="1335"/>
      <c r="E875" s="1335"/>
      <c r="F875" s="1335" t="s">
        <v>13</v>
      </c>
      <c r="G875" s="952">
        <f>SUM(H875:L875)</f>
        <v>135000</v>
      </c>
      <c r="H875" s="952">
        <v>0</v>
      </c>
      <c r="I875" s="952">
        <v>135000</v>
      </c>
      <c r="J875" s="952">
        <v>0</v>
      </c>
      <c r="K875" s="952">
        <v>0</v>
      </c>
      <c r="L875" s="952">
        <v>0</v>
      </c>
      <c r="M875" s="1342"/>
      <c r="N875" s="1342"/>
      <c r="O875" s="1342"/>
      <c r="P875" s="639" t="s">
        <v>1651</v>
      </c>
    </row>
    <row r="876" spans="1:24" s="640" customFormat="1" ht="31.5" customHeight="1" x14ac:dyDescent="0.3">
      <c r="A876" s="1359"/>
      <c r="B876" s="1335"/>
      <c r="C876" s="1335"/>
      <c r="D876" s="1335"/>
      <c r="E876" s="1335"/>
      <c r="F876" s="1335" t="s">
        <v>14</v>
      </c>
      <c r="G876" s="952">
        <f>SUM(H876:L876)</f>
        <v>15000</v>
      </c>
      <c r="H876" s="952">
        <v>0</v>
      </c>
      <c r="I876" s="952">
        <v>15000</v>
      </c>
      <c r="J876" s="952">
        <v>0</v>
      </c>
      <c r="K876" s="952">
        <v>0</v>
      </c>
      <c r="L876" s="952">
        <v>0</v>
      </c>
      <c r="M876" s="1342"/>
      <c r="N876" s="1342"/>
      <c r="O876" s="1342"/>
      <c r="P876" s="639"/>
    </row>
    <row r="877" spans="1:24" s="663" customFormat="1" ht="21.75" customHeight="1" x14ac:dyDescent="0.3">
      <c r="A877" s="2314" t="s">
        <v>808</v>
      </c>
      <c r="B877" s="2315" t="s">
        <v>156</v>
      </c>
      <c r="C877" s="2315"/>
      <c r="D877" s="2315"/>
      <c r="E877" s="2315"/>
      <c r="F877" s="658" t="s">
        <v>12</v>
      </c>
      <c r="G877" s="659">
        <f t="shared" ref="G877:L877" si="409">G878+G879</f>
        <v>67241.320000000007</v>
      </c>
      <c r="H877" s="659">
        <f>H878+H879</f>
        <v>67241.320000000007</v>
      </c>
      <c r="I877" s="659">
        <f t="shared" si="409"/>
        <v>0</v>
      </c>
      <c r="J877" s="659">
        <f t="shared" si="409"/>
        <v>0</v>
      </c>
      <c r="K877" s="659">
        <f t="shared" si="409"/>
        <v>0</v>
      </c>
      <c r="L877" s="659">
        <f t="shared" si="409"/>
        <v>0</v>
      </c>
      <c r="M877" s="661"/>
      <c r="N877" s="661"/>
      <c r="O877" s="660"/>
      <c r="P877" s="662"/>
    </row>
    <row r="878" spans="1:24" s="663" customFormat="1" ht="21.75" customHeight="1" x14ac:dyDescent="0.3">
      <c r="A878" s="2314"/>
      <c r="B878" s="2315"/>
      <c r="C878" s="2315"/>
      <c r="D878" s="2315"/>
      <c r="E878" s="2315"/>
      <c r="F878" s="658" t="s">
        <v>13</v>
      </c>
      <c r="G878" s="664">
        <f>H878+I878+J878+K878+L878</f>
        <v>60517.18</v>
      </c>
      <c r="H878" s="664">
        <f>H881+H884</f>
        <v>60517.18</v>
      </c>
      <c r="I878" s="664">
        <v>0</v>
      </c>
      <c r="J878" s="664">
        <v>0</v>
      </c>
      <c r="K878" s="664">
        <v>0</v>
      </c>
      <c r="L878" s="664">
        <v>0</v>
      </c>
      <c r="M878" s="664">
        <v>1</v>
      </c>
      <c r="N878" s="661"/>
      <c r="O878" s="664"/>
      <c r="P878" s="662"/>
    </row>
    <row r="879" spans="1:24" s="663" customFormat="1" ht="21.75" customHeight="1" x14ac:dyDescent="0.3">
      <c r="A879" s="2314"/>
      <c r="B879" s="2315"/>
      <c r="C879" s="2315"/>
      <c r="D879" s="2315"/>
      <c r="E879" s="2315"/>
      <c r="F879" s="658" t="s">
        <v>14</v>
      </c>
      <c r="G879" s="664">
        <f>H879+I879+J879+K879+L879</f>
        <v>6724.14</v>
      </c>
      <c r="H879" s="664">
        <f>H882+H885</f>
        <v>6724.14</v>
      </c>
      <c r="I879" s="664">
        <v>0</v>
      </c>
      <c r="J879" s="664">
        <v>0</v>
      </c>
      <c r="K879" s="664">
        <v>0</v>
      </c>
      <c r="L879" s="664">
        <v>0</v>
      </c>
      <c r="M879" s="661"/>
      <c r="N879" s="661"/>
      <c r="O879" s="661"/>
      <c r="P879" s="662"/>
    </row>
    <row r="880" spans="1:24" s="640" customFormat="1" ht="21.75" customHeight="1" x14ac:dyDescent="0.3">
      <c r="A880" s="2314"/>
      <c r="B880" s="1718" t="s">
        <v>392</v>
      </c>
      <c r="C880" s="1718"/>
      <c r="D880" s="1718"/>
      <c r="E880" s="1718"/>
      <c r="F880" s="385" t="s">
        <v>12</v>
      </c>
      <c r="G880" s="389">
        <f t="shared" ref="G880:L880" si="410">G881+G882</f>
        <v>55546</v>
      </c>
      <c r="H880" s="389">
        <f t="shared" si="410"/>
        <v>55546</v>
      </c>
      <c r="I880" s="389">
        <f t="shared" si="410"/>
        <v>0</v>
      </c>
      <c r="J880" s="389">
        <f t="shared" si="410"/>
        <v>0</v>
      </c>
      <c r="K880" s="389">
        <f t="shared" si="410"/>
        <v>0</v>
      </c>
      <c r="L880" s="389">
        <f t="shared" si="410"/>
        <v>0</v>
      </c>
      <c r="M880" s="609"/>
      <c r="N880" s="609"/>
      <c r="O880" s="609"/>
      <c r="P880" s="639"/>
    </row>
    <row r="881" spans="1:24" s="640" customFormat="1" ht="21.75" customHeight="1" x14ac:dyDescent="0.3">
      <c r="A881" s="2314"/>
      <c r="B881" s="1718"/>
      <c r="C881" s="1718"/>
      <c r="D881" s="1718"/>
      <c r="E881" s="1718"/>
      <c r="F881" s="385" t="s">
        <v>13</v>
      </c>
      <c r="G881" s="69">
        <f>H881+I881+J881+K881+L881</f>
        <v>49991.4</v>
      </c>
      <c r="H881" s="69">
        <v>49991.4</v>
      </c>
      <c r="I881" s="69">
        <v>0</v>
      </c>
      <c r="J881" s="69">
        <v>0</v>
      </c>
      <c r="K881" s="69">
        <v>0</v>
      </c>
      <c r="L881" s="69">
        <v>0</v>
      </c>
      <c r="M881" s="609"/>
      <c r="N881" s="609"/>
      <c r="O881" s="609"/>
      <c r="P881" s="639"/>
      <c r="W881" s="640">
        <v>1</v>
      </c>
    </row>
    <row r="882" spans="1:24" s="640" customFormat="1" ht="21.75" customHeight="1" x14ac:dyDescent="0.3">
      <c r="A882" s="2314"/>
      <c r="B882" s="1718"/>
      <c r="C882" s="1718"/>
      <c r="D882" s="1718"/>
      <c r="E882" s="1718"/>
      <c r="F882" s="385" t="s">
        <v>14</v>
      </c>
      <c r="G882" s="69">
        <f>H882+I882+J882+K882+L882</f>
        <v>5554.6</v>
      </c>
      <c r="H882" s="69">
        <v>5554.6</v>
      </c>
      <c r="I882" s="69">
        <v>0</v>
      </c>
      <c r="J882" s="69">
        <v>0</v>
      </c>
      <c r="K882" s="69">
        <v>0</v>
      </c>
      <c r="L882" s="69">
        <v>0</v>
      </c>
      <c r="M882" s="609"/>
      <c r="N882" s="609"/>
      <c r="O882" s="609"/>
      <c r="P882" s="639"/>
    </row>
    <row r="883" spans="1:24" s="640" customFormat="1" ht="21.75" customHeight="1" x14ac:dyDescent="0.3">
      <c r="A883" s="1776"/>
      <c r="B883" s="1718" t="s">
        <v>1340</v>
      </c>
      <c r="C883" s="1718"/>
      <c r="D883" s="1718"/>
      <c r="E883" s="1718"/>
      <c r="F883" s="385" t="s">
        <v>12</v>
      </c>
      <c r="G883" s="69">
        <f t="shared" ref="G883:G885" si="411">SUM(H883:L883)</f>
        <v>11695.32</v>
      </c>
      <c r="H883" s="69">
        <f>H884+H885</f>
        <v>11695.32</v>
      </c>
      <c r="I883" s="69"/>
      <c r="J883" s="69"/>
      <c r="K883" s="69"/>
      <c r="L883" s="69"/>
      <c r="M883" s="609"/>
      <c r="N883" s="609"/>
      <c r="O883" s="609"/>
      <c r="P883" s="639"/>
    </row>
    <row r="884" spans="1:24" s="640" customFormat="1" ht="21.75" customHeight="1" x14ac:dyDescent="0.3">
      <c r="A884" s="1776"/>
      <c r="B884" s="1718"/>
      <c r="C884" s="1718"/>
      <c r="D884" s="1718"/>
      <c r="E884" s="1718"/>
      <c r="F884" s="385" t="s">
        <v>13</v>
      </c>
      <c r="G884" s="69">
        <f t="shared" si="411"/>
        <v>10525.78</v>
      </c>
      <c r="H884" s="69">
        <f>10525.78</f>
        <v>10525.78</v>
      </c>
      <c r="I884" s="69"/>
      <c r="J884" s="69"/>
      <c r="K884" s="69"/>
      <c r="L884" s="69"/>
      <c r="M884" s="609"/>
      <c r="N884" s="609"/>
      <c r="O884" s="609"/>
      <c r="P884" s="639"/>
      <c r="W884" s="640">
        <v>1</v>
      </c>
    </row>
    <row r="885" spans="1:24" s="640" customFormat="1" ht="21.75" customHeight="1" x14ac:dyDescent="0.3">
      <c r="A885" s="1776"/>
      <c r="B885" s="1718"/>
      <c r="C885" s="1718"/>
      <c r="D885" s="1718"/>
      <c r="E885" s="1718"/>
      <c r="F885" s="385" t="s">
        <v>14</v>
      </c>
      <c r="G885" s="69">
        <f t="shared" si="411"/>
        <v>1169.54</v>
      </c>
      <c r="H885" s="69">
        <f>1169.54</f>
        <v>1169.54</v>
      </c>
      <c r="I885" s="69"/>
      <c r="J885" s="69"/>
      <c r="K885" s="69"/>
      <c r="L885" s="69"/>
      <c r="M885" s="609"/>
      <c r="N885" s="609"/>
      <c r="O885" s="609"/>
      <c r="P885" s="639"/>
    </row>
    <row r="886" spans="1:24" s="663" customFormat="1" ht="21.75" customHeight="1" x14ac:dyDescent="0.3">
      <c r="A886" s="2314" t="s">
        <v>809</v>
      </c>
      <c r="B886" s="2315" t="s">
        <v>335</v>
      </c>
      <c r="C886" s="2315"/>
      <c r="D886" s="2315"/>
      <c r="E886" s="2315"/>
      <c r="F886" s="658" t="s">
        <v>12</v>
      </c>
      <c r="G886" s="659">
        <f t="shared" ref="G886:L886" si="412">G887+G888</f>
        <v>45917.91</v>
      </c>
      <c r="H886" s="659">
        <f t="shared" si="412"/>
        <v>0</v>
      </c>
      <c r="I886" s="659">
        <f>I887+I888</f>
        <v>45917.91</v>
      </c>
      <c r="J886" s="659">
        <f t="shared" si="412"/>
        <v>0</v>
      </c>
      <c r="K886" s="659">
        <f t="shared" si="412"/>
        <v>0</v>
      </c>
      <c r="L886" s="659">
        <f t="shared" si="412"/>
        <v>0</v>
      </c>
      <c r="M886" s="661"/>
      <c r="N886" s="660">
        <v>2019</v>
      </c>
      <c r="O886" s="661"/>
      <c r="P886" s="662"/>
    </row>
    <row r="887" spans="1:24" s="663" customFormat="1" ht="21.75" customHeight="1" x14ac:dyDescent="0.3">
      <c r="A887" s="2314"/>
      <c r="B887" s="2315"/>
      <c r="C887" s="2315"/>
      <c r="D887" s="2315"/>
      <c r="E887" s="2315"/>
      <c r="F887" s="658" t="s">
        <v>13</v>
      </c>
      <c r="G887" s="664">
        <f>H887+I887+J887+K887+L887</f>
        <v>43622.76</v>
      </c>
      <c r="H887" s="664">
        <f>H890+H893</f>
        <v>0</v>
      </c>
      <c r="I887" s="664">
        <f>I890+I893</f>
        <v>43622.76</v>
      </c>
      <c r="J887" s="664">
        <f t="shared" ref="J887:L887" si="413">J890+J893</f>
        <v>0</v>
      </c>
      <c r="K887" s="664">
        <f t="shared" si="413"/>
        <v>0</v>
      </c>
      <c r="L887" s="664">
        <f t="shared" si="413"/>
        <v>0</v>
      </c>
      <c r="M887" s="664"/>
      <c r="N887" s="664">
        <v>2</v>
      </c>
      <c r="O887" s="661"/>
      <c r="P887" s="662"/>
    </row>
    <row r="888" spans="1:24" s="663" customFormat="1" ht="21.75" customHeight="1" x14ac:dyDescent="0.3">
      <c r="A888" s="2314"/>
      <c r="B888" s="2315"/>
      <c r="C888" s="2315"/>
      <c r="D888" s="2315"/>
      <c r="E888" s="2315"/>
      <c r="F888" s="658" t="s">
        <v>14</v>
      </c>
      <c r="G888" s="664">
        <f>H888+I888+J888+K888+L888</f>
        <v>2295.15</v>
      </c>
      <c r="H888" s="664">
        <f>H891+H894</f>
        <v>0</v>
      </c>
      <c r="I888" s="664">
        <f>I891+I894</f>
        <v>2295.15</v>
      </c>
      <c r="J888" s="664">
        <f t="shared" ref="J888:L888" si="414">J891+J894</f>
        <v>0</v>
      </c>
      <c r="K888" s="664">
        <f t="shared" si="414"/>
        <v>0</v>
      </c>
      <c r="L888" s="664">
        <f t="shared" si="414"/>
        <v>0</v>
      </c>
      <c r="M888" s="661"/>
      <c r="N888" s="661"/>
      <c r="O888" s="661"/>
      <c r="P888" s="662"/>
    </row>
    <row r="889" spans="1:24" s="640" customFormat="1" ht="21.75" customHeight="1" x14ac:dyDescent="0.3">
      <c r="A889" s="2314"/>
      <c r="B889" s="1718" t="s">
        <v>394</v>
      </c>
      <c r="C889" s="1718"/>
      <c r="D889" s="1718"/>
      <c r="E889" s="1718"/>
      <c r="F889" s="385" t="s">
        <v>12</v>
      </c>
      <c r="G889" s="389">
        <f t="shared" ref="G889:L889" si="415">G890+G891</f>
        <v>19202.91</v>
      </c>
      <c r="H889" s="389">
        <f t="shared" si="415"/>
        <v>0</v>
      </c>
      <c r="I889" s="389">
        <f>I890+I891</f>
        <v>19202.91</v>
      </c>
      <c r="J889" s="389">
        <f t="shared" si="415"/>
        <v>0</v>
      </c>
      <c r="K889" s="389">
        <f t="shared" si="415"/>
        <v>0</v>
      </c>
      <c r="L889" s="389">
        <f t="shared" si="415"/>
        <v>0</v>
      </c>
      <c r="M889" s="609"/>
      <c r="N889" s="609"/>
      <c r="O889" s="609"/>
      <c r="P889" s="639"/>
    </row>
    <row r="890" spans="1:24" s="640" customFormat="1" ht="21.75" customHeight="1" x14ac:dyDescent="0.3">
      <c r="A890" s="2314"/>
      <c r="B890" s="1718"/>
      <c r="C890" s="1718"/>
      <c r="D890" s="1718"/>
      <c r="E890" s="1718"/>
      <c r="F890" s="385" t="s">
        <v>13</v>
      </c>
      <c r="G890" s="69">
        <f>H890+I890+J890+K890+L890</f>
        <v>18242.759999999998</v>
      </c>
      <c r="H890" s="69">
        <v>0</v>
      </c>
      <c r="I890" s="69">
        <v>18242.759999999998</v>
      </c>
      <c r="J890" s="69">
        <v>0</v>
      </c>
      <c r="K890" s="69">
        <v>0</v>
      </c>
      <c r="L890" s="69">
        <v>0</v>
      </c>
      <c r="M890" s="609"/>
      <c r="N890" s="609"/>
      <c r="O890" s="609"/>
      <c r="P890" s="639"/>
      <c r="X890" s="640">
        <v>1</v>
      </c>
    </row>
    <row r="891" spans="1:24" s="640" customFormat="1" ht="21.75" customHeight="1" x14ac:dyDescent="0.3">
      <c r="A891" s="2314"/>
      <c r="B891" s="1718"/>
      <c r="C891" s="1718"/>
      <c r="D891" s="1718"/>
      <c r="E891" s="1718"/>
      <c r="F891" s="385" t="s">
        <v>14</v>
      </c>
      <c r="G891" s="69">
        <f>H891+I891+J891+K891+L891</f>
        <v>960.15</v>
      </c>
      <c r="H891" s="69">
        <v>0</v>
      </c>
      <c r="I891" s="69">
        <v>960.15</v>
      </c>
      <c r="J891" s="69">
        <v>0</v>
      </c>
      <c r="K891" s="69">
        <v>0</v>
      </c>
      <c r="L891" s="69">
        <v>0</v>
      </c>
      <c r="M891" s="609"/>
      <c r="N891" s="609"/>
      <c r="O891" s="609"/>
      <c r="P891" s="639"/>
    </row>
    <row r="892" spans="1:24" s="640" customFormat="1" ht="21.75" customHeight="1" x14ac:dyDescent="0.3">
      <c r="A892" s="2314"/>
      <c r="B892" s="1718" t="s">
        <v>395</v>
      </c>
      <c r="C892" s="1718"/>
      <c r="D892" s="1718"/>
      <c r="E892" s="1718"/>
      <c r="F892" s="385" t="s">
        <v>12</v>
      </c>
      <c r="G892" s="389">
        <f t="shared" ref="G892:L892" si="416">G893+G894</f>
        <v>26715</v>
      </c>
      <c r="H892" s="389">
        <f t="shared" si="416"/>
        <v>0</v>
      </c>
      <c r="I892" s="389">
        <f>I893+I894</f>
        <v>26715</v>
      </c>
      <c r="J892" s="389">
        <f t="shared" si="416"/>
        <v>0</v>
      </c>
      <c r="K892" s="389">
        <f t="shared" si="416"/>
        <v>0</v>
      </c>
      <c r="L892" s="389">
        <f t="shared" si="416"/>
        <v>0</v>
      </c>
      <c r="M892" s="609"/>
      <c r="N892" s="609"/>
      <c r="O892" s="609"/>
      <c r="P892" s="639"/>
    </row>
    <row r="893" spans="1:24" s="640" customFormat="1" ht="21.75" customHeight="1" x14ac:dyDescent="0.3">
      <c r="A893" s="2314"/>
      <c r="B893" s="1718"/>
      <c r="C893" s="1718"/>
      <c r="D893" s="1718"/>
      <c r="E893" s="1718"/>
      <c r="F893" s="385" t="s">
        <v>13</v>
      </c>
      <c r="G893" s="69">
        <f>H893+I893+J893+K893+L893</f>
        <v>25380</v>
      </c>
      <c r="H893" s="69">
        <v>0</v>
      </c>
      <c r="I893" s="69">
        <v>25380</v>
      </c>
      <c r="J893" s="69">
        <v>0</v>
      </c>
      <c r="K893" s="69">
        <v>0</v>
      </c>
      <c r="L893" s="69">
        <v>0</v>
      </c>
      <c r="M893" s="609"/>
      <c r="N893" s="609"/>
      <c r="O893" s="609"/>
      <c r="P893" s="639"/>
      <c r="X893" s="640">
        <v>1</v>
      </c>
    </row>
    <row r="894" spans="1:24" s="640" customFormat="1" ht="21.75" customHeight="1" x14ac:dyDescent="0.3">
      <c r="A894" s="2314"/>
      <c r="B894" s="1718"/>
      <c r="C894" s="1718"/>
      <c r="D894" s="1718"/>
      <c r="E894" s="1718"/>
      <c r="F894" s="385" t="s">
        <v>14</v>
      </c>
      <c r="G894" s="69">
        <f>H894+I894+J894+K894+L894</f>
        <v>1335</v>
      </c>
      <c r="H894" s="69">
        <v>0</v>
      </c>
      <c r="I894" s="69">
        <v>1335</v>
      </c>
      <c r="J894" s="69">
        <v>0</v>
      </c>
      <c r="K894" s="69">
        <v>0</v>
      </c>
      <c r="L894" s="69">
        <v>0</v>
      </c>
      <c r="M894" s="609"/>
      <c r="N894" s="609"/>
      <c r="O894" s="609"/>
      <c r="P894" s="639"/>
    </row>
    <row r="895" spans="1:24" s="663" customFormat="1" ht="21.75" customHeight="1" x14ac:dyDescent="0.3">
      <c r="A895" s="1774" t="s">
        <v>1341</v>
      </c>
      <c r="B895" s="2315" t="s">
        <v>1342</v>
      </c>
      <c r="C895" s="2315"/>
      <c r="D895" s="2315"/>
      <c r="E895" s="2315"/>
      <c r="F895" s="658" t="s">
        <v>12</v>
      </c>
      <c r="G895" s="664">
        <f t="shared" ref="G895:G900" si="417">SUM(H895:L895)</f>
        <v>8396.6299999999992</v>
      </c>
      <c r="H895" s="664">
        <f>H896+H897</f>
        <v>8396.6299999999992</v>
      </c>
      <c r="I895" s="664"/>
      <c r="J895" s="664"/>
      <c r="K895" s="664"/>
      <c r="L895" s="664"/>
      <c r="M895" s="661"/>
      <c r="N895" s="661"/>
      <c r="O895" s="661"/>
      <c r="P895" s="662"/>
    </row>
    <row r="896" spans="1:24" s="663" customFormat="1" ht="21.75" customHeight="1" x14ac:dyDescent="0.3">
      <c r="A896" s="1774"/>
      <c r="B896" s="2315"/>
      <c r="C896" s="2315"/>
      <c r="D896" s="2315"/>
      <c r="E896" s="2315"/>
      <c r="F896" s="658" t="s">
        <v>13</v>
      </c>
      <c r="G896" s="664">
        <f t="shared" si="417"/>
        <v>7976.8</v>
      </c>
      <c r="H896" s="664">
        <f>H899</f>
        <v>7976.8</v>
      </c>
      <c r="I896" s="664"/>
      <c r="J896" s="664"/>
      <c r="K896" s="664"/>
      <c r="L896" s="664"/>
      <c r="M896" s="661"/>
      <c r="N896" s="661"/>
      <c r="O896" s="661"/>
      <c r="P896" s="662"/>
    </row>
    <row r="897" spans="1:25" s="663" customFormat="1" ht="21.75" customHeight="1" x14ac:dyDescent="0.3">
      <c r="A897" s="1774"/>
      <c r="B897" s="2315"/>
      <c r="C897" s="2315"/>
      <c r="D897" s="2315"/>
      <c r="E897" s="2315"/>
      <c r="F897" s="658" t="s">
        <v>14</v>
      </c>
      <c r="G897" s="664">
        <f t="shared" si="417"/>
        <v>419.83</v>
      </c>
      <c r="H897" s="664">
        <f>H900</f>
        <v>419.83</v>
      </c>
      <c r="I897" s="664"/>
      <c r="J897" s="664"/>
      <c r="K897" s="664"/>
      <c r="L897" s="664"/>
      <c r="M897" s="661"/>
      <c r="N897" s="661"/>
      <c r="O897" s="661"/>
      <c r="P897" s="662"/>
    </row>
    <row r="898" spans="1:25" s="640" customFormat="1" ht="21.75" customHeight="1" x14ac:dyDescent="0.3">
      <c r="A898" s="1774"/>
      <c r="B898" s="1718" t="s">
        <v>1343</v>
      </c>
      <c r="C898" s="1718"/>
      <c r="D898" s="1718"/>
      <c r="E898" s="1718"/>
      <c r="F898" s="385" t="s">
        <v>12</v>
      </c>
      <c r="G898" s="69">
        <f t="shared" si="417"/>
        <v>8396.6299999999992</v>
      </c>
      <c r="H898" s="69">
        <f>H899+H900</f>
        <v>8396.6299999999992</v>
      </c>
      <c r="I898" s="69"/>
      <c r="J898" s="69"/>
      <c r="K898" s="69"/>
      <c r="L898" s="69"/>
      <c r="M898" s="609"/>
      <c r="N898" s="609"/>
      <c r="O898" s="609"/>
      <c r="P898" s="639"/>
    </row>
    <row r="899" spans="1:25" s="640" customFormat="1" ht="21.75" customHeight="1" x14ac:dyDescent="0.3">
      <c r="A899" s="1774"/>
      <c r="B899" s="1718"/>
      <c r="C899" s="1718"/>
      <c r="D899" s="1718"/>
      <c r="E899" s="1718"/>
      <c r="F899" s="385" t="s">
        <v>13</v>
      </c>
      <c r="G899" s="69">
        <f t="shared" si="417"/>
        <v>7976.8</v>
      </c>
      <c r="H899" s="69">
        <v>7976.8</v>
      </c>
      <c r="I899" s="69"/>
      <c r="J899" s="69"/>
      <c r="K899" s="69"/>
      <c r="L899" s="69"/>
      <c r="M899" s="609"/>
      <c r="N899" s="609"/>
      <c r="O899" s="609"/>
      <c r="P899" s="639"/>
      <c r="W899" s="640">
        <v>1</v>
      </c>
    </row>
    <row r="900" spans="1:25" s="640" customFormat="1" ht="21.75" customHeight="1" x14ac:dyDescent="0.3">
      <c r="A900" s="1774"/>
      <c r="B900" s="1718"/>
      <c r="C900" s="1718"/>
      <c r="D900" s="1718"/>
      <c r="E900" s="1718"/>
      <c r="F900" s="385" t="s">
        <v>14</v>
      </c>
      <c r="G900" s="69">
        <f t="shared" si="417"/>
        <v>419.83</v>
      </c>
      <c r="H900" s="69">
        <v>419.83</v>
      </c>
      <c r="I900" s="69"/>
      <c r="J900" s="69"/>
      <c r="K900" s="69"/>
      <c r="L900" s="69"/>
      <c r="M900" s="609"/>
      <c r="N900" s="609"/>
      <c r="O900" s="609"/>
      <c r="P900" s="639"/>
    </row>
    <row r="901" spans="1:25" s="663" customFormat="1" ht="21.75" customHeight="1" x14ac:dyDescent="0.3">
      <c r="A901" s="1359" t="s">
        <v>809</v>
      </c>
      <c r="B901" s="2461" t="s">
        <v>729</v>
      </c>
      <c r="C901" s="2461"/>
      <c r="D901" s="2461"/>
      <c r="E901" s="2461"/>
      <c r="F901" s="658" t="s">
        <v>13</v>
      </c>
      <c r="G901" s="664">
        <f>H901+I901</f>
        <v>1.62</v>
      </c>
      <c r="H901" s="664">
        <v>1.62</v>
      </c>
      <c r="I901" s="664"/>
      <c r="J901" s="664"/>
      <c r="K901" s="664"/>
      <c r="L901" s="664"/>
      <c r="M901" s="661"/>
      <c r="N901" s="661"/>
      <c r="O901" s="661"/>
      <c r="P901" s="662"/>
      <c r="W901" s="1199">
        <f>SUM(W839:W900)</f>
        <v>9</v>
      </c>
      <c r="X901" s="1199">
        <f>SUM(X839:X900)</f>
        <v>3</v>
      </c>
      <c r="Y901" s="1199">
        <f>SUM(Y839:Y900)</f>
        <v>0</v>
      </c>
    </row>
    <row r="902" spans="1:25" s="648" customFormat="1" ht="21.75" customHeight="1" x14ac:dyDescent="0.3">
      <c r="A902" s="2314" t="s">
        <v>810</v>
      </c>
      <c r="B902" s="2431" t="s">
        <v>385</v>
      </c>
      <c r="C902" s="2431"/>
      <c r="D902" s="2431"/>
      <c r="E902" s="2431"/>
      <c r="F902" s="645" t="s">
        <v>12</v>
      </c>
      <c r="G902" s="646">
        <f t="shared" ref="G902:L902" si="418">G903+G904</f>
        <v>144275.51999999999</v>
      </c>
      <c r="H902" s="646">
        <f>H903+H904</f>
        <v>144275.51999999999</v>
      </c>
      <c r="I902" s="646">
        <f t="shared" si="418"/>
        <v>0</v>
      </c>
      <c r="J902" s="646">
        <f t="shared" si="418"/>
        <v>0</v>
      </c>
      <c r="K902" s="646">
        <f t="shared" si="418"/>
        <v>0</v>
      </c>
      <c r="L902" s="646">
        <f t="shared" si="418"/>
        <v>0</v>
      </c>
      <c r="M902" s="651"/>
      <c r="N902" s="651"/>
      <c r="O902" s="651"/>
      <c r="P902" s="647"/>
    </row>
    <row r="903" spans="1:25" s="648" customFormat="1" ht="21.75" customHeight="1" x14ac:dyDescent="0.3">
      <c r="A903" s="2314"/>
      <c r="B903" s="2431"/>
      <c r="C903" s="2431"/>
      <c r="D903" s="2431"/>
      <c r="E903" s="2431"/>
      <c r="F903" s="645" t="s">
        <v>13</v>
      </c>
      <c r="G903" s="649">
        <f>H903+I903+J903+K903+L903</f>
        <v>134703</v>
      </c>
      <c r="H903" s="649">
        <f>H906+H921+H930+H936+H957+H963+H969+H942+H951</f>
        <v>134703</v>
      </c>
      <c r="I903" s="649">
        <v>0</v>
      </c>
      <c r="J903" s="649">
        <v>0</v>
      </c>
      <c r="K903" s="649">
        <v>0</v>
      </c>
      <c r="L903" s="649">
        <v>0</v>
      </c>
      <c r="M903" s="649">
        <f>M906+M921+M930+M936+M957+M963</f>
        <v>12</v>
      </c>
      <c r="N903" s="651"/>
      <c r="O903" s="651"/>
      <c r="P903" s="647"/>
    </row>
    <row r="904" spans="1:25" s="648" customFormat="1" ht="21.75" customHeight="1" x14ac:dyDescent="0.3">
      <c r="A904" s="2314"/>
      <c r="B904" s="2431"/>
      <c r="C904" s="2431"/>
      <c r="D904" s="2431"/>
      <c r="E904" s="2431"/>
      <c r="F904" s="645" t="s">
        <v>14</v>
      </c>
      <c r="G904" s="649">
        <f>H904+I904+J904+K904+L904</f>
        <v>9572.52</v>
      </c>
      <c r="H904" s="649">
        <f>H907+H922+H931+H937+H958+H964+H970+H943+H952</f>
        <v>9572.52</v>
      </c>
      <c r="I904" s="649">
        <v>0</v>
      </c>
      <c r="J904" s="649">
        <v>0</v>
      </c>
      <c r="K904" s="649">
        <v>0</v>
      </c>
      <c r="L904" s="649">
        <v>0</v>
      </c>
      <c r="M904" s="651"/>
      <c r="N904" s="651"/>
      <c r="O904" s="651"/>
      <c r="P904" s="647"/>
    </row>
    <row r="905" spans="1:25" s="663" customFormat="1" ht="21.75" customHeight="1" x14ac:dyDescent="0.3">
      <c r="A905" s="2314" t="s">
        <v>811</v>
      </c>
      <c r="B905" s="2315" t="s">
        <v>347</v>
      </c>
      <c r="C905" s="2315"/>
      <c r="D905" s="2315"/>
      <c r="E905" s="2315"/>
      <c r="F905" s="658" t="s">
        <v>12</v>
      </c>
      <c r="G905" s="659">
        <f>G906+G907</f>
        <v>47188.97</v>
      </c>
      <c r="H905" s="659">
        <f>H906+H907</f>
        <v>47188.97</v>
      </c>
      <c r="I905" s="659">
        <f t="shared" ref="I905:L905" si="419">I906+I907</f>
        <v>0</v>
      </c>
      <c r="J905" s="659">
        <f t="shared" si="419"/>
        <v>0</v>
      </c>
      <c r="K905" s="659">
        <f t="shared" si="419"/>
        <v>0</v>
      </c>
      <c r="L905" s="659">
        <f t="shared" si="419"/>
        <v>0</v>
      </c>
      <c r="M905" s="661"/>
      <c r="N905" s="661"/>
      <c r="O905" s="661"/>
      <c r="P905" s="662"/>
    </row>
    <row r="906" spans="1:25" s="663" customFormat="1" ht="21.75" customHeight="1" x14ac:dyDescent="0.3">
      <c r="A906" s="2314"/>
      <c r="B906" s="2315"/>
      <c r="C906" s="2315"/>
      <c r="D906" s="2315"/>
      <c r="E906" s="2315"/>
      <c r="F906" s="658" t="s">
        <v>13</v>
      </c>
      <c r="G906" s="664">
        <f>H906+I906+J906+K906+L906</f>
        <v>42470.15</v>
      </c>
      <c r="H906" s="664">
        <f>H909+H912+H915+H918</f>
        <v>42470.15</v>
      </c>
      <c r="I906" s="664">
        <v>0</v>
      </c>
      <c r="J906" s="664">
        <v>0</v>
      </c>
      <c r="K906" s="664">
        <v>0</v>
      </c>
      <c r="L906" s="664">
        <v>0</v>
      </c>
      <c r="M906" s="664">
        <v>4</v>
      </c>
      <c r="N906" s="661"/>
      <c r="O906" s="661"/>
      <c r="P906" s="662"/>
    </row>
    <row r="907" spans="1:25" s="663" customFormat="1" ht="21.75" customHeight="1" x14ac:dyDescent="0.3">
      <c r="A907" s="2314"/>
      <c r="B907" s="2315"/>
      <c r="C907" s="2315"/>
      <c r="D907" s="2315"/>
      <c r="E907" s="2315"/>
      <c r="F907" s="658" t="s">
        <v>14</v>
      </c>
      <c r="G907" s="664">
        <f>H907+I907+J907+K907+L907</f>
        <v>4718.82</v>
      </c>
      <c r="H907" s="664">
        <f>H910+H913+H916+H919</f>
        <v>4718.82</v>
      </c>
      <c r="I907" s="664">
        <v>0</v>
      </c>
      <c r="J907" s="664">
        <v>0</v>
      </c>
      <c r="K907" s="664">
        <v>0</v>
      </c>
      <c r="L907" s="664">
        <v>0</v>
      </c>
      <c r="M907" s="661"/>
      <c r="N907" s="661"/>
      <c r="O907" s="661"/>
      <c r="P907" s="662"/>
    </row>
    <row r="908" spans="1:25" s="640" customFormat="1" ht="21.75" customHeight="1" x14ac:dyDescent="0.3">
      <c r="A908" s="2314"/>
      <c r="B908" s="1718" t="s">
        <v>372</v>
      </c>
      <c r="C908" s="1718"/>
      <c r="D908" s="1718"/>
      <c r="E908" s="1718"/>
      <c r="F908" s="385" t="s">
        <v>12</v>
      </c>
      <c r="G908" s="389">
        <f t="shared" ref="G908:L908" si="420">G909+G910</f>
        <v>1866.37</v>
      </c>
      <c r="H908" s="389">
        <f>H909+H910</f>
        <v>1866.37</v>
      </c>
      <c r="I908" s="389">
        <f t="shared" si="420"/>
        <v>0</v>
      </c>
      <c r="J908" s="389">
        <f t="shared" si="420"/>
        <v>0</v>
      </c>
      <c r="K908" s="389">
        <f t="shared" si="420"/>
        <v>0</v>
      </c>
      <c r="L908" s="389">
        <f t="shared" si="420"/>
        <v>0</v>
      </c>
      <c r="M908" s="609"/>
      <c r="N908" s="609"/>
      <c r="O908" s="609"/>
      <c r="P908" s="639"/>
    </row>
    <row r="909" spans="1:25" s="640" customFormat="1" ht="21.75" customHeight="1" x14ac:dyDescent="0.3">
      <c r="A909" s="2314"/>
      <c r="B909" s="1718"/>
      <c r="C909" s="1718"/>
      <c r="D909" s="1718"/>
      <c r="E909" s="1718"/>
      <c r="F909" s="385" t="s">
        <v>13</v>
      </c>
      <c r="G909" s="69">
        <f>H909+I909+J909+K909+L909</f>
        <v>1679.76</v>
      </c>
      <c r="H909" s="69">
        <v>1679.76</v>
      </c>
      <c r="I909" s="69">
        <v>0</v>
      </c>
      <c r="J909" s="69">
        <v>0</v>
      </c>
      <c r="K909" s="69">
        <v>0</v>
      </c>
      <c r="L909" s="69">
        <v>0</v>
      </c>
      <c r="M909" s="609"/>
      <c r="N909" s="609"/>
      <c r="O909" s="609"/>
      <c r="P909" s="639"/>
      <c r="W909" s="640">
        <v>1</v>
      </c>
    </row>
    <row r="910" spans="1:25" s="640" customFormat="1" ht="21.75" customHeight="1" x14ac:dyDescent="0.3">
      <c r="A910" s="2314"/>
      <c r="B910" s="1718"/>
      <c r="C910" s="1718"/>
      <c r="D910" s="1718"/>
      <c r="E910" s="1718"/>
      <c r="F910" s="385" t="s">
        <v>14</v>
      </c>
      <c r="G910" s="69">
        <f>H910+I910+J910+K910+L910</f>
        <v>186.61</v>
      </c>
      <c r="H910" s="69">
        <v>186.61</v>
      </c>
      <c r="I910" s="69">
        <v>0</v>
      </c>
      <c r="J910" s="69">
        <v>0</v>
      </c>
      <c r="K910" s="69">
        <v>0</v>
      </c>
      <c r="L910" s="69">
        <v>0</v>
      </c>
      <c r="M910" s="609"/>
      <c r="N910" s="609"/>
      <c r="O910" s="609"/>
      <c r="P910" s="639"/>
    </row>
    <row r="911" spans="1:25" s="640" customFormat="1" ht="21.75" customHeight="1" x14ac:dyDescent="0.3">
      <c r="A911" s="2314"/>
      <c r="B911" s="1718" t="s">
        <v>372</v>
      </c>
      <c r="C911" s="1718"/>
      <c r="D911" s="1718"/>
      <c r="E911" s="1718"/>
      <c r="F911" s="385" t="s">
        <v>12</v>
      </c>
      <c r="G911" s="389">
        <f t="shared" ref="G911:L911" si="421">G912+G913</f>
        <v>7682</v>
      </c>
      <c r="H911" s="389">
        <f>H912+H913</f>
        <v>7682</v>
      </c>
      <c r="I911" s="389">
        <f t="shared" si="421"/>
        <v>0</v>
      </c>
      <c r="J911" s="389">
        <f t="shared" si="421"/>
        <v>0</v>
      </c>
      <c r="K911" s="389">
        <f t="shared" si="421"/>
        <v>0</v>
      </c>
      <c r="L911" s="389">
        <f t="shared" si="421"/>
        <v>0</v>
      </c>
      <c r="M911" s="609"/>
      <c r="N911" s="609"/>
      <c r="O911" s="609"/>
      <c r="P911" s="639"/>
    </row>
    <row r="912" spans="1:25" s="640" customFormat="1" ht="21.75" customHeight="1" x14ac:dyDescent="0.3">
      <c r="A912" s="2314"/>
      <c r="B912" s="1718"/>
      <c r="C912" s="1718"/>
      <c r="D912" s="1718"/>
      <c r="E912" s="1718"/>
      <c r="F912" s="385" t="s">
        <v>13</v>
      </c>
      <c r="G912" s="69">
        <f>H912+I912+J912+K912+L912</f>
        <v>6913.82</v>
      </c>
      <c r="H912" s="69">
        <v>6913.82</v>
      </c>
      <c r="I912" s="69">
        <v>0</v>
      </c>
      <c r="J912" s="69">
        <v>0</v>
      </c>
      <c r="K912" s="69">
        <v>0</v>
      </c>
      <c r="L912" s="69">
        <v>0</v>
      </c>
      <c r="M912" s="609"/>
      <c r="N912" s="609"/>
      <c r="O912" s="609"/>
      <c r="P912" s="639"/>
      <c r="W912" s="640">
        <v>1</v>
      </c>
    </row>
    <row r="913" spans="1:23" s="640" customFormat="1" ht="21.75" customHeight="1" x14ac:dyDescent="0.3">
      <c r="A913" s="2314"/>
      <c r="B913" s="1718"/>
      <c r="C913" s="1718"/>
      <c r="D913" s="1718"/>
      <c r="E913" s="1718"/>
      <c r="F913" s="385" t="s">
        <v>14</v>
      </c>
      <c r="G913" s="69">
        <f>H913+I913+J913+K913+L913</f>
        <v>768.18</v>
      </c>
      <c r="H913" s="69">
        <v>768.18</v>
      </c>
      <c r="I913" s="69">
        <v>0</v>
      </c>
      <c r="J913" s="69">
        <v>0</v>
      </c>
      <c r="K913" s="69">
        <v>0</v>
      </c>
      <c r="L913" s="69">
        <v>0</v>
      </c>
      <c r="M913" s="609"/>
      <c r="N913" s="609"/>
      <c r="O913" s="609"/>
      <c r="P913" s="639"/>
    </row>
    <row r="914" spans="1:23" s="640" customFormat="1" ht="21.75" customHeight="1" x14ac:dyDescent="0.3">
      <c r="A914" s="2314"/>
      <c r="B914" s="1718" t="s">
        <v>372</v>
      </c>
      <c r="C914" s="1718"/>
      <c r="D914" s="1718"/>
      <c r="E914" s="1718"/>
      <c r="F914" s="385" t="s">
        <v>12</v>
      </c>
      <c r="G914" s="389">
        <f t="shared" ref="G914:L914" si="422">G915+G916</f>
        <v>5538.32</v>
      </c>
      <c r="H914" s="389">
        <f>H915+H916</f>
        <v>5538.32</v>
      </c>
      <c r="I914" s="389">
        <f t="shared" si="422"/>
        <v>0</v>
      </c>
      <c r="J914" s="389">
        <f t="shared" si="422"/>
        <v>0</v>
      </c>
      <c r="K914" s="389">
        <f t="shared" si="422"/>
        <v>0</v>
      </c>
      <c r="L914" s="389">
        <f t="shared" si="422"/>
        <v>0</v>
      </c>
      <c r="M914" s="609"/>
      <c r="N914" s="609"/>
      <c r="O914" s="609"/>
      <c r="P914" s="639"/>
    </row>
    <row r="915" spans="1:23" s="640" customFormat="1" ht="21.75" customHeight="1" x14ac:dyDescent="0.3">
      <c r="A915" s="2314"/>
      <c r="B915" s="1718"/>
      <c r="C915" s="1718"/>
      <c r="D915" s="1718"/>
      <c r="E915" s="1718"/>
      <c r="F915" s="385" t="s">
        <v>13</v>
      </c>
      <c r="G915" s="69">
        <f>H915+I915+J915+K915+L915</f>
        <v>4984.5</v>
      </c>
      <c r="H915" s="69">
        <v>4984.5</v>
      </c>
      <c r="I915" s="69">
        <v>0</v>
      </c>
      <c r="J915" s="69">
        <v>0</v>
      </c>
      <c r="K915" s="69">
        <v>0</v>
      </c>
      <c r="L915" s="69">
        <v>0</v>
      </c>
      <c r="M915" s="609"/>
      <c r="N915" s="609"/>
      <c r="O915" s="609"/>
      <c r="P915" s="639"/>
      <c r="W915" s="640">
        <v>1</v>
      </c>
    </row>
    <row r="916" spans="1:23" s="640" customFormat="1" ht="21.75" customHeight="1" x14ac:dyDescent="0.3">
      <c r="A916" s="2314"/>
      <c r="B916" s="1718"/>
      <c r="C916" s="1718"/>
      <c r="D916" s="1718"/>
      <c r="E916" s="1718"/>
      <c r="F916" s="385" t="s">
        <v>14</v>
      </c>
      <c r="G916" s="69">
        <f>H916+I916+J916+K916+L916</f>
        <v>553.82000000000005</v>
      </c>
      <c r="H916" s="69">
        <v>553.82000000000005</v>
      </c>
      <c r="I916" s="69">
        <v>0</v>
      </c>
      <c r="J916" s="69">
        <v>0</v>
      </c>
      <c r="K916" s="69">
        <v>0</v>
      </c>
      <c r="L916" s="69">
        <v>0</v>
      </c>
      <c r="M916" s="609"/>
      <c r="N916" s="609"/>
      <c r="O916" s="609"/>
      <c r="P916" s="639"/>
    </row>
    <row r="917" spans="1:23" s="640" customFormat="1" ht="21.75" customHeight="1" x14ac:dyDescent="0.3">
      <c r="A917" s="2314"/>
      <c r="B917" s="1718" t="s">
        <v>373</v>
      </c>
      <c r="C917" s="1718"/>
      <c r="D917" s="1718"/>
      <c r="E917" s="1718"/>
      <c r="F917" s="385" t="s">
        <v>12</v>
      </c>
      <c r="G917" s="389">
        <f t="shared" ref="G917:L917" si="423">G918+G919</f>
        <v>32102.28</v>
      </c>
      <c r="H917" s="389">
        <f>H918+H919</f>
        <v>32102.28</v>
      </c>
      <c r="I917" s="389">
        <f t="shared" si="423"/>
        <v>0</v>
      </c>
      <c r="J917" s="389">
        <f t="shared" si="423"/>
        <v>0</v>
      </c>
      <c r="K917" s="389">
        <f t="shared" si="423"/>
        <v>0</v>
      </c>
      <c r="L917" s="389">
        <f t="shared" si="423"/>
        <v>0</v>
      </c>
      <c r="M917" s="609"/>
      <c r="N917" s="609"/>
      <c r="O917" s="609"/>
      <c r="P917" s="639"/>
    </row>
    <row r="918" spans="1:23" s="640" customFormat="1" ht="21.75" customHeight="1" x14ac:dyDescent="0.3">
      <c r="A918" s="2314"/>
      <c r="B918" s="1718"/>
      <c r="C918" s="1718"/>
      <c r="D918" s="1718"/>
      <c r="E918" s="1718"/>
      <c r="F918" s="385" t="s">
        <v>13</v>
      </c>
      <c r="G918" s="69">
        <f>H918+I918+J918+K918+L918</f>
        <v>28892.07</v>
      </c>
      <c r="H918" s="69">
        <v>28892.07</v>
      </c>
      <c r="I918" s="69">
        <v>0</v>
      </c>
      <c r="J918" s="69">
        <v>0</v>
      </c>
      <c r="K918" s="69">
        <v>0</v>
      </c>
      <c r="L918" s="69">
        <v>0</v>
      </c>
      <c r="M918" s="609"/>
      <c r="N918" s="609"/>
      <c r="O918" s="609"/>
      <c r="P918" s="639"/>
      <c r="W918" s="640">
        <v>1</v>
      </c>
    </row>
    <row r="919" spans="1:23" s="640" customFormat="1" ht="21.75" customHeight="1" x14ac:dyDescent="0.3">
      <c r="A919" s="2314"/>
      <c r="B919" s="1718"/>
      <c r="C919" s="1718"/>
      <c r="D919" s="1718"/>
      <c r="E919" s="1718"/>
      <c r="F919" s="385" t="s">
        <v>14</v>
      </c>
      <c r="G919" s="69">
        <f>H919+I919+J919+K919+L919</f>
        <v>3210.21</v>
      </c>
      <c r="H919" s="69">
        <v>3210.21</v>
      </c>
      <c r="I919" s="69">
        <v>0</v>
      </c>
      <c r="J919" s="69">
        <v>0</v>
      </c>
      <c r="K919" s="69">
        <v>0</v>
      </c>
      <c r="L919" s="69">
        <v>0</v>
      </c>
      <c r="M919" s="609"/>
      <c r="N919" s="609"/>
      <c r="O919" s="609"/>
      <c r="P919" s="639"/>
    </row>
    <row r="920" spans="1:23" s="663" customFormat="1" ht="21.75" customHeight="1" x14ac:dyDescent="0.3">
      <c r="A920" s="2314" t="s">
        <v>812</v>
      </c>
      <c r="B920" s="2315" t="s">
        <v>381</v>
      </c>
      <c r="C920" s="2315"/>
      <c r="D920" s="2315"/>
      <c r="E920" s="2315"/>
      <c r="F920" s="658" t="s">
        <v>12</v>
      </c>
      <c r="G920" s="659">
        <f>G921+G922</f>
        <v>5175.7700000000004</v>
      </c>
      <c r="H920" s="659">
        <f>H921+H922</f>
        <v>5175.7700000000004</v>
      </c>
      <c r="I920" s="659">
        <f t="shared" ref="I920:L920" si="424">I921+I922</f>
        <v>0</v>
      </c>
      <c r="J920" s="659">
        <f t="shared" si="424"/>
        <v>0</v>
      </c>
      <c r="K920" s="659">
        <f t="shared" si="424"/>
        <v>0</v>
      </c>
      <c r="L920" s="659">
        <f t="shared" si="424"/>
        <v>0</v>
      </c>
      <c r="M920" s="661"/>
      <c r="N920" s="661"/>
      <c r="O920" s="661"/>
      <c r="P920" s="662"/>
    </row>
    <row r="921" spans="1:23" s="663" customFormat="1" ht="21.75" customHeight="1" x14ac:dyDescent="0.3">
      <c r="A921" s="2314"/>
      <c r="B921" s="2315"/>
      <c r="C921" s="2315"/>
      <c r="D921" s="2315"/>
      <c r="E921" s="2315"/>
      <c r="F921" s="658" t="s">
        <v>13</v>
      </c>
      <c r="G921" s="664">
        <f>H921+I921+J921+K921+L921</f>
        <v>4917.05</v>
      </c>
      <c r="H921" s="664">
        <f>H924+H927</f>
        <v>4917.05</v>
      </c>
      <c r="I921" s="664">
        <v>0</v>
      </c>
      <c r="J921" s="664">
        <v>0</v>
      </c>
      <c r="K921" s="664">
        <v>0</v>
      </c>
      <c r="L921" s="664">
        <v>0</v>
      </c>
      <c r="M921" s="664">
        <v>2</v>
      </c>
      <c r="N921" s="661"/>
      <c r="O921" s="661"/>
      <c r="P921" s="662"/>
    </row>
    <row r="922" spans="1:23" s="663" customFormat="1" ht="21.75" customHeight="1" x14ac:dyDescent="0.3">
      <c r="A922" s="2314"/>
      <c r="B922" s="2315"/>
      <c r="C922" s="2315"/>
      <c r="D922" s="2315"/>
      <c r="E922" s="2315"/>
      <c r="F922" s="658" t="s">
        <v>14</v>
      </c>
      <c r="G922" s="664">
        <f>H922+I922+J922+K922+L922</f>
        <v>258.72000000000003</v>
      </c>
      <c r="H922" s="664">
        <f>H925+H928</f>
        <v>258.72000000000003</v>
      </c>
      <c r="I922" s="664">
        <v>0</v>
      </c>
      <c r="J922" s="664">
        <v>0</v>
      </c>
      <c r="K922" s="664">
        <v>0</v>
      </c>
      <c r="L922" s="664">
        <v>0</v>
      </c>
      <c r="M922" s="661"/>
      <c r="N922" s="661"/>
      <c r="O922" s="661"/>
      <c r="P922" s="662"/>
    </row>
    <row r="923" spans="1:23" s="640" customFormat="1" ht="21.75" customHeight="1" x14ac:dyDescent="0.3">
      <c r="A923" s="2314"/>
      <c r="B923" s="1718" t="s">
        <v>374</v>
      </c>
      <c r="C923" s="1718"/>
      <c r="D923" s="1718"/>
      <c r="E923" s="1718"/>
      <c r="F923" s="385" t="s">
        <v>12</v>
      </c>
      <c r="G923" s="389">
        <f t="shared" ref="G923:L923" si="425">G924+G925</f>
        <v>3650.83</v>
      </c>
      <c r="H923" s="389">
        <f>H924+H925</f>
        <v>3650.83</v>
      </c>
      <c r="I923" s="389">
        <f t="shared" si="425"/>
        <v>0</v>
      </c>
      <c r="J923" s="389">
        <f t="shared" si="425"/>
        <v>0</v>
      </c>
      <c r="K923" s="389">
        <f t="shared" si="425"/>
        <v>0</v>
      </c>
      <c r="L923" s="389">
        <f t="shared" si="425"/>
        <v>0</v>
      </c>
      <c r="M923" s="609"/>
      <c r="N923" s="609"/>
      <c r="O923" s="609"/>
      <c r="P923" s="639"/>
    </row>
    <row r="924" spans="1:23" s="640" customFormat="1" ht="21.75" customHeight="1" x14ac:dyDescent="0.3">
      <c r="A924" s="2314"/>
      <c r="B924" s="1718"/>
      <c r="C924" s="1718"/>
      <c r="D924" s="1718"/>
      <c r="E924" s="1718"/>
      <c r="F924" s="385" t="s">
        <v>13</v>
      </c>
      <c r="G924" s="69">
        <f>H924+I924+J924+K924+L924</f>
        <v>3468.33</v>
      </c>
      <c r="H924" s="69">
        <v>3468.33</v>
      </c>
      <c r="I924" s="69">
        <v>0</v>
      </c>
      <c r="J924" s="69">
        <v>0</v>
      </c>
      <c r="K924" s="69">
        <v>0</v>
      </c>
      <c r="L924" s="69">
        <v>0</v>
      </c>
      <c r="M924" s="609"/>
      <c r="N924" s="609"/>
      <c r="O924" s="609"/>
      <c r="P924" s="639"/>
      <c r="W924" s="640">
        <v>1</v>
      </c>
    </row>
    <row r="925" spans="1:23" s="640" customFormat="1" ht="21.75" customHeight="1" x14ac:dyDescent="0.3">
      <c r="A925" s="2314"/>
      <c r="B925" s="1718"/>
      <c r="C925" s="1718"/>
      <c r="D925" s="1718"/>
      <c r="E925" s="1718"/>
      <c r="F925" s="385" t="s">
        <v>14</v>
      </c>
      <c r="G925" s="69">
        <f>H925+I925+J925+K925+L925</f>
        <v>182.5</v>
      </c>
      <c r="H925" s="69">
        <v>182.5</v>
      </c>
      <c r="I925" s="69">
        <v>0</v>
      </c>
      <c r="J925" s="69">
        <v>0</v>
      </c>
      <c r="K925" s="69">
        <v>0</v>
      </c>
      <c r="L925" s="69">
        <v>0</v>
      </c>
      <c r="M925" s="609"/>
      <c r="N925" s="609"/>
      <c r="O925" s="609"/>
      <c r="P925" s="639"/>
    </row>
    <row r="926" spans="1:23" s="640" customFormat="1" ht="21.75" customHeight="1" x14ac:dyDescent="0.3">
      <c r="A926" s="2314"/>
      <c r="B926" s="1718" t="s">
        <v>374</v>
      </c>
      <c r="C926" s="1718"/>
      <c r="D926" s="1718"/>
      <c r="E926" s="1718"/>
      <c r="F926" s="385" t="s">
        <v>12</v>
      </c>
      <c r="G926" s="389">
        <f t="shared" ref="G926:L926" si="426">G927+G928</f>
        <v>1524.94</v>
      </c>
      <c r="H926" s="389">
        <f>H927+H928</f>
        <v>1524.94</v>
      </c>
      <c r="I926" s="389">
        <f t="shared" si="426"/>
        <v>0</v>
      </c>
      <c r="J926" s="389">
        <f t="shared" si="426"/>
        <v>0</v>
      </c>
      <c r="K926" s="389">
        <f t="shared" si="426"/>
        <v>0</v>
      </c>
      <c r="L926" s="389">
        <f t="shared" si="426"/>
        <v>0</v>
      </c>
      <c r="M926" s="609"/>
      <c r="N926" s="609"/>
      <c r="O926" s="609"/>
      <c r="P926" s="639"/>
    </row>
    <row r="927" spans="1:23" s="640" customFormat="1" ht="21.75" customHeight="1" x14ac:dyDescent="0.3">
      <c r="A927" s="2314"/>
      <c r="B927" s="1718"/>
      <c r="C927" s="1718"/>
      <c r="D927" s="1718"/>
      <c r="E927" s="1718"/>
      <c r="F927" s="385" t="s">
        <v>13</v>
      </c>
      <c r="G927" s="69">
        <f>H927+I927+J927+K927+L927</f>
        <v>1448.72</v>
      </c>
      <c r="H927" s="69">
        <v>1448.72</v>
      </c>
      <c r="I927" s="69">
        <v>0</v>
      </c>
      <c r="J927" s="69">
        <v>0</v>
      </c>
      <c r="K927" s="69">
        <v>0</v>
      </c>
      <c r="L927" s="69">
        <v>0</v>
      </c>
      <c r="M927" s="609"/>
      <c r="N927" s="609"/>
      <c r="O927" s="609"/>
      <c r="P927" s="639"/>
      <c r="W927" s="640">
        <v>1</v>
      </c>
    </row>
    <row r="928" spans="1:23" s="640" customFormat="1" ht="21.75" customHeight="1" x14ac:dyDescent="0.3">
      <c r="A928" s="2314"/>
      <c r="B928" s="1718"/>
      <c r="C928" s="1718"/>
      <c r="D928" s="1718"/>
      <c r="E928" s="1718"/>
      <c r="F928" s="385" t="s">
        <v>14</v>
      </c>
      <c r="G928" s="69">
        <f>H928+I928+J928+K928+L928</f>
        <v>76.22</v>
      </c>
      <c r="H928" s="69">
        <v>76.22</v>
      </c>
      <c r="I928" s="69">
        <v>0</v>
      </c>
      <c r="J928" s="69">
        <v>0</v>
      </c>
      <c r="K928" s="69">
        <v>0</v>
      </c>
      <c r="L928" s="69">
        <v>0</v>
      </c>
      <c r="M928" s="609"/>
      <c r="N928" s="609"/>
      <c r="O928" s="609"/>
      <c r="P928" s="639"/>
    </row>
    <row r="929" spans="1:23" s="663" customFormat="1" ht="21.75" customHeight="1" x14ac:dyDescent="0.3">
      <c r="A929" s="2314" t="s">
        <v>813</v>
      </c>
      <c r="B929" s="2315" t="s">
        <v>382</v>
      </c>
      <c r="C929" s="2315"/>
      <c r="D929" s="2315"/>
      <c r="E929" s="2315"/>
      <c r="F929" s="658" t="s">
        <v>12</v>
      </c>
      <c r="G929" s="659">
        <f>G930+G931</f>
        <v>3100</v>
      </c>
      <c r="H929" s="659">
        <f t="shared" ref="H929" si="427">H930+H931</f>
        <v>3100</v>
      </c>
      <c r="I929" s="659">
        <f t="shared" ref="I929:L929" si="428">I930+I931</f>
        <v>0</v>
      </c>
      <c r="J929" s="659">
        <f t="shared" si="428"/>
        <v>0</v>
      </c>
      <c r="K929" s="659">
        <f t="shared" si="428"/>
        <v>0</v>
      </c>
      <c r="L929" s="659">
        <f t="shared" si="428"/>
        <v>0</v>
      </c>
      <c r="M929" s="661"/>
      <c r="N929" s="661"/>
      <c r="O929" s="661"/>
      <c r="P929" s="662"/>
    </row>
    <row r="930" spans="1:23" s="663" customFormat="1" ht="21.75" customHeight="1" x14ac:dyDescent="0.3">
      <c r="A930" s="2314"/>
      <c r="B930" s="2315"/>
      <c r="C930" s="2315"/>
      <c r="D930" s="2315"/>
      <c r="E930" s="2315"/>
      <c r="F930" s="658" t="s">
        <v>13</v>
      </c>
      <c r="G930" s="664">
        <f>H930+I930+J930+K930+L930</f>
        <v>2945</v>
      </c>
      <c r="H930" s="664">
        <f>H933</f>
        <v>2945</v>
      </c>
      <c r="I930" s="664">
        <v>0</v>
      </c>
      <c r="J930" s="664">
        <v>0</v>
      </c>
      <c r="K930" s="664">
        <v>0</v>
      </c>
      <c r="L930" s="664">
        <v>0</v>
      </c>
      <c r="M930" s="664">
        <v>1</v>
      </c>
      <c r="N930" s="661"/>
      <c r="O930" s="661"/>
      <c r="P930" s="662"/>
    </row>
    <row r="931" spans="1:23" s="663" customFormat="1" ht="21.75" customHeight="1" x14ac:dyDescent="0.3">
      <c r="A931" s="2314"/>
      <c r="B931" s="2315"/>
      <c r="C931" s="2315"/>
      <c r="D931" s="2315"/>
      <c r="E931" s="2315"/>
      <c r="F931" s="658" t="s">
        <v>14</v>
      </c>
      <c r="G931" s="664">
        <f>H931+I931+J931+K931+L931</f>
        <v>155</v>
      </c>
      <c r="H931" s="664">
        <f>H934</f>
        <v>155</v>
      </c>
      <c r="I931" s="664">
        <v>0</v>
      </c>
      <c r="J931" s="664">
        <v>0</v>
      </c>
      <c r="K931" s="664">
        <v>0</v>
      </c>
      <c r="L931" s="664">
        <v>0</v>
      </c>
      <c r="M931" s="661"/>
      <c r="N931" s="661"/>
      <c r="O931" s="661"/>
      <c r="P931" s="662"/>
    </row>
    <row r="932" spans="1:23" s="640" customFormat="1" ht="21.75" customHeight="1" x14ac:dyDescent="0.3">
      <c r="A932" s="2314"/>
      <c r="B932" s="1718" t="s">
        <v>375</v>
      </c>
      <c r="C932" s="1718"/>
      <c r="D932" s="1718"/>
      <c r="E932" s="1718"/>
      <c r="F932" s="385" t="s">
        <v>12</v>
      </c>
      <c r="G932" s="389">
        <f t="shared" ref="G932:L932" si="429">G933+G934</f>
        <v>3100</v>
      </c>
      <c r="H932" s="389">
        <f>H934+H933</f>
        <v>3100</v>
      </c>
      <c r="I932" s="389">
        <f t="shared" si="429"/>
        <v>0</v>
      </c>
      <c r="J932" s="389">
        <f t="shared" si="429"/>
        <v>0</v>
      </c>
      <c r="K932" s="389">
        <f t="shared" si="429"/>
        <v>0</v>
      </c>
      <c r="L932" s="389">
        <f t="shared" si="429"/>
        <v>0</v>
      </c>
      <c r="M932" s="609"/>
      <c r="N932" s="609"/>
      <c r="O932" s="609"/>
      <c r="P932" s="639"/>
    </row>
    <row r="933" spans="1:23" s="640" customFormat="1" ht="21.75" customHeight="1" x14ac:dyDescent="0.3">
      <c r="A933" s="2314"/>
      <c r="B933" s="1718"/>
      <c r="C933" s="1718"/>
      <c r="D933" s="1718"/>
      <c r="E933" s="1718"/>
      <c r="F933" s="385" t="s">
        <v>13</v>
      </c>
      <c r="G933" s="69">
        <f>H933+I933+J933+K933+L933</f>
        <v>2945</v>
      </c>
      <c r="H933" s="69">
        <v>2945</v>
      </c>
      <c r="I933" s="69">
        <v>0</v>
      </c>
      <c r="J933" s="69">
        <v>0</v>
      </c>
      <c r="K933" s="69">
        <v>0</v>
      </c>
      <c r="L933" s="69">
        <v>0</v>
      </c>
      <c r="M933" s="609"/>
      <c r="N933" s="609"/>
      <c r="O933" s="609"/>
      <c r="P933" s="639"/>
      <c r="W933" s="640">
        <v>1</v>
      </c>
    </row>
    <row r="934" spans="1:23" s="640" customFormat="1" ht="21.75" customHeight="1" x14ac:dyDescent="0.3">
      <c r="A934" s="2314"/>
      <c r="B934" s="1718"/>
      <c r="C934" s="1718"/>
      <c r="D934" s="1718"/>
      <c r="E934" s="1718"/>
      <c r="F934" s="385" t="s">
        <v>14</v>
      </c>
      <c r="G934" s="69">
        <f>H934+I934+J934+K934+L934</f>
        <v>155</v>
      </c>
      <c r="H934" s="69">
        <v>155</v>
      </c>
      <c r="I934" s="69">
        <v>0</v>
      </c>
      <c r="J934" s="69">
        <v>0</v>
      </c>
      <c r="K934" s="69">
        <v>0</v>
      </c>
      <c r="L934" s="69">
        <v>0</v>
      </c>
      <c r="M934" s="609"/>
      <c r="N934" s="609"/>
      <c r="O934" s="609"/>
      <c r="P934" s="639"/>
    </row>
    <row r="935" spans="1:23" s="663" customFormat="1" ht="21.75" customHeight="1" x14ac:dyDescent="0.3">
      <c r="A935" s="2314" t="s">
        <v>814</v>
      </c>
      <c r="B935" s="2441" t="s">
        <v>321</v>
      </c>
      <c r="C935" s="2441"/>
      <c r="D935" s="2441"/>
      <c r="E935" s="2441"/>
      <c r="F935" s="1339" t="s">
        <v>12</v>
      </c>
      <c r="G935" s="1340">
        <f>G936+G937</f>
        <v>26268</v>
      </c>
      <c r="H935" s="1340">
        <f>H936+H937</f>
        <v>26268</v>
      </c>
      <c r="I935" s="1340">
        <f t="shared" ref="I935:L935" si="430">I936+I937</f>
        <v>0</v>
      </c>
      <c r="J935" s="1340">
        <f t="shared" si="430"/>
        <v>0</v>
      </c>
      <c r="K935" s="1340">
        <f t="shared" si="430"/>
        <v>0</v>
      </c>
      <c r="L935" s="1340">
        <f t="shared" si="430"/>
        <v>0</v>
      </c>
      <c r="M935" s="1342"/>
      <c r="N935" s="1342"/>
      <c r="O935" s="1342"/>
      <c r="P935" s="1369"/>
    </row>
    <row r="936" spans="1:23" s="663" customFormat="1" ht="21.75" customHeight="1" x14ac:dyDescent="0.3">
      <c r="A936" s="2314"/>
      <c r="B936" s="2441"/>
      <c r="C936" s="2441"/>
      <c r="D936" s="2441"/>
      <c r="E936" s="2441"/>
      <c r="F936" s="1339" t="s">
        <v>13</v>
      </c>
      <c r="G936" s="952">
        <f>H936+I936+J936+K936+L936</f>
        <v>24955</v>
      </c>
      <c r="H936" s="952">
        <f>H939</f>
        <v>24955</v>
      </c>
      <c r="I936" s="952">
        <v>0</v>
      </c>
      <c r="J936" s="952">
        <v>0</v>
      </c>
      <c r="K936" s="952">
        <v>0</v>
      </c>
      <c r="L936" s="952">
        <v>0</v>
      </c>
      <c r="M936" s="952">
        <v>3</v>
      </c>
      <c r="N936" s="1342"/>
      <c r="O936" s="1342"/>
      <c r="P936" s="1369"/>
    </row>
    <row r="937" spans="1:23" s="663" customFormat="1" ht="21.75" customHeight="1" x14ac:dyDescent="0.3">
      <c r="A937" s="2314"/>
      <c r="B937" s="2441"/>
      <c r="C937" s="2441"/>
      <c r="D937" s="2441"/>
      <c r="E937" s="2441"/>
      <c r="F937" s="1339" t="s">
        <v>14</v>
      </c>
      <c r="G937" s="952">
        <f>H937+I937+J937+K937+L937</f>
        <v>1313</v>
      </c>
      <c r="H937" s="952">
        <f>H940</f>
        <v>1313</v>
      </c>
      <c r="I937" s="952">
        <v>0</v>
      </c>
      <c r="J937" s="952">
        <v>0</v>
      </c>
      <c r="K937" s="952">
        <v>0</v>
      </c>
      <c r="L937" s="952">
        <v>0</v>
      </c>
      <c r="M937" s="1342"/>
      <c r="N937" s="1342"/>
      <c r="O937" s="1342"/>
      <c r="P937" s="1369"/>
    </row>
    <row r="938" spans="1:23" s="640" customFormat="1" ht="31.5" customHeight="1" x14ac:dyDescent="0.3">
      <c r="A938" s="1718"/>
      <c r="B938" s="1718" t="s">
        <v>1452</v>
      </c>
      <c r="C938" s="1718"/>
      <c r="D938" s="1718"/>
      <c r="E938" s="1718"/>
      <c r="F938" s="1337" t="s">
        <v>12</v>
      </c>
      <c r="G938" s="389">
        <f t="shared" ref="G938:L938" si="431">G939+G940</f>
        <v>26268</v>
      </c>
      <c r="H938" s="389">
        <f>H939+H940</f>
        <v>26268</v>
      </c>
      <c r="I938" s="389">
        <f t="shared" si="431"/>
        <v>0</v>
      </c>
      <c r="J938" s="389">
        <f t="shared" si="431"/>
        <v>0</v>
      </c>
      <c r="K938" s="389">
        <f t="shared" si="431"/>
        <v>0</v>
      </c>
      <c r="L938" s="389">
        <f t="shared" si="431"/>
        <v>0</v>
      </c>
      <c r="M938" s="609"/>
      <c r="N938" s="609"/>
      <c r="O938" s="609"/>
      <c r="P938" s="639"/>
    </row>
    <row r="939" spans="1:23" s="640" customFormat="1" ht="31.5" customHeight="1" x14ac:dyDescent="0.3">
      <c r="A939" s="1718"/>
      <c r="B939" s="1718"/>
      <c r="C939" s="1718"/>
      <c r="D939" s="1718"/>
      <c r="E939" s="1718"/>
      <c r="F939" s="1337" t="s">
        <v>13</v>
      </c>
      <c r="G939" s="69">
        <f>I939+J939+K939+L939+H939</f>
        <v>24955</v>
      </c>
      <c r="H939" s="69">
        <v>24955</v>
      </c>
      <c r="I939" s="69">
        <v>0</v>
      </c>
      <c r="J939" s="69">
        <v>0</v>
      </c>
      <c r="K939" s="69">
        <v>0</v>
      </c>
      <c r="L939" s="69">
        <v>0</v>
      </c>
      <c r="M939" s="609"/>
      <c r="N939" s="609"/>
      <c r="O939" s="609"/>
      <c r="P939" s="639"/>
      <c r="W939" s="640">
        <v>1</v>
      </c>
    </row>
    <row r="940" spans="1:23" s="640" customFormat="1" ht="31.5" customHeight="1" x14ac:dyDescent="0.3">
      <c r="A940" s="1718"/>
      <c r="B940" s="1718"/>
      <c r="C940" s="1718"/>
      <c r="D940" s="1718"/>
      <c r="E940" s="1718"/>
      <c r="F940" s="1337" t="s">
        <v>14</v>
      </c>
      <c r="G940" s="69">
        <f>I940+J940+K940+L940+H940</f>
        <v>1313</v>
      </c>
      <c r="H940" s="69">
        <v>1313</v>
      </c>
      <c r="I940" s="69">
        <v>0</v>
      </c>
      <c r="J940" s="69">
        <v>0</v>
      </c>
      <c r="K940" s="69">
        <v>0</v>
      </c>
      <c r="L940" s="69">
        <v>0</v>
      </c>
      <c r="M940" s="609"/>
      <c r="N940" s="609"/>
      <c r="O940" s="609"/>
      <c r="P940" s="639"/>
    </row>
    <row r="941" spans="1:23" s="640" customFormat="1" ht="21.75" customHeight="1" x14ac:dyDescent="0.3">
      <c r="A941" s="1359"/>
      <c r="B941" s="1370" t="s">
        <v>1666</v>
      </c>
      <c r="C941" s="1339"/>
      <c r="D941" s="1339"/>
      <c r="E941" s="1339"/>
      <c r="F941" s="1339" t="s">
        <v>12</v>
      </c>
      <c r="G941" s="1340">
        <f t="shared" ref="G941:L941" si="432">G942+G943</f>
        <v>2524.96</v>
      </c>
      <c r="H941" s="1340">
        <f t="shared" si="432"/>
        <v>2524.96</v>
      </c>
      <c r="I941" s="1340">
        <f t="shared" si="432"/>
        <v>0</v>
      </c>
      <c r="J941" s="1340">
        <f t="shared" si="432"/>
        <v>0</v>
      </c>
      <c r="K941" s="1340">
        <f t="shared" si="432"/>
        <v>0</v>
      </c>
      <c r="L941" s="1340">
        <f t="shared" si="432"/>
        <v>0</v>
      </c>
      <c r="M941" s="1342"/>
      <c r="N941" s="1342"/>
      <c r="O941" s="1342"/>
      <c r="P941" s="1369"/>
    </row>
    <row r="942" spans="1:23" s="640" customFormat="1" ht="21.75" customHeight="1" x14ac:dyDescent="0.3">
      <c r="A942" s="1359"/>
      <c r="B942" s="1339"/>
      <c r="C942" s="1339"/>
      <c r="D942" s="1339"/>
      <c r="E942" s="1339"/>
      <c r="F942" s="1339" t="s">
        <v>13</v>
      </c>
      <c r="G942" s="952">
        <f>H942+I942+J942+K942+L942</f>
        <v>2398.73</v>
      </c>
      <c r="H942" s="952">
        <f>H948+H945</f>
        <v>2398.73</v>
      </c>
      <c r="I942" s="952">
        <v>0</v>
      </c>
      <c r="J942" s="952">
        <v>0</v>
      </c>
      <c r="K942" s="952">
        <v>0</v>
      </c>
      <c r="L942" s="952">
        <v>0</v>
      </c>
      <c r="M942" s="1342"/>
      <c r="N942" s="1342"/>
      <c r="O942" s="1342"/>
      <c r="P942" s="1369"/>
    </row>
    <row r="943" spans="1:23" s="640" customFormat="1" ht="21.75" customHeight="1" x14ac:dyDescent="0.3">
      <c r="A943" s="1359"/>
      <c r="B943" s="1339"/>
      <c r="C943" s="1339"/>
      <c r="D943" s="1339"/>
      <c r="E943" s="1339"/>
      <c r="F943" s="1339" t="s">
        <v>14</v>
      </c>
      <c r="G943" s="952">
        <f>H943+I943+J943+K943+L943</f>
        <v>126.23</v>
      </c>
      <c r="H943" s="952">
        <f>H949+H946</f>
        <v>126.23</v>
      </c>
      <c r="I943" s="952">
        <v>0</v>
      </c>
      <c r="J943" s="952">
        <v>0</v>
      </c>
      <c r="K943" s="952">
        <v>0</v>
      </c>
      <c r="L943" s="952">
        <v>0</v>
      </c>
      <c r="M943" s="1342"/>
      <c r="N943" s="1342"/>
      <c r="O943" s="1342"/>
      <c r="P943" s="1369"/>
    </row>
    <row r="944" spans="1:23" s="640" customFormat="1" ht="21.75" customHeight="1" x14ac:dyDescent="0.3">
      <c r="A944" s="1359"/>
      <c r="B944" s="1339" t="s">
        <v>376</v>
      </c>
      <c r="C944" s="1339"/>
      <c r="D944" s="1339"/>
      <c r="E944" s="1339"/>
      <c r="F944" s="1339" t="s">
        <v>12</v>
      </c>
      <c r="G944" s="1340">
        <f>G945+G946</f>
        <v>1400</v>
      </c>
      <c r="H944" s="1340">
        <f>H945+H946</f>
        <v>1400</v>
      </c>
      <c r="I944" s="1340"/>
      <c r="J944" s="1340"/>
      <c r="K944" s="1340"/>
      <c r="L944" s="1340"/>
      <c r="M944" s="1342"/>
      <c r="N944" s="1342"/>
      <c r="O944" s="1342"/>
      <c r="P944" s="1369"/>
    </row>
    <row r="945" spans="1:23" s="640" customFormat="1" ht="21.75" customHeight="1" x14ac:dyDescent="0.3">
      <c r="A945" s="1359"/>
      <c r="B945" s="1339"/>
      <c r="C945" s="1339"/>
      <c r="D945" s="1339"/>
      <c r="E945" s="1339"/>
      <c r="F945" s="1339" t="s">
        <v>13</v>
      </c>
      <c r="G945" s="952">
        <f>H945</f>
        <v>1330</v>
      </c>
      <c r="H945" s="952">
        <v>1330</v>
      </c>
      <c r="I945" s="952"/>
      <c r="J945" s="952"/>
      <c r="K945" s="952"/>
      <c r="L945" s="952"/>
      <c r="M945" s="1342"/>
      <c r="N945" s="1342"/>
      <c r="O945" s="1342"/>
      <c r="P945" s="1369"/>
    </row>
    <row r="946" spans="1:23" s="640" customFormat="1" ht="21.75" customHeight="1" x14ac:dyDescent="0.3">
      <c r="A946" s="1359"/>
      <c r="B946" s="1339"/>
      <c r="C946" s="1339"/>
      <c r="D946" s="1339"/>
      <c r="E946" s="1339"/>
      <c r="F946" s="1339" t="s">
        <v>14</v>
      </c>
      <c r="G946" s="952">
        <f>H946</f>
        <v>70</v>
      </c>
      <c r="H946" s="952">
        <v>70</v>
      </c>
      <c r="I946" s="952"/>
      <c r="J946" s="952"/>
      <c r="K946" s="952"/>
      <c r="L946" s="952"/>
      <c r="M946" s="1342"/>
      <c r="N946" s="1342"/>
      <c r="O946" s="1342"/>
      <c r="P946" s="1369"/>
    </row>
    <row r="947" spans="1:23" s="640" customFormat="1" ht="21.75" customHeight="1" x14ac:dyDescent="0.3">
      <c r="A947" s="1359"/>
      <c r="B947" s="1339" t="s">
        <v>377</v>
      </c>
      <c r="C947" s="1339"/>
      <c r="D947" s="1339"/>
      <c r="E947" s="1339"/>
      <c r="F947" s="1339" t="s">
        <v>12</v>
      </c>
      <c r="G947" s="1340">
        <f t="shared" ref="G947:L947" si="433">G948+G949</f>
        <v>1124.96</v>
      </c>
      <c r="H947" s="1340">
        <f t="shared" si="433"/>
        <v>1124.96</v>
      </c>
      <c r="I947" s="1340">
        <f t="shared" si="433"/>
        <v>0</v>
      </c>
      <c r="J947" s="1340">
        <f t="shared" si="433"/>
        <v>0</v>
      </c>
      <c r="K947" s="1340">
        <f t="shared" si="433"/>
        <v>0</v>
      </c>
      <c r="L947" s="1340">
        <f t="shared" si="433"/>
        <v>0</v>
      </c>
      <c r="M947" s="1342"/>
      <c r="N947" s="1342"/>
      <c r="O947" s="1342"/>
      <c r="P947" s="1369"/>
    </row>
    <row r="948" spans="1:23" s="640" customFormat="1" ht="21.75" customHeight="1" x14ac:dyDescent="0.3">
      <c r="A948" s="1359"/>
      <c r="B948" s="1339"/>
      <c r="C948" s="1339"/>
      <c r="D948" s="1339"/>
      <c r="E948" s="1339"/>
      <c r="F948" s="1339" t="s">
        <v>13</v>
      </c>
      <c r="G948" s="952">
        <f>H948+I948+J948+K948+L948</f>
        <v>1068.73</v>
      </c>
      <c r="H948" s="952">
        <v>1068.73</v>
      </c>
      <c r="I948" s="952">
        <v>0</v>
      </c>
      <c r="J948" s="952">
        <v>0</v>
      </c>
      <c r="K948" s="952">
        <v>0</v>
      </c>
      <c r="L948" s="952">
        <v>0</v>
      </c>
      <c r="M948" s="1342"/>
      <c r="N948" s="1342"/>
      <c r="O948" s="1342"/>
      <c r="P948" s="1369"/>
    </row>
    <row r="949" spans="1:23" s="640" customFormat="1" ht="21.75" customHeight="1" x14ac:dyDescent="0.3">
      <c r="A949" s="1359"/>
      <c r="B949" s="1339"/>
      <c r="C949" s="1339"/>
      <c r="D949" s="1339"/>
      <c r="E949" s="1339"/>
      <c r="F949" s="1339" t="s">
        <v>14</v>
      </c>
      <c r="G949" s="952">
        <f>H949+I949+J949+K949+L949</f>
        <v>56.23</v>
      </c>
      <c r="H949" s="952">
        <v>56.23</v>
      </c>
      <c r="I949" s="952">
        <v>0</v>
      </c>
      <c r="J949" s="952">
        <v>0</v>
      </c>
      <c r="K949" s="952">
        <v>0</v>
      </c>
      <c r="L949" s="952">
        <v>0</v>
      </c>
      <c r="M949" s="1342"/>
      <c r="N949" s="1342"/>
      <c r="O949" s="1342"/>
      <c r="P949" s="1369"/>
    </row>
    <row r="950" spans="1:23" s="640" customFormat="1" ht="21.75" customHeight="1" x14ac:dyDescent="0.3">
      <c r="A950" s="1359"/>
      <c r="B950" s="1370" t="s">
        <v>1667</v>
      </c>
      <c r="C950" s="1371"/>
      <c r="D950" s="1371"/>
      <c r="E950" s="1371"/>
      <c r="F950" s="1371" t="s">
        <v>12</v>
      </c>
      <c r="G950" s="1372">
        <f t="shared" ref="G950:L950" si="434">G951+G952</f>
        <v>2450</v>
      </c>
      <c r="H950" s="1372">
        <f t="shared" si="434"/>
        <v>2450</v>
      </c>
      <c r="I950" s="1372">
        <f t="shared" si="434"/>
        <v>0</v>
      </c>
      <c r="J950" s="1372">
        <f t="shared" si="434"/>
        <v>0</v>
      </c>
      <c r="K950" s="1372">
        <f t="shared" si="434"/>
        <v>0</v>
      </c>
      <c r="L950" s="1372">
        <f t="shared" si="434"/>
        <v>0</v>
      </c>
      <c r="M950" s="1373"/>
      <c r="N950" s="1373"/>
      <c r="O950" s="1373"/>
      <c r="P950" s="1369"/>
    </row>
    <row r="951" spans="1:23" s="640" customFormat="1" ht="21.75" customHeight="1" x14ac:dyDescent="0.3">
      <c r="A951" s="1359"/>
      <c r="B951" s="1371"/>
      <c r="C951" s="1371"/>
      <c r="D951" s="1371"/>
      <c r="E951" s="1371"/>
      <c r="F951" s="1371" t="s">
        <v>13</v>
      </c>
      <c r="G951" s="1374">
        <f>H951+I951+J951+K951+L951</f>
        <v>2327.5</v>
      </c>
      <c r="H951" s="1374">
        <f>H954</f>
        <v>2327.5</v>
      </c>
      <c r="I951" s="1374">
        <v>0</v>
      </c>
      <c r="J951" s="1374">
        <v>0</v>
      </c>
      <c r="K951" s="1374">
        <v>0</v>
      </c>
      <c r="L951" s="1374">
        <v>0</v>
      </c>
      <c r="M951" s="1373"/>
      <c r="N951" s="1373"/>
      <c r="O951" s="1373"/>
      <c r="P951" s="1369"/>
    </row>
    <row r="952" spans="1:23" s="640" customFormat="1" ht="21.75" customHeight="1" x14ac:dyDescent="0.3">
      <c r="A952" s="1359"/>
      <c r="B952" s="1371"/>
      <c r="C952" s="1371"/>
      <c r="D952" s="1371"/>
      <c r="E952" s="1371"/>
      <c r="F952" s="1371" t="s">
        <v>14</v>
      </c>
      <c r="G952" s="1374">
        <f>H952+I952+J952+K952+L952</f>
        <v>122.5</v>
      </c>
      <c r="H952" s="1374">
        <f>H955</f>
        <v>122.5</v>
      </c>
      <c r="I952" s="1374">
        <v>0</v>
      </c>
      <c r="J952" s="1374">
        <v>0</v>
      </c>
      <c r="K952" s="1374">
        <v>0</v>
      </c>
      <c r="L952" s="1374">
        <v>0</v>
      </c>
      <c r="M952" s="1373"/>
      <c r="N952" s="1373"/>
      <c r="O952" s="1373"/>
      <c r="P952" s="1369"/>
    </row>
    <row r="953" spans="1:23" s="640" customFormat="1" ht="21.75" customHeight="1" x14ac:dyDescent="0.3">
      <c r="A953" s="1359"/>
      <c r="B953" s="1339" t="s">
        <v>378</v>
      </c>
      <c r="C953" s="1339"/>
      <c r="D953" s="1339"/>
      <c r="E953" s="1339"/>
      <c r="F953" s="1339" t="s">
        <v>12</v>
      </c>
      <c r="G953" s="1340">
        <f t="shared" ref="G953:L953" si="435">G954+G955</f>
        <v>2450</v>
      </c>
      <c r="H953" s="1340">
        <f t="shared" si="435"/>
        <v>2450</v>
      </c>
      <c r="I953" s="1340">
        <f t="shared" si="435"/>
        <v>0</v>
      </c>
      <c r="J953" s="1340">
        <f t="shared" si="435"/>
        <v>0</v>
      </c>
      <c r="K953" s="1340">
        <f t="shared" si="435"/>
        <v>0</v>
      </c>
      <c r="L953" s="1340">
        <f t="shared" si="435"/>
        <v>0</v>
      </c>
      <c r="M953" s="1342"/>
      <c r="N953" s="1342"/>
      <c r="O953" s="1342"/>
      <c r="P953" s="1369"/>
    </row>
    <row r="954" spans="1:23" s="640" customFormat="1" ht="21.75" customHeight="1" x14ac:dyDescent="0.3">
      <c r="A954" s="1359"/>
      <c r="B954" s="1339"/>
      <c r="C954" s="1339"/>
      <c r="D954" s="1339"/>
      <c r="E954" s="1339"/>
      <c r="F954" s="1339" t="s">
        <v>13</v>
      </c>
      <c r="G954" s="952">
        <f>H954+I954+J954+K954+L954</f>
        <v>2327.5</v>
      </c>
      <c r="H954" s="952">
        <v>2327.5</v>
      </c>
      <c r="I954" s="952">
        <v>0</v>
      </c>
      <c r="J954" s="952">
        <v>0</v>
      </c>
      <c r="K954" s="952">
        <v>0</v>
      </c>
      <c r="L954" s="952">
        <v>0</v>
      </c>
      <c r="M954" s="1342"/>
      <c r="N954" s="1342"/>
      <c r="O954" s="1342"/>
      <c r="P954" s="1369"/>
    </row>
    <row r="955" spans="1:23" s="640" customFormat="1" ht="21.75" customHeight="1" x14ac:dyDescent="0.3">
      <c r="A955" s="1359"/>
      <c r="B955" s="1339"/>
      <c r="C955" s="1339"/>
      <c r="D955" s="1339"/>
      <c r="E955" s="1339"/>
      <c r="F955" s="1339" t="s">
        <v>14</v>
      </c>
      <c r="G955" s="952">
        <f>H955+I955+J955+K955+L955</f>
        <v>122.5</v>
      </c>
      <c r="H955" s="952">
        <v>122.5</v>
      </c>
      <c r="I955" s="952">
        <v>0</v>
      </c>
      <c r="J955" s="952">
        <v>0</v>
      </c>
      <c r="K955" s="952">
        <v>0</v>
      </c>
      <c r="L955" s="952">
        <v>0</v>
      </c>
      <c r="M955" s="1342"/>
      <c r="N955" s="1342"/>
      <c r="O955" s="1342"/>
      <c r="P955" s="1369"/>
    </row>
    <row r="956" spans="1:23" s="663" customFormat="1" ht="21.75" customHeight="1" x14ac:dyDescent="0.3">
      <c r="A956" s="2314" t="s">
        <v>815</v>
      </c>
      <c r="B956" s="2315" t="s">
        <v>357</v>
      </c>
      <c r="C956" s="2315"/>
      <c r="D956" s="2315"/>
      <c r="E956" s="2315"/>
      <c r="F956" s="658" t="s">
        <v>12</v>
      </c>
      <c r="G956" s="659">
        <f>G957+G958</f>
        <v>17348.650000000001</v>
      </c>
      <c r="H956" s="659">
        <f>H957+H958</f>
        <v>17348.650000000001</v>
      </c>
      <c r="I956" s="659">
        <f t="shared" ref="I956:L956" si="436">I957+I958</f>
        <v>0</v>
      </c>
      <c r="J956" s="659">
        <f t="shared" si="436"/>
        <v>0</v>
      </c>
      <c r="K956" s="659">
        <f t="shared" si="436"/>
        <v>0</v>
      </c>
      <c r="L956" s="659">
        <f t="shared" si="436"/>
        <v>0</v>
      </c>
      <c r="M956" s="661"/>
      <c r="N956" s="661"/>
      <c r="O956" s="661"/>
      <c r="P956" s="662"/>
    </row>
    <row r="957" spans="1:23" s="663" customFormat="1" ht="21.75" customHeight="1" x14ac:dyDescent="0.3">
      <c r="A957" s="2314"/>
      <c r="B957" s="2315"/>
      <c r="C957" s="2315"/>
      <c r="D957" s="2315"/>
      <c r="E957" s="2315"/>
      <c r="F957" s="658" t="s">
        <v>13</v>
      </c>
      <c r="G957" s="664">
        <f>H957+I957+J957+K957+L957</f>
        <v>16481.240000000002</v>
      </c>
      <c r="H957" s="664">
        <f>H960</f>
        <v>16481.240000000002</v>
      </c>
      <c r="I957" s="664">
        <v>0</v>
      </c>
      <c r="J957" s="664">
        <v>0</v>
      </c>
      <c r="K957" s="664">
        <v>0</v>
      </c>
      <c r="L957" s="664">
        <v>0</v>
      </c>
      <c r="M957" s="664">
        <v>1</v>
      </c>
      <c r="N957" s="661"/>
      <c r="O957" s="661"/>
      <c r="P957" s="662"/>
    </row>
    <row r="958" spans="1:23" s="663" customFormat="1" ht="21.75" customHeight="1" x14ac:dyDescent="0.3">
      <c r="A958" s="2314"/>
      <c r="B958" s="2315"/>
      <c r="C958" s="2315"/>
      <c r="D958" s="2315"/>
      <c r="E958" s="2315"/>
      <c r="F958" s="658" t="s">
        <v>14</v>
      </c>
      <c r="G958" s="664">
        <f>H958+I958+J958+K958+L958</f>
        <v>867.41</v>
      </c>
      <c r="H958" s="664">
        <f>H961</f>
        <v>867.41</v>
      </c>
      <c r="I958" s="664">
        <v>0</v>
      </c>
      <c r="J958" s="664">
        <v>0</v>
      </c>
      <c r="K958" s="664">
        <v>0</v>
      </c>
      <c r="L958" s="664">
        <v>0</v>
      </c>
      <c r="M958" s="661"/>
      <c r="N958" s="661"/>
      <c r="O958" s="661"/>
      <c r="P958" s="662"/>
    </row>
    <row r="959" spans="1:23" s="640" customFormat="1" ht="21.75" customHeight="1" x14ac:dyDescent="0.3">
      <c r="A959" s="2314"/>
      <c r="B959" s="1718" t="s">
        <v>379</v>
      </c>
      <c r="C959" s="1718"/>
      <c r="D959" s="1718"/>
      <c r="E959" s="1718"/>
      <c r="F959" s="385" t="s">
        <v>12</v>
      </c>
      <c r="G959" s="389">
        <f t="shared" ref="G959:L959" si="437">G960+G961</f>
        <v>17348.650000000001</v>
      </c>
      <c r="H959" s="389">
        <f>H960+H961</f>
        <v>17348.650000000001</v>
      </c>
      <c r="I959" s="389">
        <f t="shared" si="437"/>
        <v>0</v>
      </c>
      <c r="J959" s="389">
        <f t="shared" si="437"/>
        <v>0</v>
      </c>
      <c r="K959" s="389">
        <f t="shared" si="437"/>
        <v>0</v>
      </c>
      <c r="L959" s="389">
        <f t="shared" si="437"/>
        <v>0</v>
      </c>
      <c r="M959" s="609"/>
      <c r="N959" s="609"/>
      <c r="O959" s="609"/>
      <c r="P959" s="639"/>
    </row>
    <row r="960" spans="1:23" s="640" customFormat="1" ht="21.75" customHeight="1" x14ac:dyDescent="0.3">
      <c r="A960" s="2314"/>
      <c r="B960" s="1718"/>
      <c r="C960" s="1718"/>
      <c r="D960" s="1718"/>
      <c r="E960" s="1718"/>
      <c r="F960" s="385" t="s">
        <v>13</v>
      </c>
      <c r="G960" s="69">
        <f>H960+I960+J960+K960+L960</f>
        <v>16481.240000000002</v>
      </c>
      <c r="H960" s="69">
        <v>16481.240000000002</v>
      </c>
      <c r="I960" s="69">
        <v>0</v>
      </c>
      <c r="J960" s="69">
        <v>0</v>
      </c>
      <c r="K960" s="69">
        <v>0</v>
      </c>
      <c r="L960" s="69">
        <v>0</v>
      </c>
      <c r="M960" s="609"/>
      <c r="N960" s="609"/>
      <c r="O960" s="609"/>
      <c r="P960" s="639"/>
      <c r="W960" s="640">
        <v>1</v>
      </c>
    </row>
    <row r="961" spans="1:23" s="640" customFormat="1" ht="21.75" customHeight="1" x14ac:dyDescent="0.3">
      <c r="A961" s="2314"/>
      <c r="B961" s="1718"/>
      <c r="C961" s="1718"/>
      <c r="D961" s="1718"/>
      <c r="E961" s="1718"/>
      <c r="F961" s="385" t="s">
        <v>14</v>
      </c>
      <c r="G961" s="69">
        <f>H961+I961+J961+K961+L961</f>
        <v>867.41</v>
      </c>
      <c r="H961" s="69">
        <v>867.41</v>
      </c>
      <c r="I961" s="69">
        <v>0</v>
      </c>
      <c r="J961" s="69">
        <v>0</v>
      </c>
      <c r="K961" s="69">
        <v>0</v>
      </c>
      <c r="L961" s="69">
        <v>0</v>
      </c>
      <c r="M961" s="609"/>
      <c r="N961" s="609"/>
      <c r="O961" s="609"/>
      <c r="P961" s="642"/>
    </row>
    <row r="962" spans="1:23" s="643" customFormat="1" ht="21.75" customHeight="1" x14ac:dyDescent="0.3">
      <c r="A962" s="2314"/>
      <c r="B962" s="2315" t="s">
        <v>383</v>
      </c>
      <c r="C962" s="2315"/>
      <c r="D962" s="2315"/>
      <c r="E962" s="2315"/>
      <c r="F962" s="957" t="s">
        <v>12</v>
      </c>
      <c r="G962" s="659">
        <f t="shared" ref="G962:L962" si="438">G963+G964</f>
        <v>19530.89</v>
      </c>
      <c r="H962" s="659">
        <f>H963+H964</f>
        <v>19530.89</v>
      </c>
      <c r="I962" s="659">
        <f t="shared" si="438"/>
        <v>0</v>
      </c>
      <c r="J962" s="659">
        <f t="shared" si="438"/>
        <v>0</v>
      </c>
      <c r="K962" s="659">
        <f t="shared" si="438"/>
        <v>0</v>
      </c>
      <c r="L962" s="659">
        <f t="shared" si="438"/>
        <v>0</v>
      </c>
      <c r="M962" s="661"/>
      <c r="N962" s="661"/>
      <c r="O962" s="661"/>
      <c r="Q962" s="640"/>
    </row>
    <row r="963" spans="1:23" s="643" customFormat="1" ht="21.75" customHeight="1" x14ac:dyDescent="0.3">
      <c r="A963" s="2314"/>
      <c r="B963" s="2315"/>
      <c r="C963" s="2315"/>
      <c r="D963" s="2315"/>
      <c r="E963" s="2315"/>
      <c r="F963" s="957" t="s">
        <v>13</v>
      </c>
      <c r="G963" s="664">
        <f>H963+I963+J963+K963+L963</f>
        <v>18554.330000000002</v>
      </c>
      <c r="H963" s="664">
        <f>H966</f>
        <v>18554.330000000002</v>
      </c>
      <c r="I963" s="664">
        <v>0</v>
      </c>
      <c r="J963" s="664">
        <v>0</v>
      </c>
      <c r="K963" s="664">
        <v>0</v>
      </c>
      <c r="L963" s="664">
        <v>0</v>
      </c>
      <c r="M963" s="664">
        <v>1</v>
      </c>
      <c r="N963" s="661"/>
      <c r="O963" s="661"/>
      <c r="Q963" s="640"/>
    </row>
    <row r="964" spans="1:23" s="643" customFormat="1" ht="24.75" customHeight="1" x14ac:dyDescent="0.3">
      <c r="A964" s="2314"/>
      <c r="B964" s="2315"/>
      <c r="C964" s="2315"/>
      <c r="D964" s="2315"/>
      <c r="E964" s="2315"/>
      <c r="F964" s="957" t="s">
        <v>14</v>
      </c>
      <c r="G964" s="664">
        <f>H964+I964+J964+K964+L964</f>
        <v>976.56</v>
      </c>
      <c r="H964" s="664">
        <f>H967</f>
        <v>976.56</v>
      </c>
      <c r="I964" s="664">
        <v>0</v>
      </c>
      <c r="J964" s="664">
        <v>0</v>
      </c>
      <c r="K964" s="664">
        <v>0</v>
      </c>
      <c r="L964" s="664">
        <v>0</v>
      </c>
      <c r="M964" s="661"/>
      <c r="N964" s="661"/>
      <c r="O964" s="661"/>
      <c r="Q964" s="640"/>
    </row>
    <row r="965" spans="1:23" s="640" customFormat="1" ht="21.75" customHeight="1" x14ac:dyDescent="0.3">
      <c r="A965" s="2314"/>
      <c r="B965" s="1718" t="s">
        <v>380</v>
      </c>
      <c r="C965" s="1718"/>
      <c r="D965" s="1718"/>
      <c r="E965" s="1718"/>
      <c r="F965" s="385" t="s">
        <v>12</v>
      </c>
      <c r="G965" s="389">
        <f t="shared" ref="G965:L965" si="439">G966+G967</f>
        <v>19530.89</v>
      </c>
      <c r="H965" s="69">
        <f>H966+H967</f>
        <v>19530.89</v>
      </c>
      <c r="I965" s="389">
        <f t="shared" si="439"/>
        <v>0</v>
      </c>
      <c r="J965" s="389">
        <f t="shared" si="439"/>
        <v>0</v>
      </c>
      <c r="K965" s="389">
        <f t="shared" si="439"/>
        <v>0</v>
      </c>
      <c r="L965" s="389">
        <f t="shared" si="439"/>
        <v>0</v>
      </c>
      <c r="M965" s="609"/>
      <c r="N965" s="609"/>
      <c r="O965" s="609"/>
      <c r="P965" s="644"/>
      <c r="Q965" s="643"/>
    </row>
    <row r="966" spans="1:23" s="640" customFormat="1" ht="21.75" customHeight="1" x14ac:dyDescent="0.3">
      <c r="A966" s="2314"/>
      <c r="B966" s="1718"/>
      <c r="C966" s="1718"/>
      <c r="D966" s="1718"/>
      <c r="E966" s="1718"/>
      <c r="F966" s="385" t="s">
        <v>13</v>
      </c>
      <c r="G966" s="69">
        <f>H966+I966+J966+K966+L966</f>
        <v>18554.330000000002</v>
      </c>
      <c r="H966" s="69">
        <v>18554.330000000002</v>
      </c>
      <c r="I966" s="69">
        <v>0</v>
      </c>
      <c r="J966" s="69">
        <v>0</v>
      </c>
      <c r="K966" s="69">
        <v>0</v>
      </c>
      <c r="L966" s="69">
        <v>0</v>
      </c>
      <c r="M966" s="609"/>
      <c r="N966" s="609"/>
      <c r="O966" s="189"/>
      <c r="P966" s="639"/>
      <c r="Q966" s="643"/>
      <c r="W966" s="640">
        <v>1</v>
      </c>
    </row>
    <row r="967" spans="1:23" s="640" customFormat="1" ht="30" customHeight="1" x14ac:dyDescent="0.3">
      <c r="A967" s="2314"/>
      <c r="B967" s="1718"/>
      <c r="C967" s="1718"/>
      <c r="D967" s="1718"/>
      <c r="E967" s="1718"/>
      <c r="F967" s="385" t="s">
        <v>14</v>
      </c>
      <c r="G967" s="69">
        <f>H967+I967+J967+K967+L967</f>
        <v>976.56</v>
      </c>
      <c r="H967" s="69">
        <v>976.56</v>
      </c>
      <c r="I967" s="69">
        <v>0</v>
      </c>
      <c r="J967" s="69">
        <v>0</v>
      </c>
      <c r="K967" s="69">
        <v>0</v>
      </c>
      <c r="L967" s="69">
        <v>0</v>
      </c>
      <c r="M967" s="609"/>
      <c r="N967" s="609"/>
      <c r="O967" s="69"/>
      <c r="P967" s="642"/>
      <c r="Q967" s="643"/>
    </row>
    <row r="968" spans="1:23" s="640" customFormat="1" ht="30" customHeight="1" x14ac:dyDescent="0.3">
      <c r="A968" s="2314"/>
      <c r="B968" s="2315" t="s">
        <v>422</v>
      </c>
      <c r="C968" s="2315"/>
      <c r="D968" s="2315"/>
      <c r="E968" s="2315"/>
      <c r="F968" s="907" t="s">
        <v>12</v>
      </c>
      <c r="G968" s="659">
        <f>G969+G970</f>
        <v>20688.28</v>
      </c>
      <c r="H968" s="659">
        <f>H969+H970</f>
        <v>20688.28</v>
      </c>
      <c r="I968" s="659"/>
      <c r="J968" s="659"/>
      <c r="K968" s="659"/>
      <c r="L968" s="659"/>
      <c r="M968" s="97"/>
      <c r="N968" s="97"/>
      <c r="O968" s="13"/>
      <c r="P968" s="643"/>
      <c r="Q968" s="643"/>
    </row>
    <row r="969" spans="1:23" s="640" customFormat="1" ht="30" customHeight="1" x14ac:dyDescent="0.3">
      <c r="A969" s="2314"/>
      <c r="B969" s="2315"/>
      <c r="C969" s="2315"/>
      <c r="D969" s="2315"/>
      <c r="E969" s="2315"/>
      <c r="F969" s="907" t="s">
        <v>13</v>
      </c>
      <c r="G969" s="664">
        <f>H969</f>
        <v>19654</v>
      </c>
      <c r="H969" s="664">
        <f>H972</f>
        <v>19654</v>
      </c>
      <c r="I969" s="664"/>
      <c r="J969" s="664"/>
      <c r="K969" s="664"/>
      <c r="L969" s="664"/>
      <c r="M969" s="97"/>
      <c r="N969" s="97"/>
      <c r="O969" s="13"/>
      <c r="P969" s="643"/>
      <c r="Q969" s="643"/>
    </row>
    <row r="970" spans="1:23" s="640" customFormat="1" ht="30" customHeight="1" x14ac:dyDescent="0.3">
      <c r="A970" s="2314"/>
      <c r="B970" s="2315"/>
      <c r="C970" s="2315"/>
      <c r="D970" s="2315"/>
      <c r="E970" s="2315"/>
      <c r="F970" s="907" t="s">
        <v>14</v>
      </c>
      <c r="G970" s="664">
        <f>H970</f>
        <v>1034.28</v>
      </c>
      <c r="H970" s="664">
        <f>H973</f>
        <v>1034.28</v>
      </c>
      <c r="I970" s="664"/>
      <c r="J970" s="664"/>
      <c r="K970" s="664"/>
      <c r="L970" s="664"/>
      <c r="M970" s="97"/>
      <c r="N970" s="97"/>
      <c r="O970" s="13"/>
      <c r="P970" s="643"/>
      <c r="Q970" s="643"/>
    </row>
    <row r="971" spans="1:23" s="640" customFormat="1" ht="21.75" customHeight="1" x14ac:dyDescent="0.3">
      <c r="A971" s="2314"/>
      <c r="B971" s="1718" t="s">
        <v>1446</v>
      </c>
      <c r="C971" s="1718"/>
      <c r="D971" s="1718"/>
      <c r="E971" s="1718"/>
      <c r="F971" s="907" t="s">
        <v>12</v>
      </c>
      <c r="G971" s="908">
        <f>G972+G973</f>
        <v>20688.28</v>
      </c>
      <c r="H971" s="908">
        <f>H972+H973</f>
        <v>20688.28</v>
      </c>
      <c r="I971" s="908"/>
      <c r="J971" s="908"/>
      <c r="K971" s="908"/>
      <c r="L971" s="908"/>
      <c r="M971" s="97"/>
      <c r="N971" s="97"/>
      <c r="O971" s="13"/>
      <c r="P971" s="643"/>
      <c r="Q971" s="643"/>
    </row>
    <row r="972" spans="1:23" s="640" customFormat="1" ht="21.75" customHeight="1" x14ac:dyDescent="0.3">
      <c r="A972" s="2314"/>
      <c r="B972" s="1718"/>
      <c r="C972" s="1718"/>
      <c r="D972" s="1718"/>
      <c r="E972" s="1718"/>
      <c r="F972" s="907" t="s">
        <v>13</v>
      </c>
      <c r="G972" s="69">
        <f>H972</f>
        <v>19654</v>
      </c>
      <c r="H972" s="69">
        <v>19654</v>
      </c>
      <c r="I972" s="69"/>
      <c r="J972" s="69"/>
      <c r="K972" s="69"/>
      <c r="L972" s="69"/>
      <c r="M972" s="97"/>
      <c r="N972" s="97"/>
      <c r="O972" s="13"/>
      <c r="P972" s="643"/>
      <c r="Q972" s="643"/>
      <c r="W972" s="640">
        <v>1</v>
      </c>
    </row>
    <row r="973" spans="1:23" s="640" customFormat="1" ht="21.75" customHeight="1" x14ac:dyDescent="0.3">
      <c r="A973" s="2314"/>
      <c r="B973" s="1718"/>
      <c r="C973" s="1718"/>
      <c r="D973" s="1718"/>
      <c r="E973" s="1718"/>
      <c r="F973" s="907" t="s">
        <v>14</v>
      </c>
      <c r="G973" s="69">
        <f>H973</f>
        <v>1034.28</v>
      </c>
      <c r="H973" s="69">
        <v>1034.28</v>
      </c>
      <c r="I973" s="69"/>
      <c r="J973" s="69"/>
      <c r="K973" s="69"/>
      <c r="L973" s="69"/>
      <c r="M973" s="97"/>
      <c r="N973" s="97"/>
      <c r="O973" s="13"/>
      <c r="P973" s="643"/>
      <c r="Q973" s="643"/>
    </row>
    <row r="974" spans="1:23" s="648" customFormat="1" ht="44.25" customHeight="1" x14ac:dyDescent="0.3">
      <c r="A974" s="1359" t="s">
        <v>1629</v>
      </c>
      <c r="B974" s="1368" t="s">
        <v>1626</v>
      </c>
      <c r="C974" s="1239"/>
      <c r="D974" s="1239"/>
      <c r="E974" s="1239"/>
      <c r="F974" s="1247" t="s">
        <v>12</v>
      </c>
      <c r="G974" s="682">
        <f t="shared" ref="G974" si="440">G975+G976</f>
        <v>20601</v>
      </c>
      <c r="H974" s="682">
        <f>H975+H976</f>
        <v>20601</v>
      </c>
      <c r="I974" s="682">
        <f t="shared" ref="I974:L974" si="441">I975+I976</f>
        <v>0</v>
      </c>
      <c r="J974" s="682">
        <f t="shared" si="441"/>
        <v>0</v>
      </c>
      <c r="K974" s="682">
        <f t="shared" si="441"/>
        <v>0</v>
      </c>
      <c r="L974" s="646">
        <f t="shared" si="441"/>
        <v>0</v>
      </c>
      <c r="M974" s="94"/>
      <c r="N974" s="97"/>
      <c r="O974" s="97"/>
      <c r="P974" s="1249"/>
    </row>
    <row r="975" spans="1:23" s="648" customFormat="1" ht="61.5" customHeight="1" x14ac:dyDescent="0.3">
      <c r="A975" s="193"/>
      <c r="B975" s="1239"/>
      <c r="C975" s="1239"/>
      <c r="D975" s="1239"/>
      <c r="E975" s="1239"/>
      <c r="F975" s="1247" t="s">
        <v>13</v>
      </c>
      <c r="G975" s="684">
        <f>H975+I975+J975+K975+L975</f>
        <v>19570.95</v>
      </c>
      <c r="H975" s="684">
        <f>H978+H981</f>
        <v>19570.95</v>
      </c>
      <c r="I975" s="684">
        <v>0</v>
      </c>
      <c r="J975" s="684">
        <v>0</v>
      </c>
      <c r="K975" s="684">
        <v>0</v>
      </c>
      <c r="L975" s="649">
        <v>0</v>
      </c>
      <c r="M975" s="1248">
        <f>M978+M995+M1004+M1010+M1038+M1044</f>
        <v>0</v>
      </c>
      <c r="N975" s="97"/>
      <c r="O975" s="97"/>
      <c r="P975" s="1249"/>
    </row>
    <row r="976" spans="1:23" s="648" customFormat="1" ht="69.75" customHeight="1" x14ac:dyDescent="0.3">
      <c r="A976" s="193"/>
      <c r="B976" s="1239"/>
      <c r="C976" s="1239"/>
      <c r="D976" s="1239"/>
      <c r="E976" s="1239"/>
      <c r="F976" s="1247" t="s">
        <v>14</v>
      </c>
      <c r="G976" s="684">
        <f>H976+I976+J976+K976+L976</f>
        <v>1030.05</v>
      </c>
      <c r="H976" s="684">
        <f>H979+H982</f>
        <v>1030.05</v>
      </c>
      <c r="I976" s="684">
        <v>0</v>
      </c>
      <c r="J976" s="684">
        <v>0</v>
      </c>
      <c r="K976" s="684">
        <v>0</v>
      </c>
      <c r="L976" s="649">
        <v>0</v>
      </c>
      <c r="M976" s="94"/>
      <c r="N976" s="97"/>
      <c r="O976" s="97"/>
      <c r="P976" s="1249"/>
    </row>
    <row r="977" spans="1:26" s="640" customFormat="1" ht="44.25" customHeight="1" x14ac:dyDescent="0.3">
      <c r="A977" s="1240"/>
      <c r="B977" s="1217" t="s">
        <v>1627</v>
      </c>
      <c r="C977" s="1208"/>
      <c r="D977" s="1208"/>
      <c r="E977" s="1209"/>
      <c r="F977" s="1215" t="s">
        <v>12</v>
      </c>
      <c r="G977" s="1250">
        <f>G978+G979</f>
        <v>15000</v>
      </c>
      <c r="H977" s="1250">
        <f>H978+H979</f>
        <v>15000</v>
      </c>
      <c r="I977" s="589"/>
      <c r="J977" s="589"/>
      <c r="K977" s="589"/>
      <c r="L977" s="1214"/>
      <c r="M977" s="97"/>
      <c r="N977" s="97"/>
      <c r="O977" s="13"/>
      <c r="P977" s="643"/>
      <c r="Q977" s="643"/>
    </row>
    <row r="978" spans="1:26" s="640" customFormat="1" ht="46.5" customHeight="1" x14ac:dyDescent="0.3">
      <c r="A978" s="193"/>
      <c r="B978" s="1241"/>
      <c r="C978" s="1242"/>
      <c r="D978" s="1242"/>
      <c r="E978" s="1243"/>
      <c r="F978" s="1215" t="s">
        <v>13</v>
      </c>
      <c r="G978" s="1251">
        <f>H978</f>
        <v>14250</v>
      </c>
      <c r="H978" s="1251">
        <v>14250</v>
      </c>
      <c r="I978" s="590"/>
      <c r="J978" s="590"/>
      <c r="K978" s="590"/>
      <c r="L978" s="69"/>
      <c r="M978" s="97"/>
      <c r="N978" s="97"/>
      <c r="O978" s="13"/>
      <c r="P978" s="643"/>
      <c r="Q978" s="643"/>
      <c r="W978" s="640">
        <v>1</v>
      </c>
    </row>
    <row r="979" spans="1:26" s="640" customFormat="1" ht="42" customHeight="1" x14ac:dyDescent="0.3">
      <c r="A979" s="193"/>
      <c r="B979" s="1244"/>
      <c r="C979" s="1245"/>
      <c r="D979" s="1245"/>
      <c r="E979" s="1246"/>
      <c r="F979" s="1215" t="s">
        <v>14</v>
      </c>
      <c r="G979" s="1251">
        <f>H979</f>
        <v>750</v>
      </c>
      <c r="H979" s="1251">
        <v>750</v>
      </c>
      <c r="I979" s="590"/>
      <c r="J979" s="590"/>
      <c r="K979" s="590"/>
      <c r="L979" s="69"/>
      <c r="M979" s="97"/>
      <c r="N979" s="97"/>
      <c r="O979" s="13"/>
      <c r="P979" s="643"/>
      <c r="Q979" s="643"/>
    </row>
    <row r="980" spans="1:26" s="640" customFormat="1" ht="21.75" customHeight="1" x14ac:dyDescent="0.3">
      <c r="A980" s="1240"/>
      <c r="B980" s="1217" t="s">
        <v>1628</v>
      </c>
      <c r="C980" s="1208"/>
      <c r="D980" s="1208"/>
      <c r="E980" s="1209"/>
      <c r="F980" s="1215" t="s">
        <v>12</v>
      </c>
      <c r="G980" s="1250">
        <f>G981+G982</f>
        <v>5601</v>
      </c>
      <c r="H980" s="1250">
        <f>H981+H982</f>
        <v>5601</v>
      </c>
      <c r="I980" s="589"/>
      <c r="J980" s="589"/>
      <c r="K980" s="589"/>
      <c r="L980" s="1214"/>
      <c r="M980" s="97"/>
      <c r="N980" s="97"/>
      <c r="O980" s="13"/>
      <c r="P980" s="643"/>
      <c r="Q980" s="643"/>
    </row>
    <row r="981" spans="1:26" s="640" customFormat="1" ht="47.25" customHeight="1" x14ac:dyDescent="0.3">
      <c r="A981" s="193"/>
      <c r="B981" s="1241"/>
      <c r="C981" s="1242"/>
      <c r="D981" s="1242"/>
      <c r="E981" s="1243"/>
      <c r="F981" s="1215" t="s">
        <v>13</v>
      </c>
      <c r="G981" s="1251">
        <f>H981</f>
        <v>5320.95</v>
      </c>
      <c r="H981" s="1251">
        <v>5320.95</v>
      </c>
      <c r="I981" s="590"/>
      <c r="J981" s="590"/>
      <c r="K981" s="590"/>
      <c r="L981" s="69"/>
      <c r="M981" s="97"/>
      <c r="N981" s="97"/>
      <c r="O981" s="13"/>
      <c r="P981" s="643"/>
      <c r="Q981" s="643"/>
      <c r="W981" s="640">
        <v>1</v>
      </c>
    </row>
    <row r="982" spans="1:26" s="640" customFormat="1" ht="55.5" customHeight="1" x14ac:dyDescent="0.3">
      <c r="A982" s="193"/>
      <c r="B982" s="1244"/>
      <c r="C982" s="1245"/>
      <c r="D982" s="1245"/>
      <c r="E982" s="1246"/>
      <c r="F982" s="1215" t="s">
        <v>14</v>
      </c>
      <c r="G982" s="1251">
        <f>H982</f>
        <v>280.05</v>
      </c>
      <c r="H982" s="1251">
        <v>280.05</v>
      </c>
      <c r="I982" s="590"/>
      <c r="J982" s="590"/>
      <c r="K982" s="590"/>
      <c r="L982" s="69"/>
      <c r="M982" s="97"/>
      <c r="N982" s="97"/>
      <c r="O982" s="13"/>
      <c r="P982" s="643"/>
      <c r="Q982" s="643"/>
    </row>
    <row r="983" spans="1:26" s="41" customFormat="1" x14ac:dyDescent="0.3">
      <c r="A983" s="188"/>
      <c r="B983" s="98"/>
      <c r="C983" s="98"/>
      <c r="D983" s="98"/>
      <c r="E983" s="97"/>
      <c r="F983" s="97"/>
      <c r="G983" s="97"/>
      <c r="H983" s="13"/>
      <c r="I983" s="97"/>
      <c r="J983" s="97"/>
      <c r="K983" s="97"/>
      <c r="L983" s="97"/>
      <c r="M983" s="97"/>
      <c r="N983" s="97"/>
      <c r="O983" s="97"/>
    </row>
    <row r="984" spans="1:26" s="46" customFormat="1" ht="72.75" customHeight="1" x14ac:dyDescent="0.3">
      <c r="A984" s="2297" t="s">
        <v>626</v>
      </c>
      <c r="B984" s="2297"/>
      <c r="C984" s="2297"/>
      <c r="D984" s="2297"/>
      <c r="E984" s="2297"/>
      <c r="F984" s="2297"/>
      <c r="G984" s="2297"/>
      <c r="H984" s="695"/>
      <c r="I984" s="695"/>
      <c r="J984" s="695"/>
      <c r="K984" s="695"/>
      <c r="L984" s="695"/>
      <c r="M984" s="695"/>
      <c r="N984" s="695"/>
      <c r="O984" s="695"/>
      <c r="P984" s="671"/>
      <c r="Q984" s="6"/>
    </row>
    <row r="985" spans="1:26" s="46" customFormat="1" ht="27.75" customHeight="1" x14ac:dyDescent="0.3">
      <c r="A985" s="710"/>
      <c r="B985" s="711"/>
      <c r="C985" s="711"/>
      <c r="D985" s="711"/>
      <c r="E985" s="711"/>
      <c r="F985" s="711"/>
      <c r="G985" s="708" t="s">
        <v>1126</v>
      </c>
      <c r="H985" s="708">
        <v>2018</v>
      </c>
      <c r="I985" s="708">
        <v>2019</v>
      </c>
      <c r="J985" s="708">
        <v>2020</v>
      </c>
      <c r="K985" s="708">
        <v>2021</v>
      </c>
      <c r="L985" s="708">
        <v>2020</v>
      </c>
      <c r="M985" s="709"/>
      <c r="N985" s="692"/>
      <c r="O985" s="693"/>
      <c r="P985" s="671"/>
      <c r="Q985" s="6"/>
    </row>
    <row r="986" spans="1:26" s="648" customFormat="1" ht="27" customHeight="1" x14ac:dyDescent="0.3">
      <c r="A986" s="2314" t="s">
        <v>627</v>
      </c>
      <c r="B986" s="2431" t="s">
        <v>415</v>
      </c>
      <c r="C986" s="2431"/>
      <c r="D986" s="2431"/>
      <c r="E986" s="2431"/>
      <c r="F986" s="699" t="s">
        <v>12</v>
      </c>
      <c r="G986" s="646">
        <f>H986+I986</f>
        <v>284690</v>
      </c>
      <c r="H986" s="646">
        <f>H1013</f>
        <v>221536</v>
      </c>
      <c r="I986" s="646">
        <f t="shared" ref="I986:L986" si="442">I987+I988</f>
        <v>63154</v>
      </c>
      <c r="J986" s="646">
        <f t="shared" si="442"/>
        <v>0</v>
      </c>
      <c r="K986" s="646">
        <f t="shared" si="442"/>
        <v>0</v>
      </c>
      <c r="L986" s="646">
        <f t="shared" si="442"/>
        <v>0</v>
      </c>
      <c r="M986" s="691">
        <v>2018</v>
      </c>
      <c r="N986" s="701">
        <v>2019</v>
      </c>
      <c r="O986" s="651"/>
      <c r="P986" s="647"/>
    </row>
    <row r="987" spans="1:26" s="648" customFormat="1" ht="27" customHeight="1" x14ac:dyDescent="0.3">
      <c r="A987" s="2314"/>
      <c r="B987" s="2431"/>
      <c r="C987" s="2431"/>
      <c r="D987" s="2431"/>
      <c r="E987" s="2431"/>
      <c r="F987" s="699" t="s">
        <v>13</v>
      </c>
      <c r="G987" s="649">
        <f>H987+I987+J987+K987+L987</f>
        <v>284690</v>
      </c>
      <c r="H987" s="646">
        <f>H1013</f>
        <v>221536</v>
      </c>
      <c r="I987" s="646">
        <f t="shared" ref="I987:L987" si="443">I990+I996+I1002+I1008</f>
        <v>63154</v>
      </c>
      <c r="J987" s="646">
        <f t="shared" si="443"/>
        <v>0</v>
      </c>
      <c r="K987" s="646">
        <f t="shared" si="443"/>
        <v>0</v>
      </c>
      <c r="L987" s="646">
        <f t="shared" si="443"/>
        <v>0</v>
      </c>
      <c r="M987" s="649">
        <f>M990+M996+M1002+M1008</f>
        <v>2</v>
      </c>
      <c r="N987" s="702">
        <f>N990+N996+N1002+N1008</f>
        <v>2</v>
      </c>
      <c r="O987" s="651"/>
      <c r="P987" s="647"/>
    </row>
    <row r="988" spans="1:26" s="648" customFormat="1" ht="27" customHeight="1" x14ac:dyDescent="0.3">
      <c r="A988" s="2314"/>
      <c r="B988" s="2431"/>
      <c r="C988" s="2431"/>
      <c r="D988" s="2431"/>
      <c r="E988" s="2431"/>
      <c r="F988" s="699" t="s">
        <v>14</v>
      </c>
      <c r="G988" s="649">
        <f>H988+I988+J988+K988+L988</f>
        <v>0</v>
      </c>
      <c r="H988" s="649">
        <f>H991+H997+H1003+H1009</f>
        <v>0</v>
      </c>
      <c r="I988" s="649">
        <f t="shared" ref="I988:L988" si="444">I991+I997+I1003+I1009</f>
        <v>0</v>
      </c>
      <c r="J988" s="649">
        <f t="shared" si="444"/>
        <v>0</v>
      </c>
      <c r="K988" s="649">
        <f t="shared" si="444"/>
        <v>0</v>
      </c>
      <c r="L988" s="649">
        <f t="shared" si="444"/>
        <v>0</v>
      </c>
      <c r="M988" s="651"/>
      <c r="N988" s="703"/>
      <c r="O988" s="651"/>
      <c r="P988" s="647"/>
      <c r="W988" s="1195">
        <f>SUM(W992:W1011)</f>
        <v>2</v>
      </c>
      <c r="X988" s="1195">
        <f>SUM(X992:X1011)</f>
        <v>2</v>
      </c>
      <c r="Y988" s="1195">
        <f>SUM(Y992:Y1011)</f>
        <v>0</v>
      </c>
      <c r="Z988" s="1195"/>
    </row>
    <row r="989" spans="1:26" s="663" customFormat="1" ht="15" customHeight="1" x14ac:dyDescent="0.3">
      <c r="A989" s="2314" t="s">
        <v>629</v>
      </c>
      <c r="B989" s="2315" t="s">
        <v>418</v>
      </c>
      <c r="C989" s="2315"/>
      <c r="D989" s="2315"/>
      <c r="E989" s="2315"/>
      <c r="F989" s="700" t="s">
        <v>12</v>
      </c>
      <c r="G989" s="659">
        <f t="shared" ref="G989:L989" si="445">G990+G991</f>
        <v>39000</v>
      </c>
      <c r="H989" s="659">
        <f t="shared" si="445"/>
        <v>39000</v>
      </c>
      <c r="I989" s="659">
        <f t="shared" si="445"/>
        <v>0</v>
      </c>
      <c r="J989" s="659">
        <f t="shared" si="445"/>
        <v>0</v>
      </c>
      <c r="K989" s="659">
        <f t="shared" si="445"/>
        <v>0</v>
      </c>
      <c r="L989" s="659">
        <f t="shared" si="445"/>
        <v>0</v>
      </c>
      <c r="M989" s="661"/>
      <c r="N989" s="704"/>
      <c r="O989" s="661"/>
      <c r="P989" s="662"/>
    </row>
    <row r="990" spans="1:26" s="663" customFormat="1" ht="15" customHeight="1" x14ac:dyDescent="0.3">
      <c r="A990" s="2314"/>
      <c r="B990" s="2315"/>
      <c r="C990" s="2315"/>
      <c r="D990" s="2315"/>
      <c r="E990" s="2315"/>
      <c r="F990" s="700" t="s">
        <v>13</v>
      </c>
      <c r="G990" s="664">
        <f>H991+I990+J990+K990+L990</f>
        <v>0</v>
      </c>
      <c r="H990" s="659">
        <f>H993</f>
        <v>39000</v>
      </c>
      <c r="I990" s="664">
        <f t="shared" ref="I990:L990" si="446">I993</f>
        <v>0</v>
      </c>
      <c r="J990" s="664">
        <f t="shared" si="446"/>
        <v>0</v>
      </c>
      <c r="K990" s="664">
        <f t="shared" si="446"/>
        <v>0</v>
      </c>
      <c r="L990" s="664">
        <f t="shared" si="446"/>
        <v>0</v>
      </c>
      <c r="M990" s="664">
        <v>1</v>
      </c>
      <c r="N990" s="704"/>
      <c r="O990" s="661"/>
      <c r="P990" s="662"/>
    </row>
    <row r="991" spans="1:26" s="663" customFormat="1" ht="15" customHeight="1" x14ac:dyDescent="0.3">
      <c r="A991" s="2314"/>
      <c r="B991" s="2315"/>
      <c r="C991" s="2315"/>
      <c r="D991" s="2315"/>
      <c r="E991" s="2315"/>
      <c r="F991" s="700" t="s">
        <v>14</v>
      </c>
      <c r="G991" s="664">
        <f>H992+I991+J991+K991+L991</f>
        <v>39000</v>
      </c>
      <c r="H991" s="664">
        <f>H994</f>
        <v>0</v>
      </c>
      <c r="I991" s="664">
        <f t="shared" ref="I991:L991" si="447">I994</f>
        <v>0</v>
      </c>
      <c r="J991" s="664">
        <f t="shared" si="447"/>
        <v>0</v>
      </c>
      <c r="K991" s="664">
        <f t="shared" si="447"/>
        <v>0</v>
      </c>
      <c r="L991" s="664">
        <f t="shared" si="447"/>
        <v>0</v>
      </c>
      <c r="M991" s="661"/>
      <c r="N991" s="704"/>
      <c r="O991" s="661"/>
      <c r="P991" s="662"/>
    </row>
    <row r="992" spans="1:26" s="640" customFormat="1" ht="15" customHeight="1" x14ac:dyDescent="0.3">
      <c r="A992" s="2314" t="s">
        <v>630</v>
      </c>
      <c r="B992" s="1718" t="s">
        <v>419</v>
      </c>
      <c r="C992" s="1718"/>
      <c r="D992" s="1718"/>
      <c r="E992" s="1718"/>
      <c r="F992" s="475" t="s">
        <v>12</v>
      </c>
      <c r="G992" s="389">
        <f>G993+G994</f>
        <v>39000</v>
      </c>
      <c r="H992" s="389">
        <f t="shared" ref="H992:L992" si="448">H993+H994</f>
        <v>39000</v>
      </c>
      <c r="I992" s="389">
        <f t="shared" si="448"/>
        <v>0</v>
      </c>
      <c r="J992" s="389">
        <f t="shared" si="448"/>
        <v>0</v>
      </c>
      <c r="K992" s="389">
        <f t="shared" si="448"/>
        <v>0</v>
      </c>
      <c r="L992" s="389">
        <f t="shared" si="448"/>
        <v>0</v>
      </c>
      <c r="M992" s="609"/>
      <c r="N992" s="705"/>
      <c r="O992" s="609"/>
      <c r="P992" s="639"/>
      <c r="W992" s="640">
        <v>1</v>
      </c>
    </row>
    <row r="993" spans="1:24" s="640" customFormat="1" ht="15" customHeight="1" x14ac:dyDescent="0.3">
      <c r="A993" s="2314"/>
      <c r="B993" s="1718"/>
      <c r="C993" s="1718"/>
      <c r="D993" s="1718"/>
      <c r="E993" s="1718"/>
      <c r="F993" s="475" t="s">
        <v>13</v>
      </c>
      <c r="G993" s="69">
        <f>H993+I993+J993+K993+L993</f>
        <v>39000</v>
      </c>
      <c r="H993" s="389">
        <v>39000</v>
      </c>
      <c r="I993" s="69">
        <v>0</v>
      </c>
      <c r="J993" s="69">
        <v>0</v>
      </c>
      <c r="K993" s="69">
        <v>0</v>
      </c>
      <c r="L993" s="69">
        <v>0</v>
      </c>
      <c r="M993" s="609"/>
      <c r="N993" s="705"/>
      <c r="O993" s="609"/>
      <c r="P993" s="639"/>
    </row>
    <row r="994" spans="1:24" s="640" customFormat="1" ht="15" customHeight="1" x14ac:dyDescent="0.3">
      <c r="A994" s="2314"/>
      <c r="B994" s="1718"/>
      <c r="C994" s="1718"/>
      <c r="D994" s="1718"/>
      <c r="E994" s="1718"/>
      <c r="F994" s="475" t="s">
        <v>14</v>
      </c>
      <c r="G994" s="69">
        <f>H994+I994+J994+K994+L994</f>
        <v>0</v>
      </c>
      <c r="H994" s="69">
        <v>0</v>
      </c>
      <c r="I994" s="69">
        <v>0</v>
      </c>
      <c r="J994" s="69">
        <v>0</v>
      </c>
      <c r="K994" s="69">
        <v>0</v>
      </c>
      <c r="L994" s="69">
        <v>0</v>
      </c>
      <c r="M994" s="609"/>
      <c r="N994" s="705"/>
      <c r="O994" s="609"/>
      <c r="P994" s="639"/>
    </row>
    <row r="995" spans="1:24" s="663" customFormat="1" ht="15" customHeight="1" x14ac:dyDescent="0.3">
      <c r="A995" s="2314" t="s">
        <v>631</v>
      </c>
      <c r="B995" s="2315" t="s">
        <v>152</v>
      </c>
      <c r="C995" s="2315"/>
      <c r="D995" s="2315"/>
      <c r="E995" s="2315"/>
      <c r="F995" s="700" t="s">
        <v>12</v>
      </c>
      <c r="G995" s="659">
        <f t="shared" ref="G995:L996" si="449">G996+G997</f>
        <v>38798</v>
      </c>
      <c r="H995" s="664">
        <v>0</v>
      </c>
      <c r="I995" s="659">
        <f t="shared" si="449"/>
        <v>0</v>
      </c>
      <c r="J995" s="659">
        <f t="shared" si="449"/>
        <v>0</v>
      </c>
      <c r="K995" s="659">
        <f t="shared" si="449"/>
        <v>0</v>
      </c>
      <c r="L995" s="659">
        <f t="shared" si="449"/>
        <v>0</v>
      </c>
      <c r="M995" s="661"/>
      <c r="N995" s="704"/>
      <c r="O995" s="697"/>
      <c r="P995" s="662"/>
    </row>
    <row r="996" spans="1:24" s="663" customFormat="1" ht="15" customHeight="1" x14ac:dyDescent="0.3">
      <c r="A996" s="2314"/>
      <c r="B996" s="2315"/>
      <c r="C996" s="2315"/>
      <c r="D996" s="2315"/>
      <c r="E996" s="2315"/>
      <c r="F996" s="700" t="s">
        <v>13</v>
      </c>
      <c r="G996" s="664">
        <f>H997+I996+J996+K996+L996</f>
        <v>0</v>
      </c>
      <c r="H996" s="659">
        <f t="shared" si="449"/>
        <v>38798</v>
      </c>
      <c r="I996" s="664">
        <f t="shared" ref="I996:L996" si="450">I999</f>
        <v>0</v>
      </c>
      <c r="J996" s="664">
        <f t="shared" si="450"/>
        <v>0</v>
      </c>
      <c r="K996" s="664">
        <f t="shared" si="450"/>
        <v>0</v>
      </c>
      <c r="L996" s="664">
        <f t="shared" si="450"/>
        <v>0</v>
      </c>
      <c r="M996" s="664">
        <v>1</v>
      </c>
      <c r="N996" s="704"/>
      <c r="O996" s="664"/>
      <c r="P996" s="662"/>
    </row>
    <row r="997" spans="1:24" s="663" customFormat="1" ht="15" customHeight="1" x14ac:dyDescent="0.3">
      <c r="A997" s="2314"/>
      <c r="B997" s="2315"/>
      <c r="C997" s="2315"/>
      <c r="D997" s="2315"/>
      <c r="E997" s="2315"/>
      <c r="F997" s="700" t="s">
        <v>14</v>
      </c>
      <c r="G997" s="664">
        <f>H998+I997+J997+K997+L997</f>
        <v>38798</v>
      </c>
      <c r="H997" s="664">
        <f>H1000</f>
        <v>0</v>
      </c>
      <c r="I997" s="664">
        <f t="shared" ref="I997:L997" si="451">I1000</f>
        <v>0</v>
      </c>
      <c r="J997" s="664">
        <f t="shared" si="451"/>
        <v>0</v>
      </c>
      <c r="K997" s="664">
        <f t="shared" si="451"/>
        <v>0</v>
      </c>
      <c r="L997" s="664">
        <f t="shared" si="451"/>
        <v>0</v>
      </c>
      <c r="M997" s="661"/>
      <c r="N997" s="704"/>
      <c r="O997" s="661"/>
      <c r="P997" s="662"/>
    </row>
    <row r="998" spans="1:24" s="640" customFormat="1" ht="15" customHeight="1" x14ac:dyDescent="0.3">
      <c r="A998" s="2314" t="s">
        <v>632</v>
      </c>
      <c r="B998" s="1718" t="s">
        <v>416</v>
      </c>
      <c r="C998" s="1718"/>
      <c r="D998" s="1718"/>
      <c r="E998" s="1718"/>
      <c r="F998" s="475" t="s">
        <v>12</v>
      </c>
      <c r="G998" s="389">
        <f>G999+G1000</f>
        <v>38798</v>
      </c>
      <c r="H998" s="389">
        <f t="shared" ref="H998:L998" si="452">H999+H1000</f>
        <v>38798</v>
      </c>
      <c r="I998" s="389">
        <f t="shared" si="452"/>
        <v>0</v>
      </c>
      <c r="J998" s="389">
        <f t="shared" si="452"/>
        <v>0</v>
      </c>
      <c r="K998" s="389">
        <f t="shared" si="452"/>
        <v>0</v>
      </c>
      <c r="L998" s="389">
        <f t="shared" si="452"/>
        <v>0</v>
      </c>
      <c r="M998" s="609"/>
      <c r="N998" s="705"/>
      <c r="O998" s="609"/>
      <c r="P998" s="639"/>
    </row>
    <row r="999" spans="1:24" s="640" customFormat="1" ht="15" customHeight="1" x14ac:dyDescent="0.3">
      <c r="A999" s="2314"/>
      <c r="B999" s="1718"/>
      <c r="C999" s="1718"/>
      <c r="D999" s="1718"/>
      <c r="E999" s="1718"/>
      <c r="F999" s="475" t="s">
        <v>13</v>
      </c>
      <c r="G999" s="69">
        <f>H999+I999+J999+K999+L999</f>
        <v>38798</v>
      </c>
      <c r="H999" s="389">
        <v>38798</v>
      </c>
      <c r="I999" s="69">
        <v>0</v>
      </c>
      <c r="J999" s="69">
        <v>0</v>
      </c>
      <c r="K999" s="69">
        <v>0</v>
      </c>
      <c r="L999" s="69">
        <v>0</v>
      </c>
      <c r="M999" s="609"/>
      <c r="N999" s="705"/>
      <c r="O999" s="609"/>
      <c r="P999" s="639"/>
      <c r="W999" s="640">
        <v>1</v>
      </c>
    </row>
    <row r="1000" spans="1:24" s="640" customFormat="1" ht="15" customHeight="1" x14ac:dyDescent="0.3">
      <c r="A1000" s="2314"/>
      <c r="B1000" s="1718"/>
      <c r="C1000" s="1718"/>
      <c r="D1000" s="1718"/>
      <c r="E1000" s="1718"/>
      <c r="F1000" s="475" t="s">
        <v>14</v>
      </c>
      <c r="G1000" s="69">
        <f>H1000+I1000+J1000+K1000+L1000</f>
        <v>0</v>
      </c>
      <c r="H1000" s="69">
        <v>0</v>
      </c>
      <c r="I1000" s="69">
        <v>0</v>
      </c>
      <c r="J1000" s="69">
        <v>0</v>
      </c>
      <c r="K1000" s="69">
        <v>0</v>
      </c>
      <c r="L1000" s="69">
        <v>0</v>
      </c>
      <c r="M1000" s="609"/>
      <c r="N1000" s="705"/>
      <c r="O1000" s="609"/>
      <c r="P1000" s="639"/>
    </row>
    <row r="1001" spans="1:24" s="640" customFormat="1" ht="15" customHeight="1" x14ac:dyDescent="0.3">
      <c r="A1001" s="2314" t="s">
        <v>633</v>
      </c>
      <c r="B1001" s="1718" t="s">
        <v>986</v>
      </c>
      <c r="C1001" s="1718"/>
      <c r="D1001" s="1718"/>
      <c r="E1001" s="1718"/>
      <c r="F1001" s="475" t="s">
        <v>12</v>
      </c>
      <c r="G1001" s="389">
        <f t="shared" ref="G1001:L1002" si="453">G1002+G1003</f>
        <v>53733</v>
      </c>
      <c r="H1001" s="69">
        <v>0</v>
      </c>
      <c r="I1001" s="389">
        <f t="shared" si="453"/>
        <v>53733</v>
      </c>
      <c r="J1001" s="389">
        <f t="shared" si="453"/>
        <v>0</v>
      </c>
      <c r="K1001" s="389">
        <f t="shared" si="453"/>
        <v>0</v>
      </c>
      <c r="L1001" s="389">
        <f t="shared" si="453"/>
        <v>0</v>
      </c>
      <c r="M1001" s="609"/>
      <c r="N1001" s="706">
        <v>2019</v>
      </c>
      <c r="O1001" s="189"/>
      <c r="P1001" s="639"/>
    </row>
    <row r="1002" spans="1:24" s="640" customFormat="1" ht="15" customHeight="1" x14ac:dyDescent="0.3">
      <c r="A1002" s="2314"/>
      <c r="B1002" s="1718"/>
      <c r="C1002" s="1718"/>
      <c r="D1002" s="1718"/>
      <c r="E1002" s="1718"/>
      <c r="F1002" s="475" t="s">
        <v>13</v>
      </c>
      <c r="G1002" s="69">
        <f>H1003+I1002+J1002+K1002+L1002</f>
        <v>53733</v>
      </c>
      <c r="H1002" s="389">
        <f t="shared" si="453"/>
        <v>0</v>
      </c>
      <c r="I1002" s="69">
        <f t="shared" ref="I1002:L1002" si="454">I1005</f>
        <v>53733</v>
      </c>
      <c r="J1002" s="69">
        <f t="shared" si="454"/>
        <v>0</v>
      </c>
      <c r="K1002" s="69">
        <f t="shared" si="454"/>
        <v>0</v>
      </c>
      <c r="L1002" s="69">
        <f t="shared" si="454"/>
        <v>0</v>
      </c>
      <c r="M1002" s="69"/>
      <c r="N1002" s="628">
        <v>1</v>
      </c>
      <c r="O1002" s="69"/>
      <c r="P1002" s="639"/>
    </row>
    <row r="1003" spans="1:24" s="640" customFormat="1" ht="15" customHeight="1" x14ac:dyDescent="0.3">
      <c r="A1003" s="2314"/>
      <c r="B1003" s="1718"/>
      <c r="C1003" s="1718"/>
      <c r="D1003" s="1718"/>
      <c r="E1003" s="1718"/>
      <c r="F1003" s="475" t="s">
        <v>14</v>
      </c>
      <c r="G1003" s="69">
        <f>H1004+I1003+J1003+K1003+L1003</f>
        <v>0</v>
      </c>
      <c r="H1003" s="69">
        <f>H1006</f>
        <v>0</v>
      </c>
      <c r="I1003" s="69">
        <v>0</v>
      </c>
      <c r="J1003" s="69">
        <v>0</v>
      </c>
      <c r="K1003" s="69">
        <v>0</v>
      </c>
      <c r="L1003" s="69">
        <v>0</v>
      </c>
      <c r="M1003" s="609"/>
      <c r="N1003" s="705"/>
      <c r="O1003" s="609"/>
      <c r="P1003" s="639"/>
    </row>
    <row r="1004" spans="1:24" s="640" customFormat="1" ht="15" customHeight="1" x14ac:dyDescent="0.3">
      <c r="A1004" s="2314" t="s">
        <v>634</v>
      </c>
      <c r="B1004" s="1718" t="s">
        <v>417</v>
      </c>
      <c r="C1004" s="1718"/>
      <c r="D1004" s="1718"/>
      <c r="E1004" s="1718"/>
      <c r="F1004" s="475" t="s">
        <v>12</v>
      </c>
      <c r="G1004" s="389">
        <f>G1005+G1006</f>
        <v>53733</v>
      </c>
      <c r="H1004" s="69">
        <f>H1007</f>
        <v>0</v>
      </c>
      <c r="I1004" s="389">
        <f t="shared" ref="H1004:L1005" si="455">I1005+I1006</f>
        <v>53733</v>
      </c>
      <c r="J1004" s="389">
        <f t="shared" si="455"/>
        <v>0</v>
      </c>
      <c r="K1004" s="389">
        <f t="shared" si="455"/>
        <v>0</v>
      </c>
      <c r="L1004" s="389">
        <f t="shared" si="455"/>
        <v>0</v>
      </c>
      <c r="M1004" s="609"/>
      <c r="N1004" s="705"/>
      <c r="O1004" s="609"/>
      <c r="P1004" s="639"/>
      <c r="X1004" s="640">
        <v>1</v>
      </c>
    </row>
    <row r="1005" spans="1:24" s="640" customFormat="1" ht="15" customHeight="1" x14ac:dyDescent="0.3">
      <c r="A1005" s="2314"/>
      <c r="B1005" s="1718"/>
      <c r="C1005" s="1718"/>
      <c r="D1005" s="1718"/>
      <c r="E1005" s="1718"/>
      <c r="F1005" s="475" t="s">
        <v>13</v>
      </c>
      <c r="G1005" s="69">
        <f>H1005+I1005+J1005+K1005+L1005</f>
        <v>53733</v>
      </c>
      <c r="H1005" s="389">
        <f t="shared" si="455"/>
        <v>0</v>
      </c>
      <c r="I1005" s="69">
        <v>53733</v>
      </c>
      <c r="J1005" s="69">
        <v>0</v>
      </c>
      <c r="K1005" s="69">
        <v>0</v>
      </c>
      <c r="L1005" s="69">
        <v>0</v>
      </c>
      <c r="M1005" s="609"/>
      <c r="N1005" s="705"/>
      <c r="O1005" s="609"/>
      <c r="P1005" s="639"/>
    </row>
    <row r="1006" spans="1:24" s="640" customFormat="1" ht="26.25" customHeight="1" x14ac:dyDescent="0.3">
      <c r="A1006" s="2314"/>
      <c r="B1006" s="1718"/>
      <c r="C1006" s="1718"/>
      <c r="D1006" s="1718"/>
      <c r="E1006" s="1718"/>
      <c r="F1006" s="475" t="s">
        <v>14</v>
      </c>
      <c r="G1006" s="69">
        <f>H1006+I1006+J1006+K1006+L1006</f>
        <v>0</v>
      </c>
      <c r="H1006" s="69">
        <v>0</v>
      </c>
      <c r="I1006" s="69">
        <v>0</v>
      </c>
      <c r="J1006" s="69">
        <v>0</v>
      </c>
      <c r="K1006" s="69">
        <v>0</v>
      </c>
      <c r="L1006" s="69">
        <v>0</v>
      </c>
      <c r="M1006" s="609"/>
      <c r="N1006" s="705"/>
      <c r="O1006" s="609"/>
      <c r="P1006" s="639"/>
    </row>
    <row r="1007" spans="1:24" s="663" customFormat="1" ht="15" customHeight="1" x14ac:dyDescent="0.3">
      <c r="A1007" s="2314" t="s">
        <v>635</v>
      </c>
      <c r="B1007" s="2315" t="s">
        <v>232</v>
      </c>
      <c r="C1007" s="2315"/>
      <c r="D1007" s="2315"/>
      <c r="E1007" s="2315"/>
      <c r="F1007" s="700" t="s">
        <v>12</v>
      </c>
      <c r="G1007" s="659">
        <f t="shared" ref="G1007:L1007" si="456">G1008+G1009</f>
        <v>9421</v>
      </c>
      <c r="H1007" s="659">
        <f t="shared" si="456"/>
        <v>0</v>
      </c>
      <c r="I1007" s="659">
        <f t="shared" si="456"/>
        <v>9421</v>
      </c>
      <c r="J1007" s="659">
        <f t="shared" si="456"/>
        <v>0</v>
      </c>
      <c r="K1007" s="659">
        <f t="shared" si="456"/>
        <v>0</v>
      </c>
      <c r="L1007" s="659">
        <f t="shared" si="456"/>
        <v>0</v>
      </c>
      <c r="M1007" s="661"/>
      <c r="N1007" s="707">
        <v>2019</v>
      </c>
      <c r="O1007" s="661"/>
      <c r="P1007" s="662"/>
    </row>
    <row r="1008" spans="1:24" s="663" customFormat="1" ht="15" customHeight="1" x14ac:dyDescent="0.3">
      <c r="A1008" s="2314"/>
      <c r="B1008" s="2315"/>
      <c r="C1008" s="2315"/>
      <c r="D1008" s="2315"/>
      <c r="E1008" s="2315"/>
      <c r="F1008" s="700" t="s">
        <v>13</v>
      </c>
      <c r="G1008" s="664">
        <f>H1009+I1008+J1008+K1008+L1008</f>
        <v>9421</v>
      </c>
      <c r="H1008" s="659">
        <f>H1011</f>
        <v>0</v>
      </c>
      <c r="I1008" s="659">
        <f t="shared" ref="I1008:L1008" si="457">I1011</f>
        <v>9421</v>
      </c>
      <c r="J1008" s="659">
        <f t="shared" si="457"/>
        <v>0</v>
      </c>
      <c r="K1008" s="659">
        <f t="shared" si="457"/>
        <v>0</v>
      </c>
      <c r="L1008" s="659">
        <f t="shared" si="457"/>
        <v>0</v>
      </c>
      <c r="M1008" s="664"/>
      <c r="N1008" s="667">
        <v>1</v>
      </c>
      <c r="O1008" s="661"/>
      <c r="P1008" s="662"/>
    </row>
    <row r="1009" spans="1:24" s="663" customFormat="1" ht="15" customHeight="1" x14ac:dyDescent="0.3">
      <c r="A1009" s="2314"/>
      <c r="B1009" s="2315"/>
      <c r="C1009" s="2315"/>
      <c r="D1009" s="2315"/>
      <c r="E1009" s="2315"/>
      <c r="F1009" s="700" t="s">
        <v>14</v>
      </c>
      <c r="G1009" s="664">
        <f>H1010+I1009+J1009+K1009+L1009</f>
        <v>0</v>
      </c>
      <c r="H1009" s="659">
        <f>H1012</f>
        <v>0</v>
      </c>
      <c r="I1009" s="664">
        <v>0</v>
      </c>
      <c r="J1009" s="664">
        <v>0</v>
      </c>
      <c r="K1009" s="664">
        <v>0</v>
      </c>
      <c r="L1009" s="664">
        <v>0</v>
      </c>
      <c r="M1009" s="661"/>
      <c r="N1009" s="704"/>
      <c r="O1009" s="698"/>
      <c r="P1009" s="662"/>
    </row>
    <row r="1010" spans="1:24" s="640" customFormat="1" ht="15" customHeight="1" x14ac:dyDescent="0.3">
      <c r="A1010" s="2314" t="s">
        <v>636</v>
      </c>
      <c r="B1010" s="1718" t="s">
        <v>420</v>
      </c>
      <c r="C1010" s="1718"/>
      <c r="D1010" s="1718"/>
      <c r="E1010" s="1718"/>
      <c r="F1010" s="475" t="s">
        <v>12</v>
      </c>
      <c r="G1010" s="389">
        <f t="shared" ref="G1010:L1010" si="458">G1011+G1012</f>
        <v>9421</v>
      </c>
      <c r="H1010" s="389">
        <f t="shared" si="458"/>
        <v>0</v>
      </c>
      <c r="I1010" s="389">
        <f t="shared" si="458"/>
        <v>9421</v>
      </c>
      <c r="J1010" s="389">
        <f t="shared" si="458"/>
        <v>0</v>
      </c>
      <c r="K1010" s="389">
        <f t="shared" si="458"/>
        <v>0</v>
      </c>
      <c r="L1010" s="389">
        <f t="shared" si="458"/>
        <v>0</v>
      </c>
      <c r="M1010" s="609"/>
      <c r="N1010" s="705"/>
      <c r="O1010" s="1681" t="s">
        <v>820</v>
      </c>
      <c r="P1010" s="639"/>
    </row>
    <row r="1011" spans="1:24" s="640" customFormat="1" ht="15" customHeight="1" x14ac:dyDescent="0.3">
      <c r="A1011" s="2314"/>
      <c r="B1011" s="1718"/>
      <c r="C1011" s="1718"/>
      <c r="D1011" s="1718"/>
      <c r="E1011" s="1718"/>
      <c r="F1011" s="475" t="s">
        <v>13</v>
      </c>
      <c r="G1011" s="69">
        <f>H1011+I1011+J1011+K1011+L1011</f>
        <v>9421</v>
      </c>
      <c r="H1011" s="389">
        <v>0</v>
      </c>
      <c r="I1011" s="69">
        <v>9421</v>
      </c>
      <c r="J1011" s="69">
        <v>0</v>
      </c>
      <c r="K1011" s="69">
        <v>0</v>
      </c>
      <c r="L1011" s="69">
        <v>0</v>
      </c>
      <c r="M1011" s="609"/>
      <c r="N1011" s="705"/>
      <c r="O1011" s="1681"/>
      <c r="P1011" s="639"/>
      <c r="X1011" s="640">
        <v>1</v>
      </c>
    </row>
    <row r="1012" spans="1:24" s="640" customFormat="1" ht="15" customHeight="1" x14ac:dyDescent="0.3">
      <c r="A1012" s="2314"/>
      <c r="B1012" s="1718"/>
      <c r="C1012" s="1718"/>
      <c r="D1012" s="1718"/>
      <c r="E1012" s="1718"/>
      <c r="F1012" s="475" t="s">
        <v>14</v>
      </c>
      <c r="G1012" s="69">
        <f>H1012+I1012+J1012+K1012+L1012</f>
        <v>0</v>
      </c>
      <c r="H1012" s="69">
        <v>0</v>
      </c>
      <c r="I1012" s="69">
        <v>0</v>
      </c>
      <c r="J1012" s="69">
        <v>0</v>
      </c>
      <c r="K1012" s="69">
        <v>0</v>
      </c>
      <c r="L1012" s="69">
        <v>0</v>
      </c>
      <c r="M1012" s="609"/>
      <c r="N1012" s="705"/>
      <c r="O1012" s="694">
        <v>15</v>
      </c>
      <c r="P1012" s="639"/>
    </row>
    <row r="1013" spans="1:24" s="68" customFormat="1" ht="45" customHeight="1" x14ac:dyDescent="0.3">
      <c r="A1013" s="83"/>
      <c r="B1013" s="42"/>
      <c r="C1013" s="42"/>
      <c r="D1013" s="42"/>
      <c r="E1013" s="21"/>
      <c r="F1013" s="21"/>
      <c r="G1013" s="21"/>
      <c r="H1013" s="1053">
        <v>221536</v>
      </c>
      <c r="I1013" s="21"/>
      <c r="J1013" s="21"/>
      <c r="K1013" s="21"/>
      <c r="L1013" s="21"/>
      <c r="M1013" s="21"/>
      <c r="N1013" s="21"/>
      <c r="O1013" s="1054" t="s">
        <v>1474</v>
      </c>
      <c r="P1013" s="696"/>
      <c r="Q1013" s="6"/>
    </row>
    <row r="1014" spans="1:24" s="1" customFormat="1" ht="36.75" customHeight="1" x14ac:dyDescent="0.3">
      <c r="A1014" s="83"/>
      <c r="B1014" s="42"/>
      <c r="C1014" s="42"/>
      <c r="D1014" s="42"/>
      <c r="E1014" s="21"/>
      <c r="F1014" s="21"/>
      <c r="G1014" s="21"/>
      <c r="H1014" s="21"/>
      <c r="I1014" s="21"/>
      <c r="J1014" s="21"/>
      <c r="K1014" s="21"/>
      <c r="L1014" s="21"/>
      <c r="M1014" s="21"/>
      <c r="N1014" s="21"/>
      <c r="O1014" s="2464"/>
      <c r="P1014" s="72"/>
    </row>
    <row r="1015" spans="1:24" s="1" customFormat="1" ht="44.25" customHeight="1" x14ac:dyDescent="0.3">
      <c r="A1015" s="1358" t="s">
        <v>977</v>
      </c>
      <c r="B1015" s="380"/>
      <c r="C1015" s="380"/>
      <c r="D1015" s="380"/>
      <c r="E1015" s="380"/>
      <c r="F1015" s="380"/>
      <c r="G1015" s="380"/>
      <c r="H1015" s="380"/>
      <c r="I1015" s="380"/>
      <c r="J1015" s="380"/>
      <c r="K1015" s="380"/>
      <c r="L1015" s="380"/>
      <c r="M1015" s="380"/>
      <c r="N1015" s="1319"/>
      <c r="O1015" s="2465"/>
      <c r="P1015" s="72"/>
    </row>
    <row r="1016" spans="1:24" s="1" customFormat="1" ht="45.75" customHeight="1" x14ac:dyDescent="0.3">
      <c r="A1016" s="1666" t="s">
        <v>46</v>
      </c>
      <c r="B1016" s="1666" t="s">
        <v>822</v>
      </c>
      <c r="C1016" s="1666" t="s">
        <v>823</v>
      </c>
      <c r="D1016" s="1666" t="s">
        <v>854</v>
      </c>
      <c r="E1016" s="1666" t="s">
        <v>52</v>
      </c>
      <c r="F1016" s="1666" t="s">
        <v>545</v>
      </c>
      <c r="G1016" s="1601" t="s">
        <v>59</v>
      </c>
      <c r="H1016" s="1603" t="s">
        <v>106</v>
      </c>
      <c r="I1016" s="1603"/>
      <c r="J1016" s="1603"/>
      <c r="K1016" s="1603"/>
      <c r="L1016" s="1603"/>
      <c r="M1016" s="1603"/>
      <c r="N1016" s="1613" t="s">
        <v>50</v>
      </c>
      <c r="O1016" s="2466"/>
      <c r="P1016" s="2462" t="s">
        <v>413</v>
      </c>
      <c r="Q1016" s="11"/>
    </row>
    <row r="1017" spans="1:24" s="1" customFormat="1" ht="45.75" customHeight="1" x14ac:dyDescent="0.3">
      <c r="A1017" s="1667"/>
      <c r="B1017" s="1667"/>
      <c r="C1017" s="1667"/>
      <c r="D1017" s="1667"/>
      <c r="E1017" s="1667"/>
      <c r="F1017" s="1667"/>
      <c r="G1017" s="1601"/>
      <c r="H1017" s="381" t="s">
        <v>33</v>
      </c>
      <c r="I1017" s="381" t="s">
        <v>4</v>
      </c>
      <c r="J1017" s="381" t="s">
        <v>91</v>
      </c>
      <c r="K1017" s="381" t="s">
        <v>90</v>
      </c>
      <c r="L1017" s="381" t="s">
        <v>89</v>
      </c>
      <c r="M1017" s="381" t="s">
        <v>221</v>
      </c>
      <c r="N1017" s="1613"/>
      <c r="O1017" s="2467"/>
      <c r="P1017" s="2463"/>
      <c r="W1017" s="1128">
        <v>1</v>
      </c>
    </row>
    <row r="1018" spans="1:24" s="1" customFormat="1" x14ac:dyDescent="0.3">
      <c r="A1018" s="158">
        <v>1</v>
      </c>
      <c r="B1018" s="154">
        <v>2</v>
      </c>
      <c r="C1018" s="154">
        <v>3</v>
      </c>
      <c r="D1018" s="154">
        <v>4</v>
      </c>
      <c r="E1018" s="154">
        <v>5</v>
      </c>
      <c r="F1018" s="154">
        <v>6</v>
      </c>
      <c r="G1018" s="154">
        <v>7</v>
      </c>
      <c r="H1018" s="154">
        <v>8</v>
      </c>
      <c r="I1018" s="154">
        <v>9</v>
      </c>
      <c r="J1018" s="154">
        <v>10</v>
      </c>
      <c r="K1018" s="154">
        <v>11</v>
      </c>
      <c r="L1018" s="154">
        <v>12</v>
      </c>
      <c r="M1018" s="154">
        <v>13</v>
      </c>
      <c r="N1018" s="155">
        <v>14</v>
      </c>
      <c r="O1018" s="21"/>
      <c r="P1018" s="72"/>
    </row>
    <row r="1019" spans="1:24" s="1" customFormat="1" ht="39.6" x14ac:dyDescent="0.3">
      <c r="A1019" s="1256" t="s">
        <v>702</v>
      </c>
      <c r="B1019" s="1221" t="s">
        <v>866</v>
      </c>
      <c r="C1019" s="1256"/>
      <c r="D1019" s="1256"/>
      <c r="E1019" s="1257"/>
      <c r="F1019" s="1258"/>
      <c r="G1019" s="1259" t="s">
        <v>12</v>
      </c>
      <c r="H1019" s="1260">
        <f t="shared" ref="H1019:M1019" si="459">H1020</f>
        <v>94404.6</v>
      </c>
      <c r="I1019" s="1260">
        <f t="shared" si="459"/>
        <v>94404.6</v>
      </c>
      <c r="J1019" s="1260">
        <f t="shared" si="459"/>
        <v>0</v>
      </c>
      <c r="K1019" s="1260">
        <f t="shared" si="459"/>
        <v>0</v>
      </c>
      <c r="L1019" s="1260">
        <f t="shared" si="459"/>
        <v>0</v>
      </c>
      <c r="M1019" s="1260">
        <f t="shared" si="459"/>
        <v>0</v>
      </c>
      <c r="N1019" s="1261"/>
      <c r="O1019" s="21"/>
      <c r="P1019" s="72"/>
    </row>
    <row r="1020" spans="1:24" s="1" customFormat="1" ht="27" x14ac:dyDescent="0.3">
      <c r="A1020" s="1262"/>
      <c r="B1020" s="1222"/>
      <c r="C1020" s="1262"/>
      <c r="D1020" s="1262"/>
      <c r="E1020" s="1263"/>
      <c r="F1020" s="1258"/>
      <c r="G1020" s="1259" t="s">
        <v>15</v>
      </c>
      <c r="H1020" s="1258">
        <f>H1022</f>
        <v>94404.6</v>
      </c>
      <c r="I1020" s="1258">
        <f>I1021</f>
        <v>94404.6</v>
      </c>
      <c r="J1020" s="1260">
        <f>J1021</f>
        <v>0</v>
      </c>
      <c r="K1020" s="1260">
        <f>K1021</f>
        <v>0</v>
      </c>
      <c r="L1020" s="1260">
        <f>L1021</f>
        <v>0</v>
      </c>
      <c r="M1020" s="1260">
        <f>M1021</f>
        <v>0</v>
      </c>
      <c r="N1020" s="1264"/>
      <c r="O1020" s="21"/>
      <c r="P1020" s="72"/>
    </row>
    <row r="1021" spans="1:24" s="1" customFormat="1" x14ac:dyDescent="0.3">
      <c r="A1021" s="2372" t="s">
        <v>115</v>
      </c>
      <c r="B1021" s="2372" t="s">
        <v>650</v>
      </c>
      <c r="C1021" s="2372" t="s">
        <v>651</v>
      </c>
      <c r="D1021" s="2372"/>
      <c r="E1021" s="2294">
        <f>H1021+F1022</f>
        <v>99923.6</v>
      </c>
      <c r="F1021" s="389">
        <f>F1022</f>
        <v>5519</v>
      </c>
      <c r="G1021" s="390" t="s">
        <v>12</v>
      </c>
      <c r="H1021" s="69">
        <f t="shared" ref="H1021:M1021" si="460">H1022</f>
        <v>94404.6</v>
      </c>
      <c r="I1021" s="69">
        <f t="shared" si="460"/>
        <v>94404.6</v>
      </c>
      <c r="J1021" s="69">
        <f t="shared" si="460"/>
        <v>0</v>
      </c>
      <c r="K1021" s="69">
        <f t="shared" si="460"/>
        <v>0</v>
      </c>
      <c r="L1021" s="69">
        <f t="shared" si="460"/>
        <v>0</v>
      </c>
      <c r="M1021" s="69">
        <f t="shared" si="460"/>
        <v>0</v>
      </c>
      <c r="N1021" s="2464"/>
      <c r="O1021" s="21"/>
      <c r="P1021" s="72"/>
    </row>
    <row r="1022" spans="1:24" s="1" customFormat="1" ht="26.4" x14ac:dyDescent="0.3">
      <c r="A1022" s="2374"/>
      <c r="B1022" s="2374"/>
      <c r="C1022" s="2374"/>
      <c r="D1022" s="2374"/>
      <c r="E1022" s="2295"/>
      <c r="F1022" s="389">
        <v>5519</v>
      </c>
      <c r="G1022" s="390" t="s">
        <v>15</v>
      </c>
      <c r="H1022" s="389">
        <f>SUM(I1022:M1022)</f>
        <v>94404.6</v>
      </c>
      <c r="I1022" s="389">
        <v>94404.6</v>
      </c>
      <c r="J1022" s="389">
        <v>0</v>
      </c>
      <c r="K1022" s="389">
        <v>0</v>
      </c>
      <c r="L1022" s="389">
        <v>0</v>
      </c>
      <c r="M1022" s="389">
        <v>0</v>
      </c>
      <c r="N1022" s="2465"/>
      <c r="O1022" s="21"/>
      <c r="P1022" s="72"/>
    </row>
    <row r="1023" spans="1:24" s="1" customFormat="1" x14ac:dyDescent="0.3">
      <c r="A1023" s="1360" t="s">
        <v>621</v>
      </c>
      <c r="B1023" s="1266" t="s">
        <v>1539</v>
      </c>
      <c r="C1023" s="1267"/>
      <c r="D1023" s="1267"/>
      <c r="E1023" s="1267"/>
      <c r="F1023" s="1268"/>
      <c r="G1023" s="1212" t="s">
        <v>12</v>
      </c>
      <c r="H1023" s="69">
        <f t="shared" ref="H1023:M1023" si="461">H1024</f>
        <v>3680.44</v>
      </c>
      <c r="I1023" s="69">
        <f t="shared" si="461"/>
        <v>3680.44</v>
      </c>
      <c r="J1023" s="69">
        <f t="shared" si="461"/>
        <v>0</v>
      </c>
      <c r="K1023" s="69">
        <f t="shared" si="461"/>
        <v>0</v>
      </c>
      <c r="L1023" s="69">
        <f t="shared" si="461"/>
        <v>0</v>
      </c>
      <c r="M1023" s="69">
        <f t="shared" si="461"/>
        <v>0</v>
      </c>
      <c r="N1023" s="1225"/>
      <c r="O1023" s="21"/>
      <c r="P1023" s="72"/>
    </row>
    <row r="1024" spans="1:24" s="1" customFormat="1" ht="26.4" x14ac:dyDescent="0.3">
      <c r="A1024" s="1361"/>
      <c r="B1024" s="1269"/>
      <c r="C1024" s="1270"/>
      <c r="D1024" s="1270"/>
      <c r="E1024" s="1270"/>
      <c r="F1024" s="1271"/>
      <c r="G1024" s="1212" t="s">
        <v>15</v>
      </c>
      <c r="H1024" s="1214">
        <f>H1026+H1028+H1030+H1032+H1034</f>
        <v>3680.44</v>
      </c>
      <c r="I1024" s="1214">
        <f>I1026+I1028+I1030+I1032+I1034</f>
        <v>3680.44</v>
      </c>
      <c r="J1024" s="69">
        <f t="shared" ref="J1024:M1025" si="462">J1025</f>
        <v>0</v>
      </c>
      <c r="K1024" s="69">
        <f t="shared" si="462"/>
        <v>0</v>
      </c>
      <c r="L1024" s="69">
        <f t="shared" si="462"/>
        <v>0</v>
      </c>
      <c r="M1024" s="69">
        <f t="shared" si="462"/>
        <v>0</v>
      </c>
      <c r="N1024" s="1226"/>
      <c r="O1024" s="21"/>
      <c r="P1024" s="72"/>
    </row>
    <row r="1025" spans="1:16" s="1" customFormat="1" ht="52.8" x14ac:dyDescent="0.3">
      <c r="A1025" s="1360" t="s">
        <v>149</v>
      </c>
      <c r="B1025" s="1221" t="s">
        <v>1630</v>
      </c>
      <c r="C1025" s="1221" t="s">
        <v>264</v>
      </c>
      <c r="D1025" s="1221"/>
      <c r="E1025" s="1218">
        <v>21463.14</v>
      </c>
      <c r="F1025" s="1214">
        <v>20681.75</v>
      </c>
      <c r="G1025" s="1212" t="s">
        <v>12</v>
      </c>
      <c r="H1025" s="69">
        <f>H1026</f>
        <v>781.39</v>
      </c>
      <c r="I1025" s="69">
        <f>I1026</f>
        <v>781.39</v>
      </c>
      <c r="J1025" s="69">
        <f t="shared" si="462"/>
        <v>0</v>
      </c>
      <c r="K1025" s="69">
        <f t="shared" si="462"/>
        <v>0</v>
      </c>
      <c r="L1025" s="69">
        <f t="shared" si="462"/>
        <v>0</v>
      </c>
      <c r="M1025" s="69">
        <f t="shared" si="462"/>
        <v>0</v>
      </c>
      <c r="N1025" s="1221"/>
      <c r="O1025" s="21"/>
      <c r="P1025" s="72"/>
    </row>
    <row r="1026" spans="1:16" s="1" customFormat="1" ht="26.4" x14ac:dyDescent="0.3">
      <c r="A1026" s="1361"/>
      <c r="B1026" s="1222"/>
      <c r="C1026" s="1222"/>
      <c r="D1026" s="1222"/>
      <c r="E1026" s="1219"/>
      <c r="F1026" s="1214">
        <v>0</v>
      </c>
      <c r="G1026" s="1212" t="s">
        <v>15</v>
      </c>
      <c r="H1026" s="1214">
        <f>I1026</f>
        <v>781.39</v>
      </c>
      <c r="I1026" s="1214">
        <v>781.39</v>
      </c>
      <c r="J1026" s="1214">
        <v>0</v>
      </c>
      <c r="K1026" s="1214">
        <v>0</v>
      </c>
      <c r="L1026" s="1214">
        <v>0</v>
      </c>
      <c r="M1026" s="1214">
        <v>0</v>
      </c>
      <c r="N1026" s="1222"/>
      <c r="O1026" s="21"/>
      <c r="P1026" s="72"/>
    </row>
    <row r="1027" spans="1:16" s="1" customFormat="1" ht="52.8" x14ac:dyDescent="0.3">
      <c r="A1027" s="1360" t="s">
        <v>160</v>
      </c>
      <c r="B1027" s="1221" t="s">
        <v>1631</v>
      </c>
      <c r="C1027" s="1221" t="s">
        <v>264</v>
      </c>
      <c r="D1027" s="1221"/>
      <c r="E1027" s="1218">
        <v>15281.75</v>
      </c>
      <c r="F1027" s="1214">
        <v>14244.4</v>
      </c>
      <c r="G1027" s="1212" t="s">
        <v>12</v>
      </c>
      <c r="H1027" s="69">
        <f t="shared" ref="H1027:M1027" si="463">H1028</f>
        <v>1037.3499999999999</v>
      </c>
      <c r="I1027" s="69">
        <f t="shared" si="463"/>
        <v>1037.3499999999999</v>
      </c>
      <c r="J1027" s="69">
        <f t="shared" si="463"/>
        <v>0</v>
      </c>
      <c r="K1027" s="69">
        <f t="shared" si="463"/>
        <v>0</v>
      </c>
      <c r="L1027" s="69">
        <f t="shared" si="463"/>
        <v>0</v>
      </c>
      <c r="M1027" s="69">
        <f t="shared" si="463"/>
        <v>0</v>
      </c>
      <c r="N1027" s="1225"/>
      <c r="O1027" s="21"/>
      <c r="P1027" s="72"/>
    </row>
    <row r="1028" spans="1:16" s="1" customFormat="1" ht="26.4" x14ac:dyDescent="0.3">
      <c r="A1028" s="1361"/>
      <c r="B1028" s="1222"/>
      <c r="C1028" s="1222"/>
      <c r="D1028" s="1222"/>
      <c r="E1028" s="1219"/>
      <c r="F1028" s="1214"/>
      <c r="G1028" s="1212" t="s">
        <v>15</v>
      </c>
      <c r="H1028" s="1214">
        <f>I1028</f>
        <v>1037.3499999999999</v>
      </c>
      <c r="I1028" s="1214">
        <v>1037.3499999999999</v>
      </c>
      <c r="J1028" s="69">
        <f t="shared" ref="J1028:M1029" si="464">J1029</f>
        <v>0</v>
      </c>
      <c r="K1028" s="69">
        <f t="shared" si="464"/>
        <v>0</v>
      </c>
      <c r="L1028" s="69">
        <f t="shared" si="464"/>
        <v>0</v>
      </c>
      <c r="M1028" s="69">
        <f t="shared" si="464"/>
        <v>0</v>
      </c>
      <c r="N1028" s="1226"/>
      <c r="O1028" s="21"/>
      <c r="P1028" s="72"/>
    </row>
    <row r="1029" spans="1:16" s="1" customFormat="1" ht="52.8" x14ac:dyDescent="0.3">
      <c r="A1029" s="1360" t="s">
        <v>596</v>
      </c>
      <c r="B1029" s="1255" t="s">
        <v>1632</v>
      </c>
      <c r="C1029" s="1221" t="s">
        <v>264</v>
      </c>
      <c r="D1029" s="1221"/>
      <c r="E1029" s="1218">
        <v>34144.44</v>
      </c>
      <c r="F1029" s="1214">
        <v>33045.18</v>
      </c>
      <c r="G1029" s="1212" t="s">
        <v>12</v>
      </c>
      <c r="H1029" s="69">
        <f>H1030</f>
        <v>1099.26</v>
      </c>
      <c r="I1029" s="69">
        <f>I1030</f>
        <v>1099.26</v>
      </c>
      <c r="J1029" s="69">
        <f t="shared" si="464"/>
        <v>0</v>
      </c>
      <c r="K1029" s="69">
        <f t="shared" si="464"/>
        <v>0</v>
      </c>
      <c r="L1029" s="69">
        <f t="shared" si="464"/>
        <v>0</v>
      </c>
      <c r="M1029" s="69">
        <f t="shared" si="464"/>
        <v>0</v>
      </c>
      <c r="N1029" s="1225"/>
      <c r="O1029" s="21"/>
      <c r="P1029" s="72"/>
    </row>
    <row r="1030" spans="1:16" s="1" customFormat="1" ht="26.4" x14ac:dyDescent="0.3">
      <c r="A1030" s="1361"/>
      <c r="B1030" s="1222"/>
      <c r="C1030" s="1222"/>
      <c r="D1030" s="1222"/>
      <c r="E1030" s="1219"/>
      <c r="F1030" s="1214">
        <v>0</v>
      </c>
      <c r="G1030" s="1212" t="s">
        <v>15</v>
      </c>
      <c r="H1030" s="1214">
        <f>I1030</f>
        <v>1099.26</v>
      </c>
      <c r="I1030" s="1214">
        <v>1099.26</v>
      </c>
      <c r="J1030" s="1214">
        <v>0</v>
      </c>
      <c r="K1030" s="1214">
        <v>0</v>
      </c>
      <c r="L1030" s="1214">
        <v>0</v>
      </c>
      <c r="M1030" s="1214">
        <v>0</v>
      </c>
      <c r="N1030" s="1226"/>
      <c r="O1030" s="21"/>
      <c r="P1030" s="72"/>
    </row>
    <row r="1031" spans="1:16" s="1" customFormat="1" ht="52.8" x14ac:dyDescent="0.3">
      <c r="A1031" s="1360" t="s">
        <v>606</v>
      </c>
      <c r="B1031" s="1255" t="s">
        <v>1633</v>
      </c>
      <c r="C1031" s="1221" t="s">
        <v>264</v>
      </c>
      <c r="D1031" s="1221"/>
      <c r="E1031" s="1218">
        <v>11206.86</v>
      </c>
      <c r="F1031" s="1214">
        <v>10894.12</v>
      </c>
      <c r="G1031" s="1212" t="s">
        <v>12</v>
      </c>
      <c r="H1031" s="69">
        <f t="shared" ref="H1031:M1031" si="465">H1032</f>
        <v>312.74</v>
      </c>
      <c r="I1031" s="69">
        <f t="shared" si="465"/>
        <v>312.74</v>
      </c>
      <c r="J1031" s="69">
        <f t="shared" si="465"/>
        <v>0</v>
      </c>
      <c r="K1031" s="69">
        <f t="shared" si="465"/>
        <v>0</v>
      </c>
      <c r="L1031" s="69">
        <f t="shared" si="465"/>
        <v>0</v>
      </c>
      <c r="M1031" s="69">
        <f t="shared" si="465"/>
        <v>0</v>
      </c>
      <c r="N1031" s="1225"/>
      <c r="O1031" s="21"/>
      <c r="P1031" s="72"/>
    </row>
    <row r="1032" spans="1:16" s="1" customFormat="1" ht="26.4" x14ac:dyDescent="0.3">
      <c r="A1032" s="1361"/>
      <c r="B1032" s="1222"/>
      <c r="C1032" s="1222"/>
      <c r="D1032" s="1222"/>
      <c r="E1032" s="1219"/>
      <c r="F1032" s="1214">
        <v>0</v>
      </c>
      <c r="G1032" s="1212" t="s">
        <v>15</v>
      </c>
      <c r="H1032" s="1214">
        <f>I1032</f>
        <v>312.74</v>
      </c>
      <c r="I1032" s="1214">
        <v>312.74</v>
      </c>
      <c r="J1032" s="69">
        <f t="shared" ref="J1032:M1033" si="466">J1033</f>
        <v>0</v>
      </c>
      <c r="K1032" s="69">
        <f t="shared" si="466"/>
        <v>0</v>
      </c>
      <c r="L1032" s="69">
        <f t="shared" si="466"/>
        <v>0</v>
      </c>
      <c r="M1032" s="69">
        <f t="shared" si="466"/>
        <v>0</v>
      </c>
      <c r="N1032" s="1226"/>
      <c r="O1032" s="21"/>
      <c r="P1032" s="72"/>
    </row>
    <row r="1033" spans="1:16" s="1" customFormat="1" ht="52.8" x14ac:dyDescent="0.3">
      <c r="A1033" s="1360" t="s">
        <v>649</v>
      </c>
      <c r="B1033" s="1255" t="s">
        <v>1634</v>
      </c>
      <c r="C1033" s="1221" t="s">
        <v>264</v>
      </c>
      <c r="D1033" s="1221"/>
      <c r="E1033" s="1218">
        <v>35243.71</v>
      </c>
      <c r="F1033" s="1214">
        <v>34794.01</v>
      </c>
      <c r="G1033" s="1212" t="s">
        <v>12</v>
      </c>
      <c r="H1033" s="69">
        <f>H1034</f>
        <v>449.7</v>
      </c>
      <c r="I1033" s="69">
        <f>I1034</f>
        <v>449.7</v>
      </c>
      <c r="J1033" s="69">
        <f t="shared" si="466"/>
        <v>0</v>
      </c>
      <c r="K1033" s="69">
        <f t="shared" si="466"/>
        <v>0</v>
      </c>
      <c r="L1033" s="69">
        <f t="shared" si="466"/>
        <v>0</v>
      </c>
      <c r="M1033" s="69">
        <f t="shared" si="466"/>
        <v>0</v>
      </c>
      <c r="N1033" s="1225"/>
      <c r="O1033" s="21"/>
      <c r="P1033" s="72"/>
    </row>
    <row r="1034" spans="1:16" s="1" customFormat="1" ht="26.4" x14ac:dyDescent="0.3">
      <c r="A1034" s="1361"/>
      <c r="B1034" s="1222"/>
      <c r="C1034" s="1222"/>
      <c r="D1034" s="1222"/>
      <c r="E1034" s="1219"/>
      <c r="F1034" s="1214">
        <v>0</v>
      </c>
      <c r="G1034" s="1212" t="s">
        <v>15</v>
      </c>
      <c r="H1034" s="1214">
        <f>I1034</f>
        <v>449.7</v>
      </c>
      <c r="I1034" s="1214">
        <v>449.7</v>
      </c>
      <c r="J1034" s="1214">
        <v>0</v>
      </c>
      <c r="K1034" s="1214">
        <v>0</v>
      </c>
      <c r="L1034" s="1214">
        <v>0</v>
      </c>
      <c r="M1034" s="1214">
        <v>0</v>
      </c>
      <c r="N1034" s="1226"/>
      <c r="O1034" s="21"/>
      <c r="P1034" s="72"/>
    </row>
    <row r="1035" spans="1:16" s="1" customFormat="1" ht="26.4" x14ac:dyDescent="0.3">
      <c r="A1035" s="1755" t="s">
        <v>54</v>
      </c>
      <c r="B1035" s="1756"/>
      <c r="C1035" s="1756"/>
      <c r="D1035" s="1756"/>
      <c r="E1035" s="1757"/>
      <c r="F1035" s="389"/>
      <c r="G1035" s="1212" t="s">
        <v>15</v>
      </c>
      <c r="H1035" s="389">
        <f>H1036</f>
        <v>98085.04</v>
      </c>
      <c r="I1035" s="389">
        <f>I1036</f>
        <v>98085.04</v>
      </c>
      <c r="J1035" s="389">
        <f t="shared" ref="J1035:M1035" si="467">J1036</f>
        <v>0</v>
      </c>
      <c r="K1035" s="389">
        <f t="shared" si="467"/>
        <v>0</v>
      </c>
      <c r="L1035" s="389">
        <f t="shared" si="467"/>
        <v>0</v>
      </c>
      <c r="M1035" s="389">
        <f t="shared" si="467"/>
        <v>0</v>
      </c>
      <c r="N1035" s="2483"/>
      <c r="O1035" s="21"/>
      <c r="P1035" s="72"/>
    </row>
    <row r="1036" spans="1:16" s="1" customFormat="1" ht="26.4" x14ac:dyDescent="0.3">
      <c r="A1036" s="1761"/>
      <c r="B1036" s="1762"/>
      <c r="C1036" s="1762"/>
      <c r="D1036" s="1762"/>
      <c r="E1036" s="1763"/>
      <c r="F1036" s="389">
        <v>0</v>
      </c>
      <c r="G1036" s="1212" t="s">
        <v>15</v>
      </c>
      <c r="H1036" s="389">
        <f>SUM(I1036:M1036)</f>
        <v>98085.04</v>
      </c>
      <c r="I1036" s="389">
        <f>I1022+I1024</f>
        <v>98085.04</v>
      </c>
      <c r="J1036" s="389">
        <v>0</v>
      </c>
      <c r="K1036" s="389">
        <f t="shared" ref="K1036:M1036" si="468">K1022</f>
        <v>0</v>
      </c>
      <c r="L1036" s="389">
        <f t="shared" si="468"/>
        <v>0</v>
      </c>
      <c r="M1036" s="389">
        <f t="shared" si="468"/>
        <v>0</v>
      </c>
      <c r="N1036" s="2484"/>
      <c r="O1036" s="21"/>
      <c r="P1036" s="72"/>
    </row>
  </sheetData>
  <customSheetViews>
    <customSheetView guid="{7DDEA387-EEC9-4633-99BE-C0D9299FB093}" scale="70" showPageBreaks="1" fitToPage="1" printArea="1" hiddenRows="1" view="pageBreakPreview">
      <pane xSplit="16" topLeftCell="Q1" activePane="topRight" state="frozen"/>
      <selection pane="topRight" activeCell="F9" sqref="F9"/>
      <rowBreaks count="31" manualBreakCount="31">
        <brk id="14" max="14" man="1"/>
        <brk id="35" max="14" man="1"/>
        <brk id="53" max="14" man="1"/>
        <brk id="71" max="14" man="1"/>
        <brk id="86" max="14" man="1"/>
        <brk id="107" max="14" man="1"/>
        <brk id="128" max="14" man="1"/>
        <brk id="151" max="14" man="1"/>
        <brk id="160" max="14" man="1"/>
        <brk id="209" max="14" man="1"/>
        <brk id="280" max="14" man="1"/>
        <brk id="298" max="14" man="1"/>
        <brk id="316" max="14" man="1"/>
        <brk id="347" max="14" man="1"/>
        <brk id="378" max="14" man="1"/>
        <brk id="400" max="14" man="1"/>
        <brk id="448" max="14" man="1"/>
        <brk id="517" max="14" man="1"/>
        <brk id="532" max="14" man="1"/>
        <brk id="634" max="14" man="1"/>
        <brk id="685" max="14" man="1"/>
        <brk id="722" max="14" man="1"/>
        <brk id="743" max="14" man="1"/>
        <brk id="773" max="14" man="1"/>
        <brk id="800" max="14" man="1"/>
        <brk id="813" max="14" man="1"/>
        <brk id="840" max="14" man="1"/>
        <brk id="861" max="14" man="1"/>
        <brk id="895" max="14" man="1"/>
        <brk id="943" max="14" man="1"/>
        <brk id="976" max="14" man="1"/>
      </rowBreaks>
      <pageMargins left="0.70866141732283472" right="0.70866141732283472" top="0.74803149606299213" bottom="0.74803149606299213" header="0.31496062992125984" footer="0.31496062992125984"/>
      <pageSetup paperSize="9" scale="56" fitToHeight="0" orientation="landscape" r:id="rId1"/>
    </customSheetView>
    <customSheetView guid="{6592EBC0-D945-4F6F-93D1-49FCB588A4A0}" scale="70" showPageBreaks="1" printArea="1" hiddenRows="1" view="pageBreakPreview" topLeftCell="A238">
      <selection activeCell="Q244" sqref="Q244"/>
      <pageMargins left="0" right="0" top="0" bottom="0" header="0.31496062992125984" footer="0.31496062992125984"/>
      <pageSetup paperSize="9" scale="65" fitToHeight="0" orientation="landscape" r:id="rId2"/>
    </customSheetView>
    <customSheetView guid="{001F394D-7E32-49E0-9108-A9790B233A9D}" scale="70" showPageBreaks="1" fitToPage="1" printArea="1" hiddenRows="1" view="pageBreakPreview" topLeftCell="A818">
      <selection activeCell="Q822" sqref="Q822"/>
      <rowBreaks count="31" manualBreakCount="31">
        <brk id="14" max="14" man="1"/>
        <brk id="35" max="14" man="1"/>
        <brk id="53" max="14" man="1"/>
        <brk id="71" max="14" man="1"/>
        <brk id="86" max="14" man="1"/>
        <brk id="107" max="14" man="1"/>
        <brk id="128" max="14" man="1"/>
        <brk id="151" max="14" man="1"/>
        <brk id="160" max="14" man="1"/>
        <brk id="209" max="14" man="1"/>
        <brk id="286" max="14" man="1"/>
        <brk id="304" max="14" man="1"/>
        <brk id="322" max="14" man="1"/>
        <brk id="353" max="14" man="1"/>
        <brk id="384" max="14" man="1"/>
        <brk id="406" max="14" man="1"/>
        <brk id="454" max="14" man="1"/>
        <brk id="523" max="14" man="1"/>
        <brk id="538" max="14" man="1"/>
        <brk id="640" max="14" man="1"/>
        <brk id="691" max="14" man="1"/>
        <brk id="728" max="14" man="1"/>
        <brk id="749" max="14" man="1"/>
        <brk id="779" max="14" man="1"/>
        <brk id="806" max="14" man="1"/>
        <brk id="819" max="14" man="1"/>
        <brk id="846" max="14" man="1"/>
        <brk id="870" max="14" man="1"/>
        <brk id="904" max="14" man="1"/>
        <brk id="952" max="14" man="1"/>
        <brk id="985" max="14" man="1"/>
      </rowBreaks>
      <pageMargins left="0.70866141732283472" right="0.70866141732283472" top="0.74803149606299213" bottom="0.74803149606299213" header="0.31496062992125984" footer="0.31496062992125984"/>
      <pageSetup paperSize="9" scale="59" fitToHeight="0" orientation="landscape" r:id="rId3"/>
    </customSheetView>
    <customSheetView guid="{F08E63B0-D6C4-4E18-B2B6-E1E751FE7DF2}" scale="70" showPageBreaks="1" printArea="1" hiddenRows="1" topLeftCell="A950">
      <selection activeCell="G960" sqref="G960:G961"/>
      <rowBreaks count="31" manualBreakCount="31">
        <brk id="14" max="14" man="1"/>
        <brk id="35" max="14" man="1"/>
        <brk id="53" max="14" man="1"/>
        <brk id="71" max="14" man="1"/>
        <brk id="86" max="14" man="1"/>
        <brk id="107" max="14" man="1"/>
        <brk id="128" max="14" man="1"/>
        <brk id="151" max="14" man="1"/>
        <brk id="160" max="14" man="1"/>
        <brk id="209" max="14" man="1"/>
        <brk id="286" max="14" man="1"/>
        <brk id="304" max="14" man="1"/>
        <brk id="322" max="14" man="1"/>
        <brk id="353" max="14" man="1"/>
        <brk id="384" max="14" man="1"/>
        <brk id="406" max="14" man="1"/>
        <brk id="454" max="14" man="1"/>
        <brk id="523" max="14" man="1"/>
        <brk id="538" max="14" man="1"/>
        <brk id="640" max="14" man="1"/>
        <brk id="691" max="14" man="1"/>
        <brk id="728" max="14" man="1"/>
        <brk id="749" max="14" man="1"/>
        <brk id="779" max="14" man="1"/>
        <brk id="806" max="14" man="1"/>
        <brk id="819" max="14" man="1"/>
        <brk id="846" max="14" man="1"/>
        <brk id="867" max="14" man="1"/>
        <brk id="901" max="14" man="1"/>
        <brk id="958" max="14" man="1"/>
        <brk id="991" max="14" man="1"/>
      </rowBreaks>
      <pageMargins left="0.70866141732283472" right="0.70866141732283472" top="0.74803149606299213" bottom="0.74803149606299213" header="0.31496062992125984" footer="0.31496062992125984"/>
      <pageSetup paperSize="9" scale="56" fitToWidth="0" fitToHeight="0" orientation="landscape" r:id="rId4"/>
    </customSheetView>
    <customSheetView guid="{D32E4BC6-6FD7-4441-855E-C6B8F80A132E}" scale="70" showPageBreaks="1" fitToPage="1" printArea="1" hiddenRows="1" view="pageBreakPreview" topLeftCell="A273">
      <selection activeCell="A154" sqref="A154:XFD154"/>
      <rowBreaks count="31" manualBreakCount="31">
        <brk id="14" max="14" man="1"/>
        <brk id="35" max="14" man="1"/>
        <brk id="53" max="14" man="1"/>
        <brk id="71" max="14" man="1"/>
        <brk id="86" max="14" man="1"/>
        <brk id="107" max="14" man="1"/>
        <brk id="128" max="14" man="1"/>
        <brk id="151" max="14" man="1"/>
        <brk id="161" max="14" man="1"/>
        <brk id="210" max="14" man="1"/>
        <brk id="281" max="14" man="1"/>
        <brk id="299" max="14" man="1"/>
        <brk id="317" max="14" man="1"/>
        <brk id="348" max="14" man="1"/>
        <brk id="379" max="14" man="1"/>
        <brk id="401" max="14" man="1"/>
        <brk id="449" max="14" man="1"/>
        <brk id="518" max="14" man="1"/>
        <brk id="533" max="14" man="1"/>
        <brk id="635" max="14" man="1"/>
        <brk id="686" max="14" man="1"/>
        <brk id="723" max="14" man="1"/>
        <brk id="744" max="14" man="1"/>
        <brk id="774" max="14" man="1"/>
        <brk id="801" max="14" man="1"/>
        <brk id="814" max="14" man="1"/>
        <brk id="841" max="14" man="1"/>
        <brk id="862" max="14" man="1"/>
        <brk id="896" max="14" man="1"/>
        <brk id="944" max="14" man="1"/>
        <brk id="977" max="14" man="1"/>
      </rowBreaks>
      <pageMargins left="0.70866141732283472" right="0.70866141732283472" top="0.74803149606299213" bottom="0.74803149606299213" header="0.31496062992125984" footer="0.31496062992125984"/>
      <pageSetup paperSize="9" scale="57" fitToHeight="0" orientation="landscape" r:id="rId5"/>
    </customSheetView>
  </customSheetViews>
  <mergeCells count="5371">
    <mergeCell ref="D274:D276"/>
    <mergeCell ref="E274:E276"/>
    <mergeCell ref="N274:N276"/>
    <mergeCell ref="A277:A279"/>
    <mergeCell ref="B277:B279"/>
    <mergeCell ref="C277:C279"/>
    <mergeCell ref="D277:D279"/>
    <mergeCell ref="E277:E279"/>
    <mergeCell ref="N277:N279"/>
    <mergeCell ref="A280:A282"/>
    <mergeCell ref="B280:B282"/>
    <mergeCell ref="C280:C282"/>
    <mergeCell ref="D280:D282"/>
    <mergeCell ref="E280:E282"/>
    <mergeCell ref="N280:N282"/>
    <mergeCell ref="A283:A285"/>
    <mergeCell ref="XBF512:XBI514"/>
    <mergeCell ref="WSX512:WTA514"/>
    <mergeCell ref="WTE512:WTE514"/>
    <mergeCell ref="WTF512:WTI514"/>
    <mergeCell ref="XBE512:XBE514"/>
    <mergeCell ref="WWG512:WWG514"/>
    <mergeCell ref="WWH512:WWK514"/>
    <mergeCell ref="WWO512:WWO514"/>
    <mergeCell ref="WWP512:WWS514"/>
    <mergeCell ref="WWW512:WWW514"/>
    <mergeCell ref="WWX512:WXA514"/>
    <mergeCell ref="WXE512:WXE514"/>
    <mergeCell ref="WXF512:WXI514"/>
    <mergeCell ref="WXM512:WXM514"/>
    <mergeCell ref="WUT512:WUW514"/>
    <mergeCell ref="WVA512:WVA514"/>
    <mergeCell ref="A938:A940"/>
    <mergeCell ref="B938:E940"/>
    <mergeCell ref="WZB512:WZE514"/>
    <mergeCell ref="WZI512:WZI514"/>
    <mergeCell ref="WZJ512:WZM514"/>
    <mergeCell ref="WZQ512:WZQ514"/>
    <mergeCell ref="A286:A288"/>
    <mergeCell ref="B286:B288"/>
    <mergeCell ref="C286:C288"/>
    <mergeCell ref="N286:N288"/>
    <mergeCell ref="A883:A885"/>
    <mergeCell ref="B883:E885"/>
    <mergeCell ref="A895:A897"/>
    <mergeCell ref="B895:E897"/>
    <mergeCell ref="A898:A900"/>
    <mergeCell ref="B898:E900"/>
    <mergeCell ref="WYD512:WYG514"/>
    <mergeCell ref="WYK512:WYK514"/>
    <mergeCell ref="WYL512:WYO514"/>
    <mergeCell ref="WYS512:WYS514"/>
    <mergeCell ref="A641:A643"/>
    <mergeCell ref="B641:E643"/>
    <mergeCell ref="WSP512:WSS514"/>
    <mergeCell ref="WSW512:WSW514"/>
    <mergeCell ref="WPM512:WPM514"/>
    <mergeCell ref="WPN512:WPQ514"/>
    <mergeCell ref="WPU512:WPU514"/>
    <mergeCell ref="WPV512:WPY514"/>
    <mergeCell ref="WQC512:WQC514"/>
    <mergeCell ref="WQD512:WQG514"/>
    <mergeCell ref="WQK512:WQK514"/>
    <mergeCell ref="WQL512:WQO514"/>
    <mergeCell ref="XEP512:XES514"/>
    <mergeCell ref="XEW512:XEW514"/>
    <mergeCell ref="XEX512:XFA514"/>
    <mergeCell ref="XDB512:XDE514"/>
    <mergeCell ref="XDI512:XDI514"/>
    <mergeCell ref="XDJ512:XDM514"/>
    <mergeCell ref="XDQ512:XDQ514"/>
    <mergeCell ref="XDR512:XDU514"/>
    <mergeCell ref="XDY512:XDY514"/>
    <mergeCell ref="XDZ512:XEC514"/>
    <mergeCell ref="XEG512:XEG514"/>
    <mergeCell ref="XEH512:XEK514"/>
    <mergeCell ref="XBU512:XBU514"/>
    <mergeCell ref="XBV512:XBY514"/>
    <mergeCell ref="XCC512:XCC514"/>
    <mergeCell ref="XCD512:XCG514"/>
    <mergeCell ref="XCK512:XCK514"/>
    <mergeCell ref="XCL512:XCO514"/>
    <mergeCell ref="XCS512:XCS514"/>
    <mergeCell ref="XCT512:XCW514"/>
    <mergeCell ref="XDA512:XDA514"/>
    <mergeCell ref="WZZ512:XAC514"/>
    <mergeCell ref="XAG512:XAG514"/>
    <mergeCell ref="WXN512:WXQ514"/>
    <mergeCell ref="WXU512:WXU514"/>
    <mergeCell ref="WXV512:WXY514"/>
    <mergeCell ref="WYC512:WYC514"/>
    <mergeCell ref="WYT512:WYW514"/>
    <mergeCell ref="WTM512:WTM514"/>
    <mergeCell ref="WTN512:WTQ514"/>
    <mergeCell ref="WTU512:WTU514"/>
    <mergeCell ref="WTV512:WTY514"/>
    <mergeCell ref="WUC512:WUC514"/>
    <mergeCell ref="WUD512:WUG514"/>
    <mergeCell ref="WUK512:WUK514"/>
    <mergeCell ref="WUL512:WUO514"/>
    <mergeCell ref="WUS512:WUS514"/>
    <mergeCell ref="XEO512:XEO514"/>
    <mergeCell ref="XBM512:XBM514"/>
    <mergeCell ref="XBN512:XBQ514"/>
    <mergeCell ref="XAX512:XBA514"/>
    <mergeCell ref="WZA512:WZA514"/>
    <mergeCell ref="XAH512:XAK514"/>
    <mergeCell ref="XAO512:XAO514"/>
    <mergeCell ref="XAP512:XAS514"/>
    <mergeCell ref="XAW512:XAW514"/>
    <mergeCell ref="WVB512:WVE514"/>
    <mergeCell ref="WVI512:WVI514"/>
    <mergeCell ref="WVJ512:WVM514"/>
    <mergeCell ref="WVQ512:WVQ514"/>
    <mergeCell ref="WVR512:WVU514"/>
    <mergeCell ref="WVY512:WVY514"/>
    <mergeCell ref="WVZ512:WWC514"/>
    <mergeCell ref="WZR512:WZU514"/>
    <mergeCell ref="WZY512:WZY514"/>
    <mergeCell ref="WRZ512:WSC514"/>
    <mergeCell ref="WSG512:WSG514"/>
    <mergeCell ref="WSH512:WSK514"/>
    <mergeCell ref="WSO512:WSO514"/>
    <mergeCell ref="WNY512:WNY514"/>
    <mergeCell ref="WNZ512:WOC514"/>
    <mergeCell ref="WOG512:WOG514"/>
    <mergeCell ref="WOH512:WOK514"/>
    <mergeCell ref="WOO512:WOO514"/>
    <mergeCell ref="WOP512:WOS514"/>
    <mergeCell ref="WOW512:WOW514"/>
    <mergeCell ref="WOX512:WPA514"/>
    <mergeCell ref="WPE512:WPE514"/>
    <mergeCell ref="WML512:WMO514"/>
    <mergeCell ref="WMS512:WMS514"/>
    <mergeCell ref="WMT512:WMW514"/>
    <mergeCell ref="WNA512:WNA514"/>
    <mergeCell ref="WNB512:WNE514"/>
    <mergeCell ref="WNI512:WNI514"/>
    <mergeCell ref="WNJ512:WNM514"/>
    <mergeCell ref="WNQ512:WNQ514"/>
    <mergeCell ref="WNR512:WNU514"/>
    <mergeCell ref="WQS512:WQS514"/>
    <mergeCell ref="WQT512:WQW514"/>
    <mergeCell ref="WRA512:WRA514"/>
    <mergeCell ref="WRB512:WRE514"/>
    <mergeCell ref="WRI512:WRI514"/>
    <mergeCell ref="WRJ512:WRM514"/>
    <mergeCell ref="WRQ512:WRQ514"/>
    <mergeCell ref="WRR512:WRU514"/>
    <mergeCell ref="WRY512:WRY514"/>
    <mergeCell ref="WPF512:WPI514"/>
    <mergeCell ref="WLE512:WLE514"/>
    <mergeCell ref="WLF512:WLI514"/>
    <mergeCell ref="WLM512:WLM514"/>
    <mergeCell ref="WLN512:WLQ514"/>
    <mergeCell ref="WLU512:WLU514"/>
    <mergeCell ref="WLV512:WLY514"/>
    <mergeCell ref="WMC512:WMC514"/>
    <mergeCell ref="WMD512:WMG514"/>
    <mergeCell ref="WMK512:WMK514"/>
    <mergeCell ref="WJR512:WJU514"/>
    <mergeCell ref="WJY512:WJY514"/>
    <mergeCell ref="WJZ512:WKC514"/>
    <mergeCell ref="WKG512:WKG514"/>
    <mergeCell ref="WKH512:WKK514"/>
    <mergeCell ref="WKO512:WKO514"/>
    <mergeCell ref="WKP512:WKS514"/>
    <mergeCell ref="WKW512:WKW514"/>
    <mergeCell ref="WKX512:WLA514"/>
    <mergeCell ref="WIK512:WIK514"/>
    <mergeCell ref="WIL512:WIO514"/>
    <mergeCell ref="WIS512:WIS514"/>
    <mergeCell ref="WIT512:WIW514"/>
    <mergeCell ref="WJA512:WJA514"/>
    <mergeCell ref="WJB512:WJE514"/>
    <mergeCell ref="WJI512:WJI514"/>
    <mergeCell ref="WJJ512:WJM514"/>
    <mergeCell ref="WJQ512:WJQ514"/>
    <mergeCell ref="WGX512:WHA514"/>
    <mergeCell ref="WHE512:WHE514"/>
    <mergeCell ref="WHF512:WHI514"/>
    <mergeCell ref="WHM512:WHM514"/>
    <mergeCell ref="WHN512:WHQ514"/>
    <mergeCell ref="WHU512:WHU514"/>
    <mergeCell ref="WHV512:WHY514"/>
    <mergeCell ref="WIC512:WIC514"/>
    <mergeCell ref="WID512:WIG514"/>
    <mergeCell ref="WFQ512:WFQ514"/>
    <mergeCell ref="WFR512:WFU514"/>
    <mergeCell ref="WFY512:WFY514"/>
    <mergeCell ref="WFZ512:WGC514"/>
    <mergeCell ref="WGG512:WGG514"/>
    <mergeCell ref="WGH512:WGK514"/>
    <mergeCell ref="WGO512:WGO514"/>
    <mergeCell ref="WGP512:WGS514"/>
    <mergeCell ref="WGW512:WGW514"/>
    <mergeCell ref="WED512:WEG514"/>
    <mergeCell ref="WEK512:WEK514"/>
    <mergeCell ref="WEL512:WEO514"/>
    <mergeCell ref="WES512:WES514"/>
    <mergeCell ref="WET512:WEW514"/>
    <mergeCell ref="WFA512:WFA514"/>
    <mergeCell ref="WFB512:WFE514"/>
    <mergeCell ref="WFI512:WFI514"/>
    <mergeCell ref="WFJ512:WFM514"/>
    <mergeCell ref="WCW512:WCW514"/>
    <mergeCell ref="WCX512:WDA514"/>
    <mergeCell ref="WDE512:WDE514"/>
    <mergeCell ref="WDF512:WDI514"/>
    <mergeCell ref="WDM512:WDM514"/>
    <mergeCell ref="WDN512:WDQ514"/>
    <mergeCell ref="WDU512:WDU514"/>
    <mergeCell ref="WDV512:WDY514"/>
    <mergeCell ref="WEC512:WEC514"/>
    <mergeCell ref="WBJ512:WBM514"/>
    <mergeCell ref="WBQ512:WBQ514"/>
    <mergeCell ref="WBR512:WBU514"/>
    <mergeCell ref="WBY512:WBY514"/>
    <mergeCell ref="WBZ512:WCC514"/>
    <mergeCell ref="WCG512:WCG514"/>
    <mergeCell ref="WCH512:WCK514"/>
    <mergeCell ref="WCO512:WCO514"/>
    <mergeCell ref="WCP512:WCS514"/>
    <mergeCell ref="WAC512:WAC514"/>
    <mergeCell ref="WAD512:WAG514"/>
    <mergeCell ref="WAK512:WAK514"/>
    <mergeCell ref="WAL512:WAO514"/>
    <mergeCell ref="WAS512:WAS514"/>
    <mergeCell ref="WAT512:WAW514"/>
    <mergeCell ref="WBA512:WBA514"/>
    <mergeCell ref="WBB512:WBE514"/>
    <mergeCell ref="WBI512:WBI514"/>
    <mergeCell ref="VYP512:VYS514"/>
    <mergeCell ref="VYW512:VYW514"/>
    <mergeCell ref="VYX512:VZA514"/>
    <mergeCell ref="VZE512:VZE514"/>
    <mergeCell ref="VZF512:VZI514"/>
    <mergeCell ref="VZM512:VZM514"/>
    <mergeCell ref="VZN512:VZQ514"/>
    <mergeCell ref="VZU512:VZU514"/>
    <mergeCell ref="VZV512:VZY514"/>
    <mergeCell ref="VXI512:VXI514"/>
    <mergeCell ref="VXJ512:VXM514"/>
    <mergeCell ref="VXQ512:VXQ514"/>
    <mergeCell ref="VXR512:VXU514"/>
    <mergeCell ref="VXY512:VXY514"/>
    <mergeCell ref="VXZ512:VYC514"/>
    <mergeCell ref="VYG512:VYG514"/>
    <mergeCell ref="VYH512:VYK514"/>
    <mergeCell ref="VYO512:VYO514"/>
    <mergeCell ref="VVV512:VVY514"/>
    <mergeCell ref="VWC512:VWC514"/>
    <mergeCell ref="VWD512:VWG514"/>
    <mergeCell ref="VWK512:VWK514"/>
    <mergeCell ref="VWL512:VWO514"/>
    <mergeCell ref="VWS512:VWS514"/>
    <mergeCell ref="VWT512:VWW514"/>
    <mergeCell ref="VXA512:VXA514"/>
    <mergeCell ref="VXB512:VXE514"/>
    <mergeCell ref="VUO512:VUO514"/>
    <mergeCell ref="VUP512:VUS514"/>
    <mergeCell ref="VUW512:VUW514"/>
    <mergeCell ref="VUX512:VVA514"/>
    <mergeCell ref="VVE512:VVE514"/>
    <mergeCell ref="VVF512:VVI514"/>
    <mergeCell ref="VVM512:VVM514"/>
    <mergeCell ref="VVN512:VVQ514"/>
    <mergeCell ref="VVU512:VVU514"/>
    <mergeCell ref="VTB512:VTE514"/>
    <mergeCell ref="VTI512:VTI514"/>
    <mergeCell ref="VTJ512:VTM514"/>
    <mergeCell ref="VTQ512:VTQ514"/>
    <mergeCell ref="VTR512:VTU514"/>
    <mergeCell ref="VTY512:VTY514"/>
    <mergeCell ref="VTZ512:VUC514"/>
    <mergeCell ref="VUG512:VUG514"/>
    <mergeCell ref="VUH512:VUK514"/>
    <mergeCell ref="VRU512:VRU514"/>
    <mergeCell ref="VRV512:VRY514"/>
    <mergeCell ref="VSC512:VSC514"/>
    <mergeCell ref="VSD512:VSG514"/>
    <mergeCell ref="VSK512:VSK514"/>
    <mergeCell ref="VSL512:VSO514"/>
    <mergeCell ref="VSS512:VSS514"/>
    <mergeCell ref="VST512:VSW514"/>
    <mergeCell ref="VTA512:VTA514"/>
    <mergeCell ref="VQH512:VQK514"/>
    <mergeCell ref="VQO512:VQO514"/>
    <mergeCell ref="VQP512:VQS514"/>
    <mergeCell ref="VQW512:VQW514"/>
    <mergeCell ref="VQX512:VRA514"/>
    <mergeCell ref="VRE512:VRE514"/>
    <mergeCell ref="VRF512:VRI514"/>
    <mergeCell ref="VRM512:VRM514"/>
    <mergeCell ref="VRN512:VRQ514"/>
    <mergeCell ref="VPA512:VPA514"/>
    <mergeCell ref="VPB512:VPE514"/>
    <mergeCell ref="VPI512:VPI514"/>
    <mergeCell ref="VPJ512:VPM514"/>
    <mergeCell ref="VPQ512:VPQ514"/>
    <mergeCell ref="VPR512:VPU514"/>
    <mergeCell ref="VPY512:VPY514"/>
    <mergeCell ref="VPZ512:VQC514"/>
    <mergeCell ref="VQG512:VQG514"/>
    <mergeCell ref="VNN512:VNQ514"/>
    <mergeCell ref="VNU512:VNU514"/>
    <mergeCell ref="VNV512:VNY514"/>
    <mergeCell ref="VOC512:VOC514"/>
    <mergeCell ref="VOD512:VOG514"/>
    <mergeCell ref="VOK512:VOK514"/>
    <mergeCell ref="VOL512:VOO514"/>
    <mergeCell ref="VOS512:VOS514"/>
    <mergeCell ref="VOT512:VOW514"/>
    <mergeCell ref="VMG512:VMG514"/>
    <mergeCell ref="VMH512:VMK514"/>
    <mergeCell ref="VMO512:VMO514"/>
    <mergeCell ref="VMP512:VMS514"/>
    <mergeCell ref="VMW512:VMW514"/>
    <mergeCell ref="VMX512:VNA514"/>
    <mergeCell ref="VNE512:VNE514"/>
    <mergeCell ref="VNF512:VNI514"/>
    <mergeCell ref="VNM512:VNM514"/>
    <mergeCell ref="VKT512:VKW514"/>
    <mergeCell ref="VLA512:VLA514"/>
    <mergeCell ref="VLB512:VLE514"/>
    <mergeCell ref="VLI512:VLI514"/>
    <mergeCell ref="VLJ512:VLM514"/>
    <mergeCell ref="VLQ512:VLQ514"/>
    <mergeCell ref="VLR512:VLU514"/>
    <mergeCell ref="VLY512:VLY514"/>
    <mergeCell ref="VLZ512:VMC514"/>
    <mergeCell ref="VJM512:VJM514"/>
    <mergeCell ref="VJN512:VJQ514"/>
    <mergeCell ref="VJU512:VJU514"/>
    <mergeCell ref="VJV512:VJY514"/>
    <mergeCell ref="VKC512:VKC514"/>
    <mergeCell ref="VKD512:VKG514"/>
    <mergeCell ref="VKK512:VKK514"/>
    <mergeCell ref="VKL512:VKO514"/>
    <mergeCell ref="VKS512:VKS514"/>
    <mergeCell ref="VHZ512:VIC514"/>
    <mergeCell ref="VIG512:VIG514"/>
    <mergeCell ref="VIH512:VIK514"/>
    <mergeCell ref="VIO512:VIO514"/>
    <mergeCell ref="VIP512:VIS514"/>
    <mergeCell ref="VIW512:VIW514"/>
    <mergeCell ref="VIX512:VJA514"/>
    <mergeCell ref="VJE512:VJE514"/>
    <mergeCell ref="VJF512:VJI514"/>
    <mergeCell ref="VGS512:VGS514"/>
    <mergeCell ref="VGT512:VGW514"/>
    <mergeCell ref="VHA512:VHA514"/>
    <mergeCell ref="VHB512:VHE514"/>
    <mergeCell ref="VHI512:VHI514"/>
    <mergeCell ref="VHJ512:VHM514"/>
    <mergeCell ref="VHQ512:VHQ514"/>
    <mergeCell ref="VHR512:VHU514"/>
    <mergeCell ref="VHY512:VHY514"/>
    <mergeCell ref="VFF512:VFI514"/>
    <mergeCell ref="VFM512:VFM514"/>
    <mergeCell ref="VFN512:VFQ514"/>
    <mergeCell ref="VFU512:VFU514"/>
    <mergeCell ref="VFV512:VFY514"/>
    <mergeCell ref="VGC512:VGC514"/>
    <mergeCell ref="VGD512:VGG514"/>
    <mergeCell ref="VGK512:VGK514"/>
    <mergeCell ref="VGL512:VGO514"/>
    <mergeCell ref="VDY512:VDY514"/>
    <mergeCell ref="VDZ512:VEC514"/>
    <mergeCell ref="VEG512:VEG514"/>
    <mergeCell ref="VEH512:VEK514"/>
    <mergeCell ref="VEO512:VEO514"/>
    <mergeCell ref="VEP512:VES514"/>
    <mergeCell ref="VEW512:VEW514"/>
    <mergeCell ref="VEX512:VFA514"/>
    <mergeCell ref="VFE512:VFE514"/>
    <mergeCell ref="VCL512:VCO514"/>
    <mergeCell ref="VCS512:VCS514"/>
    <mergeCell ref="VCT512:VCW514"/>
    <mergeCell ref="VDA512:VDA514"/>
    <mergeCell ref="VDB512:VDE514"/>
    <mergeCell ref="VDI512:VDI514"/>
    <mergeCell ref="VDJ512:VDM514"/>
    <mergeCell ref="VDQ512:VDQ514"/>
    <mergeCell ref="VDR512:VDU514"/>
    <mergeCell ref="VBE512:VBE514"/>
    <mergeCell ref="VBF512:VBI514"/>
    <mergeCell ref="VBM512:VBM514"/>
    <mergeCell ref="VBN512:VBQ514"/>
    <mergeCell ref="VBU512:VBU514"/>
    <mergeCell ref="VBV512:VBY514"/>
    <mergeCell ref="VCC512:VCC514"/>
    <mergeCell ref="VCD512:VCG514"/>
    <mergeCell ref="VCK512:VCK514"/>
    <mergeCell ref="UZR512:UZU514"/>
    <mergeCell ref="UZY512:UZY514"/>
    <mergeCell ref="UZZ512:VAC514"/>
    <mergeCell ref="VAG512:VAG514"/>
    <mergeCell ref="VAH512:VAK514"/>
    <mergeCell ref="VAO512:VAO514"/>
    <mergeCell ref="VAP512:VAS514"/>
    <mergeCell ref="VAW512:VAW514"/>
    <mergeCell ref="VAX512:VBA514"/>
    <mergeCell ref="UYK512:UYK514"/>
    <mergeCell ref="UYL512:UYO514"/>
    <mergeCell ref="UYS512:UYS514"/>
    <mergeCell ref="UYT512:UYW514"/>
    <mergeCell ref="UZA512:UZA514"/>
    <mergeCell ref="UZB512:UZE514"/>
    <mergeCell ref="UZI512:UZI514"/>
    <mergeCell ref="UZJ512:UZM514"/>
    <mergeCell ref="UZQ512:UZQ514"/>
    <mergeCell ref="UWX512:UXA514"/>
    <mergeCell ref="UXE512:UXE514"/>
    <mergeCell ref="UXF512:UXI514"/>
    <mergeCell ref="UXM512:UXM514"/>
    <mergeCell ref="UXN512:UXQ514"/>
    <mergeCell ref="UXU512:UXU514"/>
    <mergeCell ref="UXV512:UXY514"/>
    <mergeCell ref="UYC512:UYC514"/>
    <mergeCell ref="UYD512:UYG514"/>
    <mergeCell ref="UVQ512:UVQ514"/>
    <mergeCell ref="UVR512:UVU514"/>
    <mergeCell ref="UVY512:UVY514"/>
    <mergeCell ref="UVZ512:UWC514"/>
    <mergeCell ref="UWG512:UWG514"/>
    <mergeCell ref="UWH512:UWK514"/>
    <mergeCell ref="UWO512:UWO514"/>
    <mergeCell ref="UWP512:UWS514"/>
    <mergeCell ref="UWW512:UWW514"/>
    <mergeCell ref="UUD512:UUG514"/>
    <mergeCell ref="UUK512:UUK514"/>
    <mergeCell ref="UUL512:UUO514"/>
    <mergeCell ref="UUS512:UUS514"/>
    <mergeCell ref="UUT512:UUW514"/>
    <mergeCell ref="UVA512:UVA514"/>
    <mergeCell ref="UVB512:UVE514"/>
    <mergeCell ref="UVI512:UVI514"/>
    <mergeCell ref="UVJ512:UVM514"/>
    <mergeCell ref="USW512:USW514"/>
    <mergeCell ref="USX512:UTA514"/>
    <mergeCell ref="UTE512:UTE514"/>
    <mergeCell ref="UTF512:UTI514"/>
    <mergeCell ref="UTM512:UTM514"/>
    <mergeCell ref="UTN512:UTQ514"/>
    <mergeCell ref="UTU512:UTU514"/>
    <mergeCell ref="UTV512:UTY514"/>
    <mergeCell ref="UUC512:UUC514"/>
    <mergeCell ref="URJ512:URM514"/>
    <mergeCell ref="URQ512:URQ514"/>
    <mergeCell ref="URR512:URU514"/>
    <mergeCell ref="URY512:URY514"/>
    <mergeCell ref="URZ512:USC514"/>
    <mergeCell ref="USG512:USG514"/>
    <mergeCell ref="USH512:USK514"/>
    <mergeCell ref="USO512:USO514"/>
    <mergeCell ref="USP512:USS514"/>
    <mergeCell ref="UQC512:UQC514"/>
    <mergeCell ref="UQD512:UQG514"/>
    <mergeCell ref="UQK512:UQK514"/>
    <mergeCell ref="UQL512:UQO514"/>
    <mergeCell ref="UQS512:UQS514"/>
    <mergeCell ref="UQT512:UQW514"/>
    <mergeCell ref="URA512:URA514"/>
    <mergeCell ref="URB512:URE514"/>
    <mergeCell ref="URI512:URI514"/>
    <mergeCell ref="UOP512:UOS514"/>
    <mergeCell ref="UOW512:UOW514"/>
    <mergeCell ref="UOX512:UPA514"/>
    <mergeCell ref="UPE512:UPE514"/>
    <mergeCell ref="UPF512:UPI514"/>
    <mergeCell ref="UPM512:UPM514"/>
    <mergeCell ref="UPN512:UPQ514"/>
    <mergeCell ref="UPU512:UPU514"/>
    <mergeCell ref="UPV512:UPY514"/>
    <mergeCell ref="UNI512:UNI514"/>
    <mergeCell ref="UNJ512:UNM514"/>
    <mergeCell ref="UNQ512:UNQ514"/>
    <mergeCell ref="UNR512:UNU514"/>
    <mergeCell ref="UNY512:UNY514"/>
    <mergeCell ref="UNZ512:UOC514"/>
    <mergeCell ref="UOG512:UOG514"/>
    <mergeCell ref="UOH512:UOK514"/>
    <mergeCell ref="UOO512:UOO514"/>
    <mergeCell ref="ULV512:ULY514"/>
    <mergeCell ref="UMC512:UMC514"/>
    <mergeCell ref="UMD512:UMG514"/>
    <mergeCell ref="UMK512:UMK514"/>
    <mergeCell ref="UML512:UMO514"/>
    <mergeCell ref="UMS512:UMS514"/>
    <mergeCell ref="UMT512:UMW514"/>
    <mergeCell ref="UNA512:UNA514"/>
    <mergeCell ref="UNB512:UNE514"/>
    <mergeCell ref="UKO512:UKO514"/>
    <mergeCell ref="UKP512:UKS514"/>
    <mergeCell ref="UKW512:UKW514"/>
    <mergeCell ref="UKX512:ULA514"/>
    <mergeCell ref="ULE512:ULE514"/>
    <mergeCell ref="ULF512:ULI514"/>
    <mergeCell ref="ULM512:ULM514"/>
    <mergeCell ref="ULN512:ULQ514"/>
    <mergeCell ref="ULU512:ULU514"/>
    <mergeCell ref="UJB512:UJE514"/>
    <mergeCell ref="UJI512:UJI514"/>
    <mergeCell ref="UJJ512:UJM514"/>
    <mergeCell ref="UJQ512:UJQ514"/>
    <mergeCell ref="UJR512:UJU514"/>
    <mergeCell ref="UJY512:UJY514"/>
    <mergeCell ref="UJZ512:UKC514"/>
    <mergeCell ref="UKG512:UKG514"/>
    <mergeCell ref="UKH512:UKK514"/>
    <mergeCell ref="UHU512:UHU514"/>
    <mergeCell ref="UHV512:UHY514"/>
    <mergeCell ref="UIC512:UIC514"/>
    <mergeCell ref="UID512:UIG514"/>
    <mergeCell ref="UIK512:UIK514"/>
    <mergeCell ref="UIL512:UIO514"/>
    <mergeCell ref="UIS512:UIS514"/>
    <mergeCell ref="UIT512:UIW514"/>
    <mergeCell ref="UJA512:UJA514"/>
    <mergeCell ref="UGH512:UGK514"/>
    <mergeCell ref="UGO512:UGO514"/>
    <mergeCell ref="UGP512:UGS514"/>
    <mergeCell ref="UGW512:UGW514"/>
    <mergeCell ref="UGX512:UHA514"/>
    <mergeCell ref="UHE512:UHE514"/>
    <mergeCell ref="UHF512:UHI514"/>
    <mergeCell ref="UHM512:UHM514"/>
    <mergeCell ref="UHN512:UHQ514"/>
    <mergeCell ref="UFA512:UFA514"/>
    <mergeCell ref="UFB512:UFE514"/>
    <mergeCell ref="UFI512:UFI514"/>
    <mergeCell ref="UFJ512:UFM514"/>
    <mergeCell ref="UFQ512:UFQ514"/>
    <mergeCell ref="UFR512:UFU514"/>
    <mergeCell ref="UFY512:UFY514"/>
    <mergeCell ref="UFZ512:UGC514"/>
    <mergeCell ref="UGG512:UGG514"/>
    <mergeCell ref="UDN512:UDQ514"/>
    <mergeCell ref="UDU512:UDU514"/>
    <mergeCell ref="UDV512:UDY514"/>
    <mergeCell ref="UEC512:UEC514"/>
    <mergeCell ref="UED512:UEG514"/>
    <mergeCell ref="UEK512:UEK514"/>
    <mergeCell ref="UEL512:UEO514"/>
    <mergeCell ref="UES512:UES514"/>
    <mergeCell ref="UET512:UEW514"/>
    <mergeCell ref="UCG512:UCG514"/>
    <mergeCell ref="UCH512:UCK514"/>
    <mergeCell ref="UCO512:UCO514"/>
    <mergeCell ref="UCP512:UCS514"/>
    <mergeCell ref="UCW512:UCW514"/>
    <mergeCell ref="UCX512:UDA514"/>
    <mergeCell ref="UDE512:UDE514"/>
    <mergeCell ref="UDF512:UDI514"/>
    <mergeCell ref="UDM512:UDM514"/>
    <mergeCell ref="UAT512:UAW514"/>
    <mergeCell ref="UBA512:UBA514"/>
    <mergeCell ref="UBB512:UBE514"/>
    <mergeCell ref="UBI512:UBI514"/>
    <mergeCell ref="UBJ512:UBM514"/>
    <mergeCell ref="UBQ512:UBQ514"/>
    <mergeCell ref="UBR512:UBU514"/>
    <mergeCell ref="UBY512:UBY514"/>
    <mergeCell ref="UBZ512:UCC514"/>
    <mergeCell ref="TZM512:TZM514"/>
    <mergeCell ref="TZN512:TZQ514"/>
    <mergeCell ref="TZU512:TZU514"/>
    <mergeCell ref="TZV512:TZY514"/>
    <mergeCell ref="UAC512:UAC514"/>
    <mergeCell ref="UAD512:UAG514"/>
    <mergeCell ref="UAK512:UAK514"/>
    <mergeCell ref="UAL512:UAO514"/>
    <mergeCell ref="UAS512:UAS514"/>
    <mergeCell ref="TXZ512:TYC514"/>
    <mergeCell ref="TYG512:TYG514"/>
    <mergeCell ref="TYH512:TYK514"/>
    <mergeCell ref="TYO512:TYO514"/>
    <mergeCell ref="TYP512:TYS514"/>
    <mergeCell ref="TYW512:TYW514"/>
    <mergeCell ref="TYX512:TZA514"/>
    <mergeCell ref="TZE512:TZE514"/>
    <mergeCell ref="TZF512:TZI514"/>
    <mergeCell ref="TWS512:TWS514"/>
    <mergeCell ref="TWT512:TWW514"/>
    <mergeCell ref="TXA512:TXA514"/>
    <mergeCell ref="TXB512:TXE514"/>
    <mergeCell ref="TXI512:TXI514"/>
    <mergeCell ref="TXJ512:TXM514"/>
    <mergeCell ref="TXQ512:TXQ514"/>
    <mergeCell ref="TXR512:TXU514"/>
    <mergeCell ref="TXY512:TXY514"/>
    <mergeCell ref="TVF512:TVI514"/>
    <mergeCell ref="TVM512:TVM514"/>
    <mergeCell ref="TVN512:TVQ514"/>
    <mergeCell ref="TVU512:TVU514"/>
    <mergeCell ref="TVV512:TVY514"/>
    <mergeCell ref="TWC512:TWC514"/>
    <mergeCell ref="TWD512:TWG514"/>
    <mergeCell ref="TWK512:TWK514"/>
    <mergeCell ref="TWL512:TWO514"/>
    <mergeCell ref="TTY512:TTY514"/>
    <mergeCell ref="TTZ512:TUC514"/>
    <mergeCell ref="TUG512:TUG514"/>
    <mergeCell ref="TUH512:TUK514"/>
    <mergeCell ref="TUO512:TUO514"/>
    <mergeCell ref="TUP512:TUS514"/>
    <mergeCell ref="TUW512:TUW514"/>
    <mergeCell ref="TUX512:TVA514"/>
    <mergeCell ref="TVE512:TVE514"/>
    <mergeCell ref="TSL512:TSO514"/>
    <mergeCell ref="TSS512:TSS514"/>
    <mergeCell ref="TST512:TSW514"/>
    <mergeCell ref="TTA512:TTA514"/>
    <mergeCell ref="TTB512:TTE514"/>
    <mergeCell ref="TTI512:TTI514"/>
    <mergeCell ref="TTJ512:TTM514"/>
    <mergeCell ref="TTQ512:TTQ514"/>
    <mergeCell ref="TTR512:TTU514"/>
    <mergeCell ref="TRE512:TRE514"/>
    <mergeCell ref="TRF512:TRI514"/>
    <mergeCell ref="TRM512:TRM514"/>
    <mergeCell ref="TRN512:TRQ514"/>
    <mergeCell ref="TRU512:TRU514"/>
    <mergeCell ref="TRV512:TRY514"/>
    <mergeCell ref="TSC512:TSC514"/>
    <mergeCell ref="TSD512:TSG514"/>
    <mergeCell ref="TSK512:TSK514"/>
    <mergeCell ref="TPR512:TPU514"/>
    <mergeCell ref="TPY512:TPY514"/>
    <mergeCell ref="TPZ512:TQC514"/>
    <mergeCell ref="TQG512:TQG514"/>
    <mergeCell ref="TQH512:TQK514"/>
    <mergeCell ref="TQO512:TQO514"/>
    <mergeCell ref="TQP512:TQS514"/>
    <mergeCell ref="TQW512:TQW514"/>
    <mergeCell ref="TQX512:TRA514"/>
    <mergeCell ref="TOK512:TOK514"/>
    <mergeCell ref="TOL512:TOO514"/>
    <mergeCell ref="TOS512:TOS514"/>
    <mergeCell ref="TOT512:TOW514"/>
    <mergeCell ref="TPA512:TPA514"/>
    <mergeCell ref="TPB512:TPE514"/>
    <mergeCell ref="TPI512:TPI514"/>
    <mergeCell ref="TPJ512:TPM514"/>
    <mergeCell ref="TPQ512:TPQ514"/>
    <mergeCell ref="TMX512:TNA514"/>
    <mergeCell ref="TNE512:TNE514"/>
    <mergeCell ref="TNF512:TNI514"/>
    <mergeCell ref="TNM512:TNM514"/>
    <mergeCell ref="TNN512:TNQ514"/>
    <mergeCell ref="TNU512:TNU514"/>
    <mergeCell ref="TNV512:TNY514"/>
    <mergeCell ref="TOC512:TOC514"/>
    <mergeCell ref="TOD512:TOG514"/>
    <mergeCell ref="TLQ512:TLQ514"/>
    <mergeCell ref="TLR512:TLU514"/>
    <mergeCell ref="TLY512:TLY514"/>
    <mergeCell ref="TLZ512:TMC514"/>
    <mergeCell ref="TMG512:TMG514"/>
    <mergeCell ref="TMH512:TMK514"/>
    <mergeCell ref="TMO512:TMO514"/>
    <mergeCell ref="TMP512:TMS514"/>
    <mergeCell ref="TMW512:TMW514"/>
    <mergeCell ref="TKD512:TKG514"/>
    <mergeCell ref="TKK512:TKK514"/>
    <mergeCell ref="TKL512:TKO514"/>
    <mergeCell ref="TKS512:TKS514"/>
    <mergeCell ref="TKT512:TKW514"/>
    <mergeCell ref="TLA512:TLA514"/>
    <mergeCell ref="TLB512:TLE514"/>
    <mergeCell ref="TLI512:TLI514"/>
    <mergeCell ref="TLJ512:TLM514"/>
    <mergeCell ref="TIW512:TIW514"/>
    <mergeCell ref="TIX512:TJA514"/>
    <mergeCell ref="TJE512:TJE514"/>
    <mergeCell ref="TJF512:TJI514"/>
    <mergeCell ref="TJM512:TJM514"/>
    <mergeCell ref="TJN512:TJQ514"/>
    <mergeCell ref="TJU512:TJU514"/>
    <mergeCell ref="TJV512:TJY514"/>
    <mergeCell ref="TKC512:TKC514"/>
    <mergeCell ref="THJ512:THM514"/>
    <mergeCell ref="THQ512:THQ514"/>
    <mergeCell ref="THR512:THU514"/>
    <mergeCell ref="THY512:THY514"/>
    <mergeCell ref="THZ512:TIC514"/>
    <mergeCell ref="TIG512:TIG514"/>
    <mergeCell ref="TIH512:TIK514"/>
    <mergeCell ref="TIO512:TIO514"/>
    <mergeCell ref="TIP512:TIS514"/>
    <mergeCell ref="TGC512:TGC514"/>
    <mergeCell ref="TGD512:TGG514"/>
    <mergeCell ref="TGK512:TGK514"/>
    <mergeCell ref="TGL512:TGO514"/>
    <mergeCell ref="TGS512:TGS514"/>
    <mergeCell ref="TGT512:TGW514"/>
    <mergeCell ref="THA512:THA514"/>
    <mergeCell ref="THB512:THE514"/>
    <mergeCell ref="THI512:THI514"/>
    <mergeCell ref="TEP512:TES514"/>
    <mergeCell ref="TEW512:TEW514"/>
    <mergeCell ref="TEX512:TFA514"/>
    <mergeCell ref="TFE512:TFE514"/>
    <mergeCell ref="TFF512:TFI514"/>
    <mergeCell ref="TFM512:TFM514"/>
    <mergeCell ref="TFN512:TFQ514"/>
    <mergeCell ref="TFU512:TFU514"/>
    <mergeCell ref="TFV512:TFY514"/>
    <mergeCell ref="TDI512:TDI514"/>
    <mergeCell ref="TDJ512:TDM514"/>
    <mergeCell ref="TDQ512:TDQ514"/>
    <mergeCell ref="TDR512:TDU514"/>
    <mergeCell ref="TDY512:TDY514"/>
    <mergeCell ref="TDZ512:TEC514"/>
    <mergeCell ref="TEG512:TEG514"/>
    <mergeCell ref="TEH512:TEK514"/>
    <mergeCell ref="TEO512:TEO514"/>
    <mergeCell ref="TBV512:TBY514"/>
    <mergeCell ref="TCC512:TCC514"/>
    <mergeCell ref="TCD512:TCG514"/>
    <mergeCell ref="TCK512:TCK514"/>
    <mergeCell ref="TCL512:TCO514"/>
    <mergeCell ref="TCS512:TCS514"/>
    <mergeCell ref="TCT512:TCW514"/>
    <mergeCell ref="TDA512:TDA514"/>
    <mergeCell ref="TDB512:TDE514"/>
    <mergeCell ref="TAO512:TAO514"/>
    <mergeCell ref="TAP512:TAS514"/>
    <mergeCell ref="TAW512:TAW514"/>
    <mergeCell ref="TAX512:TBA514"/>
    <mergeCell ref="TBE512:TBE514"/>
    <mergeCell ref="TBF512:TBI514"/>
    <mergeCell ref="TBM512:TBM514"/>
    <mergeCell ref="TBN512:TBQ514"/>
    <mergeCell ref="TBU512:TBU514"/>
    <mergeCell ref="SZB512:SZE514"/>
    <mergeCell ref="SZI512:SZI514"/>
    <mergeCell ref="SZJ512:SZM514"/>
    <mergeCell ref="SZQ512:SZQ514"/>
    <mergeCell ref="SZR512:SZU514"/>
    <mergeCell ref="SZY512:SZY514"/>
    <mergeCell ref="SZZ512:TAC514"/>
    <mergeCell ref="TAG512:TAG514"/>
    <mergeCell ref="TAH512:TAK514"/>
    <mergeCell ref="SXU512:SXU514"/>
    <mergeCell ref="SXV512:SXY514"/>
    <mergeCell ref="SYC512:SYC514"/>
    <mergeCell ref="SYD512:SYG514"/>
    <mergeCell ref="SYK512:SYK514"/>
    <mergeCell ref="SYL512:SYO514"/>
    <mergeCell ref="SYS512:SYS514"/>
    <mergeCell ref="SYT512:SYW514"/>
    <mergeCell ref="SZA512:SZA514"/>
    <mergeCell ref="SWH512:SWK514"/>
    <mergeCell ref="SWO512:SWO514"/>
    <mergeCell ref="SWP512:SWS514"/>
    <mergeCell ref="SWW512:SWW514"/>
    <mergeCell ref="SWX512:SXA514"/>
    <mergeCell ref="SXE512:SXE514"/>
    <mergeCell ref="SXF512:SXI514"/>
    <mergeCell ref="SXM512:SXM514"/>
    <mergeCell ref="SXN512:SXQ514"/>
    <mergeCell ref="SVA512:SVA514"/>
    <mergeCell ref="SVB512:SVE514"/>
    <mergeCell ref="SVI512:SVI514"/>
    <mergeCell ref="SVJ512:SVM514"/>
    <mergeCell ref="SVQ512:SVQ514"/>
    <mergeCell ref="SVR512:SVU514"/>
    <mergeCell ref="SVY512:SVY514"/>
    <mergeCell ref="SVZ512:SWC514"/>
    <mergeCell ref="SWG512:SWG514"/>
    <mergeCell ref="STN512:STQ514"/>
    <mergeCell ref="STU512:STU514"/>
    <mergeCell ref="STV512:STY514"/>
    <mergeCell ref="SUC512:SUC514"/>
    <mergeCell ref="SUD512:SUG514"/>
    <mergeCell ref="SUK512:SUK514"/>
    <mergeCell ref="SUL512:SUO514"/>
    <mergeCell ref="SUS512:SUS514"/>
    <mergeCell ref="SUT512:SUW514"/>
    <mergeCell ref="SSG512:SSG514"/>
    <mergeCell ref="SSH512:SSK514"/>
    <mergeCell ref="SSO512:SSO514"/>
    <mergeCell ref="SSP512:SSS514"/>
    <mergeCell ref="SSW512:SSW514"/>
    <mergeCell ref="SSX512:STA514"/>
    <mergeCell ref="STE512:STE514"/>
    <mergeCell ref="STF512:STI514"/>
    <mergeCell ref="STM512:STM514"/>
    <mergeCell ref="SQT512:SQW514"/>
    <mergeCell ref="SRA512:SRA514"/>
    <mergeCell ref="SRB512:SRE514"/>
    <mergeCell ref="SRI512:SRI514"/>
    <mergeCell ref="SRJ512:SRM514"/>
    <mergeCell ref="SRQ512:SRQ514"/>
    <mergeCell ref="SRR512:SRU514"/>
    <mergeCell ref="SRY512:SRY514"/>
    <mergeCell ref="SRZ512:SSC514"/>
    <mergeCell ref="SPM512:SPM514"/>
    <mergeCell ref="SPN512:SPQ514"/>
    <mergeCell ref="SPU512:SPU514"/>
    <mergeCell ref="SPV512:SPY514"/>
    <mergeCell ref="SQC512:SQC514"/>
    <mergeCell ref="SQD512:SQG514"/>
    <mergeCell ref="SQK512:SQK514"/>
    <mergeCell ref="SQL512:SQO514"/>
    <mergeCell ref="SQS512:SQS514"/>
    <mergeCell ref="SNZ512:SOC514"/>
    <mergeCell ref="SOG512:SOG514"/>
    <mergeCell ref="SOH512:SOK514"/>
    <mergeCell ref="SOO512:SOO514"/>
    <mergeCell ref="SOP512:SOS514"/>
    <mergeCell ref="SOW512:SOW514"/>
    <mergeCell ref="SOX512:SPA514"/>
    <mergeCell ref="SPE512:SPE514"/>
    <mergeCell ref="SPF512:SPI514"/>
    <mergeCell ref="SMS512:SMS514"/>
    <mergeCell ref="SMT512:SMW514"/>
    <mergeCell ref="SNA512:SNA514"/>
    <mergeCell ref="SNB512:SNE514"/>
    <mergeCell ref="SNI512:SNI514"/>
    <mergeCell ref="SNJ512:SNM514"/>
    <mergeCell ref="SNQ512:SNQ514"/>
    <mergeCell ref="SNR512:SNU514"/>
    <mergeCell ref="SNY512:SNY514"/>
    <mergeCell ref="SLF512:SLI514"/>
    <mergeCell ref="SLM512:SLM514"/>
    <mergeCell ref="SLN512:SLQ514"/>
    <mergeCell ref="SLU512:SLU514"/>
    <mergeCell ref="SLV512:SLY514"/>
    <mergeCell ref="SMC512:SMC514"/>
    <mergeCell ref="SMD512:SMG514"/>
    <mergeCell ref="SMK512:SMK514"/>
    <mergeCell ref="SML512:SMO514"/>
    <mergeCell ref="SJY512:SJY514"/>
    <mergeCell ref="SJZ512:SKC514"/>
    <mergeCell ref="SKG512:SKG514"/>
    <mergeCell ref="SKH512:SKK514"/>
    <mergeCell ref="SKO512:SKO514"/>
    <mergeCell ref="SKP512:SKS514"/>
    <mergeCell ref="SKW512:SKW514"/>
    <mergeCell ref="SKX512:SLA514"/>
    <mergeCell ref="SLE512:SLE514"/>
    <mergeCell ref="SIL512:SIO514"/>
    <mergeCell ref="SIS512:SIS514"/>
    <mergeCell ref="SIT512:SIW514"/>
    <mergeCell ref="SJA512:SJA514"/>
    <mergeCell ref="SJB512:SJE514"/>
    <mergeCell ref="SJI512:SJI514"/>
    <mergeCell ref="SJJ512:SJM514"/>
    <mergeCell ref="SJQ512:SJQ514"/>
    <mergeCell ref="SJR512:SJU514"/>
    <mergeCell ref="SHE512:SHE514"/>
    <mergeCell ref="SHF512:SHI514"/>
    <mergeCell ref="SHM512:SHM514"/>
    <mergeCell ref="SHN512:SHQ514"/>
    <mergeCell ref="SHU512:SHU514"/>
    <mergeCell ref="SHV512:SHY514"/>
    <mergeCell ref="SIC512:SIC514"/>
    <mergeCell ref="SID512:SIG514"/>
    <mergeCell ref="SIK512:SIK514"/>
    <mergeCell ref="SFR512:SFU514"/>
    <mergeCell ref="SFY512:SFY514"/>
    <mergeCell ref="SFZ512:SGC514"/>
    <mergeCell ref="SGG512:SGG514"/>
    <mergeCell ref="SGH512:SGK514"/>
    <mergeCell ref="SGO512:SGO514"/>
    <mergeCell ref="SGP512:SGS514"/>
    <mergeCell ref="SGW512:SGW514"/>
    <mergeCell ref="SGX512:SHA514"/>
    <mergeCell ref="SEK512:SEK514"/>
    <mergeCell ref="SEL512:SEO514"/>
    <mergeCell ref="SES512:SES514"/>
    <mergeCell ref="SET512:SEW514"/>
    <mergeCell ref="SFA512:SFA514"/>
    <mergeCell ref="SFB512:SFE514"/>
    <mergeCell ref="SFI512:SFI514"/>
    <mergeCell ref="SFJ512:SFM514"/>
    <mergeCell ref="SFQ512:SFQ514"/>
    <mergeCell ref="SCX512:SDA514"/>
    <mergeCell ref="SDE512:SDE514"/>
    <mergeCell ref="SDF512:SDI514"/>
    <mergeCell ref="SDM512:SDM514"/>
    <mergeCell ref="SDN512:SDQ514"/>
    <mergeCell ref="SDU512:SDU514"/>
    <mergeCell ref="SDV512:SDY514"/>
    <mergeCell ref="SEC512:SEC514"/>
    <mergeCell ref="SED512:SEG514"/>
    <mergeCell ref="SBQ512:SBQ514"/>
    <mergeCell ref="SBR512:SBU514"/>
    <mergeCell ref="SBY512:SBY514"/>
    <mergeCell ref="SBZ512:SCC514"/>
    <mergeCell ref="SCG512:SCG514"/>
    <mergeCell ref="SCH512:SCK514"/>
    <mergeCell ref="SCO512:SCO514"/>
    <mergeCell ref="SCP512:SCS514"/>
    <mergeCell ref="SCW512:SCW514"/>
    <mergeCell ref="SAD512:SAG514"/>
    <mergeCell ref="SAK512:SAK514"/>
    <mergeCell ref="SAL512:SAO514"/>
    <mergeCell ref="SAS512:SAS514"/>
    <mergeCell ref="SAT512:SAW514"/>
    <mergeCell ref="SBA512:SBA514"/>
    <mergeCell ref="SBB512:SBE514"/>
    <mergeCell ref="SBI512:SBI514"/>
    <mergeCell ref="SBJ512:SBM514"/>
    <mergeCell ref="RYW512:RYW514"/>
    <mergeCell ref="RYX512:RZA514"/>
    <mergeCell ref="RZE512:RZE514"/>
    <mergeCell ref="RZF512:RZI514"/>
    <mergeCell ref="RZM512:RZM514"/>
    <mergeCell ref="RZN512:RZQ514"/>
    <mergeCell ref="RZU512:RZU514"/>
    <mergeCell ref="RZV512:RZY514"/>
    <mergeCell ref="SAC512:SAC514"/>
    <mergeCell ref="RXJ512:RXM514"/>
    <mergeCell ref="RXQ512:RXQ514"/>
    <mergeCell ref="RXR512:RXU514"/>
    <mergeCell ref="RXY512:RXY514"/>
    <mergeCell ref="RXZ512:RYC514"/>
    <mergeCell ref="RYG512:RYG514"/>
    <mergeCell ref="RYH512:RYK514"/>
    <mergeCell ref="RYO512:RYO514"/>
    <mergeCell ref="RYP512:RYS514"/>
    <mergeCell ref="RWC512:RWC514"/>
    <mergeCell ref="RWD512:RWG514"/>
    <mergeCell ref="RWK512:RWK514"/>
    <mergeCell ref="RWL512:RWO514"/>
    <mergeCell ref="RWS512:RWS514"/>
    <mergeCell ref="RWT512:RWW514"/>
    <mergeCell ref="RXA512:RXA514"/>
    <mergeCell ref="RXB512:RXE514"/>
    <mergeCell ref="RXI512:RXI514"/>
    <mergeCell ref="RUP512:RUS514"/>
    <mergeCell ref="RUW512:RUW514"/>
    <mergeCell ref="RUX512:RVA514"/>
    <mergeCell ref="RVE512:RVE514"/>
    <mergeCell ref="RVF512:RVI514"/>
    <mergeCell ref="RVM512:RVM514"/>
    <mergeCell ref="RVN512:RVQ514"/>
    <mergeCell ref="RVU512:RVU514"/>
    <mergeCell ref="RVV512:RVY514"/>
    <mergeCell ref="RTI512:RTI514"/>
    <mergeCell ref="RTJ512:RTM514"/>
    <mergeCell ref="RTQ512:RTQ514"/>
    <mergeCell ref="RTR512:RTU514"/>
    <mergeCell ref="RTY512:RTY514"/>
    <mergeCell ref="RTZ512:RUC514"/>
    <mergeCell ref="RUG512:RUG514"/>
    <mergeCell ref="RUH512:RUK514"/>
    <mergeCell ref="RUO512:RUO514"/>
    <mergeCell ref="RRV512:RRY514"/>
    <mergeCell ref="RSC512:RSC514"/>
    <mergeCell ref="RSD512:RSG514"/>
    <mergeCell ref="RSK512:RSK514"/>
    <mergeCell ref="RSL512:RSO514"/>
    <mergeCell ref="RSS512:RSS514"/>
    <mergeCell ref="RST512:RSW514"/>
    <mergeCell ref="RTA512:RTA514"/>
    <mergeCell ref="RTB512:RTE514"/>
    <mergeCell ref="RQO512:RQO514"/>
    <mergeCell ref="RQP512:RQS514"/>
    <mergeCell ref="RQW512:RQW514"/>
    <mergeCell ref="RQX512:RRA514"/>
    <mergeCell ref="RRE512:RRE514"/>
    <mergeCell ref="RRF512:RRI514"/>
    <mergeCell ref="RRM512:RRM514"/>
    <mergeCell ref="RRN512:RRQ514"/>
    <mergeCell ref="RRU512:RRU514"/>
    <mergeCell ref="RPB512:RPE514"/>
    <mergeCell ref="RPI512:RPI514"/>
    <mergeCell ref="RPJ512:RPM514"/>
    <mergeCell ref="RPQ512:RPQ514"/>
    <mergeCell ref="RPR512:RPU514"/>
    <mergeCell ref="RPY512:RPY514"/>
    <mergeCell ref="RPZ512:RQC514"/>
    <mergeCell ref="RQG512:RQG514"/>
    <mergeCell ref="RQH512:RQK514"/>
    <mergeCell ref="RNU512:RNU514"/>
    <mergeCell ref="RNV512:RNY514"/>
    <mergeCell ref="ROC512:ROC514"/>
    <mergeCell ref="ROD512:ROG514"/>
    <mergeCell ref="ROK512:ROK514"/>
    <mergeCell ref="ROL512:ROO514"/>
    <mergeCell ref="ROS512:ROS514"/>
    <mergeCell ref="ROT512:ROW514"/>
    <mergeCell ref="RPA512:RPA514"/>
    <mergeCell ref="RMH512:RMK514"/>
    <mergeCell ref="RMO512:RMO514"/>
    <mergeCell ref="RMP512:RMS514"/>
    <mergeCell ref="RMW512:RMW514"/>
    <mergeCell ref="RMX512:RNA514"/>
    <mergeCell ref="RNE512:RNE514"/>
    <mergeCell ref="RNF512:RNI514"/>
    <mergeCell ref="RNM512:RNM514"/>
    <mergeCell ref="RNN512:RNQ514"/>
    <mergeCell ref="RLA512:RLA514"/>
    <mergeCell ref="RLB512:RLE514"/>
    <mergeCell ref="RLI512:RLI514"/>
    <mergeCell ref="RLJ512:RLM514"/>
    <mergeCell ref="RLQ512:RLQ514"/>
    <mergeCell ref="RLR512:RLU514"/>
    <mergeCell ref="RLY512:RLY514"/>
    <mergeCell ref="RLZ512:RMC514"/>
    <mergeCell ref="RMG512:RMG514"/>
    <mergeCell ref="RJN512:RJQ514"/>
    <mergeCell ref="RJU512:RJU514"/>
    <mergeCell ref="RJV512:RJY514"/>
    <mergeCell ref="RKC512:RKC514"/>
    <mergeCell ref="RKD512:RKG514"/>
    <mergeCell ref="RKK512:RKK514"/>
    <mergeCell ref="RKL512:RKO514"/>
    <mergeCell ref="RKS512:RKS514"/>
    <mergeCell ref="RKT512:RKW514"/>
    <mergeCell ref="RIG512:RIG514"/>
    <mergeCell ref="RIH512:RIK514"/>
    <mergeCell ref="RIO512:RIO514"/>
    <mergeCell ref="RIP512:RIS514"/>
    <mergeCell ref="RIW512:RIW514"/>
    <mergeCell ref="RIX512:RJA514"/>
    <mergeCell ref="RJE512:RJE514"/>
    <mergeCell ref="RJF512:RJI514"/>
    <mergeCell ref="RJM512:RJM514"/>
    <mergeCell ref="RGT512:RGW514"/>
    <mergeCell ref="RHA512:RHA514"/>
    <mergeCell ref="RHB512:RHE514"/>
    <mergeCell ref="RHI512:RHI514"/>
    <mergeCell ref="RHJ512:RHM514"/>
    <mergeCell ref="RHQ512:RHQ514"/>
    <mergeCell ref="RHR512:RHU514"/>
    <mergeCell ref="RHY512:RHY514"/>
    <mergeCell ref="RHZ512:RIC514"/>
    <mergeCell ref="RFM512:RFM514"/>
    <mergeCell ref="RFN512:RFQ514"/>
    <mergeCell ref="RFU512:RFU514"/>
    <mergeCell ref="RFV512:RFY514"/>
    <mergeCell ref="RGC512:RGC514"/>
    <mergeCell ref="RGD512:RGG514"/>
    <mergeCell ref="RGK512:RGK514"/>
    <mergeCell ref="RGL512:RGO514"/>
    <mergeCell ref="RGS512:RGS514"/>
    <mergeCell ref="RDZ512:REC514"/>
    <mergeCell ref="REG512:REG514"/>
    <mergeCell ref="REH512:REK514"/>
    <mergeCell ref="REO512:REO514"/>
    <mergeCell ref="REP512:RES514"/>
    <mergeCell ref="REW512:REW514"/>
    <mergeCell ref="REX512:RFA514"/>
    <mergeCell ref="RFE512:RFE514"/>
    <mergeCell ref="RFF512:RFI514"/>
    <mergeCell ref="RCS512:RCS514"/>
    <mergeCell ref="RCT512:RCW514"/>
    <mergeCell ref="RDA512:RDA514"/>
    <mergeCell ref="RDB512:RDE514"/>
    <mergeCell ref="RDI512:RDI514"/>
    <mergeCell ref="RDJ512:RDM514"/>
    <mergeCell ref="RDQ512:RDQ514"/>
    <mergeCell ref="RDR512:RDU514"/>
    <mergeCell ref="RDY512:RDY514"/>
    <mergeCell ref="RBF512:RBI514"/>
    <mergeCell ref="RBM512:RBM514"/>
    <mergeCell ref="RBN512:RBQ514"/>
    <mergeCell ref="RBU512:RBU514"/>
    <mergeCell ref="RBV512:RBY514"/>
    <mergeCell ref="RCC512:RCC514"/>
    <mergeCell ref="RCD512:RCG514"/>
    <mergeCell ref="RCK512:RCK514"/>
    <mergeCell ref="RCL512:RCO514"/>
    <mergeCell ref="QZY512:QZY514"/>
    <mergeCell ref="QZZ512:RAC514"/>
    <mergeCell ref="RAG512:RAG514"/>
    <mergeCell ref="RAH512:RAK514"/>
    <mergeCell ref="RAO512:RAO514"/>
    <mergeCell ref="RAP512:RAS514"/>
    <mergeCell ref="RAW512:RAW514"/>
    <mergeCell ref="RAX512:RBA514"/>
    <mergeCell ref="RBE512:RBE514"/>
    <mergeCell ref="QYL512:QYO514"/>
    <mergeCell ref="QYS512:QYS514"/>
    <mergeCell ref="QYT512:QYW514"/>
    <mergeCell ref="QZA512:QZA514"/>
    <mergeCell ref="QZB512:QZE514"/>
    <mergeCell ref="QZI512:QZI514"/>
    <mergeCell ref="QZJ512:QZM514"/>
    <mergeCell ref="QZQ512:QZQ514"/>
    <mergeCell ref="QZR512:QZU514"/>
    <mergeCell ref="QXE512:QXE514"/>
    <mergeCell ref="QXF512:QXI514"/>
    <mergeCell ref="QXM512:QXM514"/>
    <mergeCell ref="QXN512:QXQ514"/>
    <mergeCell ref="QXU512:QXU514"/>
    <mergeCell ref="QXV512:QXY514"/>
    <mergeCell ref="QYC512:QYC514"/>
    <mergeCell ref="QYD512:QYG514"/>
    <mergeCell ref="QYK512:QYK514"/>
    <mergeCell ref="QVR512:QVU514"/>
    <mergeCell ref="QVY512:QVY514"/>
    <mergeCell ref="QVZ512:QWC514"/>
    <mergeCell ref="QWG512:QWG514"/>
    <mergeCell ref="QWH512:QWK514"/>
    <mergeCell ref="QWO512:QWO514"/>
    <mergeCell ref="QWP512:QWS514"/>
    <mergeCell ref="QWW512:QWW514"/>
    <mergeCell ref="QWX512:QXA514"/>
    <mergeCell ref="QUK512:QUK514"/>
    <mergeCell ref="QUL512:QUO514"/>
    <mergeCell ref="QUS512:QUS514"/>
    <mergeCell ref="QUT512:QUW514"/>
    <mergeCell ref="QVA512:QVA514"/>
    <mergeCell ref="QVB512:QVE514"/>
    <mergeCell ref="QVI512:QVI514"/>
    <mergeCell ref="QVJ512:QVM514"/>
    <mergeCell ref="QVQ512:QVQ514"/>
    <mergeCell ref="QSX512:QTA514"/>
    <mergeCell ref="QTE512:QTE514"/>
    <mergeCell ref="QTF512:QTI514"/>
    <mergeCell ref="QTM512:QTM514"/>
    <mergeCell ref="QTN512:QTQ514"/>
    <mergeCell ref="QTU512:QTU514"/>
    <mergeCell ref="QTV512:QTY514"/>
    <mergeCell ref="QUC512:QUC514"/>
    <mergeCell ref="QUD512:QUG514"/>
    <mergeCell ref="QRQ512:QRQ514"/>
    <mergeCell ref="QRR512:QRU514"/>
    <mergeCell ref="QRY512:QRY514"/>
    <mergeCell ref="QRZ512:QSC514"/>
    <mergeCell ref="QSG512:QSG514"/>
    <mergeCell ref="QSH512:QSK514"/>
    <mergeCell ref="QSO512:QSO514"/>
    <mergeCell ref="QSP512:QSS514"/>
    <mergeCell ref="QSW512:QSW514"/>
    <mergeCell ref="QQD512:QQG514"/>
    <mergeCell ref="QQK512:QQK514"/>
    <mergeCell ref="QQL512:QQO514"/>
    <mergeCell ref="QQS512:QQS514"/>
    <mergeCell ref="QQT512:QQW514"/>
    <mergeCell ref="QRA512:QRA514"/>
    <mergeCell ref="QRB512:QRE514"/>
    <mergeCell ref="QRI512:QRI514"/>
    <mergeCell ref="QRJ512:QRM514"/>
    <mergeCell ref="QOW512:QOW514"/>
    <mergeCell ref="QOX512:QPA514"/>
    <mergeCell ref="QPE512:QPE514"/>
    <mergeCell ref="QPF512:QPI514"/>
    <mergeCell ref="QPM512:QPM514"/>
    <mergeCell ref="QPN512:QPQ514"/>
    <mergeCell ref="QPU512:QPU514"/>
    <mergeCell ref="QPV512:QPY514"/>
    <mergeCell ref="QQC512:QQC514"/>
    <mergeCell ref="QNJ512:QNM514"/>
    <mergeCell ref="QNQ512:QNQ514"/>
    <mergeCell ref="QNR512:QNU514"/>
    <mergeCell ref="QNY512:QNY514"/>
    <mergeCell ref="QNZ512:QOC514"/>
    <mergeCell ref="QOG512:QOG514"/>
    <mergeCell ref="QOH512:QOK514"/>
    <mergeCell ref="QOO512:QOO514"/>
    <mergeCell ref="QOP512:QOS514"/>
    <mergeCell ref="QMC512:QMC514"/>
    <mergeCell ref="QMD512:QMG514"/>
    <mergeCell ref="QMK512:QMK514"/>
    <mergeCell ref="QML512:QMO514"/>
    <mergeCell ref="QMS512:QMS514"/>
    <mergeCell ref="QMT512:QMW514"/>
    <mergeCell ref="QNA512:QNA514"/>
    <mergeCell ref="QNB512:QNE514"/>
    <mergeCell ref="QNI512:QNI514"/>
    <mergeCell ref="QKP512:QKS514"/>
    <mergeCell ref="QKW512:QKW514"/>
    <mergeCell ref="QKX512:QLA514"/>
    <mergeCell ref="QLE512:QLE514"/>
    <mergeCell ref="QLF512:QLI514"/>
    <mergeCell ref="QLM512:QLM514"/>
    <mergeCell ref="QLN512:QLQ514"/>
    <mergeCell ref="QLU512:QLU514"/>
    <mergeCell ref="QLV512:QLY514"/>
    <mergeCell ref="QJI512:QJI514"/>
    <mergeCell ref="QJJ512:QJM514"/>
    <mergeCell ref="QJQ512:QJQ514"/>
    <mergeCell ref="QJR512:QJU514"/>
    <mergeCell ref="QJY512:QJY514"/>
    <mergeCell ref="QJZ512:QKC514"/>
    <mergeCell ref="QKG512:QKG514"/>
    <mergeCell ref="QKH512:QKK514"/>
    <mergeCell ref="QKO512:QKO514"/>
    <mergeCell ref="QHV512:QHY514"/>
    <mergeCell ref="QIC512:QIC514"/>
    <mergeCell ref="QID512:QIG514"/>
    <mergeCell ref="QIK512:QIK514"/>
    <mergeCell ref="QIL512:QIO514"/>
    <mergeCell ref="QIS512:QIS514"/>
    <mergeCell ref="QIT512:QIW514"/>
    <mergeCell ref="QJA512:QJA514"/>
    <mergeCell ref="QJB512:QJE514"/>
    <mergeCell ref="QGO512:QGO514"/>
    <mergeCell ref="QGP512:QGS514"/>
    <mergeCell ref="QGW512:QGW514"/>
    <mergeCell ref="QGX512:QHA514"/>
    <mergeCell ref="QHE512:QHE514"/>
    <mergeCell ref="QHF512:QHI514"/>
    <mergeCell ref="QHM512:QHM514"/>
    <mergeCell ref="QHN512:QHQ514"/>
    <mergeCell ref="QHU512:QHU514"/>
    <mergeCell ref="QFB512:QFE514"/>
    <mergeCell ref="QFI512:QFI514"/>
    <mergeCell ref="QFJ512:QFM514"/>
    <mergeCell ref="QFQ512:QFQ514"/>
    <mergeCell ref="QFR512:QFU514"/>
    <mergeCell ref="QFY512:QFY514"/>
    <mergeCell ref="QFZ512:QGC514"/>
    <mergeCell ref="QGG512:QGG514"/>
    <mergeCell ref="QGH512:QGK514"/>
    <mergeCell ref="QDU512:QDU514"/>
    <mergeCell ref="QDV512:QDY514"/>
    <mergeCell ref="QEC512:QEC514"/>
    <mergeCell ref="QED512:QEG514"/>
    <mergeCell ref="QEK512:QEK514"/>
    <mergeCell ref="QEL512:QEO514"/>
    <mergeCell ref="QES512:QES514"/>
    <mergeCell ref="QET512:QEW514"/>
    <mergeCell ref="QFA512:QFA514"/>
    <mergeCell ref="QCH512:QCK514"/>
    <mergeCell ref="QCO512:QCO514"/>
    <mergeCell ref="QCP512:QCS514"/>
    <mergeCell ref="QCW512:QCW514"/>
    <mergeCell ref="QCX512:QDA514"/>
    <mergeCell ref="QDE512:QDE514"/>
    <mergeCell ref="QDF512:QDI514"/>
    <mergeCell ref="QDM512:QDM514"/>
    <mergeCell ref="QDN512:QDQ514"/>
    <mergeCell ref="QBA512:QBA514"/>
    <mergeCell ref="QBB512:QBE514"/>
    <mergeCell ref="QBI512:QBI514"/>
    <mergeCell ref="QBJ512:QBM514"/>
    <mergeCell ref="QBQ512:QBQ514"/>
    <mergeCell ref="QBR512:QBU514"/>
    <mergeCell ref="QBY512:QBY514"/>
    <mergeCell ref="QBZ512:QCC514"/>
    <mergeCell ref="QCG512:QCG514"/>
    <mergeCell ref="PZN512:PZQ514"/>
    <mergeCell ref="PZU512:PZU514"/>
    <mergeCell ref="PZV512:PZY514"/>
    <mergeCell ref="QAC512:QAC514"/>
    <mergeCell ref="QAD512:QAG514"/>
    <mergeCell ref="QAK512:QAK514"/>
    <mergeCell ref="QAL512:QAO514"/>
    <mergeCell ref="QAS512:QAS514"/>
    <mergeCell ref="QAT512:QAW514"/>
    <mergeCell ref="PYG512:PYG514"/>
    <mergeCell ref="PYH512:PYK514"/>
    <mergeCell ref="PYO512:PYO514"/>
    <mergeCell ref="PYP512:PYS514"/>
    <mergeCell ref="PYW512:PYW514"/>
    <mergeCell ref="PYX512:PZA514"/>
    <mergeCell ref="PZE512:PZE514"/>
    <mergeCell ref="PZF512:PZI514"/>
    <mergeCell ref="PZM512:PZM514"/>
    <mergeCell ref="PWT512:PWW514"/>
    <mergeCell ref="PXA512:PXA514"/>
    <mergeCell ref="PXB512:PXE514"/>
    <mergeCell ref="PXI512:PXI514"/>
    <mergeCell ref="PXJ512:PXM514"/>
    <mergeCell ref="PXQ512:PXQ514"/>
    <mergeCell ref="PXR512:PXU514"/>
    <mergeCell ref="PXY512:PXY514"/>
    <mergeCell ref="PXZ512:PYC514"/>
    <mergeCell ref="PVM512:PVM514"/>
    <mergeCell ref="PVN512:PVQ514"/>
    <mergeCell ref="PVU512:PVU514"/>
    <mergeCell ref="PVV512:PVY514"/>
    <mergeCell ref="PWC512:PWC514"/>
    <mergeCell ref="PWD512:PWG514"/>
    <mergeCell ref="PWK512:PWK514"/>
    <mergeCell ref="PWL512:PWO514"/>
    <mergeCell ref="PWS512:PWS514"/>
    <mergeCell ref="PTZ512:PUC514"/>
    <mergeCell ref="PUG512:PUG514"/>
    <mergeCell ref="PUH512:PUK514"/>
    <mergeCell ref="PUO512:PUO514"/>
    <mergeCell ref="PUP512:PUS514"/>
    <mergeCell ref="PUW512:PUW514"/>
    <mergeCell ref="PUX512:PVA514"/>
    <mergeCell ref="PVE512:PVE514"/>
    <mergeCell ref="PVF512:PVI514"/>
    <mergeCell ref="PSS512:PSS514"/>
    <mergeCell ref="PST512:PSW514"/>
    <mergeCell ref="PTA512:PTA514"/>
    <mergeCell ref="PTB512:PTE514"/>
    <mergeCell ref="PTI512:PTI514"/>
    <mergeCell ref="PTJ512:PTM514"/>
    <mergeCell ref="PTQ512:PTQ514"/>
    <mergeCell ref="PTR512:PTU514"/>
    <mergeCell ref="PTY512:PTY514"/>
    <mergeCell ref="PRF512:PRI514"/>
    <mergeCell ref="PRM512:PRM514"/>
    <mergeCell ref="PRN512:PRQ514"/>
    <mergeCell ref="PRU512:PRU514"/>
    <mergeCell ref="PRV512:PRY514"/>
    <mergeCell ref="PSC512:PSC514"/>
    <mergeCell ref="PSD512:PSG514"/>
    <mergeCell ref="PSK512:PSK514"/>
    <mergeCell ref="PSL512:PSO514"/>
    <mergeCell ref="PPY512:PPY514"/>
    <mergeCell ref="PPZ512:PQC514"/>
    <mergeCell ref="PQG512:PQG514"/>
    <mergeCell ref="PQH512:PQK514"/>
    <mergeCell ref="PQO512:PQO514"/>
    <mergeCell ref="PQP512:PQS514"/>
    <mergeCell ref="PQW512:PQW514"/>
    <mergeCell ref="PQX512:PRA514"/>
    <mergeCell ref="PRE512:PRE514"/>
    <mergeCell ref="POL512:POO514"/>
    <mergeCell ref="POS512:POS514"/>
    <mergeCell ref="POT512:POW514"/>
    <mergeCell ref="PPA512:PPA514"/>
    <mergeCell ref="PPB512:PPE514"/>
    <mergeCell ref="PPI512:PPI514"/>
    <mergeCell ref="PPJ512:PPM514"/>
    <mergeCell ref="PPQ512:PPQ514"/>
    <mergeCell ref="PPR512:PPU514"/>
    <mergeCell ref="PNE512:PNE514"/>
    <mergeCell ref="PNF512:PNI514"/>
    <mergeCell ref="PNM512:PNM514"/>
    <mergeCell ref="PNN512:PNQ514"/>
    <mergeCell ref="PNU512:PNU514"/>
    <mergeCell ref="PNV512:PNY514"/>
    <mergeCell ref="POC512:POC514"/>
    <mergeCell ref="POD512:POG514"/>
    <mergeCell ref="POK512:POK514"/>
    <mergeCell ref="PLR512:PLU514"/>
    <mergeCell ref="PLY512:PLY514"/>
    <mergeCell ref="PLZ512:PMC514"/>
    <mergeCell ref="PMG512:PMG514"/>
    <mergeCell ref="PMH512:PMK514"/>
    <mergeCell ref="PMO512:PMO514"/>
    <mergeCell ref="PMP512:PMS514"/>
    <mergeCell ref="PMW512:PMW514"/>
    <mergeCell ref="PMX512:PNA514"/>
    <mergeCell ref="PKK512:PKK514"/>
    <mergeCell ref="PKL512:PKO514"/>
    <mergeCell ref="PKS512:PKS514"/>
    <mergeCell ref="PKT512:PKW514"/>
    <mergeCell ref="PLA512:PLA514"/>
    <mergeCell ref="PLB512:PLE514"/>
    <mergeCell ref="PLI512:PLI514"/>
    <mergeCell ref="PLJ512:PLM514"/>
    <mergeCell ref="PLQ512:PLQ514"/>
    <mergeCell ref="PIX512:PJA514"/>
    <mergeCell ref="PJE512:PJE514"/>
    <mergeCell ref="PJF512:PJI514"/>
    <mergeCell ref="PJM512:PJM514"/>
    <mergeCell ref="PJN512:PJQ514"/>
    <mergeCell ref="PJU512:PJU514"/>
    <mergeCell ref="PJV512:PJY514"/>
    <mergeCell ref="PKC512:PKC514"/>
    <mergeCell ref="PKD512:PKG514"/>
    <mergeCell ref="PHQ512:PHQ514"/>
    <mergeCell ref="PHR512:PHU514"/>
    <mergeCell ref="PHY512:PHY514"/>
    <mergeCell ref="PHZ512:PIC514"/>
    <mergeCell ref="PIG512:PIG514"/>
    <mergeCell ref="PIH512:PIK514"/>
    <mergeCell ref="PIO512:PIO514"/>
    <mergeCell ref="PIP512:PIS514"/>
    <mergeCell ref="PIW512:PIW514"/>
    <mergeCell ref="PGD512:PGG514"/>
    <mergeCell ref="PGK512:PGK514"/>
    <mergeCell ref="PGL512:PGO514"/>
    <mergeCell ref="PGS512:PGS514"/>
    <mergeCell ref="PGT512:PGW514"/>
    <mergeCell ref="PHA512:PHA514"/>
    <mergeCell ref="PHB512:PHE514"/>
    <mergeCell ref="PHI512:PHI514"/>
    <mergeCell ref="PHJ512:PHM514"/>
    <mergeCell ref="PEW512:PEW514"/>
    <mergeCell ref="PEX512:PFA514"/>
    <mergeCell ref="PFE512:PFE514"/>
    <mergeCell ref="PFF512:PFI514"/>
    <mergeCell ref="PFM512:PFM514"/>
    <mergeCell ref="PFN512:PFQ514"/>
    <mergeCell ref="PFU512:PFU514"/>
    <mergeCell ref="PFV512:PFY514"/>
    <mergeCell ref="PGC512:PGC514"/>
    <mergeCell ref="PDJ512:PDM514"/>
    <mergeCell ref="PDQ512:PDQ514"/>
    <mergeCell ref="PDR512:PDU514"/>
    <mergeCell ref="PDY512:PDY514"/>
    <mergeCell ref="PDZ512:PEC514"/>
    <mergeCell ref="PEG512:PEG514"/>
    <mergeCell ref="PEH512:PEK514"/>
    <mergeCell ref="PEO512:PEO514"/>
    <mergeCell ref="PEP512:PES514"/>
    <mergeCell ref="PCC512:PCC514"/>
    <mergeCell ref="PCD512:PCG514"/>
    <mergeCell ref="PCK512:PCK514"/>
    <mergeCell ref="PCL512:PCO514"/>
    <mergeCell ref="PCS512:PCS514"/>
    <mergeCell ref="PCT512:PCW514"/>
    <mergeCell ref="PDA512:PDA514"/>
    <mergeCell ref="PDB512:PDE514"/>
    <mergeCell ref="PDI512:PDI514"/>
    <mergeCell ref="PAP512:PAS514"/>
    <mergeCell ref="PAW512:PAW514"/>
    <mergeCell ref="PAX512:PBA514"/>
    <mergeCell ref="PBE512:PBE514"/>
    <mergeCell ref="PBF512:PBI514"/>
    <mergeCell ref="PBM512:PBM514"/>
    <mergeCell ref="PBN512:PBQ514"/>
    <mergeCell ref="PBU512:PBU514"/>
    <mergeCell ref="PBV512:PBY514"/>
    <mergeCell ref="OZI512:OZI514"/>
    <mergeCell ref="OZJ512:OZM514"/>
    <mergeCell ref="OZQ512:OZQ514"/>
    <mergeCell ref="OZR512:OZU514"/>
    <mergeCell ref="OZY512:OZY514"/>
    <mergeCell ref="OZZ512:PAC514"/>
    <mergeCell ref="PAG512:PAG514"/>
    <mergeCell ref="PAH512:PAK514"/>
    <mergeCell ref="PAO512:PAO514"/>
    <mergeCell ref="OXV512:OXY514"/>
    <mergeCell ref="OYC512:OYC514"/>
    <mergeCell ref="OYD512:OYG514"/>
    <mergeCell ref="OYK512:OYK514"/>
    <mergeCell ref="OYL512:OYO514"/>
    <mergeCell ref="OYS512:OYS514"/>
    <mergeCell ref="OYT512:OYW514"/>
    <mergeCell ref="OZA512:OZA514"/>
    <mergeCell ref="OZB512:OZE514"/>
    <mergeCell ref="OWO512:OWO514"/>
    <mergeCell ref="OWP512:OWS514"/>
    <mergeCell ref="OWW512:OWW514"/>
    <mergeCell ref="OWX512:OXA514"/>
    <mergeCell ref="OXE512:OXE514"/>
    <mergeCell ref="OXF512:OXI514"/>
    <mergeCell ref="OXM512:OXM514"/>
    <mergeCell ref="OXN512:OXQ514"/>
    <mergeCell ref="OXU512:OXU514"/>
    <mergeCell ref="OVB512:OVE514"/>
    <mergeCell ref="OVI512:OVI514"/>
    <mergeCell ref="OVJ512:OVM514"/>
    <mergeCell ref="OVQ512:OVQ514"/>
    <mergeCell ref="OVR512:OVU514"/>
    <mergeCell ref="OVY512:OVY514"/>
    <mergeCell ref="OVZ512:OWC514"/>
    <mergeCell ref="OWG512:OWG514"/>
    <mergeCell ref="OWH512:OWK514"/>
    <mergeCell ref="OTU512:OTU514"/>
    <mergeCell ref="OTV512:OTY514"/>
    <mergeCell ref="OUC512:OUC514"/>
    <mergeCell ref="OUD512:OUG514"/>
    <mergeCell ref="OUK512:OUK514"/>
    <mergeCell ref="OUL512:OUO514"/>
    <mergeCell ref="OUS512:OUS514"/>
    <mergeCell ref="OUT512:OUW514"/>
    <mergeCell ref="OVA512:OVA514"/>
    <mergeCell ref="OSH512:OSK514"/>
    <mergeCell ref="OSO512:OSO514"/>
    <mergeCell ref="OSP512:OSS514"/>
    <mergeCell ref="OSW512:OSW514"/>
    <mergeCell ref="OSX512:OTA514"/>
    <mergeCell ref="OTE512:OTE514"/>
    <mergeCell ref="OTF512:OTI514"/>
    <mergeCell ref="OTM512:OTM514"/>
    <mergeCell ref="OTN512:OTQ514"/>
    <mergeCell ref="ORA512:ORA514"/>
    <mergeCell ref="ORB512:ORE514"/>
    <mergeCell ref="ORI512:ORI514"/>
    <mergeCell ref="ORJ512:ORM514"/>
    <mergeCell ref="ORQ512:ORQ514"/>
    <mergeCell ref="ORR512:ORU514"/>
    <mergeCell ref="ORY512:ORY514"/>
    <mergeCell ref="ORZ512:OSC514"/>
    <mergeCell ref="OSG512:OSG514"/>
    <mergeCell ref="OPN512:OPQ514"/>
    <mergeCell ref="OPU512:OPU514"/>
    <mergeCell ref="OPV512:OPY514"/>
    <mergeCell ref="OQC512:OQC514"/>
    <mergeCell ref="OQD512:OQG514"/>
    <mergeCell ref="OQK512:OQK514"/>
    <mergeCell ref="OQL512:OQO514"/>
    <mergeCell ref="OQS512:OQS514"/>
    <mergeCell ref="OQT512:OQW514"/>
    <mergeCell ref="OOG512:OOG514"/>
    <mergeCell ref="OOH512:OOK514"/>
    <mergeCell ref="OOO512:OOO514"/>
    <mergeCell ref="OOP512:OOS514"/>
    <mergeCell ref="OOW512:OOW514"/>
    <mergeCell ref="OOX512:OPA514"/>
    <mergeCell ref="OPE512:OPE514"/>
    <mergeCell ref="OPF512:OPI514"/>
    <mergeCell ref="OPM512:OPM514"/>
    <mergeCell ref="OMT512:OMW514"/>
    <mergeCell ref="ONA512:ONA514"/>
    <mergeCell ref="ONB512:ONE514"/>
    <mergeCell ref="ONI512:ONI514"/>
    <mergeCell ref="ONJ512:ONM514"/>
    <mergeCell ref="ONQ512:ONQ514"/>
    <mergeCell ref="ONR512:ONU514"/>
    <mergeCell ref="ONY512:ONY514"/>
    <mergeCell ref="ONZ512:OOC514"/>
    <mergeCell ref="OLM512:OLM514"/>
    <mergeCell ref="OLN512:OLQ514"/>
    <mergeCell ref="OLU512:OLU514"/>
    <mergeCell ref="OLV512:OLY514"/>
    <mergeCell ref="OMC512:OMC514"/>
    <mergeCell ref="OMD512:OMG514"/>
    <mergeCell ref="OMK512:OMK514"/>
    <mergeCell ref="OML512:OMO514"/>
    <mergeCell ref="OMS512:OMS514"/>
    <mergeCell ref="OJZ512:OKC514"/>
    <mergeCell ref="OKG512:OKG514"/>
    <mergeCell ref="OKH512:OKK514"/>
    <mergeCell ref="OKO512:OKO514"/>
    <mergeCell ref="OKP512:OKS514"/>
    <mergeCell ref="OKW512:OKW514"/>
    <mergeCell ref="OKX512:OLA514"/>
    <mergeCell ref="OLE512:OLE514"/>
    <mergeCell ref="OLF512:OLI514"/>
    <mergeCell ref="OIS512:OIS514"/>
    <mergeCell ref="OIT512:OIW514"/>
    <mergeCell ref="OJA512:OJA514"/>
    <mergeCell ref="OJB512:OJE514"/>
    <mergeCell ref="OJI512:OJI514"/>
    <mergeCell ref="OJJ512:OJM514"/>
    <mergeCell ref="OJQ512:OJQ514"/>
    <mergeCell ref="OJR512:OJU514"/>
    <mergeCell ref="OJY512:OJY514"/>
    <mergeCell ref="OHF512:OHI514"/>
    <mergeCell ref="OHM512:OHM514"/>
    <mergeCell ref="OHN512:OHQ514"/>
    <mergeCell ref="OHU512:OHU514"/>
    <mergeCell ref="OHV512:OHY514"/>
    <mergeCell ref="OIC512:OIC514"/>
    <mergeCell ref="OID512:OIG514"/>
    <mergeCell ref="OIK512:OIK514"/>
    <mergeCell ref="OIL512:OIO514"/>
    <mergeCell ref="OFY512:OFY514"/>
    <mergeCell ref="OFZ512:OGC514"/>
    <mergeCell ref="OGG512:OGG514"/>
    <mergeCell ref="OGH512:OGK514"/>
    <mergeCell ref="OGO512:OGO514"/>
    <mergeCell ref="OGP512:OGS514"/>
    <mergeCell ref="OGW512:OGW514"/>
    <mergeCell ref="OGX512:OHA514"/>
    <mergeCell ref="OHE512:OHE514"/>
    <mergeCell ref="OEL512:OEO514"/>
    <mergeCell ref="OES512:OES514"/>
    <mergeCell ref="OET512:OEW514"/>
    <mergeCell ref="OFA512:OFA514"/>
    <mergeCell ref="OFB512:OFE514"/>
    <mergeCell ref="OFI512:OFI514"/>
    <mergeCell ref="OFJ512:OFM514"/>
    <mergeCell ref="OFQ512:OFQ514"/>
    <mergeCell ref="OFR512:OFU514"/>
    <mergeCell ref="ODE512:ODE514"/>
    <mergeCell ref="ODF512:ODI514"/>
    <mergeCell ref="ODM512:ODM514"/>
    <mergeCell ref="ODN512:ODQ514"/>
    <mergeCell ref="ODU512:ODU514"/>
    <mergeCell ref="ODV512:ODY514"/>
    <mergeCell ref="OEC512:OEC514"/>
    <mergeCell ref="OED512:OEG514"/>
    <mergeCell ref="OEK512:OEK514"/>
    <mergeCell ref="OBR512:OBU514"/>
    <mergeCell ref="OBY512:OBY514"/>
    <mergeCell ref="OBZ512:OCC514"/>
    <mergeCell ref="OCG512:OCG514"/>
    <mergeCell ref="OCH512:OCK514"/>
    <mergeCell ref="OCO512:OCO514"/>
    <mergeCell ref="OCP512:OCS514"/>
    <mergeCell ref="OCW512:OCW514"/>
    <mergeCell ref="OCX512:ODA514"/>
    <mergeCell ref="OAK512:OAK514"/>
    <mergeCell ref="OAL512:OAO514"/>
    <mergeCell ref="OAS512:OAS514"/>
    <mergeCell ref="OAT512:OAW514"/>
    <mergeCell ref="OBA512:OBA514"/>
    <mergeCell ref="OBB512:OBE514"/>
    <mergeCell ref="OBI512:OBI514"/>
    <mergeCell ref="OBJ512:OBM514"/>
    <mergeCell ref="OBQ512:OBQ514"/>
    <mergeCell ref="NYX512:NZA514"/>
    <mergeCell ref="NZE512:NZE514"/>
    <mergeCell ref="NZF512:NZI514"/>
    <mergeCell ref="NZM512:NZM514"/>
    <mergeCell ref="NZN512:NZQ514"/>
    <mergeCell ref="NZU512:NZU514"/>
    <mergeCell ref="NZV512:NZY514"/>
    <mergeCell ref="OAC512:OAC514"/>
    <mergeCell ref="OAD512:OAG514"/>
    <mergeCell ref="NXQ512:NXQ514"/>
    <mergeCell ref="NXR512:NXU514"/>
    <mergeCell ref="NXY512:NXY514"/>
    <mergeCell ref="NXZ512:NYC514"/>
    <mergeCell ref="NYG512:NYG514"/>
    <mergeCell ref="NYH512:NYK514"/>
    <mergeCell ref="NYO512:NYO514"/>
    <mergeCell ref="NYP512:NYS514"/>
    <mergeCell ref="NYW512:NYW514"/>
    <mergeCell ref="NWD512:NWG514"/>
    <mergeCell ref="NWK512:NWK514"/>
    <mergeCell ref="NWL512:NWO514"/>
    <mergeCell ref="NWS512:NWS514"/>
    <mergeCell ref="NWT512:NWW514"/>
    <mergeCell ref="NXA512:NXA514"/>
    <mergeCell ref="NXB512:NXE514"/>
    <mergeCell ref="NXI512:NXI514"/>
    <mergeCell ref="NXJ512:NXM514"/>
    <mergeCell ref="NUW512:NUW514"/>
    <mergeCell ref="NUX512:NVA514"/>
    <mergeCell ref="NVE512:NVE514"/>
    <mergeCell ref="NVF512:NVI514"/>
    <mergeCell ref="NVM512:NVM514"/>
    <mergeCell ref="NVN512:NVQ514"/>
    <mergeCell ref="NVU512:NVU514"/>
    <mergeCell ref="NVV512:NVY514"/>
    <mergeCell ref="NWC512:NWC514"/>
    <mergeCell ref="NTJ512:NTM514"/>
    <mergeCell ref="NTQ512:NTQ514"/>
    <mergeCell ref="NTR512:NTU514"/>
    <mergeCell ref="NTY512:NTY514"/>
    <mergeCell ref="NTZ512:NUC514"/>
    <mergeCell ref="NUG512:NUG514"/>
    <mergeCell ref="NUH512:NUK514"/>
    <mergeCell ref="NUO512:NUO514"/>
    <mergeCell ref="NUP512:NUS514"/>
    <mergeCell ref="NSC512:NSC514"/>
    <mergeCell ref="NSD512:NSG514"/>
    <mergeCell ref="NSK512:NSK514"/>
    <mergeCell ref="NSL512:NSO514"/>
    <mergeCell ref="NSS512:NSS514"/>
    <mergeCell ref="NST512:NSW514"/>
    <mergeCell ref="NTA512:NTA514"/>
    <mergeCell ref="NTB512:NTE514"/>
    <mergeCell ref="NTI512:NTI514"/>
    <mergeCell ref="NQP512:NQS514"/>
    <mergeCell ref="NQW512:NQW514"/>
    <mergeCell ref="NQX512:NRA514"/>
    <mergeCell ref="NRE512:NRE514"/>
    <mergeCell ref="NRF512:NRI514"/>
    <mergeCell ref="NRM512:NRM514"/>
    <mergeCell ref="NRN512:NRQ514"/>
    <mergeCell ref="NRU512:NRU514"/>
    <mergeCell ref="NRV512:NRY514"/>
    <mergeCell ref="NPI512:NPI514"/>
    <mergeCell ref="NPJ512:NPM514"/>
    <mergeCell ref="NPQ512:NPQ514"/>
    <mergeCell ref="NPR512:NPU514"/>
    <mergeCell ref="NPY512:NPY514"/>
    <mergeCell ref="NPZ512:NQC514"/>
    <mergeCell ref="NQG512:NQG514"/>
    <mergeCell ref="NQH512:NQK514"/>
    <mergeCell ref="NQO512:NQO514"/>
    <mergeCell ref="NNV512:NNY514"/>
    <mergeCell ref="NOC512:NOC514"/>
    <mergeCell ref="NOD512:NOG514"/>
    <mergeCell ref="NOK512:NOK514"/>
    <mergeCell ref="NOL512:NOO514"/>
    <mergeCell ref="NOS512:NOS514"/>
    <mergeCell ref="NOT512:NOW514"/>
    <mergeCell ref="NPA512:NPA514"/>
    <mergeCell ref="NPB512:NPE514"/>
    <mergeCell ref="NMO512:NMO514"/>
    <mergeCell ref="NMP512:NMS514"/>
    <mergeCell ref="NMW512:NMW514"/>
    <mergeCell ref="NMX512:NNA514"/>
    <mergeCell ref="NNE512:NNE514"/>
    <mergeCell ref="NNF512:NNI514"/>
    <mergeCell ref="NNM512:NNM514"/>
    <mergeCell ref="NNN512:NNQ514"/>
    <mergeCell ref="NNU512:NNU514"/>
    <mergeCell ref="NLB512:NLE514"/>
    <mergeCell ref="NLI512:NLI514"/>
    <mergeCell ref="NLJ512:NLM514"/>
    <mergeCell ref="NLQ512:NLQ514"/>
    <mergeCell ref="NLR512:NLU514"/>
    <mergeCell ref="NLY512:NLY514"/>
    <mergeCell ref="NLZ512:NMC514"/>
    <mergeCell ref="NMG512:NMG514"/>
    <mergeCell ref="NMH512:NMK514"/>
    <mergeCell ref="NJU512:NJU514"/>
    <mergeCell ref="NJV512:NJY514"/>
    <mergeCell ref="NKC512:NKC514"/>
    <mergeCell ref="NKD512:NKG514"/>
    <mergeCell ref="NKK512:NKK514"/>
    <mergeCell ref="NKL512:NKO514"/>
    <mergeCell ref="NKS512:NKS514"/>
    <mergeCell ref="NKT512:NKW514"/>
    <mergeCell ref="NLA512:NLA514"/>
    <mergeCell ref="NIH512:NIK514"/>
    <mergeCell ref="NIO512:NIO514"/>
    <mergeCell ref="NIP512:NIS514"/>
    <mergeCell ref="NIW512:NIW514"/>
    <mergeCell ref="NIX512:NJA514"/>
    <mergeCell ref="NJE512:NJE514"/>
    <mergeCell ref="NJF512:NJI514"/>
    <mergeCell ref="NJM512:NJM514"/>
    <mergeCell ref="NJN512:NJQ514"/>
    <mergeCell ref="NHA512:NHA514"/>
    <mergeCell ref="NHB512:NHE514"/>
    <mergeCell ref="NHI512:NHI514"/>
    <mergeCell ref="NHJ512:NHM514"/>
    <mergeCell ref="NHQ512:NHQ514"/>
    <mergeCell ref="NHR512:NHU514"/>
    <mergeCell ref="NHY512:NHY514"/>
    <mergeCell ref="NHZ512:NIC514"/>
    <mergeCell ref="NIG512:NIG514"/>
    <mergeCell ref="NFN512:NFQ514"/>
    <mergeCell ref="NFU512:NFU514"/>
    <mergeCell ref="NFV512:NFY514"/>
    <mergeCell ref="NGC512:NGC514"/>
    <mergeCell ref="NGD512:NGG514"/>
    <mergeCell ref="NGK512:NGK514"/>
    <mergeCell ref="NGL512:NGO514"/>
    <mergeCell ref="NGS512:NGS514"/>
    <mergeCell ref="NGT512:NGW514"/>
    <mergeCell ref="NEG512:NEG514"/>
    <mergeCell ref="NEH512:NEK514"/>
    <mergeCell ref="NEO512:NEO514"/>
    <mergeCell ref="NEP512:NES514"/>
    <mergeCell ref="NEW512:NEW514"/>
    <mergeCell ref="NEX512:NFA514"/>
    <mergeCell ref="NFE512:NFE514"/>
    <mergeCell ref="NFF512:NFI514"/>
    <mergeCell ref="NFM512:NFM514"/>
    <mergeCell ref="NCT512:NCW514"/>
    <mergeCell ref="NDA512:NDA514"/>
    <mergeCell ref="NDB512:NDE514"/>
    <mergeCell ref="NDI512:NDI514"/>
    <mergeCell ref="NDJ512:NDM514"/>
    <mergeCell ref="NDQ512:NDQ514"/>
    <mergeCell ref="NDR512:NDU514"/>
    <mergeCell ref="NDY512:NDY514"/>
    <mergeCell ref="NDZ512:NEC514"/>
    <mergeCell ref="NBM512:NBM514"/>
    <mergeCell ref="NBN512:NBQ514"/>
    <mergeCell ref="NBU512:NBU514"/>
    <mergeCell ref="NBV512:NBY514"/>
    <mergeCell ref="NCC512:NCC514"/>
    <mergeCell ref="NCD512:NCG514"/>
    <mergeCell ref="NCK512:NCK514"/>
    <mergeCell ref="NCL512:NCO514"/>
    <mergeCell ref="NCS512:NCS514"/>
    <mergeCell ref="MZZ512:NAC514"/>
    <mergeCell ref="NAG512:NAG514"/>
    <mergeCell ref="NAH512:NAK514"/>
    <mergeCell ref="NAO512:NAO514"/>
    <mergeCell ref="NAP512:NAS514"/>
    <mergeCell ref="NAW512:NAW514"/>
    <mergeCell ref="NAX512:NBA514"/>
    <mergeCell ref="NBE512:NBE514"/>
    <mergeCell ref="NBF512:NBI514"/>
    <mergeCell ref="MYS512:MYS514"/>
    <mergeCell ref="MYT512:MYW514"/>
    <mergeCell ref="MZA512:MZA514"/>
    <mergeCell ref="MZB512:MZE514"/>
    <mergeCell ref="MZI512:MZI514"/>
    <mergeCell ref="MZJ512:MZM514"/>
    <mergeCell ref="MZQ512:MZQ514"/>
    <mergeCell ref="MZR512:MZU514"/>
    <mergeCell ref="MZY512:MZY514"/>
    <mergeCell ref="MXF512:MXI514"/>
    <mergeCell ref="MXM512:MXM514"/>
    <mergeCell ref="MXN512:MXQ514"/>
    <mergeCell ref="MXU512:MXU514"/>
    <mergeCell ref="MXV512:MXY514"/>
    <mergeCell ref="MYC512:MYC514"/>
    <mergeCell ref="MYD512:MYG514"/>
    <mergeCell ref="MYK512:MYK514"/>
    <mergeCell ref="MYL512:MYO514"/>
    <mergeCell ref="MVY512:MVY514"/>
    <mergeCell ref="MVZ512:MWC514"/>
    <mergeCell ref="MWG512:MWG514"/>
    <mergeCell ref="MWH512:MWK514"/>
    <mergeCell ref="MWO512:MWO514"/>
    <mergeCell ref="MWP512:MWS514"/>
    <mergeCell ref="MWW512:MWW514"/>
    <mergeCell ref="MWX512:MXA514"/>
    <mergeCell ref="MXE512:MXE514"/>
    <mergeCell ref="MUL512:MUO514"/>
    <mergeCell ref="MUS512:MUS514"/>
    <mergeCell ref="MUT512:MUW514"/>
    <mergeCell ref="MVA512:MVA514"/>
    <mergeCell ref="MVB512:MVE514"/>
    <mergeCell ref="MVI512:MVI514"/>
    <mergeCell ref="MVJ512:MVM514"/>
    <mergeCell ref="MVQ512:MVQ514"/>
    <mergeCell ref="MVR512:MVU514"/>
    <mergeCell ref="MTE512:MTE514"/>
    <mergeCell ref="MTF512:MTI514"/>
    <mergeCell ref="MTM512:MTM514"/>
    <mergeCell ref="MTN512:MTQ514"/>
    <mergeCell ref="MTU512:MTU514"/>
    <mergeCell ref="MTV512:MTY514"/>
    <mergeCell ref="MUC512:MUC514"/>
    <mergeCell ref="MUD512:MUG514"/>
    <mergeCell ref="MUK512:MUK514"/>
    <mergeCell ref="MRR512:MRU514"/>
    <mergeCell ref="MRY512:MRY514"/>
    <mergeCell ref="MRZ512:MSC514"/>
    <mergeCell ref="MSG512:MSG514"/>
    <mergeCell ref="MSH512:MSK514"/>
    <mergeCell ref="MSO512:MSO514"/>
    <mergeCell ref="MSP512:MSS514"/>
    <mergeCell ref="MSW512:MSW514"/>
    <mergeCell ref="MSX512:MTA514"/>
    <mergeCell ref="MQK512:MQK514"/>
    <mergeCell ref="MQL512:MQO514"/>
    <mergeCell ref="MQS512:MQS514"/>
    <mergeCell ref="MQT512:MQW514"/>
    <mergeCell ref="MRA512:MRA514"/>
    <mergeCell ref="MRB512:MRE514"/>
    <mergeCell ref="MRI512:MRI514"/>
    <mergeCell ref="MRJ512:MRM514"/>
    <mergeCell ref="MRQ512:MRQ514"/>
    <mergeCell ref="MOX512:MPA514"/>
    <mergeCell ref="MPE512:MPE514"/>
    <mergeCell ref="MPF512:MPI514"/>
    <mergeCell ref="MPM512:MPM514"/>
    <mergeCell ref="MPN512:MPQ514"/>
    <mergeCell ref="MPU512:MPU514"/>
    <mergeCell ref="MPV512:MPY514"/>
    <mergeCell ref="MQC512:MQC514"/>
    <mergeCell ref="MQD512:MQG514"/>
    <mergeCell ref="MNQ512:MNQ514"/>
    <mergeCell ref="MNR512:MNU514"/>
    <mergeCell ref="MNY512:MNY514"/>
    <mergeCell ref="MNZ512:MOC514"/>
    <mergeCell ref="MOG512:MOG514"/>
    <mergeCell ref="MOH512:MOK514"/>
    <mergeCell ref="MOO512:MOO514"/>
    <mergeCell ref="MOP512:MOS514"/>
    <mergeCell ref="MOW512:MOW514"/>
    <mergeCell ref="MMD512:MMG514"/>
    <mergeCell ref="MMK512:MMK514"/>
    <mergeCell ref="MML512:MMO514"/>
    <mergeCell ref="MMS512:MMS514"/>
    <mergeCell ref="MMT512:MMW514"/>
    <mergeCell ref="MNA512:MNA514"/>
    <mergeCell ref="MNB512:MNE514"/>
    <mergeCell ref="MNI512:MNI514"/>
    <mergeCell ref="MNJ512:MNM514"/>
    <mergeCell ref="MKW512:MKW514"/>
    <mergeCell ref="MKX512:MLA514"/>
    <mergeCell ref="MLE512:MLE514"/>
    <mergeCell ref="MLF512:MLI514"/>
    <mergeCell ref="MLM512:MLM514"/>
    <mergeCell ref="MLN512:MLQ514"/>
    <mergeCell ref="MLU512:MLU514"/>
    <mergeCell ref="MLV512:MLY514"/>
    <mergeCell ref="MMC512:MMC514"/>
    <mergeCell ref="MJJ512:MJM514"/>
    <mergeCell ref="MJQ512:MJQ514"/>
    <mergeCell ref="MJR512:MJU514"/>
    <mergeCell ref="MJY512:MJY514"/>
    <mergeCell ref="MJZ512:MKC514"/>
    <mergeCell ref="MKG512:MKG514"/>
    <mergeCell ref="MKH512:MKK514"/>
    <mergeCell ref="MKO512:MKO514"/>
    <mergeCell ref="MKP512:MKS514"/>
    <mergeCell ref="MIC512:MIC514"/>
    <mergeCell ref="MID512:MIG514"/>
    <mergeCell ref="MIK512:MIK514"/>
    <mergeCell ref="MIL512:MIO514"/>
    <mergeCell ref="MIS512:MIS514"/>
    <mergeCell ref="MIT512:MIW514"/>
    <mergeCell ref="MJA512:MJA514"/>
    <mergeCell ref="MJB512:MJE514"/>
    <mergeCell ref="MJI512:MJI514"/>
    <mergeCell ref="MGP512:MGS514"/>
    <mergeCell ref="MGW512:MGW514"/>
    <mergeCell ref="MGX512:MHA514"/>
    <mergeCell ref="MHE512:MHE514"/>
    <mergeCell ref="MHF512:MHI514"/>
    <mergeCell ref="MHM512:MHM514"/>
    <mergeCell ref="MHN512:MHQ514"/>
    <mergeCell ref="MHU512:MHU514"/>
    <mergeCell ref="MHV512:MHY514"/>
    <mergeCell ref="MFI512:MFI514"/>
    <mergeCell ref="MFJ512:MFM514"/>
    <mergeCell ref="MFQ512:MFQ514"/>
    <mergeCell ref="MFR512:MFU514"/>
    <mergeCell ref="MFY512:MFY514"/>
    <mergeCell ref="MFZ512:MGC514"/>
    <mergeCell ref="MGG512:MGG514"/>
    <mergeCell ref="MGH512:MGK514"/>
    <mergeCell ref="MGO512:MGO514"/>
    <mergeCell ref="MDV512:MDY514"/>
    <mergeCell ref="MEC512:MEC514"/>
    <mergeCell ref="MED512:MEG514"/>
    <mergeCell ref="MEK512:MEK514"/>
    <mergeCell ref="MEL512:MEO514"/>
    <mergeCell ref="MES512:MES514"/>
    <mergeCell ref="MET512:MEW514"/>
    <mergeCell ref="MFA512:MFA514"/>
    <mergeCell ref="MFB512:MFE514"/>
    <mergeCell ref="MCO512:MCO514"/>
    <mergeCell ref="MCP512:MCS514"/>
    <mergeCell ref="MCW512:MCW514"/>
    <mergeCell ref="MCX512:MDA514"/>
    <mergeCell ref="MDE512:MDE514"/>
    <mergeCell ref="MDF512:MDI514"/>
    <mergeCell ref="MDM512:MDM514"/>
    <mergeCell ref="MDN512:MDQ514"/>
    <mergeCell ref="MDU512:MDU514"/>
    <mergeCell ref="MBB512:MBE514"/>
    <mergeCell ref="MBI512:MBI514"/>
    <mergeCell ref="MBJ512:MBM514"/>
    <mergeCell ref="MBQ512:MBQ514"/>
    <mergeCell ref="MBR512:MBU514"/>
    <mergeCell ref="MBY512:MBY514"/>
    <mergeCell ref="MBZ512:MCC514"/>
    <mergeCell ref="MCG512:MCG514"/>
    <mergeCell ref="MCH512:MCK514"/>
    <mergeCell ref="LZU512:LZU514"/>
    <mergeCell ref="LZV512:LZY514"/>
    <mergeCell ref="MAC512:MAC514"/>
    <mergeCell ref="MAD512:MAG514"/>
    <mergeCell ref="MAK512:MAK514"/>
    <mergeCell ref="MAL512:MAO514"/>
    <mergeCell ref="MAS512:MAS514"/>
    <mergeCell ref="MAT512:MAW514"/>
    <mergeCell ref="MBA512:MBA514"/>
    <mergeCell ref="LYH512:LYK514"/>
    <mergeCell ref="LYO512:LYO514"/>
    <mergeCell ref="LYP512:LYS514"/>
    <mergeCell ref="LYW512:LYW514"/>
    <mergeCell ref="LYX512:LZA514"/>
    <mergeCell ref="LZE512:LZE514"/>
    <mergeCell ref="LZF512:LZI514"/>
    <mergeCell ref="LZM512:LZM514"/>
    <mergeCell ref="LZN512:LZQ514"/>
    <mergeCell ref="LXA512:LXA514"/>
    <mergeCell ref="LXB512:LXE514"/>
    <mergeCell ref="LXI512:LXI514"/>
    <mergeCell ref="LXJ512:LXM514"/>
    <mergeCell ref="LXQ512:LXQ514"/>
    <mergeCell ref="LXR512:LXU514"/>
    <mergeCell ref="LXY512:LXY514"/>
    <mergeCell ref="LXZ512:LYC514"/>
    <mergeCell ref="LYG512:LYG514"/>
    <mergeCell ref="LVN512:LVQ514"/>
    <mergeCell ref="LVU512:LVU514"/>
    <mergeCell ref="LVV512:LVY514"/>
    <mergeCell ref="LWC512:LWC514"/>
    <mergeCell ref="LWD512:LWG514"/>
    <mergeCell ref="LWK512:LWK514"/>
    <mergeCell ref="LWL512:LWO514"/>
    <mergeCell ref="LWS512:LWS514"/>
    <mergeCell ref="LWT512:LWW514"/>
    <mergeCell ref="LUG512:LUG514"/>
    <mergeCell ref="LUH512:LUK514"/>
    <mergeCell ref="LUO512:LUO514"/>
    <mergeCell ref="LUP512:LUS514"/>
    <mergeCell ref="LUW512:LUW514"/>
    <mergeCell ref="LUX512:LVA514"/>
    <mergeCell ref="LVE512:LVE514"/>
    <mergeCell ref="LVF512:LVI514"/>
    <mergeCell ref="LVM512:LVM514"/>
    <mergeCell ref="LST512:LSW514"/>
    <mergeCell ref="LTA512:LTA514"/>
    <mergeCell ref="LTB512:LTE514"/>
    <mergeCell ref="LTI512:LTI514"/>
    <mergeCell ref="LTJ512:LTM514"/>
    <mergeCell ref="LTQ512:LTQ514"/>
    <mergeCell ref="LTR512:LTU514"/>
    <mergeCell ref="LTY512:LTY514"/>
    <mergeCell ref="LTZ512:LUC514"/>
    <mergeCell ref="LRM512:LRM514"/>
    <mergeCell ref="LRN512:LRQ514"/>
    <mergeCell ref="LRU512:LRU514"/>
    <mergeCell ref="LRV512:LRY514"/>
    <mergeCell ref="LSC512:LSC514"/>
    <mergeCell ref="LSD512:LSG514"/>
    <mergeCell ref="LSK512:LSK514"/>
    <mergeCell ref="LSL512:LSO514"/>
    <mergeCell ref="LSS512:LSS514"/>
    <mergeCell ref="LPZ512:LQC514"/>
    <mergeCell ref="LQG512:LQG514"/>
    <mergeCell ref="LQH512:LQK514"/>
    <mergeCell ref="LQO512:LQO514"/>
    <mergeCell ref="LQP512:LQS514"/>
    <mergeCell ref="LQW512:LQW514"/>
    <mergeCell ref="LQX512:LRA514"/>
    <mergeCell ref="LRE512:LRE514"/>
    <mergeCell ref="LRF512:LRI514"/>
    <mergeCell ref="LOS512:LOS514"/>
    <mergeCell ref="LOT512:LOW514"/>
    <mergeCell ref="LPA512:LPA514"/>
    <mergeCell ref="LPB512:LPE514"/>
    <mergeCell ref="LPI512:LPI514"/>
    <mergeCell ref="LPJ512:LPM514"/>
    <mergeCell ref="LPQ512:LPQ514"/>
    <mergeCell ref="LPR512:LPU514"/>
    <mergeCell ref="LPY512:LPY514"/>
    <mergeCell ref="LNF512:LNI514"/>
    <mergeCell ref="LNM512:LNM514"/>
    <mergeCell ref="LNN512:LNQ514"/>
    <mergeCell ref="LNU512:LNU514"/>
    <mergeCell ref="LNV512:LNY514"/>
    <mergeCell ref="LOC512:LOC514"/>
    <mergeCell ref="LOD512:LOG514"/>
    <mergeCell ref="LOK512:LOK514"/>
    <mergeCell ref="LOL512:LOO514"/>
    <mergeCell ref="LLY512:LLY514"/>
    <mergeCell ref="LLZ512:LMC514"/>
    <mergeCell ref="LMG512:LMG514"/>
    <mergeCell ref="LMH512:LMK514"/>
    <mergeCell ref="LMO512:LMO514"/>
    <mergeCell ref="LMP512:LMS514"/>
    <mergeCell ref="LMW512:LMW514"/>
    <mergeCell ref="LMX512:LNA514"/>
    <mergeCell ref="LNE512:LNE514"/>
    <mergeCell ref="LKL512:LKO514"/>
    <mergeCell ref="LKS512:LKS514"/>
    <mergeCell ref="LKT512:LKW514"/>
    <mergeCell ref="LLA512:LLA514"/>
    <mergeCell ref="LLB512:LLE514"/>
    <mergeCell ref="LLI512:LLI514"/>
    <mergeCell ref="LLJ512:LLM514"/>
    <mergeCell ref="LLQ512:LLQ514"/>
    <mergeCell ref="LLR512:LLU514"/>
    <mergeCell ref="LJE512:LJE514"/>
    <mergeCell ref="LJF512:LJI514"/>
    <mergeCell ref="LJM512:LJM514"/>
    <mergeCell ref="LJN512:LJQ514"/>
    <mergeCell ref="LJU512:LJU514"/>
    <mergeCell ref="LJV512:LJY514"/>
    <mergeCell ref="LKC512:LKC514"/>
    <mergeCell ref="LKD512:LKG514"/>
    <mergeCell ref="LKK512:LKK514"/>
    <mergeCell ref="LHR512:LHU514"/>
    <mergeCell ref="LHY512:LHY514"/>
    <mergeCell ref="LHZ512:LIC514"/>
    <mergeCell ref="LIG512:LIG514"/>
    <mergeCell ref="LIH512:LIK514"/>
    <mergeCell ref="LIO512:LIO514"/>
    <mergeCell ref="LIP512:LIS514"/>
    <mergeCell ref="LIW512:LIW514"/>
    <mergeCell ref="LIX512:LJA514"/>
    <mergeCell ref="LGK512:LGK514"/>
    <mergeCell ref="LGL512:LGO514"/>
    <mergeCell ref="LGS512:LGS514"/>
    <mergeCell ref="LGT512:LGW514"/>
    <mergeCell ref="LHA512:LHA514"/>
    <mergeCell ref="LHB512:LHE514"/>
    <mergeCell ref="LHI512:LHI514"/>
    <mergeCell ref="LHJ512:LHM514"/>
    <mergeCell ref="LHQ512:LHQ514"/>
    <mergeCell ref="LEX512:LFA514"/>
    <mergeCell ref="LFE512:LFE514"/>
    <mergeCell ref="LFF512:LFI514"/>
    <mergeCell ref="LFM512:LFM514"/>
    <mergeCell ref="LFN512:LFQ514"/>
    <mergeCell ref="LFU512:LFU514"/>
    <mergeCell ref="LFV512:LFY514"/>
    <mergeCell ref="LGC512:LGC514"/>
    <mergeCell ref="LGD512:LGG514"/>
    <mergeCell ref="LDQ512:LDQ514"/>
    <mergeCell ref="LDR512:LDU514"/>
    <mergeCell ref="LDY512:LDY514"/>
    <mergeCell ref="LDZ512:LEC514"/>
    <mergeCell ref="LEG512:LEG514"/>
    <mergeCell ref="LEH512:LEK514"/>
    <mergeCell ref="LEO512:LEO514"/>
    <mergeCell ref="LEP512:LES514"/>
    <mergeCell ref="LEW512:LEW514"/>
    <mergeCell ref="LCD512:LCG514"/>
    <mergeCell ref="LCK512:LCK514"/>
    <mergeCell ref="LCL512:LCO514"/>
    <mergeCell ref="LCS512:LCS514"/>
    <mergeCell ref="LCT512:LCW514"/>
    <mergeCell ref="LDA512:LDA514"/>
    <mergeCell ref="LDB512:LDE514"/>
    <mergeCell ref="LDI512:LDI514"/>
    <mergeCell ref="LDJ512:LDM514"/>
    <mergeCell ref="LAW512:LAW514"/>
    <mergeCell ref="LAX512:LBA514"/>
    <mergeCell ref="LBE512:LBE514"/>
    <mergeCell ref="LBF512:LBI514"/>
    <mergeCell ref="LBM512:LBM514"/>
    <mergeCell ref="LBN512:LBQ514"/>
    <mergeCell ref="LBU512:LBU514"/>
    <mergeCell ref="LBV512:LBY514"/>
    <mergeCell ref="LCC512:LCC514"/>
    <mergeCell ref="KZJ512:KZM514"/>
    <mergeCell ref="KZQ512:KZQ514"/>
    <mergeCell ref="KZR512:KZU514"/>
    <mergeCell ref="KZY512:KZY514"/>
    <mergeCell ref="KZZ512:LAC514"/>
    <mergeCell ref="LAG512:LAG514"/>
    <mergeCell ref="LAH512:LAK514"/>
    <mergeCell ref="LAO512:LAO514"/>
    <mergeCell ref="LAP512:LAS514"/>
    <mergeCell ref="KYC512:KYC514"/>
    <mergeCell ref="KYD512:KYG514"/>
    <mergeCell ref="KYK512:KYK514"/>
    <mergeCell ref="KYL512:KYO514"/>
    <mergeCell ref="KYS512:KYS514"/>
    <mergeCell ref="KYT512:KYW514"/>
    <mergeCell ref="KZA512:KZA514"/>
    <mergeCell ref="KZB512:KZE514"/>
    <mergeCell ref="KZI512:KZI514"/>
    <mergeCell ref="KWP512:KWS514"/>
    <mergeCell ref="KWW512:KWW514"/>
    <mergeCell ref="KWX512:KXA514"/>
    <mergeCell ref="KXE512:KXE514"/>
    <mergeCell ref="KXF512:KXI514"/>
    <mergeCell ref="KXM512:KXM514"/>
    <mergeCell ref="KXN512:KXQ514"/>
    <mergeCell ref="KXU512:KXU514"/>
    <mergeCell ref="KXV512:KXY514"/>
    <mergeCell ref="KVI512:KVI514"/>
    <mergeCell ref="KVJ512:KVM514"/>
    <mergeCell ref="KVQ512:KVQ514"/>
    <mergeCell ref="KVR512:KVU514"/>
    <mergeCell ref="KVY512:KVY514"/>
    <mergeCell ref="KVZ512:KWC514"/>
    <mergeCell ref="KWG512:KWG514"/>
    <mergeCell ref="KWH512:KWK514"/>
    <mergeCell ref="KWO512:KWO514"/>
    <mergeCell ref="KTV512:KTY514"/>
    <mergeCell ref="KUC512:KUC514"/>
    <mergeCell ref="KUD512:KUG514"/>
    <mergeCell ref="KUK512:KUK514"/>
    <mergeCell ref="KUL512:KUO514"/>
    <mergeCell ref="KUS512:KUS514"/>
    <mergeCell ref="KUT512:KUW514"/>
    <mergeCell ref="KVA512:KVA514"/>
    <mergeCell ref="KVB512:KVE514"/>
    <mergeCell ref="KSO512:KSO514"/>
    <mergeCell ref="KSP512:KSS514"/>
    <mergeCell ref="KSW512:KSW514"/>
    <mergeCell ref="KSX512:KTA514"/>
    <mergeCell ref="KTE512:KTE514"/>
    <mergeCell ref="KTF512:KTI514"/>
    <mergeCell ref="KTM512:KTM514"/>
    <mergeCell ref="KTN512:KTQ514"/>
    <mergeCell ref="KTU512:KTU514"/>
    <mergeCell ref="KRB512:KRE514"/>
    <mergeCell ref="KRI512:KRI514"/>
    <mergeCell ref="KRJ512:KRM514"/>
    <mergeCell ref="KRQ512:KRQ514"/>
    <mergeCell ref="KRR512:KRU514"/>
    <mergeCell ref="KRY512:KRY514"/>
    <mergeCell ref="KRZ512:KSC514"/>
    <mergeCell ref="KSG512:KSG514"/>
    <mergeCell ref="KSH512:KSK514"/>
    <mergeCell ref="KPU512:KPU514"/>
    <mergeCell ref="KPV512:KPY514"/>
    <mergeCell ref="KQC512:KQC514"/>
    <mergeCell ref="KQD512:KQG514"/>
    <mergeCell ref="KQK512:KQK514"/>
    <mergeCell ref="KQL512:KQO514"/>
    <mergeCell ref="KQS512:KQS514"/>
    <mergeCell ref="KQT512:KQW514"/>
    <mergeCell ref="KRA512:KRA514"/>
    <mergeCell ref="KOH512:KOK514"/>
    <mergeCell ref="KOO512:KOO514"/>
    <mergeCell ref="KOP512:KOS514"/>
    <mergeCell ref="KOW512:KOW514"/>
    <mergeCell ref="KOX512:KPA514"/>
    <mergeCell ref="KPE512:KPE514"/>
    <mergeCell ref="KPF512:KPI514"/>
    <mergeCell ref="KPM512:KPM514"/>
    <mergeCell ref="KPN512:KPQ514"/>
    <mergeCell ref="KNA512:KNA514"/>
    <mergeCell ref="KNB512:KNE514"/>
    <mergeCell ref="KNI512:KNI514"/>
    <mergeCell ref="KNJ512:KNM514"/>
    <mergeCell ref="KNQ512:KNQ514"/>
    <mergeCell ref="KNR512:KNU514"/>
    <mergeCell ref="KNY512:KNY514"/>
    <mergeCell ref="KNZ512:KOC514"/>
    <mergeCell ref="KOG512:KOG514"/>
    <mergeCell ref="KLN512:KLQ514"/>
    <mergeCell ref="KLU512:KLU514"/>
    <mergeCell ref="KLV512:KLY514"/>
    <mergeCell ref="KMC512:KMC514"/>
    <mergeCell ref="KMD512:KMG514"/>
    <mergeCell ref="KMK512:KMK514"/>
    <mergeCell ref="KML512:KMO514"/>
    <mergeCell ref="KMS512:KMS514"/>
    <mergeCell ref="KMT512:KMW514"/>
    <mergeCell ref="KKG512:KKG514"/>
    <mergeCell ref="KKH512:KKK514"/>
    <mergeCell ref="KKO512:KKO514"/>
    <mergeCell ref="KKP512:KKS514"/>
    <mergeCell ref="KKW512:KKW514"/>
    <mergeCell ref="KKX512:KLA514"/>
    <mergeCell ref="KLE512:KLE514"/>
    <mergeCell ref="KLF512:KLI514"/>
    <mergeCell ref="KLM512:KLM514"/>
    <mergeCell ref="KIT512:KIW514"/>
    <mergeCell ref="KJA512:KJA514"/>
    <mergeCell ref="KJB512:KJE514"/>
    <mergeCell ref="KJI512:KJI514"/>
    <mergeCell ref="KJJ512:KJM514"/>
    <mergeCell ref="KJQ512:KJQ514"/>
    <mergeCell ref="KJR512:KJU514"/>
    <mergeCell ref="KJY512:KJY514"/>
    <mergeCell ref="KJZ512:KKC514"/>
    <mergeCell ref="KHM512:KHM514"/>
    <mergeCell ref="KHN512:KHQ514"/>
    <mergeCell ref="KHU512:KHU514"/>
    <mergeCell ref="KHV512:KHY514"/>
    <mergeCell ref="KIC512:KIC514"/>
    <mergeCell ref="KID512:KIG514"/>
    <mergeCell ref="KIK512:KIK514"/>
    <mergeCell ref="KIL512:KIO514"/>
    <mergeCell ref="KIS512:KIS514"/>
    <mergeCell ref="KFZ512:KGC514"/>
    <mergeCell ref="KGG512:KGG514"/>
    <mergeCell ref="KGH512:KGK514"/>
    <mergeCell ref="KGO512:KGO514"/>
    <mergeCell ref="KGP512:KGS514"/>
    <mergeCell ref="KGW512:KGW514"/>
    <mergeCell ref="KGX512:KHA514"/>
    <mergeCell ref="KHE512:KHE514"/>
    <mergeCell ref="KHF512:KHI514"/>
    <mergeCell ref="KES512:KES514"/>
    <mergeCell ref="KET512:KEW514"/>
    <mergeCell ref="KFA512:KFA514"/>
    <mergeCell ref="KFB512:KFE514"/>
    <mergeCell ref="KFI512:KFI514"/>
    <mergeCell ref="KFJ512:KFM514"/>
    <mergeCell ref="KFQ512:KFQ514"/>
    <mergeCell ref="KFR512:KFU514"/>
    <mergeCell ref="KFY512:KFY514"/>
    <mergeCell ref="KDF512:KDI514"/>
    <mergeCell ref="KDM512:KDM514"/>
    <mergeCell ref="KDN512:KDQ514"/>
    <mergeCell ref="KDU512:KDU514"/>
    <mergeCell ref="KDV512:KDY514"/>
    <mergeCell ref="KEC512:KEC514"/>
    <mergeCell ref="KED512:KEG514"/>
    <mergeCell ref="KEK512:KEK514"/>
    <mergeCell ref="KEL512:KEO514"/>
    <mergeCell ref="KBY512:KBY514"/>
    <mergeCell ref="KBZ512:KCC514"/>
    <mergeCell ref="KCG512:KCG514"/>
    <mergeCell ref="KCH512:KCK514"/>
    <mergeCell ref="KCO512:KCO514"/>
    <mergeCell ref="KCP512:KCS514"/>
    <mergeCell ref="KCW512:KCW514"/>
    <mergeCell ref="KCX512:KDA514"/>
    <mergeCell ref="KDE512:KDE514"/>
    <mergeCell ref="KAL512:KAO514"/>
    <mergeCell ref="KAS512:KAS514"/>
    <mergeCell ref="KAT512:KAW514"/>
    <mergeCell ref="KBA512:KBA514"/>
    <mergeCell ref="KBB512:KBE514"/>
    <mergeCell ref="KBI512:KBI514"/>
    <mergeCell ref="KBJ512:KBM514"/>
    <mergeCell ref="KBQ512:KBQ514"/>
    <mergeCell ref="KBR512:KBU514"/>
    <mergeCell ref="JZE512:JZE514"/>
    <mergeCell ref="JZF512:JZI514"/>
    <mergeCell ref="JZM512:JZM514"/>
    <mergeCell ref="JZN512:JZQ514"/>
    <mergeCell ref="JZU512:JZU514"/>
    <mergeCell ref="JZV512:JZY514"/>
    <mergeCell ref="KAC512:KAC514"/>
    <mergeCell ref="KAD512:KAG514"/>
    <mergeCell ref="KAK512:KAK514"/>
    <mergeCell ref="JXR512:JXU514"/>
    <mergeCell ref="JXY512:JXY514"/>
    <mergeCell ref="JXZ512:JYC514"/>
    <mergeCell ref="JYG512:JYG514"/>
    <mergeCell ref="JYH512:JYK514"/>
    <mergeCell ref="JYO512:JYO514"/>
    <mergeCell ref="JYP512:JYS514"/>
    <mergeCell ref="JYW512:JYW514"/>
    <mergeCell ref="JYX512:JZA514"/>
    <mergeCell ref="JWK512:JWK514"/>
    <mergeCell ref="JWL512:JWO514"/>
    <mergeCell ref="JWS512:JWS514"/>
    <mergeCell ref="JWT512:JWW514"/>
    <mergeCell ref="JXA512:JXA514"/>
    <mergeCell ref="JXB512:JXE514"/>
    <mergeCell ref="JXI512:JXI514"/>
    <mergeCell ref="JXJ512:JXM514"/>
    <mergeCell ref="JXQ512:JXQ514"/>
    <mergeCell ref="JUX512:JVA514"/>
    <mergeCell ref="JVE512:JVE514"/>
    <mergeCell ref="JVF512:JVI514"/>
    <mergeCell ref="JVM512:JVM514"/>
    <mergeCell ref="JVN512:JVQ514"/>
    <mergeCell ref="JVU512:JVU514"/>
    <mergeCell ref="JVV512:JVY514"/>
    <mergeCell ref="JWC512:JWC514"/>
    <mergeCell ref="JWD512:JWG514"/>
    <mergeCell ref="JTQ512:JTQ514"/>
    <mergeCell ref="JTR512:JTU514"/>
    <mergeCell ref="JTY512:JTY514"/>
    <mergeCell ref="JTZ512:JUC514"/>
    <mergeCell ref="JUG512:JUG514"/>
    <mergeCell ref="JUH512:JUK514"/>
    <mergeCell ref="JUO512:JUO514"/>
    <mergeCell ref="JUP512:JUS514"/>
    <mergeCell ref="JUW512:JUW514"/>
    <mergeCell ref="JSD512:JSG514"/>
    <mergeCell ref="JSK512:JSK514"/>
    <mergeCell ref="JSL512:JSO514"/>
    <mergeCell ref="JSS512:JSS514"/>
    <mergeCell ref="JST512:JSW514"/>
    <mergeCell ref="JTA512:JTA514"/>
    <mergeCell ref="JTB512:JTE514"/>
    <mergeCell ref="JTI512:JTI514"/>
    <mergeCell ref="JTJ512:JTM514"/>
    <mergeCell ref="JQW512:JQW514"/>
    <mergeCell ref="JQX512:JRA514"/>
    <mergeCell ref="JRE512:JRE514"/>
    <mergeCell ref="JRF512:JRI514"/>
    <mergeCell ref="JRM512:JRM514"/>
    <mergeCell ref="JRN512:JRQ514"/>
    <mergeCell ref="JRU512:JRU514"/>
    <mergeCell ref="JRV512:JRY514"/>
    <mergeCell ref="JSC512:JSC514"/>
    <mergeCell ref="JPJ512:JPM514"/>
    <mergeCell ref="JPQ512:JPQ514"/>
    <mergeCell ref="JPR512:JPU514"/>
    <mergeCell ref="JPY512:JPY514"/>
    <mergeCell ref="JPZ512:JQC514"/>
    <mergeCell ref="JQG512:JQG514"/>
    <mergeCell ref="JQH512:JQK514"/>
    <mergeCell ref="JQO512:JQO514"/>
    <mergeCell ref="JQP512:JQS514"/>
    <mergeCell ref="JOC512:JOC514"/>
    <mergeCell ref="JOD512:JOG514"/>
    <mergeCell ref="JOK512:JOK514"/>
    <mergeCell ref="JOL512:JOO514"/>
    <mergeCell ref="JOS512:JOS514"/>
    <mergeCell ref="JOT512:JOW514"/>
    <mergeCell ref="JPA512:JPA514"/>
    <mergeCell ref="JPB512:JPE514"/>
    <mergeCell ref="JPI512:JPI514"/>
    <mergeCell ref="JMP512:JMS514"/>
    <mergeCell ref="JMW512:JMW514"/>
    <mergeCell ref="JMX512:JNA514"/>
    <mergeCell ref="JNE512:JNE514"/>
    <mergeCell ref="JNF512:JNI514"/>
    <mergeCell ref="JNM512:JNM514"/>
    <mergeCell ref="JNN512:JNQ514"/>
    <mergeCell ref="JNU512:JNU514"/>
    <mergeCell ref="JNV512:JNY514"/>
    <mergeCell ref="JLI512:JLI514"/>
    <mergeCell ref="JLJ512:JLM514"/>
    <mergeCell ref="JLQ512:JLQ514"/>
    <mergeCell ref="JLR512:JLU514"/>
    <mergeCell ref="JLY512:JLY514"/>
    <mergeCell ref="JLZ512:JMC514"/>
    <mergeCell ref="JMG512:JMG514"/>
    <mergeCell ref="JMH512:JMK514"/>
    <mergeCell ref="JMO512:JMO514"/>
    <mergeCell ref="JJV512:JJY514"/>
    <mergeCell ref="JKC512:JKC514"/>
    <mergeCell ref="JKD512:JKG514"/>
    <mergeCell ref="JKK512:JKK514"/>
    <mergeCell ref="JKL512:JKO514"/>
    <mergeCell ref="JKS512:JKS514"/>
    <mergeCell ref="JKT512:JKW514"/>
    <mergeCell ref="JLA512:JLA514"/>
    <mergeCell ref="JLB512:JLE514"/>
    <mergeCell ref="JIO512:JIO514"/>
    <mergeCell ref="JIP512:JIS514"/>
    <mergeCell ref="JIW512:JIW514"/>
    <mergeCell ref="JIX512:JJA514"/>
    <mergeCell ref="JJE512:JJE514"/>
    <mergeCell ref="JJF512:JJI514"/>
    <mergeCell ref="JJM512:JJM514"/>
    <mergeCell ref="JJN512:JJQ514"/>
    <mergeCell ref="JJU512:JJU514"/>
    <mergeCell ref="JHB512:JHE514"/>
    <mergeCell ref="JHI512:JHI514"/>
    <mergeCell ref="JHJ512:JHM514"/>
    <mergeCell ref="JHQ512:JHQ514"/>
    <mergeCell ref="JHR512:JHU514"/>
    <mergeCell ref="JHY512:JHY514"/>
    <mergeCell ref="JHZ512:JIC514"/>
    <mergeCell ref="JIG512:JIG514"/>
    <mergeCell ref="JIH512:JIK514"/>
    <mergeCell ref="JFU512:JFU514"/>
    <mergeCell ref="JFV512:JFY514"/>
    <mergeCell ref="JGC512:JGC514"/>
    <mergeCell ref="JGD512:JGG514"/>
    <mergeCell ref="JGK512:JGK514"/>
    <mergeCell ref="JGL512:JGO514"/>
    <mergeCell ref="JGS512:JGS514"/>
    <mergeCell ref="JGT512:JGW514"/>
    <mergeCell ref="JHA512:JHA514"/>
    <mergeCell ref="JEH512:JEK514"/>
    <mergeCell ref="JEO512:JEO514"/>
    <mergeCell ref="JEP512:JES514"/>
    <mergeCell ref="JEW512:JEW514"/>
    <mergeCell ref="JEX512:JFA514"/>
    <mergeCell ref="JFE512:JFE514"/>
    <mergeCell ref="JFF512:JFI514"/>
    <mergeCell ref="JFM512:JFM514"/>
    <mergeCell ref="JFN512:JFQ514"/>
    <mergeCell ref="JDA512:JDA514"/>
    <mergeCell ref="JDB512:JDE514"/>
    <mergeCell ref="JDI512:JDI514"/>
    <mergeCell ref="JDJ512:JDM514"/>
    <mergeCell ref="JDQ512:JDQ514"/>
    <mergeCell ref="JDR512:JDU514"/>
    <mergeCell ref="JDY512:JDY514"/>
    <mergeCell ref="JDZ512:JEC514"/>
    <mergeCell ref="JEG512:JEG514"/>
    <mergeCell ref="JBN512:JBQ514"/>
    <mergeCell ref="JBU512:JBU514"/>
    <mergeCell ref="JBV512:JBY514"/>
    <mergeCell ref="JCC512:JCC514"/>
    <mergeCell ref="JCD512:JCG514"/>
    <mergeCell ref="JCK512:JCK514"/>
    <mergeCell ref="JCL512:JCO514"/>
    <mergeCell ref="JCS512:JCS514"/>
    <mergeCell ref="JCT512:JCW514"/>
    <mergeCell ref="JAG512:JAG514"/>
    <mergeCell ref="JAH512:JAK514"/>
    <mergeCell ref="JAO512:JAO514"/>
    <mergeCell ref="JAP512:JAS514"/>
    <mergeCell ref="JAW512:JAW514"/>
    <mergeCell ref="JAX512:JBA514"/>
    <mergeCell ref="JBE512:JBE514"/>
    <mergeCell ref="JBF512:JBI514"/>
    <mergeCell ref="JBM512:JBM514"/>
    <mergeCell ref="IYT512:IYW514"/>
    <mergeCell ref="IZA512:IZA514"/>
    <mergeCell ref="IZB512:IZE514"/>
    <mergeCell ref="IZI512:IZI514"/>
    <mergeCell ref="IZJ512:IZM514"/>
    <mergeCell ref="IZQ512:IZQ514"/>
    <mergeCell ref="IZR512:IZU514"/>
    <mergeCell ref="IZY512:IZY514"/>
    <mergeCell ref="IZZ512:JAC514"/>
    <mergeCell ref="IXM512:IXM514"/>
    <mergeCell ref="IXN512:IXQ514"/>
    <mergeCell ref="IXU512:IXU514"/>
    <mergeCell ref="IXV512:IXY514"/>
    <mergeCell ref="IYC512:IYC514"/>
    <mergeCell ref="IYD512:IYG514"/>
    <mergeCell ref="IYK512:IYK514"/>
    <mergeCell ref="IYL512:IYO514"/>
    <mergeCell ref="IYS512:IYS514"/>
    <mergeCell ref="IVZ512:IWC514"/>
    <mergeCell ref="IWG512:IWG514"/>
    <mergeCell ref="IWH512:IWK514"/>
    <mergeCell ref="IWO512:IWO514"/>
    <mergeCell ref="IWP512:IWS514"/>
    <mergeCell ref="IWW512:IWW514"/>
    <mergeCell ref="IWX512:IXA514"/>
    <mergeCell ref="IXE512:IXE514"/>
    <mergeCell ref="IXF512:IXI514"/>
    <mergeCell ref="IUS512:IUS514"/>
    <mergeCell ref="IUT512:IUW514"/>
    <mergeCell ref="IVA512:IVA514"/>
    <mergeCell ref="IVB512:IVE514"/>
    <mergeCell ref="IVI512:IVI514"/>
    <mergeCell ref="IVJ512:IVM514"/>
    <mergeCell ref="IVQ512:IVQ514"/>
    <mergeCell ref="IVR512:IVU514"/>
    <mergeCell ref="IVY512:IVY514"/>
    <mergeCell ref="ITF512:ITI514"/>
    <mergeCell ref="ITM512:ITM514"/>
    <mergeCell ref="ITN512:ITQ514"/>
    <mergeCell ref="ITU512:ITU514"/>
    <mergeCell ref="ITV512:ITY514"/>
    <mergeCell ref="IUC512:IUC514"/>
    <mergeCell ref="IUD512:IUG514"/>
    <mergeCell ref="IUK512:IUK514"/>
    <mergeCell ref="IUL512:IUO514"/>
    <mergeCell ref="IRY512:IRY514"/>
    <mergeCell ref="IRZ512:ISC514"/>
    <mergeCell ref="ISG512:ISG514"/>
    <mergeCell ref="ISH512:ISK514"/>
    <mergeCell ref="ISO512:ISO514"/>
    <mergeCell ref="ISP512:ISS514"/>
    <mergeCell ref="ISW512:ISW514"/>
    <mergeCell ref="ISX512:ITA514"/>
    <mergeCell ref="ITE512:ITE514"/>
    <mergeCell ref="IQL512:IQO514"/>
    <mergeCell ref="IQS512:IQS514"/>
    <mergeCell ref="IQT512:IQW514"/>
    <mergeCell ref="IRA512:IRA514"/>
    <mergeCell ref="IRB512:IRE514"/>
    <mergeCell ref="IRI512:IRI514"/>
    <mergeCell ref="IRJ512:IRM514"/>
    <mergeCell ref="IRQ512:IRQ514"/>
    <mergeCell ref="IRR512:IRU514"/>
    <mergeCell ref="IPE512:IPE514"/>
    <mergeCell ref="IPF512:IPI514"/>
    <mergeCell ref="IPM512:IPM514"/>
    <mergeCell ref="IPN512:IPQ514"/>
    <mergeCell ref="IPU512:IPU514"/>
    <mergeCell ref="IPV512:IPY514"/>
    <mergeCell ref="IQC512:IQC514"/>
    <mergeCell ref="IQD512:IQG514"/>
    <mergeCell ref="IQK512:IQK514"/>
    <mergeCell ref="INR512:INU514"/>
    <mergeCell ref="INY512:INY514"/>
    <mergeCell ref="INZ512:IOC514"/>
    <mergeCell ref="IOG512:IOG514"/>
    <mergeCell ref="IOH512:IOK514"/>
    <mergeCell ref="IOO512:IOO514"/>
    <mergeCell ref="IOP512:IOS514"/>
    <mergeCell ref="IOW512:IOW514"/>
    <mergeCell ref="IOX512:IPA514"/>
    <mergeCell ref="IMK512:IMK514"/>
    <mergeCell ref="IML512:IMO514"/>
    <mergeCell ref="IMS512:IMS514"/>
    <mergeCell ref="IMT512:IMW514"/>
    <mergeCell ref="INA512:INA514"/>
    <mergeCell ref="INB512:INE514"/>
    <mergeCell ref="INI512:INI514"/>
    <mergeCell ref="INJ512:INM514"/>
    <mergeCell ref="INQ512:INQ514"/>
    <mergeCell ref="IKX512:ILA514"/>
    <mergeCell ref="ILE512:ILE514"/>
    <mergeCell ref="ILF512:ILI514"/>
    <mergeCell ref="ILM512:ILM514"/>
    <mergeCell ref="ILN512:ILQ514"/>
    <mergeCell ref="ILU512:ILU514"/>
    <mergeCell ref="ILV512:ILY514"/>
    <mergeCell ref="IMC512:IMC514"/>
    <mergeCell ref="IMD512:IMG514"/>
    <mergeCell ref="IJQ512:IJQ514"/>
    <mergeCell ref="IJR512:IJU514"/>
    <mergeCell ref="IJY512:IJY514"/>
    <mergeCell ref="IJZ512:IKC514"/>
    <mergeCell ref="IKG512:IKG514"/>
    <mergeCell ref="IKH512:IKK514"/>
    <mergeCell ref="IKO512:IKO514"/>
    <mergeCell ref="IKP512:IKS514"/>
    <mergeCell ref="IKW512:IKW514"/>
    <mergeCell ref="IID512:IIG514"/>
    <mergeCell ref="IIK512:IIK514"/>
    <mergeCell ref="IIL512:IIO514"/>
    <mergeCell ref="IIS512:IIS514"/>
    <mergeCell ref="IIT512:IIW514"/>
    <mergeCell ref="IJA512:IJA514"/>
    <mergeCell ref="IJB512:IJE514"/>
    <mergeCell ref="IJI512:IJI514"/>
    <mergeCell ref="IJJ512:IJM514"/>
    <mergeCell ref="IGW512:IGW514"/>
    <mergeCell ref="IGX512:IHA514"/>
    <mergeCell ref="IHE512:IHE514"/>
    <mergeCell ref="IHF512:IHI514"/>
    <mergeCell ref="IHM512:IHM514"/>
    <mergeCell ref="IHN512:IHQ514"/>
    <mergeCell ref="IHU512:IHU514"/>
    <mergeCell ref="IHV512:IHY514"/>
    <mergeCell ref="IIC512:IIC514"/>
    <mergeCell ref="IFJ512:IFM514"/>
    <mergeCell ref="IFQ512:IFQ514"/>
    <mergeCell ref="IFR512:IFU514"/>
    <mergeCell ref="IFY512:IFY514"/>
    <mergeCell ref="IFZ512:IGC514"/>
    <mergeCell ref="IGG512:IGG514"/>
    <mergeCell ref="IGH512:IGK514"/>
    <mergeCell ref="IGO512:IGO514"/>
    <mergeCell ref="IGP512:IGS514"/>
    <mergeCell ref="IEC512:IEC514"/>
    <mergeCell ref="IED512:IEG514"/>
    <mergeCell ref="IEK512:IEK514"/>
    <mergeCell ref="IEL512:IEO514"/>
    <mergeCell ref="IES512:IES514"/>
    <mergeCell ref="IET512:IEW514"/>
    <mergeCell ref="IFA512:IFA514"/>
    <mergeCell ref="IFB512:IFE514"/>
    <mergeCell ref="IFI512:IFI514"/>
    <mergeCell ref="ICP512:ICS514"/>
    <mergeCell ref="ICW512:ICW514"/>
    <mergeCell ref="ICX512:IDA514"/>
    <mergeCell ref="IDE512:IDE514"/>
    <mergeCell ref="IDF512:IDI514"/>
    <mergeCell ref="IDM512:IDM514"/>
    <mergeCell ref="IDN512:IDQ514"/>
    <mergeCell ref="IDU512:IDU514"/>
    <mergeCell ref="IDV512:IDY514"/>
    <mergeCell ref="IBI512:IBI514"/>
    <mergeCell ref="IBJ512:IBM514"/>
    <mergeCell ref="IBQ512:IBQ514"/>
    <mergeCell ref="IBR512:IBU514"/>
    <mergeCell ref="IBY512:IBY514"/>
    <mergeCell ref="IBZ512:ICC514"/>
    <mergeCell ref="ICG512:ICG514"/>
    <mergeCell ref="ICH512:ICK514"/>
    <mergeCell ref="ICO512:ICO514"/>
    <mergeCell ref="HZV512:HZY514"/>
    <mergeCell ref="IAC512:IAC514"/>
    <mergeCell ref="IAD512:IAG514"/>
    <mergeCell ref="IAK512:IAK514"/>
    <mergeCell ref="IAL512:IAO514"/>
    <mergeCell ref="IAS512:IAS514"/>
    <mergeCell ref="IAT512:IAW514"/>
    <mergeCell ref="IBA512:IBA514"/>
    <mergeCell ref="IBB512:IBE514"/>
    <mergeCell ref="HYO512:HYO514"/>
    <mergeCell ref="HYP512:HYS514"/>
    <mergeCell ref="HYW512:HYW514"/>
    <mergeCell ref="HYX512:HZA514"/>
    <mergeCell ref="HZE512:HZE514"/>
    <mergeCell ref="HZF512:HZI514"/>
    <mergeCell ref="HZM512:HZM514"/>
    <mergeCell ref="HZN512:HZQ514"/>
    <mergeCell ref="HZU512:HZU514"/>
    <mergeCell ref="HXB512:HXE514"/>
    <mergeCell ref="HXI512:HXI514"/>
    <mergeCell ref="HXJ512:HXM514"/>
    <mergeCell ref="HXQ512:HXQ514"/>
    <mergeCell ref="HXR512:HXU514"/>
    <mergeCell ref="HXY512:HXY514"/>
    <mergeCell ref="HXZ512:HYC514"/>
    <mergeCell ref="HYG512:HYG514"/>
    <mergeCell ref="HYH512:HYK514"/>
    <mergeCell ref="HVU512:HVU514"/>
    <mergeCell ref="HVV512:HVY514"/>
    <mergeCell ref="HWC512:HWC514"/>
    <mergeCell ref="HWD512:HWG514"/>
    <mergeCell ref="HWK512:HWK514"/>
    <mergeCell ref="HWL512:HWO514"/>
    <mergeCell ref="HWS512:HWS514"/>
    <mergeCell ref="HWT512:HWW514"/>
    <mergeCell ref="HXA512:HXA514"/>
    <mergeCell ref="HUH512:HUK514"/>
    <mergeCell ref="HUO512:HUO514"/>
    <mergeCell ref="HUP512:HUS514"/>
    <mergeCell ref="HUW512:HUW514"/>
    <mergeCell ref="HUX512:HVA514"/>
    <mergeCell ref="HVE512:HVE514"/>
    <mergeCell ref="HVF512:HVI514"/>
    <mergeCell ref="HVM512:HVM514"/>
    <mergeCell ref="HVN512:HVQ514"/>
    <mergeCell ref="HTA512:HTA514"/>
    <mergeCell ref="HTB512:HTE514"/>
    <mergeCell ref="HTI512:HTI514"/>
    <mergeCell ref="HTJ512:HTM514"/>
    <mergeCell ref="HTQ512:HTQ514"/>
    <mergeCell ref="HTR512:HTU514"/>
    <mergeCell ref="HTY512:HTY514"/>
    <mergeCell ref="HTZ512:HUC514"/>
    <mergeCell ref="HUG512:HUG514"/>
    <mergeCell ref="HRN512:HRQ514"/>
    <mergeCell ref="HRU512:HRU514"/>
    <mergeCell ref="HRV512:HRY514"/>
    <mergeCell ref="HSC512:HSC514"/>
    <mergeCell ref="HSD512:HSG514"/>
    <mergeCell ref="HSK512:HSK514"/>
    <mergeCell ref="HSL512:HSO514"/>
    <mergeCell ref="HSS512:HSS514"/>
    <mergeCell ref="HST512:HSW514"/>
    <mergeCell ref="HQG512:HQG514"/>
    <mergeCell ref="HQH512:HQK514"/>
    <mergeCell ref="HQO512:HQO514"/>
    <mergeCell ref="HQP512:HQS514"/>
    <mergeCell ref="HQW512:HQW514"/>
    <mergeCell ref="HQX512:HRA514"/>
    <mergeCell ref="HRE512:HRE514"/>
    <mergeCell ref="HRF512:HRI514"/>
    <mergeCell ref="HRM512:HRM514"/>
    <mergeCell ref="HOT512:HOW514"/>
    <mergeCell ref="HPA512:HPA514"/>
    <mergeCell ref="HPB512:HPE514"/>
    <mergeCell ref="HPI512:HPI514"/>
    <mergeCell ref="HPJ512:HPM514"/>
    <mergeCell ref="HPQ512:HPQ514"/>
    <mergeCell ref="HPR512:HPU514"/>
    <mergeCell ref="HPY512:HPY514"/>
    <mergeCell ref="HPZ512:HQC514"/>
    <mergeCell ref="HNM512:HNM514"/>
    <mergeCell ref="HNN512:HNQ514"/>
    <mergeCell ref="HNU512:HNU514"/>
    <mergeCell ref="HNV512:HNY514"/>
    <mergeCell ref="HOC512:HOC514"/>
    <mergeCell ref="HOD512:HOG514"/>
    <mergeCell ref="HOK512:HOK514"/>
    <mergeCell ref="HOL512:HOO514"/>
    <mergeCell ref="HOS512:HOS514"/>
    <mergeCell ref="HLZ512:HMC514"/>
    <mergeCell ref="HMG512:HMG514"/>
    <mergeCell ref="HMH512:HMK514"/>
    <mergeCell ref="HMO512:HMO514"/>
    <mergeCell ref="HMP512:HMS514"/>
    <mergeCell ref="HMW512:HMW514"/>
    <mergeCell ref="HMX512:HNA514"/>
    <mergeCell ref="HNE512:HNE514"/>
    <mergeCell ref="HNF512:HNI514"/>
    <mergeCell ref="HKS512:HKS514"/>
    <mergeCell ref="HKT512:HKW514"/>
    <mergeCell ref="HLA512:HLA514"/>
    <mergeCell ref="HLB512:HLE514"/>
    <mergeCell ref="HLI512:HLI514"/>
    <mergeCell ref="HLJ512:HLM514"/>
    <mergeCell ref="HLQ512:HLQ514"/>
    <mergeCell ref="HLR512:HLU514"/>
    <mergeCell ref="HLY512:HLY514"/>
    <mergeCell ref="HJF512:HJI514"/>
    <mergeCell ref="HJM512:HJM514"/>
    <mergeCell ref="HJN512:HJQ514"/>
    <mergeCell ref="HJU512:HJU514"/>
    <mergeCell ref="HJV512:HJY514"/>
    <mergeCell ref="HKC512:HKC514"/>
    <mergeCell ref="HKD512:HKG514"/>
    <mergeCell ref="HKK512:HKK514"/>
    <mergeCell ref="HKL512:HKO514"/>
    <mergeCell ref="HHY512:HHY514"/>
    <mergeCell ref="HHZ512:HIC514"/>
    <mergeCell ref="HIG512:HIG514"/>
    <mergeCell ref="HIH512:HIK514"/>
    <mergeCell ref="HIO512:HIO514"/>
    <mergeCell ref="HIP512:HIS514"/>
    <mergeCell ref="HIW512:HIW514"/>
    <mergeCell ref="HIX512:HJA514"/>
    <mergeCell ref="HJE512:HJE514"/>
    <mergeCell ref="HGL512:HGO514"/>
    <mergeCell ref="HGS512:HGS514"/>
    <mergeCell ref="HGT512:HGW514"/>
    <mergeCell ref="HHA512:HHA514"/>
    <mergeCell ref="HHB512:HHE514"/>
    <mergeCell ref="HHI512:HHI514"/>
    <mergeCell ref="HHJ512:HHM514"/>
    <mergeCell ref="HHQ512:HHQ514"/>
    <mergeCell ref="HHR512:HHU514"/>
    <mergeCell ref="HFE512:HFE514"/>
    <mergeCell ref="HFF512:HFI514"/>
    <mergeCell ref="HFM512:HFM514"/>
    <mergeCell ref="HFN512:HFQ514"/>
    <mergeCell ref="HFU512:HFU514"/>
    <mergeCell ref="HFV512:HFY514"/>
    <mergeCell ref="HGC512:HGC514"/>
    <mergeCell ref="HGD512:HGG514"/>
    <mergeCell ref="HGK512:HGK514"/>
    <mergeCell ref="HDR512:HDU514"/>
    <mergeCell ref="HDY512:HDY514"/>
    <mergeCell ref="HDZ512:HEC514"/>
    <mergeCell ref="HEG512:HEG514"/>
    <mergeCell ref="HEH512:HEK514"/>
    <mergeCell ref="HEO512:HEO514"/>
    <mergeCell ref="HEP512:HES514"/>
    <mergeCell ref="HEW512:HEW514"/>
    <mergeCell ref="HEX512:HFA514"/>
    <mergeCell ref="HCK512:HCK514"/>
    <mergeCell ref="HCL512:HCO514"/>
    <mergeCell ref="HCS512:HCS514"/>
    <mergeCell ref="HCT512:HCW514"/>
    <mergeCell ref="HDA512:HDA514"/>
    <mergeCell ref="HDB512:HDE514"/>
    <mergeCell ref="HDI512:HDI514"/>
    <mergeCell ref="HDJ512:HDM514"/>
    <mergeCell ref="HDQ512:HDQ514"/>
    <mergeCell ref="HAX512:HBA514"/>
    <mergeCell ref="HBE512:HBE514"/>
    <mergeCell ref="HBF512:HBI514"/>
    <mergeCell ref="HBM512:HBM514"/>
    <mergeCell ref="HBN512:HBQ514"/>
    <mergeCell ref="HBU512:HBU514"/>
    <mergeCell ref="HBV512:HBY514"/>
    <mergeCell ref="HCC512:HCC514"/>
    <mergeCell ref="HCD512:HCG514"/>
    <mergeCell ref="GZQ512:GZQ514"/>
    <mergeCell ref="GZR512:GZU514"/>
    <mergeCell ref="GZY512:GZY514"/>
    <mergeCell ref="GZZ512:HAC514"/>
    <mergeCell ref="HAG512:HAG514"/>
    <mergeCell ref="HAH512:HAK514"/>
    <mergeCell ref="HAO512:HAO514"/>
    <mergeCell ref="HAP512:HAS514"/>
    <mergeCell ref="HAW512:HAW514"/>
    <mergeCell ref="GYD512:GYG514"/>
    <mergeCell ref="GYK512:GYK514"/>
    <mergeCell ref="GYL512:GYO514"/>
    <mergeCell ref="GYS512:GYS514"/>
    <mergeCell ref="GYT512:GYW514"/>
    <mergeCell ref="GZA512:GZA514"/>
    <mergeCell ref="GZB512:GZE514"/>
    <mergeCell ref="GZI512:GZI514"/>
    <mergeCell ref="GZJ512:GZM514"/>
    <mergeCell ref="GWW512:GWW514"/>
    <mergeCell ref="GWX512:GXA514"/>
    <mergeCell ref="GXE512:GXE514"/>
    <mergeCell ref="GXF512:GXI514"/>
    <mergeCell ref="GXM512:GXM514"/>
    <mergeCell ref="GXN512:GXQ514"/>
    <mergeCell ref="GXU512:GXU514"/>
    <mergeCell ref="GXV512:GXY514"/>
    <mergeCell ref="GYC512:GYC514"/>
    <mergeCell ref="GVJ512:GVM514"/>
    <mergeCell ref="GVQ512:GVQ514"/>
    <mergeCell ref="GVR512:GVU514"/>
    <mergeCell ref="GVY512:GVY514"/>
    <mergeCell ref="GVZ512:GWC514"/>
    <mergeCell ref="GWG512:GWG514"/>
    <mergeCell ref="GWH512:GWK514"/>
    <mergeCell ref="GWO512:GWO514"/>
    <mergeCell ref="GWP512:GWS514"/>
    <mergeCell ref="GUC512:GUC514"/>
    <mergeCell ref="GUD512:GUG514"/>
    <mergeCell ref="GUK512:GUK514"/>
    <mergeCell ref="GUL512:GUO514"/>
    <mergeCell ref="GUS512:GUS514"/>
    <mergeCell ref="GUT512:GUW514"/>
    <mergeCell ref="GVA512:GVA514"/>
    <mergeCell ref="GVB512:GVE514"/>
    <mergeCell ref="GVI512:GVI514"/>
    <mergeCell ref="GSP512:GSS514"/>
    <mergeCell ref="GSW512:GSW514"/>
    <mergeCell ref="GSX512:GTA514"/>
    <mergeCell ref="GTE512:GTE514"/>
    <mergeCell ref="GTF512:GTI514"/>
    <mergeCell ref="GTM512:GTM514"/>
    <mergeCell ref="GTN512:GTQ514"/>
    <mergeCell ref="GTU512:GTU514"/>
    <mergeCell ref="GTV512:GTY514"/>
    <mergeCell ref="GRI512:GRI514"/>
    <mergeCell ref="GRJ512:GRM514"/>
    <mergeCell ref="GRQ512:GRQ514"/>
    <mergeCell ref="GRR512:GRU514"/>
    <mergeCell ref="GRY512:GRY514"/>
    <mergeCell ref="GRZ512:GSC514"/>
    <mergeCell ref="GSG512:GSG514"/>
    <mergeCell ref="GSH512:GSK514"/>
    <mergeCell ref="GSO512:GSO514"/>
    <mergeCell ref="GPV512:GPY514"/>
    <mergeCell ref="GQC512:GQC514"/>
    <mergeCell ref="GQD512:GQG514"/>
    <mergeCell ref="GQK512:GQK514"/>
    <mergeCell ref="GQL512:GQO514"/>
    <mergeCell ref="GQS512:GQS514"/>
    <mergeCell ref="GQT512:GQW514"/>
    <mergeCell ref="GRA512:GRA514"/>
    <mergeCell ref="GRB512:GRE514"/>
    <mergeCell ref="GOO512:GOO514"/>
    <mergeCell ref="GOP512:GOS514"/>
    <mergeCell ref="GOW512:GOW514"/>
    <mergeCell ref="GOX512:GPA514"/>
    <mergeCell ref="GPE512:GPE514"/>
    <mergeCell ref="GPF512:GPI514"/>
    <mergeCell ref="GPM512:GPM514"/>
    <mergeCell ref="GPN512:GPQ514"/>
    <mergeCell ref="GPU512:GPU514"/>
    <mergeCell ref="GNB512:GNE514"/>
    <mergeCell ref="GNI512:GNI514"/>
    <mergeCell ref="GNJ512:GNM514"/>
    <mergeCell ref="GNQ512:GNQ514"/>
    <mergeCell ref="GNR512:GNU514"/>
    <mergeCell ref="GNY512:GNY514"/>
    <mergeCell ref="GNZ512:GOC514"/>
    <mergeCell ref="GOG512:GOG514"/>
    <mergeCell ref="GOH512:GOK514"/>
    <mergeCell ref="GLU512:GLU514"/>
    <mergeCell ref="GLV512:GLY514"/>
    <mergeCell ref="GMC512:GMC514"/>
    <mergeCell ref="GMD512:GMG514"/>
    <mergeCell ref="GMK512:GMK514"/>
    <mergeCell ref="GML512:GMO514"/>
    <mergeCell ref="GMS512:GMS514"/>
    <mergeCell ref="GMT512:GMW514"/>
    <mergeCell ref="GNA512:GNA514"/>
    <mergeCell ref="GKH512:GKK514"/>
    <mergeCell ref="GKO512:GKO514"/>
    <mergeCell ref="GKP512:GKS514"/>
    <mergeCell ref="GKW512:GKW514"/>
    <mergeCell ref="GKX512:GLA514"/>
    <mergeCell ref="GLE512:GLE514"/>
    <mergeCell ref="GLF512:GLI514"/>
    <mergeCell ref="GLM512:GLM514"/>
    <mergeCell ref="GLN512:GLQ514"/>
    <mergeCell ref="GJA512:GJA514"/>
    <mergeCell ref="GJB512:GJE514"/>
    <mergeCell ref="GJI512:GJI514"/>
    <mergeCell ref="GJJ512:GJM514"/>
    <mergeCell ref="GJQ512:GJQ514"/>
    <mergeCell ref="GJR512:GJU514"/>
    <mergeCell ref="GJY512:GJY514"/>
    <mergeCell ref="GJZ512:GKC514"/>
    <mergeCell ref="GKG512:GKG514"/>
    <mergeCell ref="GHN512:GHQ514"/>
    <mergeCell ref="GHU512:GHU514"/>
    <mergeCell ref="GHV512:GHY514"/>
    <mergeCell ref="GIC512:GIC514"/>
    <mergeCell ref="GID512:GIG514"/>
    <mergeCell ref="GIK512:GIK514"/>
    <mergeCell ref="GIL512:GIO514"/>
    <mergeCell ref="GIS512:GIS514"/>
    <mergeCell ref="GIT512:GIW514"/>
    <mergeCell ref="GGG512:GGG514"/>
    <mergeCell ref="GGH512:GGK514"/>
    <mergeCell ref="GGO512:GGO514"/>
    <mergeCell ref="GGP512:GGS514"/>
    <mergeCell ref="GGW512:GGW514"/>
    <mergeCell ref="GGX512:GHA514"/>
    <mergeCell ref="GHE512:GHE514"/>
    <mergeCell ref="GHF512:GHI514"/>
    <mergeCell ref="GHM512:GHM514"/>
    <mergeCell ref="GET512:GEW514"/>
    <mergeCell ref="GFA512:GFA514"/>
    <mergeCell ref="GFB512:GFE514"/>
    <mergeCell ref="GFI512:GFI514"/>
    <mergeCell ref="GFJ512:GFM514"/>
    <mergeCell ref="GFQ512:GFQ514"/>
    <mergeCell ref="GFR512:GFU514"/>
    <mergeCell ref="GFY512:GFY514"/>
    <mergeCell ref="GFZ512:GGC514"/>
    <mergeCell ref="GDM512:GDM514"/>
    <mergeCell ref="GDN512:GDQ514"/>
    <mergeCell ref="GDU512:GDU514"/>
    <mergeCell ref="GDV512:GDY514"/>
    <mergeCell ref="GEC512:GEC514"/>
    <mergeCell ref="GED512:GEG514"/>
    <mergeCell ref="GEK512:GEK514"/>
    <mergeCell ref="GEL512:GEO514"/>
    <mergeCell ref="GES512:GES514"/>
    <mergeCell ref="GBZ512:GCC514"/>
    <mergeCell ref="GCG512:GCG514"/>
    <mergeCell ref="GCH512:GCK514"/>
    <mergeCell ref="GCO512:GCO514"/>
    <mergeCell ref="GCP512:GCS514"/>
    <mergeCell ref="GCW512:GCW514"/>
    <mergeCell ref="GCX512:GDA514"/>
    <mergeCell ref="GDE512:GDE514"/>
    <mergeCell ref="GDF512:GDI514"/>
    <mergeCell ref="GAS512:GAS514"/>
    <mergeCell ref="GAT512:GAW514"/>
    <mergeCell ref="GBA512:GBA514"/>
    <mergeCell ref="GBB512:GBE514"/>
    <mergeCell ref="GBI512:GBI514"/>
    <mergeCell ref="GBJ512:GBM514"/>
    <mergeCell ref="GBQ512:GBQ514"/>
    <mergeCell ref="GBR512:GBU514"/>
    <mergeCell ref="GBY512:GBY514"/>
    <mergeCell ref="FZF512:FZI514"/>
    <mergeCell ref="FZM512:FZM514"/>
    <mergeCell ref="FZN512:FZQ514"/>
    <mergeCell ref="FZU512:FZU514"/>
    <mergeCell ref="FZV512:FZY514"/>
    <mergeCell ref="GAC512:GAC514"/>
    <mergeCell ref="GAD512:GAG514"/>
    <mergeCell ref="GAK512:GAK514"/>
    <mergeCell ref="GAL512:GAO514"/>
    <mergeCell ref="FXY512:FXY514"/>
    <mergeCell ref="FXZ512:FYC514"/>
    <mergeCell ref="FYG512:FYG514"/>
    <mergeCell ref="FYH512:FYK514"/>
    <mergeCell ref="FYO512:FYO514"/>
    <mergeCell ref="FYP512:FYS514"/>
    <mergeCell ref="FYW512:FYW514"/>
    <mergeCell ref="FYX512:FZA514"/>
    <mergeCell ref="FZE512:FZE514"/>
    <mergeCell ref="FWL512:FWO514"/>
    <mergeCell ref="FWS512:FWS514"/>
    <mergeCell ref="FWT512:FWW514"/>
    <mergeCell ref="FXA512:FXA514"/>
    <mergeCell ref="FXB512:FXE514"/>
    <mergeCell ref="FXI512:FXI514"/>
    <mergeCell ref="FXJ512:FXM514"/>
    <mergeCell ref="FXQ512:FXQ514"/>
    <mergeCell ref="FXR512:FXU514"/>
    <mergeCell ref="FVE512:FVE514"/>
    <mergeCell ref="FVF512:FVI514"/>
    <mergeCell ref="FVM512:FVM514"/>
    <mergeCell ref="FVN512:FVQ514"/>
    <mergeCell ref="FVU512:FVU514"/>
    <mergeCell ref="FVV512:FVY514"/>
    <mergeCell ref="FWC512:FWC514"/>
    <mergeCell ref="FWD512:FWG514"/>
    <mergeCell ref="FWK512:FWK514"/>
    <mergeCell ref="FTR512:FTU514"/>
    <mergeCell ref="FTY512:FTY514"/>
    <mergeCell ref="FTZ512:FUC514"/>
    <mergeCell ref="FUG512:FUG514"/>
    <mergeCell ref="FUH512:FUK514"/>
    <mergeCell ref="FUO512:FUO514"/>
    <mergeCell ref="FUP512:FUS514"/>
    <mergeCell ref="FUW512:FUW514"/>
    <mergeCell ref="FUX512:FVA514"/>
    <mergeCell ref="FSK512:FSK514"/>
    <mergeCell ref="FSL512:FSO514"/>
    <mergeCell ref="FSS512:FSS514"/>
    <mergeCell ref="FST512:FSW514"/>
    <mergeCell ref="FTA512:FTA514"/>
    <mergeCell ref="FTB512:FTE514"/>
    <mergeCell ref="FTI512:FTI514"/>
    <mergeCell ref="FTJ512:FTM514"/>
    <mergeCell ref="FTQ512:FTQ514"/>
    <mergeCell ref="FQX512:FRA514"/>
    <mergeCell ref="FRE512:FRE514"/>
    <mergeCell ref="FRF512:FRI514"/>
    <mergeCell ref="FRM512:FRM514"/>
    <mergeCell ref="FRN512:FRQ514"/>
    <mergeCell ref="FRU512:FRU514"/>
    <mergeCell ref="FRV512:FRY514"/>
    <mergeCell ref="FSC512:FSC514"/>
    <mergeCell ref="FSD512:FSG514"/>
    <mergeCell ref="FPQ512:FPQ514"/>
    <mergeCell ref="FPR512:FPU514"/>
    <mergeCell ref="FPY512:FPY514"/>
    <mergeCell ref="FPZ512:FQC514"/>
    <mergeCell ref="FQG512:FQG514"/>
    <mergeCell ref="FQH512:FQK514"/>
    <mergeCell ref="FQO512:FQO514"/>
    <mergeCell ref="FQP512:FQS514"/>
    <mergeCell ref="FQW512:FQW514"/>
    <mergeCell ref="FOD512:FOG514"/>
    <mergeCell ref="FOK512:FOK514"/>
    <mergeCell ref="FOL512:FOO514"/>
    <mergeCell ref="FOS512:FOS514"/>
    <mergeCell ref="FOT512:FOW514"/>
    <mergeCell ref="FPA512:FPA514"/>
    <mergeCell ref="FPB512:FPE514"/>
    <mergeCell ref="FPI512:FPI514"/>
    <mergeCell ref="FPJ512:FPM514"/>
    <mergeCell ref="FMW512:FMW514"/>
    <mergeCell ref="FMX512:FNA514"/>
    <mergeCell ref="FNE512:FNE514"/>
    <mergeCell ref="FNF512:FNI514"/>
    <mergeCell ref="FNM512:FNM514"/>
    <mergeCell ref="FNN512:FNQ514"/>
    <mergeCell ref="FNU512:FNU514"/>
    <mergeCell ref="FNV512:FNY514"/>
    <mergeCell ref="FOC512:FOC514"/>
    <mergeCell ref="FLJ512:FLM514"/>
    <mergeCell ref="FLQ512:FLQ514"/>
    <mergeCell ref="FLR512:FLU514"/>
    <mergeCell ref="FLY512:FLY514"/>
    <mergeCell ref="FLZ512:FMC514"/>
    <mergeCell ref="FMG512:FMG514"/>
    <mergeCell ref="FMH512:FMK514"/>
    <mergeCell ref="FMO512:FMO514"/>
    <mergeCell ref="FMP512:FMS514"/>
    <mergeCell ref="FKC512:FKC514"/>
    <mergeCell ref="FKD512:FKG514"/>
    <mergeCell ref="FKK512:FKK514"/>
    <mergeCell ref="FKL512:FKO514"/>
    <mergeCell ref="FKS512:FKS514"/>
    <mergeCell ref="FKT512:FKW514"/>
    <mergeCell ref="FLA512:FLA514"/>
    <mergeCell ref="FLB512:FLE514"/>
    <mergeCell ref="FLI512:FLI514"/>
    <mergeCell ref="FIP512:FIS514"/>
    <mergeCell ref="FIW512:FIW514"/>
    <mergeCell ref="FIX512:FJA514"/>
    <mergeCell ref="FJE512:FJE514"/>
    <mergeCell ref="FJF512:FJI514"/>
    <mergeCell ref="FJM512:FJM514"/>
    <mergeCell ref="FJN512:FJQ514"/>
    <mergeCell ref="FJU512:FJU514"/>
    <mergeCell ref="FJV512:FJY514"/>
    <mergeCell ref="FHI512:FHI514"/>
    <mergeCell ref="FHJ512:FHM514"/>
    <mergeCell ref="FHQ512:FHQ514"/>
    <mergeCell ref="FHR512:FHU514"/>
    <mergeCell ref="FHY512:FHY514"/>
    <mergeCell ref="FHZ512:FIC514"/>
    <mergeCell ref="FIG512:FIG514"/>
    <mergeCell ref="FIH512:FIK514"/>
    <mergeCell ref="FIO512:FIO514"/>
    <mergeCell ref="FFV512:FFY514"/>
    <mergeCell ref="FGC512:FGC514"/>
    <mergeCell ref="FGD512:FGG514"/>
    <mergeCell ref="FGK512:FGK514"/>
    <mergeCell ref="FGL512:FGO514"/>
    <mergeCell ref="FGS512:FGS514"/>
    <mergeCell ref="FGT512:FGW514"/>
    <mergeCell ref="FHA512:FHA514"/>
    <mergeCell ref="FHB512:FHE514"/>
    <mergeCell ref="FEO512:FEO514"/>
    <mergeCell ref="FEP512:FES514"/>
    <mergeCell ref="FEW512:FEW514"/>
    <mergeCell ref="FEX512:FFA514"/>
    <mergeCell ref="FFE512:FFE514"/>
    <mergeCell ref="FFF512:FFI514"/>
    <mergeCell ref="FFM512:FFM514"/>
    <mergeCell ref="FFN512:FFQ514"/>
    <mergeCell ref="FFU512:FFU514"/>
    <mergeCell ref="FDB512:FDE514"/>
    <mergeCell ref="FDI512:FDI514"/>
    <mergeCell ref="FDJ512:FDM514"/>
    <mergeCell ref="FDQ512:FDQ514"/>
    <mergeCell ref="FDR512:FDU514"/>
    <mergeCell ref="FDY512:FDY514"/>
    <mergeCell ref="FDZ512:FEC514"/>
    <mergeCell ref="FEG512:FEG514"/>
    <mergeCell ref="FEH512:FEK514"/>
    <mergeCell ref="FBU512:FBU514"/>
    <mergeCell ref="FBV512:FBY514"/>
    <mergeCell ref="FCC512:FCC514"/>
    <mergeCell ref="FCD512:FCG514"/>
    <mergeCell ref="FCK512:FCK514"/>
    <mergeCell ref="FCL512:FCO514"/>
    <mergeCell ref="FCS512:FCS514"/>
    <mergeCell ref="FCT512:FCW514"/>
    <mergeCell ref="FDA512:FDA514"/>
    <mergeCell ref="FAH512:FAK514"/>
    <mergeCell ref="FAO512:FAO514"/>
    <mergeCell ref="FAP512:FAS514"/>
    <mergeCell ref="FAW512:FAW514"/>
    <mergeCell ref="FAX512:FBA514"/>
    <mergeCell ref="FBE512:FBE514"/>
    <mergeCell ref="FBF512:FBI514"/>
    <mergeCell ref="FBM512:FBM514"/>
    <mergeCell ref="FBN512:FBQ514"/>
    <mergeCell ref="EZA512:EZA514"/>
    <mergeCell ref="EZB512:EZE514"/>
    <mergeCell ref="EZI512:EZI514"/>
    <mergeCell ref="EZJ512:EZM514"/>
    <mergeCell ref="EZQ512:EZQ514"/>
    <mergeCell ref="EZR512:EZU514"/>
    <mergeCell ref="EZY512:EZY514"/>
    <mergeCell ref="EZZ512:FAC514"/>
    <mergeCell ref="FAG512:FAG514"/>
    <mergeCell ref="EXN512:EXQ514"/>
    <mergeCell ref="EXU512:EXU514"/>
    <mergeCell ref="EXV512:EXY514"/>
    <mergeCell ref="EYC512:EYC514"/>
    <mergeCell ref="EYD512:EYG514"/>
    <mergeCell ref="EYK512:EYK514"/>
    <mergeCell ref="EYL512:EYO514"/>
    <mergeCell ref="EYS512:EYS514"/>
    <mergeCell ref="EYT512:EYW514"/>
    <mergeCell ref="EWG512:EWG514"/>
    <mergeCell ref="EWH512:EWK514"/>
    <mergeCell ref="EWO512:EWO514"/>
    <mergeCell ref="EWP512:EWS514"/>
    <mergeCell ref="EWW512:EWW514"/>
    <mergeCell ref="EWX512:EXA514"/>
    <mergeCell ref="EXE512:EXE514"/>
    <mergeCell ref="EXF512:EXI514"/>
    <mergeCell ref="EXM512:EXM514"/>
    <mergeCell ref="EUT512:EUW514"/>
    <mergeCell ref="EVA512:EVA514"/>
    <mergeCell ref="EVB512:EVE514"/>
    <mergeCell ref="EVI512:EVI514"/>
    <mergeCell ref="EVJ512:EVM514"/>
    <mergeCell ref="EVQ512:EVQ514"/>
    <mergeCell ref="EVR512:EVU514"/>
    <mergeCell ref="EVY512:EVY514"/>
    <mergeCell ref="EVZ512:EWC514"/>
    <mergeCell ref="ETM512:ETM514"/>
    <mergeCell ref="ETN512:ETQ514"/>
    <mergeCell ref="ETU512:ETU514"/>
    <mergeCell ref="ETV512:ETY514"/>
    <mergeCell ref="EUC512:EUC514"/>
    <mergeCell ref="EUD512:EUG514"/>
    <mergeCell ref="EUK512:EUK514"/>
    <mergeCell ref="EUL512:EUO514"/>
    <mergeCell ref="EUS512:EUS514"/>
    <mergeCell ref="ERZ512:ESC514"/>
    <mergeCell ref="ESG512:ESG514"/>
    <mergeCell ref="ESH512:ESK514"/>
    <mergeCell ref="ESO512:ESO514"/>
    <mergeCell ref="ESP512:ESS514"/>
    <mergeCell ref="ESW512:ESW514"/>
    <mergeCell ref="ESX512:ETA514"/>
    <mergeCell ref="ETE512:ETE514"/>
    <mergeCell ref="ETF512:ETI514"/>
    <mergeCell ref="EQS512:EQS514"/>
    <mergeCell ref="EQT512:EQW514"/>
    <mergeCell ref="ERA512:ERA514"/>
    <mergeCell ref="ERB512:ERE514"/>
    <mergeCell ref="ERI512:ERI514"/>
    <mergeCell ref="ERJ512:ERM514"/>
    <mergeCell ref="ERQ512:ERQ514"/>
    <mergeCell ref="ERR512:ERU514"/>
    <mergeCell ref="ERY512:ERY514"/>
    <mergeCell ref="EPF512:EPI514"/>
    <mergeCell ref="EPM512:EPM514"/>
    <mergeCell ref="EPN512:EPQ514"/>
    <mergeCell ref="EPU512:EPU514"/>
    <mergeCell ref="EPV512:EPY514"/>
    <mergeCell ref="EQC512:EQC514"/>
    <mergeCell ref="EQD512:EQG514"/>
    <mergeCell ref="EQK512:EQK514"/>
    <mergeCell ref="EQL512:EQO514"/>
    <mergeCell ref="ENY512:ENY514"/>
    <mergeCell ref="ENZ512:EOC514"/>
    <mergeCell ref="EOG512:EOG514"/>
    <mergeCell ref="EOH512:EOK514"/>
    <mergeCell ref="EOO512:EOO514"/>
    <mergeCell ref="EOP512:EOS514"/>
    <mergeCell ref="EOW512:EOW514"/>
    <mergeCell ref="EOX512:EPA514"/>
    <mergeCell ref="EPE512:EPE514"/>
    <mergeCell ref="EML512:EMO514"/>
    <mergeCell ref="EMS512:EMS514"/>
    <mergeCell ref="EMT512:EMW514"/>
    <mergeCell ref="ENA512:ENA514"/>
    <mergeCell ref="ENB512:ENE514"/>
    <mergeCell ref="ENI512:ENI514"/>
    <mergeCell ref="ENJ512:ENM514"/>
    <mergeCell ref="ENQ512:ENQ514"/>
    <mergeCell ref="ENR512:ENU514"/>
    <mergeCell ref="ELE512:ELE514"/>
    <mergeCell ref="ELF512:ELI514"/>
    <mergeCell ref="ELM512:ELM514"/>
    <mergeCell ref="ELN512:ELQ514"/>
    <mergeCell ref="ELU512:ELU514"/>
    <mergeCell ref="ELV512:ELY514"/>
    <mergeCell ref="EMC512:EMC514"/>
    <mergeCell ref="EMD512:EMG514"/>
    <mergeCell ref="EMK512:EMK514"/>
    <mergeCell ref="EJR512:EJU514"/>
    <mergeCell ref="EJY512:EJY514"/>
    <mergeCell ref="EJZ512:EKC514"/>
    <mergeCell ref="EKG512:EKG514"/>
    <mergeCell ref="EKH512:EKK514"/>
    <mergeCell ref="EKO512:EKO514"/>
    <mergeCell ref="EKP512:EKS514"/>
    <mergeCell ref="EKW512:EKW514"/>
    <mergeCell ref="EKX512:ELA514"/>
    <mergeCell ref="EIK512:EIK514"/>
    <mergeCell ref="EIL512:EIO514"/>
    <mergeCell ref="EIS512:EIS514"/>
    <mergeCell ref="EIT512:EIW514"/>
    <mergeCell ref="EJA512:EJA514"/>
    <mergeCell ref="EJB512:EJE514"/>
    <mergeCell ref="EJI512:EJI514"/>
    <mergeCell ref="EJJ512:EJM514"/>
    <mergeCell ref="EJQ512:EJQ514"/>
    <mergeCell ref="EGX512:EHA514"/>
    <mergeCell ref="EHE512:EHE514"/>
    <mergeCell ref="EHF512:EHI514"/>
    <mergeCell ref="EHM512:EHM514"/>
    <mergeCell ref="EHN512:EHQ514"/>
    <mergeCell ref="EHU512:EHU514"/>
    <mergeCell ref="EHV512:EHY514"/>
    <mergeCell ref="EIC512:EIC514"/>
    <mergeCell ref="EID512:EIG514"/>
    <mergeCell ref="EFQ512:EFQ514"/>
    <mergeCell ref="EFR512:EFU514"/>
    <mergeCell ref="EFY512:EFY514"/>
    <mergeCell ref="EFZ512:EGC514"/>
    <mergeCell ref="EGG512:EGG514"/>
    <mergeCell ref="EGH512:EGK514"/>
    <mergeCell ref="EGO512:EGO514"/>
    <mergeCell ref="EGP512:EGS514"/>
    <mergeCell ref="EGW512:EGW514"/>
    <mergeCell ref="EED512:EEG514"/>
    <mergeCell ref="EEK512:EEK514"/>
    <mergeCell ref="EEL512:EEO514"/>
    <mergeCell ref="EES512:EES514"/>
    <mergeCell ref="EET512:EEW514"/>
    <mergeCell ref="EFA512:EFA514"/>
    <mergeCell ref="EFB512:EFE514"/>
    <mergeCell ref="EFI512:EFI514"/>
    <mergeCell ref="EFJ512:EFM514"/>
    <mergeCell ref="ECW512:ECW514"/>
    <mergeCell ref="ECX512:EDA514"/>
    <mergeCell ref="EDE512:EDE514"/>
    <mergeCell ref="EDF512:EDI514"/>
    <mergeCell ref="EDM512:EDM514"/>
    <mergeCell ref="EDN512:EDQ514"/>
    <mergeCell ref="EDU512:EDU514"/>
    <mergeCell ref="EDV512:EDY514"/>
    <mergeCell ref="EEC512:EEC514"/>
    <mergeCell ref="EBJ512:EBM514"/>
    <mergeCell ref="EBQ512:EBQ514"/>
    <mergeCell ref="EBR512:EBU514"/>
    <mergeCell ref="EBY512:EBY514"/>
    <mergeCell ref="EBZ512:ECC514"/>
    <mergeCell ref="ECG512:ECG514"/>
    <mergeCell ref="ECH512:ECK514"/>
    <mergeCell ref="ECO512:ECO514"/>
    <mergeCell ref="ECP512:ECS514"/>
    <mergeCell ref="EAC512:EAC514"/>
    <mergeCell ref="EAD512:EAG514"/>
    <mergeCell ref="EAK512:EAK514"/>
    <mergeCell ref="EAL512:EAO514"/>
    <mergeCell ref="EAS512:EAS514"/>
    <mergeCell ref="EAT512:EAW514"/>
    <mergeCell ref="EBA512:EBA514"/>
    <mergeCell ref="EBB512:EBE514"/>
    <mergeCell ref="EBI512:EBI514"/>
    <mergeCell ref="DYP512:DYS514"/>
    <mergeCell ref="DYW512:DYW514"/>
    <mergeCell ref="DYX512:DZA514"/>
    <mergeCell ref="DZE512:DZE514"/>
    <mergeCell ref="DZF512:DZI514"/>
    <mergeCell ref="DZM512:DZM514"/>
    <mergeCell ref="DZN512:DZQ514"/>
    <mergeCell ref="DZU512:DZU514"/>
    <mergeCell ref="DZV512:DZY514"/>
    <mergeCell ref="DXI512:DXI514"/>
    <mergeCell ref="DXJ512:DXM514"/>
    <mergeCell ref="DXQ512:DXQ514"/>
    <mergeCell ref="DXR512:DXU514"/>
    <mergeCell ref="DXY512:DXY514"/>
    <mergeCell ref="DXZ512:DYC514"/>
    <mergeCell ref="DYG512:DYG514"/>
    <mergeCell ref="DYH512:DYK514"/>
    <mergeCell ref="DYO512:DYO514"/>
    <mergeCell ref="DVV512:DVY514"/>
    <mergeCell ref="DWC512:DWC514"/>
    <mergeCell ref="DWD512:DWG514"/>
    <mergeCell ref="DWK512:DWK514"/>
    <mergeCell ref="DWL512:DWO514"/>
    <mergeCell ref="DWS512:DWS514"/>
    <mergeCell ref="DWT512:DWW514"/>
    <mergeCell ref="DXA512:DXA514"/>
    <mergeCell ref="DXB512:DXE514"/>
    <mergeCell ref="DUO512:DUO514"/>
    <mergeCell ref="DUP512:DUS514"/>
    <mergeCell ref="DUW512:DUW514"/>
    <mergeCell ref="DUX512:DVA514"/>
    <mergeCell ref="DVE512:DVE514"/>
    <mergeCell ref="DVF512:DVI514"/>
    <mergeCell ref="DVM512:DVM514"/>
    <mergeCell ref="DVN512:DVQ514"/>
    <mergeCell ref="DVU512:DVU514"/>
    <mergeCell ref="DTB512:DTE514"/>
    <mergeCell ref="DTI512:DTI514"/>
    <mergeCell ref="DTJ512:DTM514"/>
    <mergeCell ref="DTQ512:DTQ514"/>
    <mergeCell ref="DTR512:DTU514"/>
    <mergeCell ref="DTY512:DTY514"/>
    <mergeCell ref="DTZ512:DUC514"/>
    <mergeCell ref="DUG512:DUG514"/>
    <mergeCell ref="DUH512:DUK514"/>
    <mergeCell ref="DRU512:DRU514"/>
    <mergeCell ref="DRV512:DRY514"/>
    <mergeCell ref="DSC512:DSC514"/>
    <mergeCell ref="DSD512:DSG514"/>
    <mergeCell ref="DSK512:DSK514"/>
    <mergeCell ref="DSL512:DSO514"/>
    <mergeCell ref="DSS512:DSS514"/>
    <mergeCell ref="DST512:DSW514"/>
    <mergeCell ref="DTA512:DTA514"/>
    <mergeCell ref="DQH512:DQK514"/>
    <mergeCell ref="DQO512:DQO514"/>
    <mergeCell ref="DQP512:DQS514"/>
    <mergeCell ref="DQW512:DQW514"/>
    <mergeCell ref="DQX512:DRA514"/>
    <mergeCell ref="DRE512:DRE514"/>
    <mergeCell ref="DRF512:DRI514"/>
    <mergeCell ref="DRM512:DRM514"/>
    <mergeCell ref="DRN512:DRQ514"/>
    <mergeCell ref="DPA512:DPA514"/>
    <mergeCell ref="DPB512:DPE514"/>
    <mergeCell ref="DPI512:DPI514"/>
    <mergeCell ref="DPJ512:DPM514"/>
    <mergeCell ref="DPQ512:DPQ514"/>
    <mergeCell ref="DPR512:DPU514"/>
    <mergeCell ref="DPY512:DPY514"/>
    <mergeCell ref="DPZ512:DQC514"/>
    <mergeCell ref="DQG512:DQG514"/>
    <mergeCell ref="DNN512:DNQ514"/>
    <mergeCell ref="DNU512:DNU514"/>
    <mergeCell ref="DNV512:DNY514"/>
    <mergeCell ref="DOC512:DOC514"/>
    <mergeCell ref="DOD512:DOG514"/>
    <mergeCell ref="DOK512:DOK514"/>
    <mergeCell ref="DOL512:DOO514"/>
    <mergeCell ref="DOS512:DOS514"/>
    <mergeCell ref="DOT512:DOW514"/>
    <mergeCell ref="DMG512:DMG514"/>
    <mergeCell ref="DMH512:DMK514"/>
    <mergeCell ref="DMO512:DMO514"/>
    <mergeCell ref="DMP512:DMS514"/>
    <mergeCell ref="DMW512:DMW514"/>
    <mergeCell ref="DMX512:DNA514"/>
    <mergeCell ref="DNE512:DNE514"/>
    <mergeCell ref="DNF512:DNI514"/>
    <mergeCell ref="DNM512:DNM514"/>
    <mergeCell ref="DKT512:DKW514"/>
    <mergeCell ref="DLA512:DLA514"/>
    <mergeCell ref="DLB512:DLE514"/>
    <mergeCell ref="DLI512:DLI514"/>
    <mergeCell ref="DLJ512:DLM514"/>
    <mergeCell ref="DLQ512:DLQ514"/>
    <mergeCell ref="DLR512:DLU514"/>
    <mergeCell ref="DLY512:DLY514"/>
    <mergeCell ref="DLZ512:DMC514"/>
    <mergeCell ref="DJM512:DJM514"/>
    <mergeCell ref="DJN512:DJQ514"/>
    <mergeCell ref="DJU512:DJU514"/>
    <mergeCell ref="DJV512:DJY514"/>
    <mergeCell ref="DKC512:DKC514"/>
    <mergeCell ref="DKD512:DKG514"/>
    <mergeCell ref="DKK512:DKK514"/>
    <mergeCell ref="DKL512:DKO514"/>
    <mergeCell ref="DKS512:DKS514"/>
    <mergeCell ref="DHZ512:DIC514"/>
    <mergeCell ref="DIG512:DIG514"/>
    <mergeCell ref="DIH512:DIK514"/>
    <mergeCell ref="DIO512:DIO514"/>
    <mergeCell ref="DIP512:DIS514"/>
    <mergeCell ref="DIW512:DIW514"/>
    <mergeCell ref="DIX512:DJA514"/>
    <mergeCell ref="DJE512:DJE514"/>
    <mergeCell ref="DJF512:DJI514"/>
    <mergeCell ref="DGS512:DGS514"/>
    <mergeCell ref="DGT512:DGW514"/>
    <mergeCell ref="DHA512:DHA514"/>
    <mergeCell ref="DHB512:DHE514"/>
    <mergeCell ref="DHI512:DHI514"/>
    <mergeCell ref="DHJ512:DHM514"/>
    <mergeCell ref="DHQ512:DHQ514"/>
    <mergeCell ref="DHR512:DHU514"/>
    <mergeCell ref="DHY512:DHY514"/>
    <mergeCell ref="DFF512:DFI514"/>
    <mergeCell ref="DFM512:DFM514"/>
    <mergeCell ref="DFN512:DFQ514"/>
    <mergeCell ref="DFU512:DFU514"/>
    <mergeCell ref="DFV512:DFY514"/>
    <mergeCell ref="DGC512:DGC514"/>
    <mergeCell ref="DGD512:DGG514"/>
    <mergeCell ref="DGK512:DGK514"/>
    <mergeCell ref="DGL512:DGO514"/>
    <mergeCell ref="DDY512:DDY514"/>
    <mergeCell ref="DDZ512:DEC514"/>
    <mergeCell ref="DEG512:DEG514"/>
    <mergeCell ref="DEH512:DEK514"/>
    <mergeCell ref="DEO512:DEO514"/>
    <mergeCell ref="DEP512:DES514"/>
    <mergeCell ref="DEW512:DEW514"/>
    <mergeCell ref="DEX512:DFA514"/>
    <mergeCell ref="DFE512:DFE514"/>
    <mergeCell ref="DCL512:DCO514"/>
    <mergeCell ref="DCS512:DCS514"/>
    <mergeCell ref="DCT512:DCW514"/>
    <mergeCell ref="DDA512:DDA514"/>
    <mergeCell ref="DDB512:DDE514"/>
    <mergeCell ref="DDI512:DDI514"/>
    <mergeCell ref="DDJ512:DDM514"/>
    <mergeCell ref="DDQ512:DDQ514"/>
    <mergeCell ref="DDR512:DDU514"/>
    <mergeCell ref="DBE512:DBE514"/>
    <mergeCell ref="DBF512:DBI514"/>
    <mergeCell ref="DBM512:DBM514"/>
    <mergeCell ref="DBN512:DBQ514"/>
    <mergeCell ref="DBU512:DBU514"/>
    <mergeCell ref="DBV512:DBY514"/>
    <mergeCell ref="DCC512:DCC514"/>
    <mergeCell ref="DCD512:DCG514"/>
    <mergeCell ref="DCK512:DCK514"/>
    <mergeCell ref="CZR512:CZU514"/>
    <mergeCell ref="CZY512:CZY514"/>
    <mergeCell ref="CZZ512:DAC514"/>
    <mergeCell ref="DAG512:DAG514"/>
    <mergeCell ref="DAH512:DAK514"/>
    <mergeCell ref="DAO512:DAO514"/>
    <mergeCell ref="DAP512:DAS514"/>
    <mergeCell ref="DAW512:DAW514"/>
    <mergeCell ref="DAX512:DBA514"/>
    <mergeCell ref="CYK512:CYK514"/>
    <mergeCell ref="CYL512:CYO514"/>
    <mergeCell ref="CYS512:CYS514"/>
    <mergeCell ref="CYT512:CYW514"/>
    <mergeCell ref="CZA512:CZA514"/>
    <mergeCell ref="CZB512:CZE514"/>
    <mergeCell ref="CZI512:CZI514"/>
    <mergeCell ref="CZJ512:CZM514"/>
    <mergeCell ref="CZQ512:CZQ514"/>
    <mergeCell ref="CWX512:CXA514"/>
    <mergeCell ref="CXE512:CXE514"/>
    <mergeCell ref="CXF512:CXI514"/>
    <mergeCell ref="CXM512:CXM514"/>
    <mergeCell ref="CXN512:CXQ514"/>
    <mergeCell ref="CXU512:CXU514"/>
    <mergeCell ref="CXV512:CXY514"/>
    <mergeCell ref="CYC512:CYC514"/>
    <mergeCell ref="CYD512:CYG514"/>
    <mergeCell ref="CVQ512:CVQ514"/>
    <mergeCell ref="CVR512:CVU514"/>
    <mergeCell ref="CVY512:CVY514"/>
    <mergeCell ref="CVZ512:CWC514"/>
    <mergeCell ref="CWG512:CWG514"/>
    <mergeCell ref="CWH512:CWK514"/>
    <mergeCell ref="CWO512:CWO514"/>
    <mergeCell ref="CWP512:CWS514"/>
    <mergeCell ref="CWW512:CWW514"/>
    <mergeCell ref="CUD512:CUG514"/>
    <mergeCell ref="CUK512:CUK514"/>
    <mergeCell ref="CUL512:CUO514"/>
    <mergeCell ref="CUS512:CUS514"/>
    <mergeCell ref="CUT512:CUW514"/>
    <mergeCell ref="CVA512:CVA514"/>
    <mergeCell ref="CVB512:CVE514"/>
    <mergeCell ref="CVI512:CVI514"/>
    <mergeCell ref="CVJ512:CVM514"/>
    <mergeCell ref="CSW512:CSW514"/>
    <mergeCell ref="CSX512:CTA514"/>
    <mergeCell ref="CTE512:CTE514"/>
    <mergeCell ref="CTF512:CTI514"/>
    <mergeCell ref="CTM512:CTM514"/>
    <mergeCell ref="CTN512:CTQ514"/>
    <mergeCell ref="CTU512:CTU514"/>
    <mergeCell ref="CTV512:CTY514"/>
    <mergeCell ref="CUC512:CUC514"/>
    <mergeCell ref="CRJ512:CRM514"/>
    <mergeCell ref="CRQ512:CRQ514"/>
    <mergeCell ref="CRR512:CRU514"/>
    <mergeCell ref="CRY512:CRY514"/>
    <mergeCell ref="CRZ512:CSC514"/>
    <mergeCell ref="CSG512:CSG514"/>
    <mergeCell ref="CSH512:CSK514"/>
    <mergeCell ref="CSO512:CSO514"/>
    <mergeCell ref="CSP512:CSS514"/>
    <mergeCell ref="CQC512:CQC514"/>
    <mergeCell ref="CQD512:CQG514"/>
    <mergeCell ref="CQK512:CQK514"/>
    <mergeCell ref="CQL512:CQO514"/>
    <mergeCell ref="CQS512:CQS514"/>
    <mergeCell ref="CQT512:CQW514"/>
    <mergeCell ref="CRA512:CRA514"/>
    <mergeCell ref="CRB512:CRE514"/>
    <mergeCell ref="CRI512:CRI514"/>
    <mergeCell ref="COP512:COS514"/>
    <mergeCell ref="COW512:COW514"/>
    <mergeCell ref="COX512:CPA514"/>
    <mergeCell ref="CPE512:CPE514"/>
    <mergeCell ref="CPF512:CPI514"/>
    <mergeCell ref="CPM512:CPM514"/>
    <mergeCell ref="CPN512:CPQ514"/>
    <mergeCell ref="CPU512:CPU514"/>
    <mergeCell ref="CPV512:CPY514"/>
    <mergeCell ref="CNI512:CNI514"/>
    <mergeCell ref="CNJ512:CNM514"/>
    <mergeCell ref="CNQ512:CNQ514"/>
    <mergeCell ref="CNR512:CNU514"/>
    <mergeCell ref="CNY512:CNY514"/>
    <mergeCell ref="CNZ512:COC514"/>
    <mergeCell ref="COG512:COG514"/>
    <mergeCell ref="COH512:COK514"/>
    <mergeCell ref="COO512:COO514"/>
    <mergeCell ref="CLV512:CLY514"/>
    <mergeCell ref="CMC512:CMC514"/>
    <mergeCell ref="CMD512:CMG514"/>
    <mergeCell ref="CMK512:CMK514"/>
    <mergeCell ref="CML512:CMO514"/>
    <mergeCell ref="CMS512:CMS514"/>
    <mergeCell ref="CMT512:CMW514"/>
    <mergeCell ref="CNA512:CNA514"/>
    <mergeCell ref="CNB512:CNE514"/>
    <mergeCell ref="CKO512:CKO514"/>
    <mergeCell ref="CKP512:CKS514"/>
    <mergeCell ref="CKW512:CKW514"/>
    <mergeCell ref="CKX512:CLA514"/>
    <mergeCell ref="CLE512:CLE514"/>
    <mergeCell ref="CLF512:CLI514"/>
    <mergeCell ref="CLM512:CLM514"/>
    <mergeCell ref="CLN512:CLQ514"/>
    <mergeCell ref="CLU512:CLU514"/>
    <mergeCell ref="CJB512:CJE514"/>
    <mergeCell ref="CJI512:CJI514"/>
    <mergeCell ref="CJJ512:CJM514"/>
    <mergeCell ref="CJQ512:CJQ514"/>
    <mergeCell ref="CJR512:CJU514"/>
    <mergeCell ref="CJY512:CJY514"/>
    <mergeCell ref="CJZ512:CKC514"/>
    <mergeCell ref="CKG512:CKG514"/>
    <mergeCell ref="CKH512:CKK514"/>
    <mergeCell ref="CHU512:CHU514"/>
    <mergeCell ref="CHV512:CHY514"/>
    <mergeCell ref="CIC512:CIC514"/>
    <mergeCell ref="CID512:CIG514"/>
    <mergeCell ref="CIK512:CIK514"/>
    <mergeCell ref="CIL512:CIO514"/>
    <mergeCell ref="CIS512:CIS514"/>
    <mergeCell ref="CIT512:CIW514"/>
    <mergeCell ref="CJA512:CJA514"/>
    <mergeCell ref="CGH512:CGK514"/>
    <mergeCell ref="CGO512:CGO514"/>
    <mergeCell ref="CGP512:CGS514"/>
    <mergeCell ref="CGW512:CGW514"/>
    <mergeCell ref="CGX512:CHA514"/>
    <mergeCell ref="CHE512:CHE514"/>
    <mergeCell ref="CHF512:CHI514"/>
    <mergeCell ref="CHM512:CHM514"/>
    <mergeCell ref="CHN512:CHQ514"/>
    <mergeCell ref="CFA512:CFA514"/>
    <mergeCell ref="CFB512:CFE514"/>
    <mergeCell ref="CFI512:CFI514"/>
    <mergeCell ref="CFJ512:CFM514"/>
    <mergeCell ref="CFQ512:CFQ514"/>
    <mergeCell ref="CFR512:CFU514"/>
    <mergeCell ref="CFY512:CFY514"/>
    <mergeCell ref="CFZ512:CGC514"/>
    <mergeCell ref="CGG512:CGG514"/>
    <mergeCell ref="CDN512:CDQ514"/>
    <mergeCell ref="CDU512:CDU514"/>
    <mergeCell ref="CDV512:CDY514"/>
    <mergeCell ref="CEC512:CEC514"/>
    <mergeCell ref="CED512:CEG514"/>
    <mergeCell ref="CEK512:CEK514"/>
    <mergeCell ref="CEL512:CEO514"/>
    <mergeCell ref="CES512:CES514"/>
    <mergeCell ref="CET512:CEW514"/>
    <mergeCell ref="CCG512:CCG514"/>
    <mergeCell ref="CCH512:CCK514"/>
    <mergeCell ref="CCO512:CCO514"/>
    <mergeCell ref="CCP512:CCS514"/>
    <mergeCell ref="CCW512:CCW514"/>
    <mergeCell ref="CCX512:CDA514"/>
    <mergeCell ref="CDE512:CDE514"/>
    <mergeCell ref="CDF512:CDI514"/>
    <mergeCell ref="CDM512:CDM514"/>
    <mergeCell ref="CAT512:CAW514"/>
    <mergeCell ref="CBA512:CBA514"/>
    <mergeCell ref="CBB512:CBE514"/>
    <mergeCell ref="CBI512:CBI514"/>
    <mergeCell ref="CBJ512:CBM514"/>
    <mergeCell ref="CBQ512:CBQ514"/>
    <mergeCell ref="CBR512:CBU514"/>
    <mergeCell ref="CBY512:CBY514"/>
    <mergeCell ref="CBZ512:CCC514"/>
    <mergeCell ref="BZM512:BZM514"/>
    <mergeCell ref="BZN512:BZQ514"/>
    <mergeCell ref="BZU512:BZU514"/>
    <mergeCell ref="BZV512:BZY514"/>
    <mergeCell ref="CAC512:CAC514"/>
    <mergeCell ref="CAD512:CAG514"/>
    <mergeCell ref="CAK512:CAK514"/>
    <mergeCell ref="CAL512:CAO514"/>
    <mergeCell ref="CAS512:CAS514"/>
    <mergeCell ref="BXZ512:BYC514"/>
    <mergeCell ref="BYG512:BYG514"/>
    <mergeCell ref="BYH512:BYK514"/>
    <mergeCell ref="BYO512:BYO514"/>
    <mergeCell ref="BYP512:BYS514"/>
    <mergeCell ref="BYW512:BYW514"/>
    <mergeCell ref="BYX512:BZA514"/>
    <mergeCell ref="BZE512:BZE514"/>
    <mergeCell ref="BZF512:BZI514"/>
    <mergeCell ref="BWS512:BWS514"/>
    <mergeCell ref="BWT512:BWW514"/>
    <mergeCell ref="BXA512:BXA514"/>
    <mergeCell ref="BXB512:BXE514"/>
    <mergeCell ref="BXI512:BXI514"/>
    <mergeCell ref="BXJ512:BXM514"/>
    <mergeCell ref="BXQ512:BXQ514"/>
    <mergeCell ref="BXR512:BXU514"/>
    <mergeCell ref="BXY512:BXY514"/>
    <mergeCell ref="BVF512:BVI514"/>
    <mergeCell ref="BVM512:BVM514"/>
    <mergeCell ref="BVN512:BVQ514"/>
    <mergeCell ref="BVU512:BVU514"/>
    <mergeCell ref="BVV512:BVY514"/>
    <mergeCell ref="BWC512:BWC514"/>
    <mergeCell ref="BWD512:BWG514"/>
    <mergeCell ref="BWK512:BWK514"/>
    <mergeCell ref="BWL512:BWO514"/>
    <mergeCell ref="BTY512:BTY514"/>
    <mergeCell ref="BTZ512:BUC514"/>
    <mergeCell ref="BUG512:BUG514"/>
    <mergeCell ref="BUH512:BUK514"/>
    <mergeCell ref="BUO512:BUO514"/>
    <mergeCell ref="BUP512:BUS514"/>
    <mergeCell ref="BUW512:BUW514"/>
    <mergeCell ref="BUX512:BVA514"/>
    <mergeCell ref="BVE512:BVE514"/>
    <mergeCell ref="BSL512:BSO514"/>
    <mergeCell ref="BSS512:BSS514"/>
    <mergeCell ref="BST512:BSW514"/>
    <mergeCell ref="BTA512:BTA514"/>
    <mergeCell ref="BTB512:BTE514"/>
    <mergeCell ref="BTI512:BTI514"/>
    <mergeCell ref="BTJ512:BTM514"/>
    <mergeCell ref="BTQ512:BTQ514"/>
    <mergeCell ref="BTR512:BTU514"/>
    <mergeCell ref="BRE512:BRE514"/>
    <mergeCell ref="BRF512:BRI514"/>
    <mergeCell ref="BRM512:BRM514"/>
    <mergeCell ref="BRN512:BRQ514"/>
    <mergeCell ref="BRU512:BRU514"/>
    <mergeCell ref="BRV512:BRY514"/>
    <mergeCell ref="BSC512:BSC514"/>
    <mergeCell ref="BSD512:BSG514"/>
    <mergeCell ref="BSK512:BSK514"/>
    <mergeCell ref="BPR512:BPU514"/>
    <mergeCell ref="BPY512:BPY514"/>
    <mergeCell ref="BPZ512:BQC514"/>
    <mergeCell ref="BQG512:BQG514"/>
    <mergeCell ref="BQH512:BQK514"/>
    <mergeCell ref="BQO512:BQO514"/>
    <mergeCell ref="BQP512:BQS514"/>
    <mergeCell ref="BQW512:BQW514"/>
    <mergeCell ref="BQX512:BRA514"/>
    <mergeCell ref="BOK512:BOK514"/>
    <mergeCell ref="BOL512:BOO514"/>
    <mergeCell ref="BOS512:BOS514"/>
    <mergeCell ref="BOT512:BOW514"/>
    <mergeCell ref="BPA512:BPA514"/>
    <mergeCell ref="BPB512:BPE514"/>
    <mergeCell ref="BPI512:BPI514"/>
    <mergeCell ref="BPJ512:BPM514"/>
    <mergeCell ref="BPQ512:BPQ514"/>
    <mergeCell ref="BMX512:BNA514"/>
    <mergeCell ref="BNE512:BNE514"/>
    <mergeCell ref="BNF512:BNI514"/>
    <mergeCell ref="BNM512:BNM514"/>
    <mergeCell ref="BNN512:BNQ514"/>
    <mergeCell ref="BNU512:BNU514"/>
    <mergeCell ref="BNV512:BNY514"/>
    <mergeCell ref="BOC512:BOC514"/>
    <mergeCell ref="BOD512:BOG514"/>
    <mergeCell ref="BLQ512:BLQ514"/>
    <mergeCell ref="BLR512:BLU514"/>
    <mergeCell ref="BLY512:BLY514"/>
    <mergeCell ref="BLZ512:BMC514"/>
    <mergeCell ref="BMG512:BMG514"/>
    <mergeCell ref="BMH512:BMK514"/>
    <mergeCell ref="BMO512:BMO514"/>
    <mergeCell ref="BMP512:BMS514"/>
    <mergeCell ref="BMW512:BMW514"/>
    <mergeCell ref="BKD512:BKG514"/>
    <mergeCell ref="BKK512:BKK514"/>
    <mergeCell ref="BKL512:BKO514"/>
    <mergeCell ref="BKS512:BKS514"/>
    <mergeCell ref="BKT512:BKW514"/>
    <mergeCell ref="BLA512:BLA514"/>
    <mergeCell ref="BLB512:BLE514"/>
    <mergeCell ref="BLI512:BLI514"/>
    <mergeCell ref="BLJ512:BLM514"/>
    <mergeCell ref="BIW512:BIW514"/>
    <mergeCell ref="BIX512:BJA514"/>
    <mergeCell ref="BJE512:BJE514"/>
    <mergeCell ref="BJF512:BJI514"/>
    <mergeCell ref="BJM512:BJM514"/>
    <mergeCell ref="BJN512:BJQ514"/>
    <mergeCell ref="BJU512:BJU514"/>
    <mergeCell ref="BJV512:BJY514"/>
    <mergeCell ref="BKC512:BKC514"/>
    <mergeCell ref="BHJ512:BHM514"/>
    <mergeCell ref="BHQ512:BHQ514"/>
    <mergeCell ref="BHR512:BHU514"/>
    <mergeCell ref="BHY512:BHY514"/>
    <mergeCell ref="BHZ512:BIC514"/>
    <mergeCell ref="BIG512:BIG514"/>
    <mergeCell ref="BIH512:BIK514"/>
    <mergeCell ref="BIO512:BIO514"/>
    <mergeCell ref="BIP512:BIS514"/>
    <mergeCell ref="BGC512:BGC514"/>
    <mergeCell ref="BGD512:BGG514"/>
    <mergeCell ref="BGK512:BGK514"/>
    <mergeCell ref="BGL512:BGO514"/>
    <mergeCell ref="BGS512:BGS514"/>
    <mergeCell ref="BGT512:BGW514"/>
    <mergeCell ref="BHA512:BHA514"/>
    <mergeCell ref="BHB512:BHE514"/>
    <mergeCell ref="BHI512:BHI514"/>
    <mergeCell ref="BEP512:BES514"/>
    <mergeCell ref="BEW512:BEW514"/>
    <mergeCell ref="BEX512:BFA514"/>
    <mergeCell ref="BFE512:BFE514"/>
    <mergeCell ref="BFF512:BFI514"/>
    <mergeCell ref="BFM512:BFM514"/>
    <mergeCell ref="BFN512:BFQ514"/>
    <mergeCell ref="BFU512:BFU514"/>
    <mergeCell ref="BFV512:BFY514"/>
    <mergeCell ref="BDI512:BDI514"/>
    <mergeCell ref="BDJ512:BDM514"/>
    <mergeCell ref="BDQ512:BDQ514"/>
    <mergeCell ref="BDR512:BDU514"/>
    <mergeCell ref="BDY512:BDY514"/>
    <mergeCell ref="BDZ512:BEC514"/>
    <mergeCell ref="BEG512:BEG514"/>
    <mergeCell ref="BEH512:BEK514"/>
    <mergeCell ref="BEO512:BEO514"/>
    <mergeCell ref="BBV512:BBY514"/>
    <mergeCell ref="BCC512:BCC514"/>
    <mergeCell ref="BCD512:BCG514"/>
    <mergeCell ref="BCK512:BCK514"/>
    <mergeCell ref="BCL512:BCO514"/>
    <mergeCell ref="BCS512:BCS514"/>
    <mergeCell ref="BCT512:BCW514"/>
    <mergeCell ref="BDA512:BDA514"/>
    <mergeCell ref="BDB512:BDE514"/>
    <mergeCell ref="BAO512:BAO514"/>
    <mergeCell ref="BAP512:BAS514"/>
    <mergeCell ref="BAW512:BAW514"/>
    <mergeCell ref="BAX512:BBA514"/>
    <mergeCell ref="BBE512:BBE514"/>
    <mergeCell ref="BBF512:BBI514"/>
    <mergeCell ref="BBM512:BBM514"/>
    <mergeCell ref="BBN512:BBQ514"/>
    <mergeCell ref="BBU512:BBU514"/>
    <mergeCell ref="AZB512:AZE514"/>
    <mergeCell ref="AZI512:AZI514"/>
    <mergeCell ref="AZJ512:AZM514"/>
    <mergeCell ref="AZQ512:AZQ514"/>
    <mergeCell ref="AZR512:AZU514"/>
    <mergeCell ref="AZY512:AZY514"/>
    <mergeCell ref="AZZ512:BAC514"/>
    <mergeCell ref="BAG512:BAG514"/>
    <mergeCell ref="BAH512:BAK514"/>
    <mergeCell ref="AXU512:AXU514"/>
    <mergeCell ref="AXV512:AXY514"/>
    <mergeCell ref="AYC512:AYC514"/>
    <mergeCell ref="AYD512:AYG514"/>
    <mergeCell ref="AYK512:AYK514"/>
    <mergeCell ref="AYL512:AYO514"/>
    <mergeCell ref="AYS512:AYS514"/>
    <mergeCell ref="AYT512:AYW514"/>
    <mergeCell ref="AZA512:AZA514"/>
    <mergeCell ref="AWH512:AWK514"/>
    <mergeCell ref="AWO512:AWO514"/>
    <mergeCell ref="AWP512:AWS514"/>
    <mergeCell ref="AWW512:AWW514"/>
    <mergeCell ref="AWX512:AXA514"/>
    <mergeCell ref="AXE512:AXE514"/>
    <mergeCell ref="AXF512:AXI514"/>
    <mergeCell ref="AXM512:AXM514"/>
    <mergeCell ref="AXN512:AXQ514"/>
    <mergeCell ref="AVA512:AVA514"/>
    <mergeCell ref="AVB512:AVE514"/>
    <mergeCell ref="AVI512:AVI514"/>
    <mergeCell ref="AVJ512:AVM514"/>
    <mergeCell ref="AVQ512:AVQ514"/>
    <mergeCell ref="AVR512:AVU514"/>
    <mergeCell ref="AVY512:AVY514"/>
    <mergeCell ref="AVZ512:AWC514"/>
    <mergeCell ref="AWG512:AWG514"/>
    <mergeCell ref="ATN512:ATQ514"/>
    <mergeCell ref="ATU512:ATU514"/>
    <mergeCell ref="ATV512:ATY514"/>
    <mergeCell ref="AUC512:AUC514"/>
    <mergeCell ref="AUD512:AUG514"/>
    <mergeCell ref="AUK512:AUK514"/>
    <mergeCell ref="AUL512:AUO514"/>
    <mergeCell ref="AUS512:AUS514"/>
    <mergeCell ref="AUT512:AUW514"/>
    <mergeCell ref="ASG512:ASG514"/>
    <mergeCell ref="ASH512:ASK514"/>
    <mergeCell ref="ASO512:ASO514"/>
    <mergeCell ref="ASP512:ASS514"/>
    <mergeCell ref="ASW512:ASW514"/>
    <mergeCell ref="ASX512:ATA514"/>
    <mergeCell ref="ATE512:ATE514"/>
    <mergeCell ref="ATF512:ATI514"/>
    <mergeCell ref="ATM512:ATM514"/>
    <mergeCell ref="AQT512:AQW514"/>
    <mergeCell ref="ARA512:ARA514"/>
    <mergeCell ref="ARB512:ARE514"/>
    <mergeCell ref="ARI512:ARI514"/>
    <mergeCell ref="ARJ512:ARM514"/>
    <mergeCell ref="ARQ512:ARQ514"/>
    <mergeCell ref="ARR512:ARU514"/>
    <mergeCell ref="ARY512:ARY514"/>
    <mergeCell ref="ARZ512:ASC514"/>
    <mergeCell ref="APM512:APM514"/>
    <mergeCell ref="APN512:APQ514"/>
    <mergeCell ref="APU512:APU514"/>
    <mergeCell ref="APV512:APY514"/>
    <mergeCell ref="AQC512:AQC514"/>
    <mergeCell ref="AQD512:AQG514"/>
    <mergeCell ref="AQK512:AQK514"/>
    <mergeCell ref="AQL512:AQO514"/>
    <mergeCell ref="AQS512:AQS514"/>
    <mergeCell ref="ANZ512:AOC514"/>
    <mergeCell ref="AOG512:AOG514"/>
    <mergeCell ref="AOH512:AOK514"/>
    <mergeCell ref="AOO512:AOO514"/>
    <mergeCell ref="AOP512:AOS514"/>
    <mergeCell ref="AOW512:AOW514"/>
    <mergeCell ref="AOX512:APA514"/>
    <mergeCell ref="APE512:APE514"/>
    <mergeCell ref="APF512:API514"/>
    <mergeCell ref="AMS512:AMS514"/>
    <mergeCell ref="AMT512:AMW514"/>
    <mergeCell ref="ANA512:ANA514"/>
    <mergeCell ref="ANB512:ANE514"/>
    <mergeCell ref="ANI512:ANI514"/>
    <mergeCell ref="ANJ512:ANM514"/>
    <mergeCell ref="ANQ512:ANQ514"/>
    <mergeCell ref="ANR512:ANU514"/>
    <mergeCell ref="ANY512:ANY514"/>
    <mergeCell ref="ALF512:ALI514"/>
    <mergeCell ref="ALM512:ALM514"/>
    <mergeCell ref="ALN512:ALQ514"/>
    <mergeCell ref="ALU512:ALU514"/>
    <mergeCell ref="ALV512:ALY514"/>
    <mergeCell ref="AMC512:AMC514"/>
    <mergeCell ref="AMD512:AMG514"/>
    <mergeCell ref="AMK512:AMK514"/>
    <mergeCell ref="AML512:AMO514"/>
    <mergeCell ref="AJY512:AJY514"/>
    <mergeCell ref="AJZ512:AKC514"/>
    <mergeCell ref="AKG512:AKG514"/>
    <mergeCell ref="AKH512:AKK514"/>
    <mergeCell ref="AKO512:AKO514"/>
    <mergeCell ref="AKP512:AKS514"/>
    <mergeCell ref="AKW512:AKW514"/>
    <mergeCell ref="AKX512:ALA514"/>
    <mergeCell ref="ALE512:ALE514"/>
    <mergeCell ref="AIL512:AIO514"/>
    <mergeCell ref="AIS512:AIS514"/>
    <mergeCell ref="AIT512:AIW514"/>
    <mergeCell ref="AJA512:AJA514"/>
    <mergeCell ref="AJB512:AJE514"/>
    <mergeCell ref="AJI512:AJI514"/>
    <mergeCell ref="AJJ512:AJM514"/>
    <mergeCell ref="AJQ512:AJQ514"/>
    <mergeCell ref="AJR512:AJU514"/>
    <mergeCell ref="AHE512:AHE514"/>
    <mergeCell ref="AHF512:AHI514"/>
    <mergeCell ref="AHM512:AHM514"/>
    <mergeCell ref="AHN512:AHQ514"/>
    <mergeCell ref="AHU512:AHU514"/>
    <mergeCell ref="AHV512:AHY514"/>
    <mergeCell ref="AIC512:AIC514"/>
    <mergeCell ref="AID512:AIG514"/>
    <mergeCell ref="AIK512:AIK514"/>
    <mergeCell ref="AFR512:AFU514"/>
    <mergeCell ref="AFY512:AFY514"/>
    <mergeCell ref="AFZ512:AGC514"/>
    <mergeCell ref="AGG512:AGG514"/>
    <mergeCell ref="AGH512:AGK514"/>
    <mergeCell ref="AGO512:AGO514"/>
    <mergeCell ref="AGP512:AGS514"/>
    <mergeCell ref="AGW512:AGW514"/>
    <mergeCell ref="AGX512:AHA514"/>
    <mergeCell ref="AEK512:AEK514"/>
    <mergeCell ref="AEL512:AEO514"/>
    <mergeCell ref="AES512:AES514"/>
    <mergeCell ref="AET512:AEW514"/>
    <mergeCell ref="AFA512:AFA514"/>
    <mergeCell ref="AFB512:AFE514"/>
    <mergeCell ref="AFI512:AFI514"/>
    <mergeCell ref="AFJ512:AFM514"/>
    <mergeCell ref="AFQ512:AFQ514"/>
    <mergeCell ref="ACX512:ADA514"/>
    <mergeCell ref="ADE512:ADE514"/>
    <mergeCell ref="ADF512:ADI514"/>
    <mergeCell ref="ADM512:ADM514"/>
    <mergeCell ref="ADN512:ADQ514"/>
    <mergeCell ref="ADU512:ADU514"/>
    <mergeCell ref="ADV512:ADY514"/>
    <mergeCell ref="AEC512:AEC514"/>
    <mergeCell ref="AED512:AEG514"/>
    <mergeCell ref="ABQ512:ABQ514"/>
    <mergeCell ref="ABR512:ABU514"/>
    <mergeCell ref="ABY512:ABY514"/>
    <mergeCell ref="ABZ512:ACC514"/>
    <mergeCell ref="ACG512:ACG514"/>
    <mergeCell ref="ACH512:ACK514"/>
    <mergeCell ref="ACO512:ACO514"/>
    <mergeCell ref="ACP512:ACS514"/>
    <mergeCell ref="ACW512:ACW514"/>
    <mergeCell ref="AAD512:AAG514"/>
    <mergeCell ref="AAK512:AAK514"/>
    <mergeCell ref="AAL512:AAO514"/>
    <mergeCell ref="AAS512:AAS514"/>
    <mergeCell ref="AAT512:AAW514"/>
    <mergeCell ref="ABA512:ABA514"/>
    <mergeCell ref="ABB512:ABE514"/>
    <mergeCell ref="ABI512:ABI514"/>
    <mergeCell ref="ABJ512:ABM514"/>
    <mergeCell ref="YW512:YW514"/>
    <mergeCell ref="YX512:ZA514"/>
    <mergeCell ref="ZE512:ZE514"/>
    <mergeCell ref="ZF512:ZI514"/>
    <mergeCell ref="ZM512:ZM514"/>
    <mergeCell ref="ZN512:ZQ514"/>
    <mergeCell ref="ZU512:ZU514"/>
    <mergeCell ref="ZV512:ZY514"/>
    <mergeCell ref="AAC512:AAC514"/>
    <mergeCell ref="XJ512:XM514"/>
    <mergeCell ref="XQ512:XQ514"/>
    <mergeCell ref="XR512:XU514"/>
    <mergeCell ref="XY512:XY514"/>
    <mergeCell ref="XZ512:YC514"/>
    <mergeCell ref="YG512:YG514"/>
    <mergeCell ref="YH512:YK514"/>
    <mergeCell ref="YO512:YO514"/>
    <mergeCell ref="YP512:YS514"/>
    <mergeCell ref="WC512:WC514"/>
    <mergeCell ref="WD512:WG514"/>
    <mergeCell ref="WK512:WK514"/>
    <mergeCell ref="WL512:WO514"/>
    <mergeCell ref="WS512:WS514"/>
    <mergeCell ref="WT512:WW514"/>
    <mergeCell ref="XA512:XA514"/>
    <mergeCell ref="XB512:XE514"/>
    <mergeCell ref="XI512:XI514"/>
    <mergeCell ref="UP512:US514"/>
    <mergeCell ref="UW512:UW514"/>
    <mergeCell ref="UX512:VA514"/>
    <mergeCell ref="VE512:VE514"/>
    <mergeCell ref="VF512:VI514"/>
    <mergeCell ref="VM512:VM514"/>
    <mergeCell ref="VN512:VQ514"/>
    <mergeCell ref="VU512:VU514"/>
    <mergeCell ref="VV512:VY514"/>
    <mergeCell ref="TI512:TI514"/>
    <mergeCell ref="TJ512:TM514"/>
    <mergeCell ref="TQ512:TQ514"/>
    <mergeCell ref="TR512:TU514"/>
    <mergeCell ref="TY512:TY514"/>
    <mergeCell ref="TZ512:UC514"/>
    <mergeCell ref="UG512:UG514"/>
    <mergeCell ref="UH512:UK514"/>
    <mergeCell ref="UO512:UO514"/>
    <mergeCell ref="RV512:RY514"/>
    <mergeCell ref="SC512:SC514"/>
    <mergeCell ref="SD512:SG514"/>
    <mergeCell ref="SK512:SK514"/>
    <mergeCell ref="SL512:SO514"/>
    <mergeCell ref="SS512:SS514"/>
    <mergeCell ref="ST512:SW514"/>
    <mergeCell ref="TA512:TA514"/>
    <mergeCell ref="TB512:TE514"/>
    <mergeCell ref="QO512:QO514"/>
    <mergeCell ref="QP512:QS514"/>
    <mergeCell ref="QW512:QW514"/>
    <mergeCell ref="QX512:RA514"/>
    <mergeCell ref="RE512:RE514"/>
    <mergeCell ref="RF512:RI514"/>
    <mergeCell ref="RM512:RM514"/>
    <mergeCell ref="RN512:RQ514"/>
    <mergeCell ref="RU512:RU514"/>
    <mergeCell ref="PB512:PE514"/>
    <mergeCell ref="PI512:PI514"/>
    <mergeCell ref="PJ512:PM514"/>
    <mergeCell ref="PQ512:PQ514"/>
    <mergeCell ref="PR512:PU514"/>
    <mergeCell ref="PY512:PY514"/>
    <mergeCell ref="PZ512:QC514"/>
    <mergeCell ref="QG512:QG514"/>
    <mergeCell ref="QH512:QK514"/>
    <mergeCell ref="NU512:NU514"/>
    <mergeCell ref="NV512:NY514"/>
    <mergeCell ref="OC512:OC514"/>
    <mergeCell ref="OD512:OG514"/>
    <mergeCell ref="OK512:OK514"/>
    <mergeCell ref="OL512:OO514"/>
    <mergeCell ref="OS512:OS514"/>
    <mergeCell ref="OT512:OW514"/>
    <mergeCell ref="PA512:PA514"/>
    <mergeCell ref="MH512:MK514"/>
    <mergeCell ref="MO512:MO514"/>
    <mergeCell ref="MP512:MS514"/>
    <mergeCell ref="MW512:MW514"/>
    <mergeCell ref="MX512:NA514"/>
    <mergeCell ref="NE512:NE514"/>
    <mergeCell ref="NF512:NI514"/>
    <mergeCell ref="NM512:NM514"/>
    <mergeCell ref="NN512:NQ514"/>
    <mergeCell ref="LA512:LA514"/>
    <mergeCell ref="LB512:LE514"/>
    <mergeCell ref="LI512:LI514"/>
    <mergeCell ref="LJ512:LM514"/>
    <mergeCell ref="LQ512:LQ514"/>
    <mergeCell ref="LR512:LU514"/>
    <mergeCell ref="LY512:LY514"/>
    <mergeCell ref="LZ512:MC514"/>
    <mergeCell ref="MG512:MG514"/>
    <mergeCell ref="JN512:JQ514"/>
    <mergeCell ref="JU512:JU514"/>
    <mergeCell ref="JV512:JY514"/>
    <mergeCell ref="KC512:KC514"/>
    <mergeCell ref="KD512:KG514"/>
    <mergeCell ref="KK512:KK514"/>
    <mergeCell ref="KL512:KO514"/>
    <mergeCell ref="KS512:KS514"/>
    <mergeCell ref="KT512:KW514"/>
    <mergeCell ref="IG512:IG514"/>
    <mergeCell ref="IH512:IK514"/>
    <mergeCell ref="IO512:IO514"/>
    <mergeCell ref="IP512:IS514"/>
    <mergeCell ref="IW512:IW514"/>
    <mergeCell ref="IX512:JA514"/>
    <mergeCell ref="JE512:JE514"/>
    <mergeCell ref="JF512:JI514"/>
    <mergeCell ref="JM512:JM514"/>
    <mergeCell ref="GT512:GW514"/>
    <mergeCell ref="HA512:HA514"/>
    <mergeCell ref="HB512:HE514"/>
    <mergeCell ref="HI512:HI514"/>
    <mergeCell ref="HJ512:HM514"/>
    <mergeCell ref="HQ512:HQ514"/>
    <mergeCell ref="HR512:HU514"/>
    <mergeCell ref="HY512:HY514"/>
    <mergeCell ref="HZ512:IC514"/>
    <mergeCell ref="FM512:FM514"/>
    <mergeCell ref="FN512:FQ514"/>
    <mergeCell ref="FU512:FU514"/>
    <mergeCell ref="FV512:FY514"/>
    <mergeCell ref="GC512:GC514"/>
    <mergeCell ref="GD512:GG514"/>
    <mergeCell ref="GK512:GK514"/>
    <mergeCell ref="GL512:GO514"/>
    <mergeCell ref="GS512:GS514"/>
    <mergeCell ref="DZ512:EC514"/>
    <mergeCell ref="EG512:EG514"/>
    <mergeCell ref="EH512:EK514"/>
    <mergeCell ref="EO512:EO514"/>
    <mergeCell ref="EP512:ES514"/>
    <mergeCell ref="EW512:EW514"/>
    <mergeCell ref="EX512:FA514"/>
    <mergeCell ref="FE512:FE514"/>
    <mergeCell ref="FF512:FI514"/>
    <mergeCell ref="DB512:DE514"/>
    <mergeCell ref="DI512:DI514"/>
    <mergeCell ref="DJ512:DM514"/>
    <mergeCell ref="DQ512:DQ514"/>
    <mergeCell ref="DR512:DU514"/>
    <mergeCell ref="DY512:DY514"/>
    <mergeCell ref="BM512:BM514"/>
    <mergeCell ref="BN512:BQ514"/>
    <mergeCell ref="BU512:BU514"/>
    <mergeCell ref="BV512:BY514"/>
    <mergeCell ref="CC512:CC514"/>
    <mergeCell ref="CD512:CG514"/>
    <mergeCell ref="CK512:CK514"/>
    <mergeCell ref="CL512:CO514"/>
    <mergeCell ref="BF512:BI514"/>
    <mergeCell ref="O440:O442"/>
    <mergeCell ref="Y512:Y514"/>
    <mergeCell ref="Z512:AC514"/>
    <mergeCell ref="AG512:AG514"/>
    <mergeCell ref="AH512:AK514"/>
    <mergeCell ref="AO512:AO514"/>
    <mergeCell ref="AP512:AS514"/>
    <mergeCell ref="AW512:AW514"/>
    <mergeCell ref="AX512:BA514"/>
    <mergeCell ref="BE512:BE514"/>
    <mergeCell ref="Q512:Q514"/>
    <mergeCell ref="R512:U514"/>
    <mergeCell ref="P444:P446"/>
    <mergeCell ref="A410:A412"/>
    <mergeCell ref="C397:C399"/>
    <mergeCell ref="A482:A484"/>
    <mergeCell ref="B482:E484"/>
    <mergeCell ref="A485:A487"/>
    <mergeCell ref="A440:A442"/>
    <mergeCell ref="O428:O430"/>
    <mergeCell ref="CS512:CS514"/>
    <mergeCell ref="CT512:CW514"/>
    <mergeCell ref="DA512:DA514"/>
    <mergeCell ref="O431:O433"/>
    <mergeCell ref="P413:P415"/>
    <mergeCell ref="P416:P418"/>
    <mergeCell ref="P419:P421"/>
    <mergeCell ref="P422:P424"/>
    <mergeCell ref="P425:P427"/>
    <mergeCell ref="P428:P430"/>
    <mergeCell ref="P397:P399"/>
    <mergeCell ref="B494:E496"/>
    <mergeCell ref="A497:A499"/>
    <mergeCell ref="B497:E499"/>
    <mergeCell ref="A446:A448"/>
    <mergeCell ref="B446:B448"/>
    <mergeCell ref="C446:C448"/>
    <mergeCell ref="D446:D448"/>
    <mergeCell ref="O425:O427"/>
    <mergeCell ref="O416:O418"/>
    <mergeCell ref="O413:O415"/>
    <mergeCell ref="N437:N439"/>
    <mergeCell ref="B425:B427"/>
    <mergeCell ref="C425:C427"/>
    <mergeCell ref="N403:N405"/>
    <mergeCell ref="B614:E616"/>
    <mergeCell ref="A590:A592"/>
    <mergeCell ref="B590:E592"/>
    <mergeCell ref="A593:A595"/>
    <mergeCell ref="B593:E595"/>
    <mergeCell ref="A596:A598"/>
    <mergeCell ref="B596:E598"/>
    <mergeCell ref="A599:A601"/>
    <mergeCell ref="B599:E601"/>
    <mergeCell ref="A527:A529"/>
    <mergeCell ref="B527:E529"/>
    <mergeCell ref="B554:E556"/>
    <mergeCell ref="A530:A532"/>
    <mergeCell ref="A536:A538"/>
    <mergeCell ref="B536:E538"/>
    <mergeCell ref="B572:E574"/>
    <mergeCell ref="A557:A559"/>
    <mergeCell ref="A548:A550"/>
    <mergeCell ref="B548:E550"/>
    <mergeCell ref="A542:A544"/>
    <mergeCell ref="B542:E544"/>
    <mergeCell ref="A587:A589"/>
    <mergeCell ref="B587:E589"/>
    <mergeCell ref="B530:E532"/>
    <mergeCell ref="A560:A562"/>
    <mergeCell ref="A575:A577"/>
    <mergeCell ref="B575:E577"/>
    <mergeCell ref="A566:A568"/>
    <mergeCell ref="B566:E568"/>
    <mergeCell ref="A581:A583"/>
    <mergeCell ref="B581:E583"/>
    <mergeCell ref="A551:A553"/>
    <mergeCell ref="O81:O83"/>
    <mergeCell ref="O24:O26"/>
    <mergeCell ref="P33:P35"/>
    <mergeCell ref="P36:P38"/>
    <mergeCell ref="O51:O53"/>
    <mergeCell ref="O54:O56"/>
    <mergeCell ref="O57:O59"/>
    <mergeCell ref="O30:O32"/>
    <mergeCell ref="O27:O29"/>
    <mergeCell ref="P66:P68"/>
    <mergeCell ref="P69:P71"/>
    <mergeCell ref="P39:P41"/>
    <mergeCell ref="C126:C128"/>
    <mergeCell ref="E126:E128"/>
    <mergeCell ref="D126:D128"/>
    <mergeCell ref="A123:A125"/>
    <mergeCell ref="B123:F125"/>
    <mergeCell ref="A126:A128"/>
    <mergeCell ref="O123:O125"/>
    <mergeCell ref="O126:O128"/>
    <mergeCell ref="O60:O62"/>
    <mergeCell ref="O66:O68"/>
    <mergeCell ref="O69:O71"/>
    <mergeCell ref="O114:O116"/>
    <mergeCell ref="O84:O86"/>
    <mergeCell ref="O90:O92"/>
    <mergeCell ref="O87:O89"/>
    <mergeCell ref="O99:O101"/>
    <mergeCell ref="O102:O104"/>
    <mergeCell ref="O105:O107"/>
    <mergeCell ref="O108:O110"/>
    <mergeCell ref="B126:B128"/>
    <mergeCell ref="U70:U71"/>
    <mergeCell ref="Q1:Q3"/>
    <mergeCell ref="Q69:Q71"/>
    <mergeCell ref="O21:O23"/>
    <mergeCell ref="O33:O35"/>
    <mergeCell ref="O36:O38"/>
    <mergeCell ref="O45:O50"/>
    <mergeCell ref="O39:O44"/>
    <mergeCell ref="O78:O80"/>
    <mergeCell ref="O75:O77"/>
    <mergeCell ref="O72:O74"/>
    <mergeCell ref="O63:O65"/>
    <mergeCell ref="O3:O4"/>
    <mergeCell ref="O6:O8"/>
    <mergeCell ref="O9:O11"/>
    <mergeCell ref="O12:O14"/>
    <mergeCell ref="O15:O17"/>
    <mergeCell ref="O18:O20"/>
    <mergeCell ref="P6:P8"/>
    <mergeCell ref="P9:P11"/>
    <mergeCell ref="P12:P14"/>
    <mergeCell ref="P15:P17"/>
    <mergeCell ref="P18:P20"/>
    <mergeCell ref="P21:P23"/>
    <mergeCell ref="P24:P26"/>
    <mergeCell ref="P27:P29"/>
    <mergeCell ref="P30:P32"/>
    <mergeCell ref="P42:P44"/>
    <mergeCell ref="P51:P53"/>
    <mergeCell ref="P54:P56"/>
    <mergeCell ref="P57:P59"/>
    <mergeCell ref="P60:P62"/>
    <mergeCell ref="N369:N371"/>
    <mergeCell ref="P369:P371"/>
    <mergeCell ref="P385:P387"/>
    <mergeCell ref="P388:P390"/>
    <mergeCell ref="P391:P393"/>
    <mergeCell ref="P123:P125"/>
    <mergeCell ref="P126:P128"/>
    <mergeCell ref="O244:O246"/>
    <mergeCell ref="P400:P403"/>
    <mergeCell ref="P404:P406"/>
    <mergeCell ref="P259:P261"/>
    <mergeCell ref="P229:P231"/>
    <mergeCell ref="P219:P222"/>
    <mergeCell ref="O259:O261"/>
    <mergeCell ref="O130:O132"/>
    <mergeCell ref="O297:O298"/>
    <mergeCell ref="O360:O362"/>
    <mergeCell ref="P360:P362"/>
    <mergeCell ref="O345:O347"/>
    <mergeCell ref="O166:O167"/>
    <mergeCell ref="O169:O172"/>
    <mergeCell ref="O173:O176"/>
    <mergeCell ref="P394:P396"/>
    <mergeCell ref="P375:P377"/>
    <mergeCell ref="P379:P380"/>
    <mergeCell ref="P322:P338"/>
    <mergeCell ref="P342:P344"/>
    <mergeCell ref="P254:P255"/>
    <mergeCell ref="P241:P243"/>
    <mergeCell ref="N241:N243"/>
    <mergeCell ref="O326:O327"/>
    <mergeCell ref="O332:O334"/>
    <mergeCell ref="A262:A264"/>
    <mergeCell ref="A271:A273"/>
    <mergeCell ref="B271:E273"/>
    <mergeCell ref="N271:N273"/>
    <mergeCell ref="A274:A276"/>
    <mergeCell ref="B274:B276"/>
    <mergeCell ref="C274:C276"/>
    <mergeCell ref="B283:B285"/>
    <mergeCell ref="C283:C285"/>
    <mergeCell ref="D283:D285"/>
    <mergeCell ref="E283:E285"/>
    <mergeCell ref="N283:N285"/>
    <mergeCell ref="N268:N270"/>
    <mergeCell ref="B265:F267"/>
    <mergeCell ref="O379:O380"/>
    <mergeCell ref="O404:O406"/>
    <mergeCell ref="O400:O403"/>
    <mergeCell ref="O397:O399"/>
    <mergeCell ref="O388:O390"/>
    <mergeCell ref="O385:O387"/>
    <mergeCell ref="O375:O378"/>
    <mergeCell ref="O391:O396"/>
    <mergeCell ref="O354:O356"/>
    <mergeCell ref="A366:A368"/>
    <mergeCell ref="B366:F368"/>
    <mergeCell ref="N357:N359"/>
    <mergeCell ref="F326:F327"/>
    <mergeCell ref="G326:G327"/>
    <mergeCell ref="H326:M326"/>
    <mergeCell ref="N326:N327"/>
    <mergeCell ref="A329:A331"/>
    <mergeCell ref="N329:N331"/>
    <mergeCell ref="B241:B243"/>
    <mergeCell ref="A1035:E1036"/>
    <mergeCell ref="N1035:N1036"/>
    <mergeCell ref="E1016:E1017"/>
    <mergeCell ref="A226:A228"/>
    <mergeCell ref="B226:F228"/>
    <mergeCell ref="N226:N228"/>
    <mergeCell ref="P114:P116"/>
    <mergeCell ref="P72:P74"/>
    <mergeCell ref="P75:P77"/>
    <mergeCell ref="P78:P80"/>
    <mergeCell ref="P81:P83"/>
    <mergeCell ref="P84:P86"/>
    <mergeCell ref="P90:P92"/>
    <mergeCell ref="P130:P132"/>
    <mergeCell ref="P175:P177"/>
    <mergeCell ref="C108:C110"/>
    <mergeCell ref="D108:D110"/>
    <mergeCell ref="E108:E110"/>
    <mergeCell ref="A87:A89"/>
    <mergeCell ref="O229:O231"/>
    <mergeCell ref="O232:O234"/>
    <mergeCell ref="O235:O237"/>
    <mergeCell ref="O238:O240"/>
    <mergeCell ref="A235:A237"/>
    <mergeCell ref="B235:F237"/>
    <mergeCell ref="N235:N237"/>
    <mergeCell ref="F223:F224"/>
    <mergeCell ref="G223:G224"/>
    <mergeCell ref="B259:B261"/>
    <mergeCell ref="C259:C261"/>
    <mergeCell ref="B238:B240"/>
    <mergeCell ref="O1010:O1011"/>
    <mergeCell ref="B177:B178"/>
    <mergeCell ref="C177:C179"/>
    <mergeCell ref="D177:D179"/>
    <mergeCell ref="F177:F179"/>
    <mergeCell ref="N210:N212"/>
    <mergeCell ref="C241:C243"/>
    <mergeCell ref="D241:D243"/>
    <mergeCell ref="N372:N374"/>
    <mergeCell ref="N382:N384"/>
    <mergeCell ref="N385:N390"/>
    <mergeCell ref="N375:N380"/>
    <mergeCell ref="E434:E436"/>
    <mergeCell ref="G339:G340"/>
    <mergeCell ref="H339:M339"/>
    <mergeCell ref="N339:N340"/>
    <mergeCell ref="B305:B306"/>
    <mergeCell ref="C305:C306"/>
    <mergeCell ref="A296:E298"/>
    <mergeCell ref="N296:N298"/>
    <mergeCell ref="A238:A240"/>
    <mergeCell ref="C183:C184"/>
    <mergeCell ref="D238:D240"/>
    <mergeCell ref="E238:E240"/>
    <mergeCell ref="N238:N240"/>
    <mergeCell ref="B244:B246"/>
    <mergeCell ref="C244:C246"/>
    <mergeCell ref="D244:D246"/>
    <mergeCell ref="C388:C390"/>
    <mergeCell ref="E232:E234"/>
    <mergeCell ref="N232:N234"/>
    <mergeCell ref="A241:A243"/>
    <mergeCell ref="A871:A873"/>
    <mergeCell ref="P1016:P1017"/>
    <mergeCell ref="A1021:A1022"/>
    <mergeCell ref="B1021:B1022"/>
    <mergeCell ref="C1021:C1022"/>
    <mergeCell ref="D1021:D1022"/>
    <mergeCell ref="E1021:E1022"/>
    <mergeCell ref="N1021:N1022"/>
    <mergeCell ref="A835:A837"/>
    <mergeCell ref="B835:E837"/>
    <mergeCell ref="A838:A840"/>
    <mergeCell ref="B838:E840"/>
    <mergeCell ref="A902:A904"/>
    <mergeCell ref="B902:E904"/>
    <mergeCell ref="A905:A907"/>
    <mergeCell ref="B905:E907"/>
    <mergeCell ref="A880:A882"/>
    <mergeCell ref="B880:E882"/>
    <mergeCell ref="A865:A867"/>
    <mergeCell ref="B865:E867"/>
    <mergeCell ref="A923:A925"/>
    <mergeCell ref="A1016:A1017"/>
    <mergeCell ref="B1016:B1017"/>
    <mergeCell ref="C1016:C1017"/>
    <mergeCell ref="D1016:D1017"/>
    <mergeCell ref="N1016:N1017"/>
    <mergeCell ref="A956:A958"/>
    <mergeCell ref="O1016:O1017"/>
    <mergeCell ref="O1014:O1015"/>
    <mergeCell ref="F1016:F1017"/>
    <mergeCell ref="G1016:G1017"/>
    <mergeCell ref="H1016:M1016"/>
    <mergeCell ref="A611:A613"/>
    <mergeCell ref="B611:E613"/>
    <mergeCell ref="A614:A616"/>
    <mergeCell ref="A929:A931"/>
    <mergeCell ref="B929:E931"/>
    <mergeCell ref="B923:E925"/>
    <mergeCell ref="A926:A928"/>
    <mergeCell ref="B926:E928"/>
    <mergeCell ref="B886:E888"/>
    <mergeCell ref="A889:A891"/>
    <mergeCell ref="B889:E891"/>
    <mergeCell ref="A892:A894"/>
    <mergeCell ref="B892:E894"/>
    <mergeCell ref="B901:E901"/>
    <mergeCell ref="A908:A910"/>
    <mergeCell ref="B908:E910"/>
    <mergeCell ref="A911:A913"/>
    <mergeCell ref="B911:E913"/>
    <mergeCell ref="A886:A888"/>
    <mergeCell ref="A841:A843"/>
    <mergeCell ref="A859:A861"/>
    <mergeCell ref="B859:E861"/>
    <mergeCell ref="B871:E873"/>
    <mergeCell ref="A877:A879"/>
    <mergeCell ref="B877:E879"/>
    <mergeCell ref="A862:A864"/>
    <mergeCell ref="B862:E864"/>
    <mergeCell ref="A847:A849"/>
    <mergeCell ref="B847:E849"/>
    <mergeCell ref="A850:A852"/>
    <mergeCell ref="A868:A870"/>
    <mergeCell ref="B868:E870"/>
    <mergeCell ref="A391:A393"/>
    <mergeCell ref="B391:B393"/>
    <mergeCell ref="N419:N421"/>
    <mergeCell ref="B692:E694"/>
    <mergeCell ref="A704:A706"/>
    <mergeCell ref="B626:E628"/>
    <mergeCell ref="B850:E852"/>
    <mergeCell ref="A853:A855"/>
    <mergeCell ref="B853:E855"/>
    <mergeCell ref="N434:N436"/>
    <mergeCell ref="N425:N427"/>
    <mergeCell ref="B428:B430"/>
    <mergeCell ref="C428:C430"/>
    <mergeCell ref="E428:E430"/>
    <mergeCell ref="N428:N430"/>
    <mergeCell ref="A431:A433"/>
    <mergeCell ref="B431:F433"/>
    <mergeCell ref="N431:N433"/>
    <mergeCell ref="A425:A430"/>
    <mergeCell ref="A434:A436"/>
    <mergeCell ref="B434:B436"/>
    <mergeCell ref="C434:C436"/>
    <mergeCell ref="D434:D436"/>
    <mergeCell ref="B834:E834"/>
    <mergeCell ref="B668:E670"/>
    <mergeCell ref="A635:A637"/>
    <mergeCell ref="B635:E637"/>
    <mergeCell ref="A671:A673"/>
    <mergeCell ref="B671:E673"/>
    <mergeCell ref="A674:A676"/>
    <mergeCell ref="B674:E676"/>
    <mergeCell ref="A470:A472"/>
    <mergeCell ref="E244:E246"/>
    <mergeCell ref="N244:N246"/>
    <mergeCell ref="A403:A405"/>
    <mergeCell ref="C262:C264"/>
    <mergeCell ref="D262:D264"/>
    <mergeCell ref="E262:E264"/>
    <mergeCell ref="N262:N264"/>
    <mergeCell ref="D286:D288"/>
    <mergeCell ref="B345:B347"/>
    <mergeCell ref="C87:C89"/>
    <mergeCell ref="D87:D89"/>
    <mergeCell ref="D102:D104"/>
    <mergeCell ref="E102:E104"/>
    <mergeCell ref="N102:N104"/>
    <mergeCell ref="A105:A107"/>
    <mergeCell ref="E120:E122"/>
    <mergeCell ref="A120:A122"/>
    <mergeCell ref="B120:B122"/>
    <mergeCell ref="C173:C175"/>
    <mergeCell ref="B111:F113"/>
    <mergeCell ref="N111:N113"/>
    <mergeCell ref="A90:A92"/>
    <mergeCell ref="B90:B92"/>
    <mergeCell ref="C90:C92"/>
    <mergeCell ref="D90:D92"/>
    <mergeCell ref="E90:E92"/>
    <mergeCell ref="N90:N92"/>
    <mergeCell ref="B93:B95"/>
    <mergeCell ref="C166:C167"/>
    <mergeCell ref="D166:D167"/>
    <mergeCell ref="N391:N393"/>
    <mergeCell ref="B117:F119"/>
    <mergeCell ref="A117:A119"/>
    <mergeCell ref="A132:A134"/>
    <mergeCell ref="B132:B134"/>
    <mergeCell ref="C132:C134"/>
    <mergeCell ref="D132:D134"/>
    <mergeCell ref="E132:E134"/>
    <mergeCell ref="B135:F137"/>
    <mergeCell ref="A138:A140"/>
    <mergeCell ref="A173:A176"/>
    <mergeCell ref="P63:P65"/>
    <mergeCell ref="P45:P50"/>
    <mergeCell ref="A375:A380"/>
    <mergeCell ref="B375:B377"/>
    <mergeCell ref="C375:C377"/>
    <mergeCell ref="D375:D380"/>
    <mergeCell ref="E375:E377"/>
    <mergeCell ref="B378:B380"/>
    <mergeCell ref="E378:E380"/>
    <mergeCell ref="A232:A234"/>
    <mergeCell ref="B232:B234"/>
    <mergeCell ref="N256:N258"/>
    <mergeCell ref="P117:P119"/>
    <mergeCell ref="P314:P316"/>
    <mergeCell ref="P87:P89"/>
    <mergeCell ref="P99:P101"/>
    <mergeCell ref="D232:D234"/>
    <mergeCell ref="E87:E89"/>
    <mergeCell ref="N87:N89"/>
    <mergeCell ref="D114:D116"/>
    <mergeCell ref="A111:A113"/>
    <mergeCell ref="C232:C234"/>
    <mergeCell ref="A244:A246"/>
    <mergeCell ref="E256:E258"/>
    <mergeCell ref="B173:B174"/>
    <mergeCell ref="P102:P104"/>
    <mergeCell ref="P105:P107"/>
    <mergeCell ref="P108:P110"/>
    <mergeCell ref="P111:P113"/>
    <mergeCell ref="N99:N101"/>
    <mergeCell ref="B169:B170"/>
    <mergeCell ref="B87:B89"/>
    <mergeCell ref="E69:E71"/>
    <mergeCell ref="N78:N80"/>
    <mergeCell ref="A72:A74"/>
    <mergeCell ref="C60:C62"/>
    <mergeCell ref="D60:D62"/>
    <mergeCell ref="E60:E62"/>
    <mergeCell ref="N60:N62"/>
    <mergeCell ref="A63:A65"/>
    <mergeCell ref="B63:B65"/>
    <mergeCell ref="C63:C65"/>
    <mergeCell ref="D63:D65"/>
    <mergeCell ref="A69:A71"/>
    <mergeCell ref="B69:B71"/>
    <mergeCell ref="C69:C71"/>
    <mergeCell ref="D69:D71"/>
    <mergeCell ref="N75:N77"/>
    <mergeCell ref="A108:A110"/>
    <mergeCell ref="B108:B110"/>
    <mergeCell ref="B102:B104"/>
    <mergeCell ref="C102:C104"/>
    <mergeCell ref="N105:N107"/>
    <mergeCell ref="A102:A104"/>
    <mergeCell ref="N69:N71"/>
    <mergeCell ref="B72:F74"/>
    <mergeCell ref="A78:A80"/>
    <mergeCell ref="C84:C86"/>
    <mergeCell ref="D84:D86"/>
    <mergeCell ref="A75:A77"/>
    <mergeCell ref="B75:B77"/>
    <mergeCell ref="A99:A101"/>
    <mergeCell ref="B99:F101"/>
    <mergeCell ref="C75:C77"/>
    <mergeCell ref="D75:D77"/>
    <mergeCell ref="E75:E77"/>
    <mergeCell ref="N72:N74"/>
    <mergeCell ref="C81:C83"/>
    <mergeCell ref="D81:D83"/>
    <mergeCell ref="E81:E83"/>
    <mergeCell ref="N81:N83"/>
    <mergeCell ref="A81:A83"/>
    <mergeCell ref="B81:B83"/>
    <mergeCell ref="B78:F80"/>
    <mergeCell ref="A84:A86"/>
    <mergeCell ref="B84:B86"/>
    <mergeCell ref="E84:E86"/>
    <mergeCell ref="N84:N86"/>
    <mergeCell ref="A93:A95"/>
    <mergeCell ref="C93:C95"/>
    <mergeCell ref="D93:D95"/>
    <mergeCell ref="E93:E95"/>
    <mergeCell ref="N93:N95"/>
    <mergeCell ref="C48:C50"/>
    <mergeCell ref="A51:A53"/>
    <mergeCell ref="B51:F53"/>
    <mergeCell ref="E48:E50"/>
    <mergeCell ref="D45:D50"/>
    <mergeCell ref="N63:N65"/>
    <mergeCell ref="N66:N68"/>
    <mergeCell ref="A45:A50"/>
    <mergeCell ref="B45:B47"/>
    <mergeCell ref="C45:C47"/>
    <mergeCell ref="E45:E47"/>
    <mergeCell ref="B48:B50"/>
    <mergeCell ref="E63:E65"/>
    <mergeCell ref="A54:A56"/>
    <mergeCell ref="B54:B56"/>
    <mergeCell ref="C54:C56"/>
    <mergeCell ref="D54:D56"/>
    <mergeCell ref="E54:E56"/>
    <mergeCell ref="B66:F68"/>
    <mergeCell ref="N45:N50"/>
    <mergeCell ref="N57:N59"/>
    <mergeCell ref="A60:A62"/>
    <mergeCell ref="B60:B62"/>
    <mergeCell ref="A66:A68"/>
    <mergeCell ref="A57:A59"/>
    <mergeCell ref="B57:B59"/>
    <mergeCell ref="C57:C59"/>
    <mergeCell ref="D57:D59"/>
    <mergeCell ref="E57:E59"/>
    <mergeCell ref="N54:N56"/>
    <mergeCell ref="N51:N53"/>
    <mergeCell ref="A36:A38"/>
    <mergeCell ref="B36:F38"/>
    <mergeCell ref="A39:A44"/>
    <mergeCell ref="B39:B41"/>
    <mergeCell ref="C39:C44"/>
    <mergeCell ref="D39:D41"/>
    <mergeCell ref="E39:E41"/>
    <mergeCell ref="N36:N38"/>
    <mergeCell ref="N39:N41"/>
    <mergeCell ref="B42:B44"/>
    <mergeCell ref="D42:D44"/>
    <mergeCell ref="E42:E44"/>
    <mergeCell ref="A33:A35"/>
    <mergeCell ref="E33:E35"/>
    <mergeCell ref="A30:A32"/>
    <mergeCell ref="B30:B32"/>
    <mergeCell ref="C30:C32"/>
    <mergeCell ref="D30:D32"/>
    <mergeCell ref="E30:E32"/>
    <mergeCell ref="E24:E26"/>
    <mergeCell ref="A18:A20"/>
    <mergeCell ref="B18:B20"/>
    <mergeCell ref="C18:C20"/>
    <mergeCell ref="D18:D20"/>
    <mergeCell ref="E18:E20"/>
    <mergeCell ref="N18:N20"/>
    <mergeCell ref="N24:N26"/>
    <mergeCell ref="A27:A29"/>
    <mergeCell ref="B27:F29"/>
    <mergeCell ref="N21:N23"/>
    <mergeCell ref="B24:B26"/>
    <mergeCell ref="C24:C26"/>
    <mergeCell ref="N27:N29"/>
    <mergeCell ref="D24:D26"/>
    <mergeCell ref="B33:B35"/>
    <mergeCell ref="C33:C35"/>
    <mergeCell ref="D33:D35"/>
    <mergeCell ref="N30:N32"/>
    <mergeCell ref="N33:N35"/>
    <mergeCell ref="B956:E958"/>
    <mergeCell ref="A12:A14"/>
    <mergeCell ref="N12:N14"/>
    <mergeCell ref="G3:G4"/>
    <mergeCell ref="H3:M3"/>
    <mergeCell ref="N3:N4"/>
    <mergeCell ref="A6:A8"/>
    <mergeCell ref="B6:F8"/>
    <mergeCell ref="A9:A11"/>
    <mergeCell ref="B9:B11"/>
    <mergeCell ref="C9:C11"/>
    <mergeCell ref="D9:D11"/>
    <mergeCell ref="E9:E11"/>
    <mergeCell ref="A3:A4"/>
    <mergeCell ref="B3:B4"/>
    <mergeCell ref="C3:C4"/>
    <mergeCell ref="D3:D4"/>
    <mergeCell ref="E3:E4"/>
    <mergeCell ref="F3:F4"/>
    <mergeCell ref="N9:N11"/>
    <mergeCell ref="N6:N8"/>
    <mergeCell ref="B12:B14"/>
    <mergeCell ref="C12:C14"/>
    <mergeCell ref="D12:D14"/>
    <mergeCell ref="E12:E14"/>
    <mergeCell ref="N42:N44"/>
    <mergeCell ref="A15:A17"/>
    <mergeCell ref="B15:F17"/>
    <mergeCell ref="N15:N17"/>
    <mergeCell ref="A24:A26"/>
    <mergeCell ref="A21:A23"/>
    <mergeCell ref="B21:F23"/>
    <mergeCell ref="A1010:A1012"/>
    <mergeCell ref="B1010:E1012"/>
    <mergeCell ref="A986:A988"/>
    <mergeCell ref="B986:E988"/>
    <mergeCell ref="A989:A991"/>
    <mergeCell ref="B989:E991"/>
    <mergeCell ref="A786:A788"/>
    <mergeCell ref="B786:E788"/>
    <mergeCell ref="A813:A815"/>
    <mergeCell ref="B813:E815"/>
    <mergeCell ref="A816:A818"/>
    <mergeCell ref="B816:E818"/>
    <mergeCell ref="A819:A821"/>
    <mergeCell ref="B819:E821"/>
    <mergeCell ref="A822:A824"/>
    <mergeCell ref="B822:E824"/>
    <mergeCell ref="A959:A961"/>
    <mergeCell ref="B959:E961"/>
    <mergeCell ref="A962:A964"/>
    <mergeCell ref="B962:E964"/>
    <mergeCell ref="A965:A967"/>
    <mergeCell ref="B965:E967"/>
    <mergeCell ref="A914:A916"/>
    <mergeCell ref="B914:E916"/>
    <mergeCell ref="A932:A934"/>
    <mergeCell ref="B932:E934"/>
    <mergeCell ref="A935:A937"/>
    <mergeCell ref="B935:E937"/>
    <mergeCell ref="A917:A919"/>
    <mergeCell ref="B917:E919"/>
    <mergeCell ref="A920:A922"/>
    <mergeCell ref="B920:E922"/>
    <mergeCell ref="A1007:A1009"/>
    <mergeCell ref="B1007:E1009"/>
    <mergeCell ref="A998:A1000"/>
    <mergeCell ref="B998:E1000"/>
    <mergeCell ref="A1001:A1003"/>
    <mergeCell ref="B1001:E1003"/>
    <mergeCell ref="A1004:A1006"/>
    <mergeCell ref="B1004:E1006"/>
    <mergeCell ref="B804:E806"/>
    <mergeCell ref="A807:A809"/>
    <mergeCell ref="B807:E809"/>
    <mergeCell ref="A992:A994"/>
    <mergeCell ref="B992:E994"/>
    <mergeCell ref="A995:A997"/>
    <mergeCell ref="B995:E997"/>
    <mergeCell ref="A753:A755"/>
    <mergeCell ref="B753:E755"/>
    <mergeCell ref="A756:A758"/>
    <mergeCell ref="B756:E758"/>
    <mergeCell ref="A771:A773"/>
    <mergeCell ref="B771:E773"/>
    <mergeCell ref="A774:A776"/>
    <mergeCell ref="B774:E776"/>
    <mergeCell ref="A810:A812"/>
    <mergeCell ref="B810:E812"/>
    <mergeCell ref="A777:A779"/>
    <mergeCell ref="B777:E779"/>
    <mergeCell ref="A804:A806"/>
    <mergeCell ref="B825:E827"/>
    <mergeCell ref="A828:A830"/>
    <mergeCell ref="A856:A858"/>
    <mergeCell ref="A768:A770"/>
    <mergeCell ref="B704:E706"/>
    <mergeCell ref="A707:A709"/>
    <mergeCell ref="B707:E709"/>
    <mergeCell ref="B731:E733"/>
    <mergeCell ref="A734:A736"/>
    <mergeCell ref="B734:E736"/>
    <mergeCell ref="B747:E749"/>
    <mergeCell ref="A750:A752"/>
    <mergeCell ref="B750:E752"/>
    <mergeCell ref="A747:A749"/>
    <mergeCell ref="B713:E715"/>
    <mergeCell ref="A698:A700"/>
    <mergeCell ref="B698:E700"/>
    <mergeCell ref="A701:A703"/>
    <mergeCell ref="B701:E703"/>
    <mergeCell ref="A728:A730"/>
    <mergeCell ref="B728:E730"/>
    <mergeCell ref="A725:A727"/>
    <mergeCell ref="B725:E727"/>
    <mergeCell ref="A744:A746"/>
    <mergeCell ref="A719:A721"/>
    <mergeCell ref="B719:E721"/>
    <mergeCell ref="A722:A724"/>
    <mergeCell ref="B722:E724"/>
    <mergeCell ref="B716:E718"/>
    <mergeCell ref="A710:A712"/>
    <mergeCell ref="B710:E712"/>
    <mergeCell ref="A713:A715"/>
    <mergeCell ref="A731:A733"/>
    <mergeCell ref="A762:A764"/>
    <mergeCell ref="B762:E764"/>
    <mergeCell ref="A765:A767"/>
    <mergeCell ref="B765:E767"/>
    <mergeCell ref="A780:A782"/>
    <mergeCell ref="B780:E782"/>
    <mergeCell ref="A783:A785"/>
    <mergeCell ref="B783:E785"/>
    <mergeCell ref="B744:E746"/>
    <mergeCell ref="B737:E739"/>
    <mergeCell ref="A737:A739"/>
    <mergeCell ref="A740:A742"/>
    <mergeCell ref="B740:E742"/>
    <mergeCell ref="B856:E858"/>
    <mergeCell ref="B841:E843"/>
    <mergeCell ref="A844:A846"/>
    <mergeCell ref="B844:E846"/>
    <mergeCell ref="A825:A827"/>
    <mergeCell ref="A680:A682"/>
    <mergeCell ref="B680:E682"/>
    <mergeCell ref="A617:A619"/>
    <mergeCell ref="B617:E619"/>
    <mergeCell ref="A620:A622"/>
    <mergeCell ref="B620:E622"/>
    <mergeCell ref="A647:A649"/>
    <mergeCell ref="B647:E649"/>
    <mergeCell ref="A650:A652"/>
    <mergeCell ref="B650:E652"/>
    <mergeCell ref="A638:A640"/>
    <mergeCell ref="B638:E640"/>
    <mergeCell ref="B828:E830"/>
    <mergeCell ref="A831:A833"/>
    <mergeCell ref="B831:E833"/>
    <mergeCell ref="A789:A791"/>
    <mergeCell ref="B789:E791"/>
    <mergeCell ref="A692:A694"/>
    <mergeCell ref="A798:A800"/>
    <mergeCell ref="B798:E800"/>
    <mergeCell ref="A801:A803"/>
    <mergeCell ref="B801:E803"/>
    <mergeCell ref="A695:A697"/>
    <mergeCell ref="B695:E697"/>
    <mergeCell ref="A792:A794"/>
    <mergeCell ref="B792:E794"/>
    <mergeCell ref="A795:A797"/>
    <mergeCell ref="B795:E797"/>
    <mergeCell ref="A716:A718"/>
    <mergeCell ref="B768:E770"/>
    <mergeCell ref="A759:A761"/>
    <mergeCell ref="B759:E761"/>
    <mergeCell ref="A339:A340"/>
    <mergeCell ref="A369:A371"/>
    <mergeCell ref="B488:E490"/>
    <mergeCell ref="A372:A374"/>
    <mergeCell ref="B372:F374"/>
    <mergeCell ref="D391:D393"/>
    <mergeCell ref="E391:E393"/>
    <mergeCell ref="A406:A409"/>
    <mergeCell ref="B406:B408"/>
    <mergeCell ref="C406:C408"/>
    <mergeCell ref="D406:D409"/>
    <mergeCell ref="A437:A439"/>
    <mergeCell ref="B551:E553"/>
    <mergeCell ref="A545:A547"/>
    <mergeCell ref="B449:E449"/>
    <mergeCell ref="A357:A359"/>
    <mergeCell ref="B357:B359"/>
    <mergeCell ref="B360:B362"/>
    <mergeCell ref="C360:C362"/>
    <mergeCell ref="A345:A347"/>
    <mergeCell ref="B533:E535"/>
    <mergeCell ref="A539:A541"/>
    <mergeCell ref="B539:E541"/>
    <mergeCell ref="C378:C380"/>
    <mergeCell ref="A394:A396"/>
    <mergeCell ref="B394:B396"/>
    <mergeCell ref="C394:C396"/>
    <mergeCell ref="D394:D396"/>
    <mergeCell ref="E394:E396"/>
    <mergeCell ref="B400:B402"/>
    <mergeCell ref="C400:C402"/>
    <mergeCell ref="E400:E402"/>
    <mergeCell ref="A623:A625"/>
    <mergeCell ref="A578:A580"/>
    <mergeCell ref="B578:E580"/>
    <mergeCell ref="B557:E559"/>
    <mergeCell ref="B560:E562"/>
    <mergeCell ref="A563:A565"/>
    <mergeCell ref="O434:O436"/>
    <mergeCell ref="A443:A445"/>
    <mergeCell ref="B443:B445"/>
    <mergeCell ref="C443:C445"/>
    <mergeCell ref="D443:D445"/>
    <mergeCell ref="N348:N350"/>
    <mergeCell ref="B440:B442"/>
    <mergeCell ref="C440:C442"/>
    <mergeCell ref="D440:D442"/>
    <mergeCell ref="E440:E442"/>
    <mergeCell ref="N440:N442"/>
    <mergeCell ref="N366:N368"/>
    <mergeCell ref="E354:E356"/>
    <mergeCell ref="D397:D402"/>
    <mergeCell ref="E397:E399"/>
    <mergeCell ref="A512:A514"/>
    <mergeCell ref="B512:E514"/>
    <mergeCell ref="B521:E523"/>
    <mergeCell ref="B563:E565"/>
    <mergeCell ref="A467:A469"/>
    <mergeCell ref="B467:E469"/>
    <mergeCell ref="N394:N396"/>
    <mergeCell ref="N400:N402"/>
    <mergeCell ref="A422:A424"/>
    <mergeCell ref="B422:F424"/>
    <mergeCell ref="N422:N424"/>
    <mergeCell ref="H223:M223"/>
    <mergeCell ref="N223:N224"/>
    <mergeCell ref="A223:A224"/>
    <mergeCell ref="B223:B224"/>
    <mergeCell ref="E311:E313"/>
    <mergeCell ref="A183:A184"/>
    <mergeCell ref="A311:A313"/>
    <mergeCell ref="B311:B313"/>
    <mergeCell ref="C311:C313"/>
    <mergeCell ref="D311:D313"/>
    <mergeCell ref="N177:N180"/>
    <mergeCell ref="G178:G180"/>
    <mergeCell ref="B185:B186"/>
    <mergeCell ref="F339:F340"/>
    <mergeCell ref="A314:A316"/>
    <mergeCell ref="B314:F316"/>
    <mergeCell ref="N314:N316"/>
    <mergeCell ref="A308:A310"/>
    <mergeCell ref="B308:F310"/>
    <mergeCell ref="N308:N310"/>
    <mergeCell ref="E241:E243"/>
    <mergeCell ref="C238:C240"/>
    <mergeCell ref="B262:B264"/>
    <mergeCell ref="N311:N313"/>
    <mergeCell ref="A250:A252"/>
    <mergeCell ref="B250:B252"/>
    <mergeCell ref="C250:C252"/>
    <mergeCell ref="D250:D252"/>
    <mergeCell ref="E250:E252"/>
    <mergeCell ref="N250:N252"/>
    <mergeCell ref="A337:E337"/>
    <mergeCell ref="N317:N319"/>
    <mergeCell ref="A683:A685"/>
    <mergeCell ref="B683:E685"/>
    <mergeCell ref="A686:A688"/>
    <mergeCell ref="B686:E688"/>
    <mergeCell ref="A689:A691"/>
    <mergeCell ref="B689:E691"/>
    <mergeCell ref="A554:A556"/>
    <mergeCell ref="A677:A679"/>
    <mergeCell ref="B677:E679"/>
    <mergeCell ref="A665:A667"/>
    <mergeCell ref="B665:E667"/>
    <mergeCell ref="A653:A655"/>
    <mergeCell ref="B653:E655"/>
    <mergeCell ref="A656:A658"/>
    <mergeCell ref="B656:E658"/>
    <mergeCell ref="A659:A661"/>
    <mergeCell ref="B659:E661"/>
    <mergeCell ref="A629:A631"/>
    <mergeCell ref="B629:E631"/>
    <mergeCell ref="A644:A646"/>
    <mergeCell ref="B644:E646"/>
    <mergeCell ref="A632:A634"/>
    <mergeCell ref="B632:E634"/>
    <mergeCell ref="A662:A664"/>
    <mergeCell ref="B662:E664"/>
    <mergeCell ref="A626:A628"/>
    <mergeCell ref="B623:E625"/>
    <mergeCell ref="A605:A607"/>
    <mergeCell ref="B605:E607"/>
    <mergeCell ref="A608:A610"/>
    <mergeCell ref="B608:E610"/>
    <mergeCell ref="A572:A574"/>
    <mergeCell ref="A229:A231"/>
    <mergeCell ref="E210:E212"/>
    <mergeCell ref="B473:E475"/>
    <mergeCell ref="B437:F439"/>
    <mergeCell ref="E223:E224"/>
    <mergeCell ref="D173:D175"/>
    <mergeCell ref="E173:E175"/>
    <mergeCell ref="F173:F175"/>
    <mergeCell ref="N173:N176"/>
    <mergeCell ref="C185:C186"/>
    <mergeCell ref="A419:A421"/>
    <mergeCell ref="B419:B421"/>
    <mergeCell ref="C419:C421"/>
    <mergeCell ref="D419:D421"/>
    <mergeCell ref="E419:E421"/>
    <mergeCell ref="N443:N445"/>
    <mergeCell ref="B403:F405"/>
    <mergeCell ref="A382:A384"/>
    <mergeCell ref="B382:F384"/>
    <mergeCell ref="A385:A390"/>
    <mergeCell ref="B385:B387"/>
    <mergeCell ref="C385:C387"/>
    <mergeCell ref="D385:D390"/>
    <mergeCell ref="C223:C224"/>
    <mergeCell ref="D223:D224"/>
    <mergeCell ref="B256:B258"/>
    <mergeCell ref="C256:C258"/>
    <mergeCell ref="D256:D258"/>
    <mergeCell ref="D183:D184"/>
    <mergeCell ref="N397:N399"/>
    <mergeCell ref="E388:E390"/>
    <mergeCell ref="C326:C327"/>
    <mergeCell ref="D185:D186"/>
    <mergeCell ref="E185:E186"/>
    <mergeCell ref="F185:F186"/>
    <mergeCell ref="N185:N186"/>
    <mergeCell ref="A187:A188"/>
    <mergeCell ref="B187:B188"/>
    <mergeCell ref="C187:C188"/>
    <mergeCell ref="D187:D188"/>
    <mergeCell ref="E187:E188"/>
    <mergeCell ref="F187:F188"/>
    <mergeCell ref="N187:N188"/>
    <mergeCell ref="A189:A190"/>
    <mergeCell ref="B189:B190"/>
    <mergeCell ref="A185:A186"/>
    <mergeCell ref="N189:N190"/>
    <mergeCell ref="E305:E306"/>
    <mergeCell ref="F305:F306"/>
    <mergeCell ref="G305:G306"/>
    <mergeCell ref="H305:M305"/>
    <mergeCell ref="N305:N306"/>
    <mergeCell ref="E259:E261"/>
    <mergeCell ref="A305:A306"/>
    <mergeCell ref="D259:D261"/>
    <mergeCell ref="N229:N231"/>
    <mergeCell ref="E229:E231"/>
    <mergeCell ref="D229:D231"/>
    <mergeCell ref="C229:C231"/>
    <mergeCell ref="B229:B231"/>
    <mergeCell ref="A259:A261"/>
    <mergeCell ref="N259:N261"/>
    <mergeCell ref="A256:A258"/>
    <mergeCell ref="B268:B270"/>
    <mergeCell ref="D345:D347"/>
    <mergeCell ref="A602:A604"/>
    <mergeCell ref="B602:E604"/>
    <mergeCell ref="L581:L583"/>
    <mergeCell ref="A479:A481"/>
    <mergeCell ref="B479:E481"/>
    <mergeCell ref="B485:E487"/>
    <mergeCell ref="A521:A523"/>
    <mergeCell ref="A458:O458"/>
    <mergeCell ref="A453:E455"/>
    <mergeCell ref="A463:O463"/>
    <mergeCell ref="A464:O464"/>
    <mergeCell ref="A457:E457"/>
    <mergeCell ref="A459:E462"/>
    <mergeCell ref="B545:E547"/>
    <mergeCell ref="A533:A535"/>
    <mergeCell ref="A569:A571"/>
    <mergeCell ref="B569:E571"/>
    <mergeCell ref="A524:A526"/>
    <mergeCell ref="B524:E526"/>
    <mergeCell ref="F465:F466"/>
    <mergeCell ref="G465:L465"/>
    <mergeCell ref="A515:A517"/>
    <mergeCell ref="B515:E517"/>
    <mergeCell ref="A518:A520"/>
    <mergeCell ref="B518:E520"/>
    <mergeCell ref="A506:A508"/>
    <mergeCell ref="B506:E508"/>
    <mergeCell ref="A509:A511"/>
    <mergeCell ref="B509:E511"/>
    <mergeCell ref="A488:A490"/>
    <mergeCell ref="A503:A505"/>
    <mergeCell ref="L584:L586"/>
    <mergeCell ref="L587:L589"/>
    <mergeCell ref="L590:L592"/>
    <mergeCell ref="L593:L595"/>
    <mergeCell ref="L596:L598"/>
    <mergeCell ref="L599:L601"/>
    <mergeCell ref="A584:A586"/>
    <mergeCell ref="B584:E586"/>
    <mergeCell ref="A473:A475"/>
    <mergeCell ref="A476:A478"/>
    <mergeCell ref="B476:E478"/>
    <mergeCell ref="A491:A493"/>
    <mergeCell ref="B491:E493"/>
    <mergeCell ref="A494:A496"/>
    <mergeCell ref="E443:E445"/>
    <mergeCell ref="A450:E452"/>
    <mergeCell ref="C413:C415"/>
    <mergeCell ref="D413:D418"/>
    <mergeCell ref="E413:E415"/>
    <mergeCell ref="E446:E448"/>
    <mergeCell ref="A500:A502"/>
    <mergeCell ref="B500:E502"/>
    <mergeCell ref="A465:A466"/>
    <mergeCell ref="B465:E466"/>
    <mergeCell ref="E425:E427"/>
    <mergeCell ref="B416:B418"/>
    <mergeCell ref="C416:C418"/>
    <mergeCell ref="B413:B415"/>
    <mergeCell ref="B470:E472"/>
    <mergeCell ref="D425:D430"/>
    <mergeCell ref="B503:E505"/>
    <mergeCell ref="E345:E347"/>
    <mergeCell ref="N446:N448"/>
    <mergeCell ref="B369:B371"/>
    <mergeCell ref="C369:C371"/>
    <mergeCell ref="D369:D371"/>
    <mergeCell ref="E369:E371"/>
    <mergeCell ref="C357:C359"/>
    <mergeCell ref="A265:A267"/>
    <mergeCell ref="N265:N267"/>
    <mergeCell ref="A268:A270"/>
    <mergeCell ref="E385:E387"/>
    <mergeCell ref="B388:B390"/>
    <mergeCell ref="E416:E418"/>
    <mergeCell ref="A413:A418"/>
    <mergeCell ref="B410:F412"/>
    <mergeCell ref="N410:N412"/>
    <mergeCell ref="N406:N409"/>
    <mergeCell ref="C391:C393"/>
    <mergeCell ref="N413:N418"/>
    <mergeCell ref="A348:A350"/>
    <mergeCell ref="B348:F350"/>
    <mergeCell ref="E360:E362"/>
    <mergeCell ref="A360:A365"/>
    <mergeCell ref="D360:D365"/>
    <mergeCell ref="N360:N365"/>
    <mergeCell ref="B363:B365"/>
    <mergeCell ref="C363:C365"/>
    <mergeCell ref="E363:E365"/>
    <mergeCell ref="E406:E408"/>
    <mergeCell ref="A397:A402"/>
    <mergeCell ref="B397:B399"/>
    <mergeCell ref="A336:O336"/>
    <mergeCell ref="A177:A180"/>
    <mergeCell ref="A169:A172"/>
    <mergeCell ref="C268:C270"/>
    <mergeCell ref="D268:D270"/>
    <mergeCell ref="E268:E270"/>
    <mergeCell ref="B253:F255"/>
    <mergeCell ref="A342:A344"/>
    <mergeCell ref="B342:F344"/>
    <mergeCell ref="D357:D359"/>
    <mergeCell ref="E357:E359"/>
    <mergeCell ref="A351:A356"/>
    <mergeCell ref="B351:B353"/>
    <mergeCell ref="C351:C353"/>
    <mergeCell ref="D351:D353"/>
    <mergeCell ref="E351:E353"/>
    <mergeCell ref="B354:B356"/>
    <mergeCell ref="C354:C356"/>
    <mergeCell ref="A326:A327"/>
    <mergeCell ref="B326:B327"/>
    <mergeCell ref="D305:D306"/>
    <mergeCell ref="D332:D334"/>
    <mergeCell ref="B339:B340"/>
    <mergeCell ref="C339:C340"/>
    <mergeCell ref="D339:D340"/>
    <mergeCell ref="E339:E340"/>
    <mergeCell ref="A320:E322"/>
    <mergeCell ref="A317:A319"/>
    <mergeCell ref="B317:B319"/>
    <mergeCell ref="C317:C319"/>
    <mergeCell ref="D317:D319"/>
    <mergeCell ref="E317:E319"/>
    <mergeCell ref="C345:C347"/>
    <mergeCell ref="B191:B192"/>
    <mergeCell ref="C191:C192"/>
    <mergeCell ref="B329:F331"/>
    <mergeCell ref="A332:A334"/>
    <mergeCell ref="B332:B334"/>
    <mergeCell ref="C332:C334"/>
    <mergeCell ref="D326:D327"/>
    <mergeCell ref="E326:E327"/>
    <mergeCell ref="E286:E288"/>
    <mergeCell ref="P93:P95"/>
    <mergeCell ref="A96:A98"/>
    <mergeCell ref="B96:B98"/>
    <mergeCell ref="C96:C98"/>
    <mergeCell ref="D96:D98"/>
    <mergeCell ref="E96:E98"/>
    <mergeCell ref="N96:N98"/>
    <mergeCell ref="O96:O98"/>
    <mergeCell ref="P96:P98"/>
    <mergeCell ref="C181:C182"/>
    <mergeCell ref="D181:D182"/>
    <mergeCell ref="E181:E182"/>
    <mergeCell ref="F181:F182"/>
    <mergeCell ref="N181:N182"/>
    <mergeCell ref="A181:A182"/>
    <mergeCell ref="B181:B182"/>
    <mergeCell ref="C138:C140"/>
    <mergeCell ref="A114:A116"/>
    <mergeCell ref="B114:B116"/>
    <mergeCell ref="E166:E167"/>
    <mergeCell ref="A160:E162"/>
    <mergeCell ref="B159:E159"/>
    <mergeCell ref="O181:O182"/>
    <mergeCell ref="O177:O180"/>
    <mergeCell ref="F166:F167"/>
    <mergeCell ref="A166:A167"/>
    <mergeCell ref="N108:N110"/>
    <mergeCell ref="E144:E146"/>
    <mergeCell ref="D144:D146"/>
    <mergeCell ref="O117:O119"/>
    <mergeCell ref="A129:A131"/>
    <mergeCell ref="B129:F131"/>
    <mergeCell ref="E183:E184"/>
    <mergeCell ref="F183:F184"/>
    <mergeCell ref="N183:N184"/>
    <mergeCell ref="O189:O190"/>
    <mergeCell ref="C144:C146"/>
    <mergeCell ref="O191:O192"/>
    <mergeCell ref="O193:O194"/>
    <mergeCell ref="E201:E202"/>
    <mergeCell ref="F201:F202"/>
    <mergeCell ref="O111:O113"/>
    <mergeCell ref="N114:N116"/>
    <mergeCell ref="B183:B184"/>
    <mergeCell ref="D120:D122"/>
    <mergeCell ref="C189:C190"/>
    <mergeCell ref="N193:N194"/>
    <mergeCell ref="G166:G167"/>
    <mergeCell ref="N166:N167"/>
    <mergeCell ref="B138:B140"/>
    <mergeCell ref="C193:C194"/>
    <mergeCell ref="D193:D194"/>
    <mergeCell ref="E193:E194"/>
    <mergeCell ref="F193:F194"/>
    <mergeCell ref="A191:A192"/>
    <mergeCell ref="N203:N204"/>
    <mergeCell ref="D201:D202"/>
    <mergeCell ref="O93:O95"/>
    <mergeCell ref="D189:D190"/>
    <mergeCell ref="E189:E190"/>
    <mergeCell ref="F189:F190"/>
    <mergeCell ref="O183:O184"/>
    <mergeCell ref="O185:O186"/>
    <mergeCell ref="O187:O188"/>
    <mergeCell ref="A193:A194"/>
    <mergeCell ref="B193:B194"/>
    <mergeCell ref="P120:P122"/>
    <mergeCell ref="C114:C116"/>
    <mergeCell ref="E114:E116"/>
    <mergeCell ref="B105:B107"/>
    <mergeCell ref="C105:C107"/>
    <mergeCell ref="D105:D107"/>
    <mergeCell ref="E105:E107"/>
    <mergeCell ref="G174:G176"/>
    <mergeCell ref="H166:M166"/>
    <mergeCell ref="E177:E179"/>
    <mergeCell ref="C169:C171"/>
    <mergeCell ref="D169:D171"/>
    <mergeCell ref="E169:E171"/>
    <mergeCell ref="F169:F171"/>
    <mergeCell ref="N169:N172"/>
    <mergeCell ref="G170:G172"/>
    <mergeCell ref="B166:B167"/>
    <mergeCell ref="D138:D140"/>
    <mergeCell ref="E138:E140"/>
    <mergeCell ref="O120:O122"/>
    <mergeCell ref="C120:C122"/>
    <mergeCell ref="C197:C198"/>
    <mergeCell ref="D197:D198"/>
    <mergeCell ref="D199:D200"/>
    <mergeCell ref="E199:E200"/>
    <mergeCell ref="F199:F200"/>
    <mergeCell ref="N199:N200"/>
    <mergeCell ref="A201:A202"/>
    <mergeCell ref="B201:B202"/>
    <mergeCell ref="C201:C202"/>
    <mergeCell ref="A195:A196"/>
    <mergeCell ref="B195:B196"/>
    <mergeCell ref="C195:C196"/>
    <mergeCell ref="D195:D196"/>
    <mergeCell ref="N195:N196"/>
    <mergeCell ref="A197:A198"/>
    <mergeCell ref="B197:B198"/>
    <mergeCell ref="E195:E196"/>
    <mergeCell ref="F195:F196"/>
    <mergeCell ref="P431:P433"/>
    <mergeCell ref="O447:O448"/>
    <mergeCell ref="O443:O445"/>
    <mergeCell ref="B743:E743"/>
    <mergeCell ref="E197:E198"/>
    <mergeCell ref="F197:F198"/>
    <mergeCell ref="N197:N198"/>
    <mergeCell ref="A205:A206"/>
    <mergeCell ref="B205:B206"/>
    <mergeCell ref="C205:C206"/>
    <mergeCell ref="D205:D206"/>
    <mergeCell ref="E205:E206"/>
    <mergeCell ref="F205:F206"/>
    <mergeCell ref="N205:N206"/>
    <mergeCell ref="A207:A208"/>
    <mergeCell ref="B207:B208"/>
    <mergeCell ref="C207:C208"/>
    <mergeCell ref="D207:D208"/>
    <mergeCell ref="E207:E208"/>
    <mergeCell ref="F207:F208"/>
    <mergeCell ref="N207:N208"/>
    <mergeCell ref="A199:A200"/>
    <mergeCell ref="A213:A215"/>
    <mergeCell ref="A209:F209"/>
    <mergeCell ref="D354:D356"/>
    <mergeCell ref="N342:N344"/>
    <mergeCell ref="A212:D212"/>
    <mergeCell ref="A210:D211"/>
    <mergeCell ref="A253:A255"/>
    <mergeCell ref="N253:N255"/>
    <mergeCell ref="O241:O243"/>
    <mergeCell ref="B203:B204"/>
    <mergeCell ref="A1:O1"/>
    <mergeCell ref="A2:O2"/>
    <mergeCell ref="A163:O163"/>
    <mergeCell ref="A299:O299"/>
    <mergeCell ref="A300:O300"/>
    <mergeCell ref="A222:O222"/>
    <mergeCell ref="O223:O224"/>
    <mergeCell ref="B141:F143"/>
    <mergeCell ref="B144:B146"/>
    <mergeCell ref="A165:O165"/>
    <mergeCell ref="B213:F215"/>
    <mergeCell ref="N213:N215"/>
    <mergeCell ref="A216:O216"/>
    <mergeCell ref="A217:O217"/>
    <mergeCell ref="A218:O218"/>
    <mergeCell ref="A219:O219"/>
    <mergeCell ref="A135:A137"/>
    <mergeCell ref="A141:A143"/>
    <mergeCell ref="A144:A146"/>
    <mergeCell ref="O195:O196"/>
    <mergeCell ref="O197:O198"/>
    <mergeCell ref="O199:O200"/>
    <mergeCell ref="O201:O202"/>
    <mergeCell ref="O203:O204"/>
    <mergeCell ref="O205:O206"/>
    <mergeCell ref="O207:O208"/>
    <mergeCell ref="O226:O228"/>
    <mergeCell ref="O256:O258"/>
    <mergeCell ref="B199:B200"/>
    <mergeCell ref="C199:C200"/>
    <mergeCell ref="N201:N202"/>
    <mergeCell ref="A203:A204"/>
    <mergeCell ref="D191:D192"/>
    <mergeCell ref="E191:E192"/>
    <mergeCell ref="F191:F192"/>
    <mergeCell ref="N191:N192"/>
    <mergeCell ref="E203:E204"/>
    <mergeCell ref="F203:F204"/>
    <mergeCell ref="A984:G984"/>
    <mergeCell ref="E332:E334"/>
    <mergeCell ref="N332:N334"/>
    <mergeCell ref="A323:O323"/>
    <mergeCell ref="A302:O302"/>
    <mergeCell ref="A304:O304"/>
    <mergeCell ref="A303:O303"/>
    <mergeCell ref="O407:O409"/>
    <mergeCell ref="O410:O412"/>
    <mergeCell ref="O419:O421"/>
    <mergeCell ref="O315:O316"/>
    <mergeCell ref="O339:O341"/>
    <mergeCell ref="O351:O353"/>
    <mergeCell ref="O342:O344"/>
    <mergeCell ref="O369:O371"/>
    <mergeCell ref="O357:O359"/>
    <mergeCell ref="A338:O338"/>
    <mergeCell ref="A971:A973"/>
    <mergeCell ref="B971:E973"/>
    <mergeCell ref="B968:E970"/>
    <mergeCell ref="A968:A970"/>
    <mergeCell ref="A325:O325"/>
    <mergeCell ref="O329:O331"/>
    <mergeCell ref="O422:O424"/>
    <mergeCell ref="C203:C204"/>
    <mergeCell ref="D203:D204"/>
  </mergeCells>
  <pageMargins left="0.70866141732283472" right="0.70866141732283472" top="0.74803149606299213" bottom="0.74803149606299213" header="0.31496062992125984" footer="0.31496062992125984"/>
  <pageSetup paperSize="9" scale="56" fitToHeight="0" orientation="landscape" r:id="rId6"/>
  <rowBreaks count="31" manualBreakCount="31">
    <brk id="14" max="14" man="1"/>
    <brk id="35" max="14" man="1"/>
    <brk id="53" max="14" man="1"/>
    <brk id="71" max="14" man="1"/>
    <brk id="86" max="14" man="1"/>
    <brk id="107" max="14" man="1"/>
    <brk id="128" max="14" man="1"/>
    <brk id="151" max="14" man="1"/>
    <brk id="160" max="14" man="1"/>
    <brk id="209" max="14" man="1"/>
    <brk id="280" max="14" man="1"/>
    <brk id="298" max="14" man="1"/>
    <brk id="316" max="14" man="1"/>
    <brk id="347" max="14" man="1"/>
    <brk id="378" max="14" man="1"/>
    <brk id="400" max="14" man="1"/>
    <brk id="448" max="14" man="1"/>
    <brk id="517" max="14" man="1"/>
    <brk id="532" max="14" man="1"/>
    <brk id="634" max="14" man="1"/>
    <brk id="685" max="14" man="1"/>
    <brk id="722" max="14" man="1"/>
    <brk id="743" max="14" man="1"/>
    <brk id="773" max="14" man="1"/>
    <brk id="800" max="14" man="1"/>
    <brk id="813" max="14" man="1"/>
    <brk id="840" max="14" man="1"/>
    <brk id="861" max="14" man="1"/>
    <brk id="895" max="14" man="1"/>
    <brk id="943" max="14" man="1"/>
    <brk id="976" max="14" man="1"/>
  </rowBreaks>
  <legacyDrawing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S1137"/>
  <sheetViews>
    <sheetView view="pageBreakPreview" topLeftCell="A321" zoomScale="60" zoomScaleNormal="100" workbookViewId="0">
      <selection activeCell="B393" sqref="B393"/>
    </sheetView>
  </sheetViews>
  <sheetFormatPr defaultRowHeight="14.4" x14ac:dyDescent="0.3"/>
  <cols>
    <col min="1" max="1" width="10" customWidth="1"/>
    <col min="2" max="2" width="45" style="726" customWidth="1"/>
    <col min="3" max="5" width="9.109375" hidden="1" customWidth="1"/>
    <col min="6" max="6" width="16.33203125" style="744" customWidth="1"/>
    <col min="7" max="7" width="16.5546875" style="236" customWidth="1"/>
    <col min="8" max="8" width="14.33203125" customWidth="1"/>
    <col min="9" max="9" width="16.44140625" customWidth="1"/>
    <col min="10" max="10" width="12.44140625" customWidth="1"/>
    <col min="11" max="16" width="9.33203125" bestFit="1" customWidth="1"/>
    <col min="17" max="17" width="11.6640625" customWidth="1"/>
    <col min="18" max="19" width="9.33203125" bestFit="1" customWidth="1"/>
  </cols>
  <sheetData>
    <row r="6" spans="1:19" x14ac:dyDescent="0.3">
      <c r="A6" s="2518" t="str">
        <f>'А П 3'!A457:E457</f>
        <v>ВГ КАПРЕМОНТ</v>
      </c>
      <c r="B6" s="2518"/>
      <c r="C6" s="725">
        <f>'А П 3'!C457:G457</f>
        <v>0</v>
      </c>
      <c r="D6" s="725">
        <f>'А П 3'!D457:H457</f>
        <v>0</v>
      </c>
      <c r="E6" s="725">
        <f>'А П 3'!E457:I457</f>
        <v>0</v>
      </c>
      <c r="F6" s="741"/>
      <c r="G6" s="735"/>
      <c r="H6" s="725"/>
      <c r="I6" s="725"/>
      <c r="J6" s="725"/>
      <c r="K6" s="725"/>
      <c r="L6" s="725"/>
      <c r="M6" s="725"/>
      <c r="N6" s="725"/>
      <c r="O6" s="725"/>
      <c r="P6" s="725"/>
      <c r="Q6" s="725"/>
      <c r="R6" s="725"/>
      <c r="S6" s="725"/>
    </row>
    <row r="7" spans="1:19" ht="42.75" customHeight="1" x14ac:dyDescent="0.3">
      <c r="A7" s="2519" t="str">
        <f>'А П 3'!A458:E458</f>
        <v xml:space="preserve">3.1 Предоставление субсидий из бюджетаМосковской области бюджетам муниципальных образований Московской области на проведение первоочередных мероприятий по восстановлению  объектов социальной и инженерной инфраструктуры военных городков на территории Московской области, переданных из федеральной собственности </v>
      </c>
      <c r="B7" s="2519"/>
      <c r="C7" s="2519"/>
      <c r="D7" s="2519"/>
      <c r="E7" s="2519"/>
      <c r="F7" s="2519"/>
      <c r="G7" s="2519"/>
      <c r="H7" s="2519"/>
      <c r="I7" s="2519"/>
      <c r="J7" s="2519"/>
      <c r="K7" s="2519"/>
      <c r="L7" s="2519"/>
      <c r="M7" s="726"/>
      <c r="N7" s="726"/>
      <c r="O7" s="726"/>
      <c r="P7" s="726"/>
      <c r="Q7" s="726"/>
      <c r="R7" s="726"/>
      <c r="S7" s="726"/>
    </row>
    <row r="8" spans="1:19" s="729" customFormat="1" x14ac:dyDescent="0.3">
      <c r="A8" s="727" t="str">
        <f>'А П 3'!A459:E459</f>
        <v>ВГ КАПРЕМОНТ - итого все ГРБС</v>
      </c>
      <c r="B8" s="728"/>
      <c r="C8" s="727">
        <f>'А П 3'!C459:G459</f>
        <v>0</v>
      </c>
      <c r="D8" s="727">
        <f>'А П 3'!D459:H459</f>
        <v>0</v>
      </c>
      <c r="E8" s="727">
        <f>'А П 3'!E459:I459</f>
        <v>0</v>
      </c>
      <c r="F8" s="787"/>
      <c r="G8" s="788"/>
      <c r="H8" s="727" t="str">
        <f>'А П 3'!H459:L459</f>
        <v>2018</v>
      </c>
      <c r="I8" s="727" t="str">
        <f>'А П 3'!I459:M459</f>
        <v>2019</v>
      </c>
      <c r="J8" s="727" t="str">
        <f>'А П 3'!J459:N459</f>
        <v>2020</v>
      </c>
      <c r="K8" s="727" t="str">
        <f>'А П 3'!K459:O459</f>
        <v>2021</v>
      </c>
      <c r="L8" s="727" t="str">
        <f>'А П 3'!L459:P459</f>
        <v>2022</v>
      </c>
      <c r="M8" s="727">
        <f>'А П 3'!M459:Q459</f>
        <v>0</v>
      </c>
      <c r="N8" s="727">
        <f>'А П 3'!N459:R459</f>
        <v>0</v>
      </c>
      <c r="O8" s="727">
        <f>'А П 3'!O459:S459</f>
        <v>0</v>
      </c>
      <c r="P8" s="727">
        <f>'А П 3'!P459:T459</f>
        <v>0</v>
      </c>
      <c r="Q8" s="727">
        <f>'А П 3'!Q459:U459</f>
        <v>0</v>
      </c>
      <c r="R8" s="727">
        <f>'А П 3'!R459:V459</f>
        <v>0</v>
      </c>
      <c r="S8" s="727">
        <f>'А П 3'!S459:W459</f>
        <v>0</v>
      </c>
    </row>
    <row r="9" spans="1:19" x14ac:dyDescent="0.3">
      <c r="A9" s="725">
        <f>'А П 3'!A460:E460</f>
        <v>0</v>
      </c>
      <c r="B9" s="726">
        <f>'А П 3'!B460:F460</f>
        <v>0</v>
      </c>
      <c r="C9" s="725">
        <f>'А П 3'!C460:G460</f>
        <v>0</v>
      </c>
      <c r="D9" s="725">
        <f>'А П 3'!D460:H460</f>
        <v>0</v>
      </c>
      <c r="E9" s="725">
        <f>'А П 3'!E460:I460</f>
        <v>0</v>
      </c>
      <c r="F9" s="741" t="str">
        <f>'А П 3'!F460:J460</f>
        <v>итого</v>
      </c>
      <c r="G9" s="737">
        <f>'А П 3'!G460:K460</f>
        <v>3709799.08</v>
      </c>
      <c r="H9" s="734">
        <f>'А П 3'!H460:L460</f>
        <v>2019929.68</v>
      </c>
      <c r="I9" s="734">
        <f>'А П 3'!I460:M460</f>
        <v>1164064.83</v>
      </c>
      <c r="J9" s="734">
        <f>'А П 3'!J460:N460</f>
        <v>525804.56999999995</v>
      </c>
      <c r="K9" s="734">
        <f>'А П 3'!K460:O460</f>
        <v>0</v>
      </c>
      <c r="L9" s="734">
        <f>'А П 3'!L460:P460</f>
        <v>0</v>
      </c>
      <c r="M9" s="734">
        <f>'А П 3'!M460:Q460</f>
        <v>0</v>
      </c>
      <c r="N9" s="734">
        <f>'А П 3'!N460:R460</f>
        <v>0</v>
      </c>
      <c r="O9" s="734">
        <f>'А П 3'!O460:S460</f>
        <v>0</v>
      </c>
      <c r="P9" s="734">
        <f>'А П 3'!P460:T460</f>
        <v>0</v>
      </c>
      <c r="Q9" s="734">
        <f>'А П 3'!Q460:U460</f>
        <v>0</v>
      </c>
      <c r="R9" s="734">
        <f>'А П 3'!R460:V460</f>
        <v>0</v>
      </c>
      <c r="S9" s="734">
        <f>'А П 3'!S460:W460</f>
        <v>0</v>
      </c>
    </row>
    <row r="10" spans="1:19" ht="409.6" x14ac:dyDescent="0.3">
      <c r="A10" s="725">
        <f>'А П 3'!A461:E461</f>
        <v>0</v>
      </c>
      <c r="B10" s="726">
        <f>'А П 3'!B461:F461</f>
        <v>0</v>
      </c>
      <c r="C10" s="725">
        <f>'А П 3'!C461:G461</f>
        <v>0</v>
      </c>
      <c r="D10" s="725">
        <f>'А П 3'!D461:H461</f>
        <v>0</v>
      </c>
      <c r="E10" s="725">
        <f>'А П 3'!E461:I461</f>
        <v>0</v>
      </c>
      <c r="F10" s="741" t="str">
        <f>'А П 3'!F461:J461</f>
        <v>Средства бюджета Московской области</v>
      </c>
      <c r="G10" s="737">
        <f>'А П 3'!G461:K461</f>
        <v>3441126.95</v>
      </c>
      <c r="H10" s="734">
        <f>'А П 3'!H461:L461</f>
        <v>1871638.95</v>
      </c>
      <c r="I10" s="734">
        <f>'А П 3'!I461:M461</f>
        <v>1085303</v>
      </c>
      <c r="J10" s="734">
        <f>'А П 3'!J461:N461</f>
        <v>484185</v>
      </c>
      <c r="K10" s="734">
        <f>'А П 3'!K461:O461</f>
        <v>0</v>
      </c>
      <c r="L10" s="734">
        <f>'А П 3'!L461:P461</f>
        <v>0</v>
      </c>
      <c r="M10" s="734">
        <f>'А П 3'!M461:Q461</f>
        <v>0</v>
      </c>
      <c r="N10" s="734">
        <f>'А П 3'!N461:R461</f>
        <v>0</v>
      </c>
      <c r="O10" s="734">
        <f>'А П 3'!O461:S461</f>
        <v>0</v>
      </c>
      <c r="P10" s="734" t="str">
        <f>'А П 3'!P461:T461</f>
        <v>ИТОГО:
2018:
55 (Минжкх) + 5 (культура) + 9 (образование) + 14 (энергетика) + 3 (здрав) = 86 !!!
2019 :
6 (Минжкх) + 6 (Культура) + 3 (образование) + 1 (здрав) = 16 !!!
2020 :
2 (Минжкх) + 4 Минкультуры = 6 !!!</v>
      </c>
      <c r="Q10" s="734">
        <f>'А П 3'!Q461:U461</f>
        <v>0</v>
      </c>
      <c r="R10" s="734">
        <f>'А П 3'!R461:V461</f>
        <v>0</v>
      </c>
      <c r="S10" s="734">
        <f>'А П 3'!S461:W461</f>
        <v>0</v>
      </c>
    </row>
    <row r="11" spans="1:19" ht="86.4" x14ac:dyDescent="0.3">
      <c r="A11" s="725">
        <f>'А П 3'!A462:E462</f>
        <v>0</v>
      </c>
      <c r="B11" s="726">
        <f>'А П 3'!B462:F462</f>
        <v>0</v>
      </c>
      <c r="C11" s="725">
        <f>'А П 3'!C462:G462</f>
        <v>0</v>
      </c>
      <c r="D11" s="725">
        <f>'А П 3'!D462:H462</f>
        <v>0</v>
      </c>
      <c r="E11" s="725">
        <f>'А П 3'!E462:I462</f>
        <v>0</v>
      </c>
      <c r="F11" s="741" t="str">
        <f>'А П 3'!F462:J462</f>
        <v>Средства бюджетов муниципальных образований Московской области</v>
      </c>
      <c r="G11" s="737">
        <f>'А П 3'!G462:K462</f>
        <v>268672.13</v>
      </c>
      <c r="H11" s="734">
        <f>'А П 3'!H462:L462</f>
        <v>148290.73000000001</v>
      </c>
      <c r="I11" s="734">
        <f>'А П 3'!I462:M462</f>
        <v>78761.83</v>
      </c>
      <c r="J11" s="734">
        <f>'А П 3'!J462:N462</f>
        <v>41619.57</v>
      </c>
      <c r="K11" s="734">
        <f>'А П 3'!K462:O462</f>
        <v>0</v>
      </c>
      <c r="L11" s="734">
        <f>'А П 3'!L462:P462</f>
        <v>0</v>
      </c>
      <c r="M11" s="734">
        <f>'А П 3'!M462:Q462</f>
        <v>0</v>
      </c>
      <c r="N11" s="734">
        <f>'А П 3'!N462:R462</f>
        <v>0</v>
      </c>
      <c r="O11" s="734">
        <f>'А П 3'!O462:S462</f>
        <v>0</v>
      </c>
      <c r="P11" s="734">
        <f>'А П 3'!P462:T462</f>
        <v>0</v>
      </c>
      <c r="Q11" s="734">
        <f>'А П 3'!Q462:U462</f>
        <v>0</v>
      </c>
      <c r="R11" s="734">
        <f>'А П 3'!R462:V462</f>
        <v>0</v>
      </c>
      <c r="S11" s="734">
        <f>'А П 3'!S462:W462</f>
        <v>0</v>
      </c>
    </row>
    <row r="12" spans="1:19" x14ac:dyDescent="0.3">
      <c r="A12" s="2519" t="str">
        <f>'А П 3'!A463:E463</f>
        <v xml:space="preserve">Государственные заказчики: Министерство жилищно-коммунального хозяйства Московской области, Министерство культуры Московской области, Министерство образования Московской области, Министерство энергетики Московской области
</v>
      </c>
      <c r="B12" s="2519"/>
      <c r="C12" s="2519"/>
      <c r="D12" s="2519"/>
      <c r="E12" s="2519"/>
      <c r="F12" s="2519"/>
      <c r="G12" s="2519"/>
      <c r="H12" s="2519"/>
      <c r="I12" s="2519"/>
      <c r="J12" s="2519"/>
      <c r="K12" s="2519"/>
      <c r="L12" s="2519"/>
      <c r="M12" s="2519"/>
      <c r="N12" s="2519"/>
      <c r="O12" s="2519"/>
      <c r="P12" s="2519"/>
      <c r="Q12" s="2519"/>
      <c r="R12" s="2519"/>
      <c r="S12" s="2519"/>
    </row>
    <row r="13" spans="1:19" x14ac:dyDescent="0.3">
      <c r="A13" s="2520" t="str">
        <f>'А П 3'!A464:E464</f>
        <v>Ответственные за выполнение мероприятия: Министерство жилищно-коммунального хозяйства Московской области, Министерство образования Московской области, Министерство энергетики Московской области, Министерство культуры Московской области,  органы местного самоуправления муниципальных образований Московской области, хозяйствующие субъекты</v>
      </c>
      <c r="B13" s="2520"/>
      <c r="C13" s="2520"/>
      <c r="D13" s="2520"/>
      <c r="E13" s="2520"/>
      <c r="F13" s="2520"/>
      <c r="G13" s="2520"/>
      <c r="H13" s="2520"/>
      <c r="I13" s="2520"/>
      <c r="J13" s="2520"/>
      <c r="K13" s="2520"/>
      <c r="L13" s="2520"/>
      <c r="M13" s="2520"/>
      <c r="N13" s="2520"/>
      <c r="O13" s="2520"/>
      <c r="P13" s="2520"/>
      <c r="Q13" s="2520"/>
      <c r="R13" s="2520"/>
      <c r="S13" s="2520"/>
    </row>
    <row r="14" spans="1:19" ht="28.8" x14ac:dyDescent="0.3">
      <c r="A14" s="725" t="str">
        <f>'А П 3'!A465:E465</f>
        <v xml:space="preserve">№  муниципального образования (согласно перечню мероприятий)
</v>
      </c>
      <c r="B14" s="726" t="str">
        <f>'А П 3'!B465:F465</f>
        <v>Наименование муниципального образования Московской области – получателя субсидии</v>
      </c>
      <c r="C14" s="725">
        <f>'А П 3'!C465:G465</f>
        <v>0</v>
      </c>
      <c r="D14" s="725">
        <f>'А П 3'!D465:H465</f>
        <v>0</v>
      </c>
      <c r="E14" s="725">
        <f>'А П 3'!E465:I465</f>
        <v>0</v>
      </c>
      <c r="F14" s="741" t="str">
        <f>'А П 3'!F465:J465</f>
        <v>Источник финансирования</v>
      </c>
      <c r="G14" s="2517" t="str">
        <f>'А П 3'!G465:K465</f>
        <v>Размер субсидии из бюджета Московской области бюджетам муниципальных образований, тыс.руб.</v>
      </c>
      <c r="H14" s="2517"/>
      <c r="I14" s="2517"/>
      <c r="J14" s="2517"/>
      <c r="K14" s="2517"/>
      <c r="L14" s="2517"/>
      <c r="M14" s="725"/>
      <c r="N14" s="725"/>
      <c r="O14" s="725"/>
      <c r="P14" s="725"/>
      <c r="Q14" s="725"/>
      <c r="R14" s="725"/>
      <c r="S14" s="725"/>
    </row>
    <row r="15" spans="1:19" s="729" customFormat="1" ht="26.25" customHeight="1" x14ac:dyDescent="0.3">
      <c r="A15" s="730"/>
      <c r="B15" s="731"/>
      <c r="C15" s="730">
        <f>'А П 3'!C466:G466</f>
        <v>0</v>
      </c>
      <c r="D15" s="730">
        <f>'А П 3'!D466:H466</f>
        <v>0</v>
      </c>
      <c r="E15" s="730">
        <f>'А П 3'!E466:I466</f>
        <v>0</v>
      </c>
      <c r="F15" s="742"/>
      <c r="G15" s="736" t="str">
        <f>'А П 3'!G466:K466</f>
        <v>Всего</v>
      </c>
      <c r="H15" s="730" t="str">
        <f>'А П 3'!H466:L466</f>
        <v>2018 год</v>
      </c>
      <c r="I15" s="730" t="str">
        <f>'А П 3'!I466:M466</f>
        <v>2019 год</v>
      </c>
      <c r="J15" s="730" t="str">
        <f>'А П 3'!J466:N466</f>
        <v>2020 год</v>
      </c>
      <c r="K15" s="730" t="str">
        <f>'А П 3'!K466:O466</f>
        <v>2021 год</v>
      </c>
      <c r="L15" s="730" t="str">
        <f>'А П 3'!L466:P466</f>
        <v>2022 год</v>
      </c>
      <c r="M15" s="730"/>
      <c r="N15" s="730"/>
      <c r="O15" s="730"/>
      <c r="P15" s="730"/>
      <c r="Q15" s="730"/>
      <c r="R15" s="730"/>
      <c r="S15" s="730"/>
    </row>
    <row r="16" spans="1:19" ht="26.25" customHeight="1" x14ac:dyDescent="0.3">
      <c r="A16" s="789" t="str">
        <f>'А П 3'!A467:E467</f>
        <v>3.1.1.</v>
      </c>
      <c r="B16" s="2514" t="str">
        <f>'А П 3'!B467:F467</f>
        <v>Министерство жилищно-коммунального хозяйства Московской области</v>
      </c>
      <c r="C16" s="789">
        <f>'А П 3'!C467:G467</f>
        <v>0</v>
      </c>
      <c r="D16" s="789">
        <f>'А П 3'!D467:H467</f>
        <v>0</v>
      </c>
      <c r="E16" s="789">
        <f>'А П 3'!E467:I467</f>
        <v>0</v>
      </c>
      <c r="F16" s="790" t="str">
        <f>'А П 3'!F467:J467</f>
        <v>Итого</v>
      </c>
      <c r="G16" s="791">
        <f>'А П 3'!G467:K467</f>
        <v>1958704.9</v>
      </c>
      <c r="H16" s="792">
        <f>'А П 3'!H467:L467</f>
        <v>1036827.55</v>
      </c>
      <c r="I16" s="792">
        <f>'А П 3'!I467:M467</f>
        <v>615298.06999999995</v>
      </c>
      <c r="J16" s="792">
        <f>'А П 3'!J467:N467</f>
        <v>306579.28000000003</v>
      </c>
      <c r="K16" s="792">
        <f>'А П 3'!K467:O467</f>
        <v>0</v>
      </c>
      <c r="L16" s="792">
        <f>'А П 3'!L467:P467</f>
        <v>0</v>
      </c>
      <c r="M16" s="739"/>
      <c r="N16" s="739"/>
      <c r="O16" s="739"/>
      <c r="P16" s="739"/>
      <c r="Q16" s="739"/>
      <c r="R16" s="739"/>
      <c r="S16" s="739"/>
    </row>
    <row r="17" spans="1:19" ht="26.25" customHeight="1" x14ac:dyDescent="0.3">
      <c r="A17" s="789">
        <f>'А П 3'!A468:E468</f>
        <v>0</v>
      </c>
      <c r="B17" s="2515"/>
      <c r="C17" s="789">
        <f>'А П 3'!C468:G468</f>
        <v>0</v>
      </c>
      <c r="D17" s="789">
        <f>'А П 3'!D468:H468</f>
        <v>0</v>
      </c>
      <c r="E17" s="789">
        <f>'А П 3'!E468:I468</f>
        <v>0</v>
      </c>
      <c r="F17" s="790" t="str">
        <f>'А П 3'!F468:J468</f>
        <v>Средства бюджета Московской области</v>
      </c>
      <c r="G17" s="793">
        <f>'А П 3'!G468:K468</f>
        <v>1829357</v>
      </c>
      <c r="H17" s="792">
        <f>'А П 3'!H468:L468</f>
        <v>979114</v>
      </c>
      <c r="I17" s="792">
        <f>'А П 3'!I468:M468</f>
        <v>574322</v>
      </c>
      <c r="J17" s="792">
        <f>'А П 3'!J468:N468</f>
        <v>275921</v>
      </c>
      <c r="K17" s="792">
        <f>'А П 3'!K468:O468</f>
        <v>0</v>
      </c>
      <c r="L17" s="792">
        <f>'А П 3'!L468:P468</f>
        <v>0</v>
      </c>
      <c r="M17" s="739"/>
      <c r="N17" s="739"/>
      <c r="O17" s="739"/>
      <c r="P17" s="739"/>
      <c r="Q17" s="739"/>
      <c r="R17" s="739"/>
      <c r="S17" s="739"/>
    </row>
    <row r="18" spans="1:19" ht="26.25" customHeight="1" x14ac:dyDescent="0.3">
      <c r="A18" s="789">
        <f>'А П 3'!A469:E469</f>
        <v>0</v>
      </c>
      <c r="B18" s="2516"/>
      <c r="C18" s="789">
        <f>'А П 3'!C469:G469</f>
        <v>0</v>
      </c>
      <c r="D18" s="789">
        <f>'А П 3'!D469:H469</f>
        <v>0</v>
      </c>
      <c r="E18" s="789">
        <f>'А П 3'!E469:I469</f>
        <v>0</v>
      </c>
      <c r="F18" s="790" t="str">
        <f>'А П 3'!F469:J469</f>
        <v>Средства бюджетов муниципальных образований Московской области</v>
      </c>
      <c r="G18" s="791">
        <f>'А П 3'!G469:K469</f>
        <v>129347.9</v>
      </c>
      <c r="H18" s="792">
        <f>'А П 3'!H469:L469</f>
        <v>57713.55</v>
      </c>
      <c r="I18" s="792">
        <f>'А П 3'!I469:M469</f>
        <v>40976.07</v>
      </c>
      <c r="J18" s="792">
        <f>'А П 3'!J469:N469</f>
        <v>30658.28</v>
      </c>
      <c r="K18" s="792">
        <f>'А П 3'!K469:O469</f>
        <v>0</v>
      </c>
      <c r="L18" s="792">
        <f>'А П 3'!L469:P469</f>
        <v>0</v>
      </c>
      <c r="M18" s="739"/>
      <c r="N18" s="739"/>
      <c r="O18" s="739"/>
      <c r="P18" s="739"/>
      <c r="Q18" s="739"/>
      <c r="R18" s="739"/>
      <c r="S18" s="739"/>
    </row>
    <row r="19" spans="1:19" s="750" customFormat="1" ht="26.25" customHeight="1" x14ac:dyDescent="0.3">
      <c r="A19" s="745" t="str">
        <f>'А П 3'!A470:E470</f>
        <v>3.1.1.1</v>
      </c>
      <c r="B19" s="746" t="str">
        <f>'А П 3'!B470:F470</f>
        <v>городской окргу Электросталь</v>
      </c>
      <c r="C19" s="745">
        <f>'А П 3'!C470:G470</f>
        <v>0</v>
      </c>
      <c r="D19" s="745">
        <f>'А П 3'!D470:H470</f>
        <v>0</v>
      </c>
      <c r="E19" s="745">
        <f>'А П 3'!E470:I470</f>
        <v>0</v>
      </c>
      <c r="F19" s="747" t="str">
        <f>'А П 3'!F470:J470</f>
        <v>Итого</v>
      </c>
      <c r="G19" s="748">
        <f>'А П 3'!G470:K470</f>
        <v>358861.89</v>
      </c>
      <c r="H19" s="749">
        <f>'А П 3'!H470:L470</f>
        <v>40504.050000000003</v>
      </c>
      <c r="I19" s="749">
        <f>'А П 3'!I470:M470</f>
        <v>318357.84000000003</v>
      </c>
      <c r="J19" s="749">
        <f>'А П 3'!J470:N470</f>
        <v>0</v>
      </c>
      <c r="K19" s="749">
        <f>'А П 3'!K470:O470</f>
        <v>0</v>
      </c>
      <c r="L19" s="749">
        <f>'А П 3'!L470:P470</f>
        <v>0</v>
      </c>
      <c r="M19" s="749"/>
      <c r="N19" s="749"/>
      <c r="O19" s="749"/>
      <c r="P19" s="749"/>
      <c r="Q19" s="749"/>
      <c r="R19" s="749"/>
      <c r="S19" s="749"/>
    </row>
    <row r="20" spans="1:19" ht="57" customHeight="1" x14ac:dyDescent="0.3">
      <c r="A20" s="732"/>
      <c r="B20" s="733"/>
      <c r="C20" s="732">
        <f>'А П 3'!C471:G471</f>
        <v>0</v>
      </c>
      <c r="D20" s="732">
        <f>'А П 3'!D471:H471</f>
        <v>0</v>
      </c>
      <c r="E20" s="732">
        <f>'А П 3'!E471:I471</f>
        <v>0</v>
      </c>
      <c r="F20" s="743" t="str">
        <f>'А П 3'!F471:J471</f>
        <v>Средства бюджета Московской области</v>
      </c>
      <c r="G20" s="738">
        <f>'А П 3'!G471:K471</f>
        <v>340918.6</v>
      </c>
      <c r="H20" s="739">
        <f>'А П 3'!H471:L471</f>
        <v>38478.85</v>
      </c>
      <c r="I20" s="739">
        <f>'А П 3'!I471:M471</f>
        <v>302439.75</v>
      </c>
      <c r="J20" s="739">
        <f>'А П 3'!J471:N471</f>
        <v>0</v>
      </c>
      <c r="K20" s="739">
        <f>'А П 3'!K471:O471</f>
        <v>0</v>
      </c>
      <c r="L20" s="739">
        <f>'А П 3'!L471:P471</f>
        <v>0</v>
      </c>
      <c r="M20" s="739"/>
      <c r="N20" s="739"/>
      <c r="O20" s="739"/>
      <c r="P20" s="739"/>
      <c r="Q20" s="739"/>
      <c r="R20" s="739"/>
      <c r="S20" s="739"/>
    </row>
    <row r="21" spans="1:19" ht="26.25" customHeight="1" x14ac:dyDescent="0.3">
      <c r="A21" s="732"/>
      <c r="B21" s="733"/>
      <c r="C21" s="732">
        <f>'А П 3'!C472:G472</f>
        <v>0</v>
      </c>
      <c r="D21" s="732">
        <f>'А П 3'!D472:H472</f>
        <v>0</v>
      </c>
      <c r="E21" s="732">
        <f>'А П 3'!E472:I472</f>
        <v>0</v>
      </c>
      <c r="F21" s="743" t="str">
        <f>'А П 3'!F472:J472</f>
        <v>Средства бюджетов муниципальных образований Московской области</v>
      </c>
      <c r="G21" s="738">
        <f>'А П 3'!G472:K472</f>
        <v>17943.29</v>
      </c>
      <c r="H21" s="739">
        <f>'А П 3'!H472:L472</f>
        <v>2025.2</v>
      </c>
      <c r="I21" s="739">
        <f>'А П 3'!I472:M472</f>
        <v>15918.09</v>
      </c>
      <c r="J21" s="739">
        <f>'А П 3'!J472:N472</f>
        <v>0</v>
      </c>
      <c r="K21" s="739">
        <f>'А П 3'!K472:O472</f>
        <v>0</v>
      </c>
      <c r="L21" s="739">
        <f>'А П 3'!L472:P472</f>
        <v>0</v>
      </c>
      <c r="M21" s="739"/>
      <c r="N21" s="739"/>
      <c r="O21" s="739"/>
      <c r="P21" s="739"/>
      <c r="Q21" s="739"/>
      <c r="R21" s="739"/>
      <c r="S21" s="739"/>
    </row>
    <row r="22" spans="1:19" ht="26.25" hidden="1" customHeight="1" x14ac:dyDescent="0.3">
      <c r="A22" s="732">
        <f>'А П 3'!A473:E473</f>
        <v>0</v>
      </c>
      <c r="B22" s="733" t="str">
        <f>'А П 3'!B473:F473</f>
        <v>Капитальный ремонт очистных сооружений,  городской округ Электросталь  село Всеволодово, Ногинск-5</v>
      </c>
      <c r="C22" s="732">
        <f>'А П 3'!C473:G473</f>
        <v>0</v>
      </c>
      <c r="D22" s="732">
        <f>'А П 3'!D473:H473</f>
        <v>0</v>
      </c>
      <c r="E22" s="732">
        <f>'А П 3'!E473:I473</f>
        <v>0</v>
      </c>
      <c r="F22" s="743" t="str">
        <f>'А П 3'!F473:J473</f>
        <v>Итого</v>
      </c>
      <c r="G22" s="738">
        <f>'А П 3'!G473:K473</f>
        <v>138336</v>
      </c>
      <c r="H22" s="739">
        <f>'А П 3'!H473:L473</f>
        <v>0</v>
      </c>
      <c r="I22" s="739">
        <f>'А П 3'!I473:M473</f>
        <v>138336</v>
      </c>
      <c r="J22" s="739">
        <f>'А П 3'!J473:N473</f>
        <v>0</v>
      </c>
      <c r="K22" s="739">
        <f>'А П 3'!K473:O473</f>
        <v>0</v>
      </c>
      <c r="L22" s="739">
        <f>'А П 3'!L473:P473</f>
        <v>0</v>
      </c>
      <c r="M22" s="739"/>
      <c r="N22" s="739"/>
      <c r="O22" s="739"/>
      <c r="P22" s="739"/>
      <c r="Q22" s="739"/>
      <c r="R22" s="739"/>
      <c r="S22" s="739"/>
    </row>
    <row r="23" spans="1:19" ht="26.25" hidden="1" customHeight="1" x14ac:dyDescent="0.3">
      <c r="A23" s="732">
        <f>'А П 3'!A474:E474</f>
        <v>0</v>
      </c>
      <c r="B23" s="733">
        <f>'А П 3'!B474:F474</f>
        <v>0</v>
      </c>
      <c r="C23" s="732">
        <f>'А П 3'!C474:G474</f>
        <v>0</v>
      </c>
      <c r="D23" s="732">
        <f>'А П 3'!D474:H474</f>
        <v>0</v>
      </c>
      <c r="E23" s="732">
        <f>'А П 3'!E474:I474</f>
        <v>0</v>
      </c>
      <c r="F23" s="743" t="str">
        <f>'А П 3'!F474:J474</f>
        <v>Средства бюджета Московской области</v>
      </c>
      <c r="G23" s="738">
        <f>'А П 3'!G474:K474</f>
        <v>131419</v>
      </c>
      <c r="H23" s="739">
        <f>'А П 3'!H474:L474</f>
        <v>0</v>
      </c>
      <c r="I23" s="739">
        <f>'А П 3'!I474:M474</f>
        <v>131419</v>
      </c>
      <c r="J23" s="739">
        <f>'А П 3'!J474:N474</f>
        <v>0</v>
      </c>
      <c r="K23" s="739">
        <f>'А П 3'!K474:O474</f>
        <v>0</v>
      </c>
      <c r="L23" s="739">
        <f>'А П 3'!L474:P474</f>
        <v>0</v>
      </c>
      <c r="M23" s="739"/>
      <c r="N23" s="739"/>
      <c r="O23" s="739"/>
      <c r="P23" s="739"/>
      <c r="Q23" s="739"/>
      <c r="R23" s="739"/>
      <c r="S23" s="739"/>
    </row>
    <row r="24" spans="1:19" ht="26.25" hidden="1" customHeight="1" x14ac:dyDescent="0.3">
      <c r="A24" s="732">
        <f>'А П 3'!A475:E475</f>
        <v>0</v>
      </c>
      <c r="B24" s="733">
        <f>'А П 3'!B475:F475</f>
        <v>0</v>
      </c>
      <c r="C24" s="732">
        <f>'А П 3'!C475:G475</f>
        <v>0</v>
      </c>
      <c r="D24" s="732">
        <f>'А П 3'!D475:H475</f>
        <v>0</v>
      </c>
      <c r="E24" s="732">
        <f>'А П 3'!E475:I475</f>
        <v>0</v>
      </c>
      <c r="F24" s="743" t="str">
        <f>'А П 3'!F475:J475</f>
        <v>Средства бюджетов муниципальных образований Московской области</v>
      </c>
      <c r="G24" s="738">
        <f>'А П 3'!G475:K475</f>
        <v>6917</v>
      </c>
      <c r="H24" s="739">
        <f>'А П 3'!H475:L475</f>
        <v>0</v>
      </c>
      <c r="I24" s="739">
        <f>'А П 3'!I475:M475</f>
        <v>6917</v>
      </c>
      <c r="J24" s="739">
        <f>'А П 3'!J475:N475</f>
        <v>0</v>
      </c>
      <c r="K24" s="739">
        <f>'А П 3'!K475:O475</f>
        <v>0</v>
      </c>
      <c r="L24" s="739">
        <f>'А П 3'!L475:P475</f>
        <v>0</v>
      </c>
      <c r="M24" s="739"/>
      <c r="N24" s="739"/>
      <c r="O24" s="739"/>
      <c r="P24" s="739"/>
      <c r="Q24" s="739"/>
      <c r="R24" s="739"/>
      <c r="S24" s="739"/>
    </row>
    <row r="25" spans="1:19" ht="26.25" hidden="1" customHeight="1" x14ac:dyDescent="0.3">
      <c r="A25" s="732">
        <f>'А П 3'!A476:E476</f>
        <v>0</v>
      </c>
      <c r="B25" s="733" t="str">
        <f>'А П 3'!B476:F476</f>
        <v>Капитальный ремонт наружных водопроводных сетей на участке от скважины № 217, № 2, № 1 до емкости, от нсосной до т. ВР1 Ногинск-5   село Всеволодово в/г Ногинск-5 г.о. Электросталь</v>
      </c>
      <c r="C25" s="732">
        <f>'А П 3'!C476:G476</f>
        <v>0</v>
      </c>
      <c r="D25" s="732">
        <f>'А П 3'!D476:H476</f>
        <v>0</v>
      </c>
      <c r="E25" s="732">
        <f>'А П 3'!E476:I476</f>
        <v>0</v>
      </c>
      <c r="F25" s="743" t="str">
        <f>'А П 3'!F476:J476</f>
        <v>Итого</v>
      </c>
      <c r="G25" s="738">
        <f>'А П 3'!G476:K476</f>
        <v>9950.99</v>
      </c>
      <c r="H25" s="739">
        <f>'А П 3'!H476:L476</f>
        <v>9950.99</v>
      </c>
      <c r="I25" s="739">
        <f>'А П 3'!I476:M476</f>
        <v>0</v>
      </c>
      <c r="J25" s="739">
        <f>'А П 3'!J476:N476</f>
        <v>0</v>
      </c>
      <c r="K25" s="739">
        <f>'А П 3'!K476:O476</f>
        <v>0</v>
      </c>
      <c r="L25" s="739">
        <f>'А П 3'!L476:P476</f>
        <v>0</v>
      </c>
      <c r="M25" s="739"/>
      <c r="N25" s="739"/>
      <c r="O25" s="739"/>
      <c r="P25" s="739"/>
      <c r="Q25" s="739"/>
      <c r="R25" s="739"/>
      <c r="S25" s="739"/>
    </row>
    <row r="26" spans="1:19" ht="26.25" hidden="1" customHeight="1" x14ac:dyDescent="0.3">
      <c r="A26" s="732">
        <f>'А П 3'!A477:E477</f>
        <v>0</v>
      </c>
      <c r="B26" s="733">
        <f>'А П 3'!B477:F477</f>
        <v>0</v>
      </c>
      <c r="C26" s="732">
        <f>'А П 3'!C477:G477</f>
        <v>0</v>
      </c>
      <c r="D26" s="732">
        <f>'А П 3'!D477:H477</f>
        <v>0</v>
      </c>
      <c r="E26" s="732">
        <f>'А П 3'!E477:I477</f>
        <v>0</v>
      </c>
      <c r="F26" s="743" t="str">
        <f>'А П 3'!F477:J477</f>
        <v>Средства бюджета Московской области</v>
      </c>
      <c r="G26" s="738">
        <f>'А П 3'!G477:K477</f>
        <v>9453.44</v>
      </c>
      <c r="H26" s="739">
        <f>'А П 3'!H477:L477</f>
        <v>9453.44</v>
      </c>
      <c r="I26" s="739">
        <f>'А П 3'!I477:M477</f>
        <v>0</v>
      </c>
      <c r="J26" s="739">
        <f>'А П 3'!J477:N477</f>
        <v>0</v>
      </c>
      <c r="K26" s="739">
        <f>'А П 3'!K477:O477</f>
        <v>0</v>
      </c>
      <c r="L26" s="739">
        <f>'А П 3'!L477:P477</f>
        <v>0</v>
      </c>
      <c r="M26" s="739"/>
      <c r="N26" s="739"/>
      <c r="O26" s="739"/>
      <c r="P26" s="739"/>
      <c r="Q26" s="739"/>
      <c r="R26" s="739"/>
      <c r="S26" s="739"/>
    </row>
    <row r="27" spans="1:19" ht="26.25" hidden="1" customHeight="1" x14ac:dyDescent="0.3">
      <c r="A27" s="732">
        <f>'А П 3'!A478:E478</f>
        <v>0</v>
      </c>
      <c r="B27" s="733">
        <f>'А П 3'!B478:F478</f>
        <v>0</v>
      </c>
      <c r="C27" s="732">
        <f>'А П 3'!C478:G478</f>
        <v>0</v>
      </c>
      <c r="D27" s="732">
        <f>'А П 3'!D478:H478</f>
        <v>0</v>
      </c>
      <c r="E27" s="732">
        <f>'А П 3'!E478:I478</f>
        <v>0</v>
      </c>
      <c r="F27" s="743" t="str">
        <f>'А П 3'!F478:J478</f>
        <v>Средства бюджетов муниципальных образований Московской области</v>
      </c>
      <c r="G27" s="738">
        <f>'А П 3'!G478:K478</f>
        <v>497.55</v>
      </c>
      <c r="H27" s="739">
        <f>'А П 3'!H478:L478</f>
        <v>497.55</v>
      </c>
      <c r="I27" s="739">
        <f>'А П 3'!I478:M478</f>
        <v>0</v>
      </c>
      <c r="J27" s="739">
        <f>'А П 3'!J478:N478</f>
        <v>0</v>
      </c>
      <c r="K27" s="739">
        <f>'А П 3'!K478:O478</f>
        <v>0</v>
      </c>
      <c r="L27" s="739">
        <f>'А П 3'!L478:P478</f>
        <v>0</v>
      </c>
      <c r="M27" s="739"/>
      <c r="N27" s="739"/>
      <c r="O27" s="739"/>
      <c r="P27" s="739"/>
      <c r="Q27" s="739"/>
      <c r="R27" s="739"/>
      <c r="S27" s="739"/>
    </row>
    <row r="28" spans="1:19" ht="26.25" hidden="1" customHeight="1" x14ac:dyDescent="0.3">
      <c r="A28" s="732">
        <f>'А П 3'!A479:E479</f>
        <v>0</v>
      </c>
      <c r="B28" s="733" t="str">
        <f>'А П 3'!B479:F479</f>
        <v xml:space="preserve">Капитальный ремонт котельной с. Всеволодово </v>
      </c>
      <c r="C28" s="732">
        <f>'А П 3'!C479:G479</f>
        <v>0</v>
      </c>
      <c r="D28" s="732">
        <f>'А П 3'!D479:H479</f>
        <v>0</v>
      </c>
      <c r="E28" s="732">
        <f>'А П 3'!E479:I479</f>
        <v>0</v>
      </c>
      <c r="F28" s="743" t="str">
        <f>'А П 3'!F479:J479</f>
        <v>Итого</v>
      </c>
      <c r="G28" s="738">
        <f>'А П 3'!G479:K479</f>
        <v>30553.06</v>
      </c>
      <c r="H28" s="739">
        <f>'А П 3'!H479:L479</f>
        <v>30553.06</v>
      </c>
      <c r="I28" s="739">
        <f>'А П 3'!I479:M479</f>
        <v>0</v>
      </c>
      <c r="J28" s="739">
        <f>'А П 3'!J479:N479</f>
        <v>0</v>
      </c>
      <c r="K28" s="739">
        <f>'А П 3'!K479:O479</f>
        <v>0</v>
      </c>
      <c r="L28" s="739">
        <f>'А П 3'!L479:P479</f>
        <v>0</v>
      </c>
      <c r="M28" s="739"/>
      <c r="N28" s="739"/>
      <c r="O28" s="739"/>
      <c r="P28" s="739"/>
      <c r="Q28" s="739"/>
      <c r="R28" s="739"/>
      <c r="S28" s="739"/>
    </row>
    <row r="29" spans="1:19" ht="26.25" hidden="1" customHeight="1" x14ac:dyDescent="0.3">
      <c r="A29" s="732">
        <f>'А П 3'!A480:E480</f>
        <v>0</v>
      </c>
      <c r="B29" s="733">
        <f>'А П 3'!B480:F480</f>
        <v>0</v>
      </c>
      <c r="C29" s="732">
        <f>'А П 3'!C480:G480</f>
        <v>0</v>
      </c>
      <c r="D29" s="732">
        <f>'А П 3'!D480:H480</f>
        <v>0</v>
      </c>
      <c r="E29" s="732">
        <f>'А П 3'!E480:I480</f>
        <v>0</v>
      </c>
      <c r="F29" s="743" t="str">
        <f>'А П 3'!F480:J480</f>
        <v>Средства бюджета Московской области</v>
      </c>
      <c r="G29" s="738">
        <f>'А П 3'!G480:K480</f>
        <v>29025.41</v>
      </c>
      <c r="H29" s="739">
        <f>'А П 3'!H480:L480</f>
        <v>29025.41</v>
      </c>
      <c r="I29" s="739">
        <f>'А П 3'!I480:M480</f>
        <v>0</v>
      </c>
      <c r="J29" s="739">
        <f>'А П 3'!J480:N480</f>
        <v>0</v>
      </c>
      <c r="K29" s="739">
        <f>'А П 3'!K480:O480</f>
        <v>0</v>
      </c>
      <c r="L29" s="739">
        <f>'А П 3'!L480:P480</f>
        <v>0</v>
      </c>
      <c r="M29" s="739"/>
      <c r="N29" s="739"/>
      <c r="O29" s="739"/>
      <c r="P29" s="739"/>
      <c r="Q29" s="739"/>
      <c r="R29" s="739"/>
      <c r="S29" s="739"/>
    </row>
    <row r="30" spans="1:19" ht="26.25" hidden="1" customHeight="1" x14ac:dyDescent="0.3">
      <c r="A30" s="732">
        <f>'А П 3'!A481:E481</f>
        <v>0</v>
      </c>
      <c r="B30" s="733">
        <f>'А П 3'!B481:F481</f>
        <v>0</v>
      </c>
      <c r="C30" s="732">
        <f>'А П 3'!C481:G481</f>
        <v>0</v>
      </c>
      <c r="D30" s="732">
        <f>'А П 3'!D481:H481</f>
        <v>0</v>
      </c>
      <c r="E30" s="732">
        <f>'А П 3'!E481:I481</f>
        <v>0</v>
      </c>
      <c r="F30" s="743" t="str">
        <f>'А П 3'!F481:J481</f>
        <v>Средства бюджетов муниципальных образований Московской области</v>
      </c>
      <c r="G30" s="738">
        <f>'А П 3'!G481:K481</f>
        <v>1527.65</v>
      </c>
      <c r="H30" s="739">
        <f>'А П 3'!H481:L481</f>
        <v>1527.65</v>
      </c>
      <c r="I30" s="739">
        <f>'А П 3'!I481:M481</f>
        <v>0</v>
      </c>
      <c r="J30" s="739">
        <f>'А П 3'!J481:N481</f>
        <v>0</v>
      </c>
      <c r="K30" s="739">
        <f>'А П 3'!K481:O481</f>
        <v>0</v>
      </c>
      <c r="L30" s="739">
        <f>'А П 3'!L481:P481</f>
        <v>0</v>
      </c>
      <c r="M30" s="739"/>
      <c r="N30" s="739"/>
      <c r="O30" s="739"/>
      <c r="P30" s="739"/>
      <c r="Q30" s="739"/>
      <c r="R30" s="739"/>
      <c r="S30" s="739"/>
    </row>
    <row r="31" spans="1:19" ht="26.25" hidden="1" customHeight="1" x14ac:dyDescent="0.3">
      <c r="A31" s="732">
        <f>'А П 3'!A482:E482</f>
        <v>0</v>
      </c>
      <c r="B31" s="733" t="str">
        <f>'А П 3'!B482:F482</f>
        <v>Капитальный ремонт наружных сетей канализации с. Всеволодово</v>
      </c>
      <c r="C31" s="732">
        <f>'А П 3'!C482:G482</f>
        <v>0</v>
      </c>
      <c r="D31" s="732">
        <f>'А П 3'!D482:H482</f>
        <v>0</v>
      </c>
      <c r="E31" s="732">
        <f>'А П 3'!E482:I482</f>
        <v>0</v>
      </c>
      <c r="F31" s="743" t="str">
        <f>'А П 3'!F482:J482</f>
        <v>Итого</v>
      </c>
      <c r="G31" s="738">
        <f>'А П 3'!G482:K482</f>
        <v>89706.19</v>
      </c>
      <c r="H31" s="739">
        <f>'А П 3'!H482:L482</f>
        <v>0</v>
      </c>
      <c r="I31" s="739">
        <f>'А П 3'!I482:M482</f>
        <v>89706.19</v>
      </c>
      <c r="J31" s="739">
        <f>'А П 3'!J482:N482</f>
        <v>0</v>
      </c>
      <c r="K31" s="739">
        <f>'А П 3'!K482:O482</f>
        <v>0</v>
      </c>
      <c r="L31" s="739">
        <f>'А П 3'!L482:P482</f>
        <v>0</v>
      </c>
      <c r="M31" s="739"/>
      <c r="N31" s="739"/>
      <c r="O31" s="739"/>
      <c r="P31" s="739"/>
      <c r="Q31" s="739"/>
      <c r="R31" s="739"/>
      <c r="S31" s="739"/>
    </row>
    <row r="32" spans="1:19" ht="26.25" hidden="1" customHeight="1" x14ac:dyDescent="0.3">
      <c r="A32" s="732">
        <f>'А П 3'!A483:E483</f>
        <v>0</v>
      </c>
      <c r="B32" s="733">
        <f>'А П 3'!B483:F483</f>
        <v>0</v>
      </c>
      <c r="C32" s="732">
        <f>'А П 3'!C483:G483</f>
        <v>0</v>
      </c>
      <c r="D32" s="732">
        <f>'А П 3'!D483:H483</f>
        <v>0</v>
      </c>
      <c r="E32" s="732">
        <f>'А П 3'!E483:I483</f>
        <v>0</v>
      </c>
      <c r="F32" s="743" t="str">
        <f>'А П 3'!F483:J483</f>
        <v>Средства бюджета Московской области</v>
      </c>
      <c r="G32" s="738">
        <f>'А П 3'!G483:K483</f>
        <v>85220.88</v>
      </c>
      <c r="H32" s="739">
        <f>'А П 3'!H483:L483</f>
        <v>0</v>
      </c>
      <c r="I32" s="739">
        <f>'А П 3'!I483:M483</f>
        <v>85220.88</v>
      </c>
      <c r="J32" s="739">
        <f>'А П 3'!J483:N483</f>
        <v>0</v>
      </c>
      <c r="K32" s="739">
        <f>'А П 3'!K483:O483</f>
        <v>0</v>
      </c>
      <c r="L32" s="739">
        <f>'А П 3'!L483:P483</f>
        <v>0</v>
      </c>
      <c r="M32" s="739"/>
      <c r="N32" s="739"/>
      <c r="O32" s="739"/>
      <c r="P32" s="739"/>
      <c r="Q32" s="739"/>
      <c r="R32" s="739"/>
      <c r="S32" s="739"/>
    </row>
    <row r="33" spans="1:19" ht="26.25" hidden="1" customHeight="1" x14ac:dyDescent="0.3">
      <c r="A33" s="732">
        <f>'А П 3'!A484:E484</f>
        <v>0</v>
      </c>
      <c r="B33" s="733">
        <f>'А П 3'!B484:F484</f>
        <v>0</v>
      </c>
      <c r="C33" s="732">
        <f>'А П 3'!C484:G484</f>
        <v>0</v>
      </c>
      <c r="D33" s="732">
        <f>'А П 3'!D484:H484</f>
        <v>0</v>
      </c>
      <c r="E33" s="732">
        <f>'А П 3'!E484:I484</f>
        <v>0</v>
      </c>
      <c r="F33" s="743" t="str">
        <f>'А П 3'!F484:J484</f>
        <v>Средства бюджетов муниципальных образований Московской области</v>
      </c>
      <c r="G33" s="738">
        <f>'А П 3'!G484:K484</f>
        <v>4485.3100000000004</v>
      </c>
      <c r="H33" s="739">
        <f>'А П 3'!H484:L484</f>
        <v>0</v>
      </c>
      <c r="I33" s="739">
        <f>'А П 3'!I484:M484</f>
        <v>4485.3100000000004</v>
      </c>
      <c r="J33" s="739">
        <f>'А П 3'!J484:N484</f>
        <v>0</v>
      </c>
      <c r="K33" s="739">
        <f>'А П 3'!K484:O484</f>
        <v>0</v>
      </c>
      <c r="L33" s="739">
        <f>'А П 3'!L484:P484</f>
        <v>0</v>
      </c>
      <c r="M33" s="739"/>
      <c r="N33" s="739"/>
      <c r="O33" s="739"/>
      <c r="P33" s="739"/>
      <c r="Q33" s="739"/>
      <c r="R33" s="739"/>
      <c r="S33" s="739"/>
    </row>
    <row r="34" spans="1:19" ht="26.25" hidden="1" customHeight="1" x14ac:dyDescent="0.3">
      <c r="A34" s="732">
        <f>'А П 3'!A485:E485</f>
        <v>0</v>
      </c>
      <c r="B34" s="733" t="str">
        <f>'А П 3'!B485:F485</f>
        <v>Капитальный ремонт напорного коллектора (трубы Д 300мм, длиной 200м) с. Всеволодово</v>
      </c>
      <c r="C34" s="732">
        <f>'А П 3'!C485:G485</f>
        <v>0</v>
      </c>
      <c r="D34" s="732">
        <f>'А П 3'!D485:H485</f>
        <v>0</v>
      </c>
      <c r="E34" s="732">
        <f>'А П 3'!E485:I485</f>
        <v>0</v>
      </c>
      <c r="F34" s="743" t="str">
        <f>'А П 3'!F485:J485</f>
        <v>Итого</v>
      </c>
      <c r="G34" s="738">
        <f>'А П 3'!G485:K485</f>
        <v>90315.65</v>
      </c>
      <c r="H34" s="739">
        <f>'А П 3'!H485:L485</f>
        <v>0</v>
      </c>
      <c r="I34" s="739">
        <f>'А П 3'!I485:M485</f>
        <v>90315.65</v>
      </c>
      <c r="J34" s="739">
        <f>'А П 3'!J485:N485</f>
        <v>0</v>
      </c>
      <c r="K34" s="739">
        <f>'А П 3'!K485:O485</f>
        <v>0</v>
      </c>
      <c r="L34" s="739">
        <f>'А П 3'!L485:P485</f>
        <v>0</v>
      </c>
      <c r="M34" s="739"/>
      <c r="N34" s="739"/>
      <c r="O34" s="739"/>
      <c r="P34" s="739"/>
      <c r="Q34" s="739"/>
      <c r="R34" s="739"/>
      <c r="S34" s="739"/>
    </row>
    <row r="35" spans="1:19" ht="26.25" hidden="1" customHeight="1" x14ac:dyDescent="0.3">
      <c r="A35" s="732">
        <f>'А П 3'!A486:E486</f>
        <v>0</v>
      </c>
      <c r="B35" s="733">
        <f>'А П 3'!B486:F486</f>
        <v>0</v>
      </c>
      <c r="C35" s="732">
        <f>'А П 3'!C486:G486</f>
        <v>0</v>
      </c>
      <c r="D35" s="732">
        <f>'А П 3'!D486:H486</f>
        <v>0</v>
      </c>
      <c r="E35" s="732">
        <f>'А П 3'!E486:I486</f>
        <v>0</v>
      </c>
      <c r="F35" s="743" t="str">
        <f>'А П 3'!F486:J486</f>
        <v>Средства бюджета Московской области</v>
      </c>
      <c r="G35" s="738">
        <f>'А П 3'!G486:K486</f>
        <v>85799.87</v>
      </c>
      <c r="H35" s="739">
        <f>'А П 3'!H486:L486</f>
        <v>0</v>
      </c>
      <c r="I35" s="739">
        <f>'А П 3'!I486:M486</f>
        <v>85799.87</v>
      </c>
      <c r="J35" s="739">
        <f>'А П 3'!J486:N486</f>
        <v>0</v>
      </c>
      <c r="K35" s="739">
        <f>'А П 3'!K486:O486</f>
        <v>0</v>
      </c>
      <c r="L35" s="739">
        <f>'А П 3'!L486:P486</f>
        <v>0</v>
      </c>
      <c r="M35" s="739"/>
      <c r="N35" s="739"/>
      <c r="O35" s="739"/>
      <c r="P35" s="739"/>
      <c r="Q35" s="739"/>
      <c r="R35" s="739"/>
      <c r="S35" s="739"/>
    </row>
    <row r="36" spans="1:19" ht="26.25" hidden="1" customHeight="1" x14ac:dyDescent="0.3">
      <c r="A36" s="732">
        <f>'А П 3'!A487:E487</f>
        <v>0</v>
      </c>
      <c r="B36" s="733">
        <f>'А П 3'!B487:F487</f>
        <v>0</v>
      </c>
      <c r="C36" s="732">
        <f>'А П 3'!C487:G487</f>
        <v>0</v>
      </c>
      <c r="D36" s="732">
        <f>'А П 3'!D487:H487</f>
        <v>0</v>
      </c>
      <c r="E36" s="732">
        <f>'А П 3'!E487:I487</f>
        <v>0</v>
      </c>
      <c r="F36" s="743" t="str">
        <f>'А П 3'!F487:J487</f>
        <v>Средства бюджетов муниципальных образований Московской области</v>
      </c>
      <c r="G36" s="738">
        <f>'А П 3'!G487:K487</f>
        <v>4515.78</v>
      </c>
      <c r="H36" s="739">
        <f>'А П 3'!H487:L487</f>
        <v>0</v>
      </c>
      <c r="I36" s="739">
        <f>'А П 3'!I487:M487</f>
        <v>4515.78</v>
      </c>
      <c r="J36" s="739">
        <f>'А П 3'!J487:N487</f>
        <v>0</v>
      </c>
      <c r="K36" s="739">
        <f>'А П 3'!K487:O487</f>
        <v>0</v>
      </c>
      <c r="L36" s="739">
        <f>'А П 3'!L487:P487</f>
        <v>0</v>
      </c>
      <c r="M36" s="739"/>
      <c r="N36" s="739"/>
      <c r="O36" s="739"/>
      <c r="P36" s="739"/>
      <c r="Q36" s="739"/>
      <c r="R36" s="739"/>
      <c r="S36" s="739"/>
    </row>
    <row r="37" spans="1:19" s="750" customFormat="1" ht="26.25" customHeight="1" x14ac:dyDescent="0.3">
      <c r="A37" s="745" t="str">
        <f>'А П 3'!A488:E488</f>
        <v>3.1.1.2</v>
      </c>
      <c r="B37" s="746" t="str">
        <f>'А П 3'!B488:F488</f>
        <v>Ногинский муниципальный район</v>
      </c>
      <c r="C37" s="745">
        <f>'А П 3'!C488:G488</f>
        <v>0</v>
      </c>
      <c r="D37" s="745">
        <f>'А П 3'!D488:H488</f>
        <v>0</v>
      </c>
      <c r="E37" s="745">
        <f>'А П 3'!E488:I488</f>
        <v>0</v>
      </c>
      <c r="F37" s="747" t="str">
        <f>'А П 3'!F488:J488</f>
        <v>Итого</v>
      </c>
      <c r="G37" s="748">
        <f>'А П 3'!G488:K488</f>
        <v>141096.6</v>
      </c>
      <c r="H37" s="749">
        <f>'А П 3'!H488:L488</f>
        <v>141096.6</v>
      </c>
      <c r="I37" s="749">
        <f>'А П 3'!I488:M488</f>
        <v>0</v>
      </c>
      <c r="J37" s="749">
        <f>'А П 3'!J488:N488</f>
        <v>0</v>
      </c>
      <c r="K37" s="749">
        <f>'А П 3'!K488:O488</f>
        <v>0</v>
      </c>
      <c r="L37" s="749">
        <f>'А П 3'!L488:P488</f>
        <v>0</v>
      </c>
      <c r="M37" s="749"/>
      <c r="N37" s="749"/>
      <c r="O37" s="749"/>
      <c r="P37" s="749"/>
      <c r="Q37" s="749"/>
      <c r="R37" s="749"/>
      <c r="S37" s="749"/>
    </row>
    <row r="38" spans="1:19" ht="26.25" customHeight="1" x14ac:dyDescent="0.3">
      <c r="A38" s="732"/>
      <c r="B38" s="733"/>
      <c r="C38" s="732">
        <f>'А П 3'!C489:G489</f>
        <v>0</v>
      </c>
      <c r="D38" s="732">
        <f>'А П 3'!D489:H489</f>
        <v>0</v>
      </c>
      <c r="E38" s="732">
        <f>'А П 3'!E489:I489</f>
        <v>0</v>
      </c>
      <c r="F38" s="743" t="str">
        <f>'А П 3'!F489:J489</f>
        <v>Средства бюджета Московской области</v>
      </c>
      <c r="G38" s="738">
        <f>'А П 3'!G489:K489</f>
        <v>135668.20000000001</v>
      </c>
      <c r="H38" s="739">
        <f>'А П 3'!H489:L489</f>
        <v>135668.20000000001</v>
      </c>
      <c r="I38" s="739">
        <f>'А П 3'!I489:M489</f>
        <v>0</v>
      </c>
      <c r="J38" s="739">
        <f>'А П 3'!J489:N489</f>
        <v>0</v>
      </c>
      <c r="K38" s="739">
        <f>'А П 3'!K489:O489</f>
        <v>0</v>
      </c>
      <c r="L38" s="739">
        <f>'А П 3'!L489:P489</f>
        <v>0</v>
      </c>
      <c r="M38" s="739"/>
      <c r="N38" s="739"/>
      <c r="O38" s="739"/>
      <c r="P38" s="739"/>
      <c r="Q38" s="739"/>
      <c r="R38" s="739"/>
      <c r="S38" s="739"/>
    </row>
    <row r="39" spans="1:19" ht="26.25" customHeight="1" x14ac:dyDescent="0.3">
      <c r="A39" s="732"/>
      <c r="B39" s="733"/>
      <c r="C39" s="732">
        <f>'А П 3'!C490:G490</f>
        <v>0</v>
      </c>
      <c r="D39" s="732">
        <f>'А П 3'!D490:H490</f>
        <v>0</v>
      </c>
      <c r="E39" s="732">
        <f>'А П 3'!E490:I490</f>
        <v>0</v>
      </c>
      <c r="F39" s="743" t="str">
        <f>'А П 3'!F490:J490</f>
        <v>Средства бюджетов муниципальных образований Московской области</v>
      </c>
      <c r="G39" s="738">
        <f>'А П 3'!G490:K490</f>
        <v>5428.4</v>
      </c>
      <c r="H39" s="739">
        <f>'А П 3'!H490:L490</f>
        <v>5428.4</v>
      </c>
      <c r="I39" s="739">
        <f>'А П 3'!I490:M490</f>
        <v>0</v>
      </c>
      <c r="J39" s="739">
        <f>'А П 3'!J490:N490</f>
        <v>0</v>
      </c>
      <c r="K39" s="739">
        <f>'А П 3'!K490:O490</f>
        <v>0</v>
      </c>
      <c r="L39" s="739">
        <f>'А П 3'!L490:P490</f>
        <v>0</v>
      </c>
      <c r="M39" s="739"/>
      <c r="N39" s="739"/>
      <c r="O39" s="739"/>
      <c r="P39" s="739"/>
      <c r="Q39" s="739"/>
      <c r="R39" s="739"/>
      <c r="S39" s="739"/>
    </row>
    <row r="40" spans="1:19" ht="26.25" hidden="1" customHeight="1" x14ac:dyDescent="0.3">
      <c r="A40" s="732">
        <f>'А П 3'!A491:E491</f>
        <v>0</v>
      </c>
      <c r="B40" s="733" t="str">
        <f>'А П 3'!B491:F491</f>
        <v>Капитальный ремонт наружных водопроводных сетей от ВК-16 до потребителей в/г 41 с. Воскресенское, с.п. Ямкинское  Ногинский м.р.</v>
      </c>
      <c r="C40" s="732">
        <f>'А П 3'!C491:G491</f>
        <v>0</v>
      </c>
      <c r="D40" s="732">
        <f>'А П 3'!D491:H491</f>
        <v>0</v>
      </c>
      <c r="E40" s="732">
        <f>'А П 3'!E491:I491</f>
        <v>0</v>
      </c>
      <c r="F40" s="743" t="str">
        <f>'А П 3'!F491:J491</f>
        <v>Итого</v>
      </c>
      <c r="G40" s="738">
        <f>'А П 3'!G491:K491</f>
        <v>4662.21</v>
      </c>
      <c r="H40" s="739">
        <f>'А П 3'!H491:L491</f>
        <v>4662.21</v>
      </c>
      <c r="I40" s="739">
        <f>'А П 3'!I491:M491</f>
        <v>0</v>
      </c>
      <c r="J40" s="739">
        <f>'А П 3'!J491:N491</f>
        <v>0</v>
      </c>
      <c r="K40" s="739">
        <f>'А П 3'!K491:O491</f>
        <v>0</v>
      </c>
      <c r="L40" s="739">
        <f>'А П 3'!L491:P491</f>
        <v>0</v>
      </c>
      <c r="M40" s="739"/>
      <c r="N40" s="739"/>
      <c r="O40" s="739"/>
      <c r="P40" s="739"/>
      <c r="Q40" s="739"/>
      <c r="R40" s="739"/>
      <c r="S40" s="739"/>
    </row>
    <row r="41" spans="1:19" ht="26.25" hidden="1" customHeight="1" x14ac:dyDescent="0.3">
      <c r="A41" s="732">
        <f>'А П 3'!A492:E492</f>
        <v>0</v>
      </c>
      <c r="B41" s="733">
        <f>'А П 3'!B492:F492</f>
        <v>0</v>
      </c>
      <c r="C41" s="732">
        <f>'А П 3'!C492:G492</f>
        <v>0</v>
      </c>
      <c r="D41" s="732">
        <f>'А П 3'!D492:H492</f>
        <v>0</v>
      </c>
      <c r="E41" s="732">
        <f>'А П 3'!E492:I492</f>
        <v>0</v>
      </c>
      <c r="F41" s="743" t="str">
        <f>'А П 3'!F492:J492</f>
        <v>Средства бюджета Московской области</v>
      </c>
      <c r="G41" s="738">
        <f>'А П 3'!G492:K492</f>
        <v>4429.1000000000004</v>
      </c>
      <c r="H41" s="739">
        <f>'А П 3'!H492:L492</f>
        <v>4429.1000000000004</v>
      </c>
      <c r="I41" s="739">
        <f>'А П 3'!I492:M492</f>
        <v>0</v>
      </c>
      <c r="J41" s="739">
        <f>'А П 3'!J492:N492</f>
        <v>0</v>
      </c>
      <c r="K41" s="739">
        <f>'А П 3'!K492:O492</f>
        <v>0</v>
      </c>
      <c r="L41" s="739">
        <f>'А П 3'!L492:P492</f>
        <v>0</v>
      </c>
      <c r="M41" s="739"/>
      <c r="N41" s="739"/>
      <c r="O41" s="739"/>
      <c r="P41" s="739"/>
      <c r="Q41" s="739"/>
      <c r="R41" s="739"/>
      <c r="S41" s="739"/>
    </row>
    <row r="42" spans="1:19" ht="26.25" hidden="1" customHeight="1" x14ac:dyDescent="0.3">
      <c r="A42" s="732">
        <f>'А П 3'!A493:E493</f>
        <v>0</v>
      </c>
      <c r="B42" s="733">
        <f>'А П 3'!B493:F493</f>
        <v>0</v>
      </c>
      <c r="C42" s="732">
        <f>'А П 3'!C493:G493</f>
        <v>0</v>
      </c>
      <c r="D42" s="732">
        <f>'А П 3'!D493:H493</f>
        <v>0</v>
      </c>
      <c r="E42" s="732">
        <f>'А П 3'!E493:I493</f>
        <v>0</v>
      </c>
      <c r="F42" s="743" t="str">
        <f>'А П 3'!F493:J493</f>
        <v>Средства бюджетов муниципальных образований Московской области</v>
      </c>
      <c r="G42" s="738">
        <f>'А П 3'!G493:K493</f>
        <v>233.11</v>
      </c>
      <c r="H42" s="739">
        <f>'А П 3'!H493:L493</f>
        <v>233.11</v>
      </c>
      <c r="I42" s="739">
        <f>'А П 3'!I493:M493</f>
        <v>0</v>
      </c>
      <c r="J42" s="739">
        <f>'А П 3'!J493:N493</f>
        <v>0</v>
      </c>
      <c r="K42" s="739">
        <f>'А П 3'!K493:O493</f>
        <v>0</v>
      </c>
      <c r="L42" s="739">
        <f>'А П 3'!L493:P493</f>
        <v>0</v>
      </c>
      <c r="M42" s="739"/>
      <c r="N42" s="739"/>
      <c r="O42" s="739"/>
      <c r="P42" s="739"/>
      <c r="Q42" s="739"/>
      <c r="R42" s="739"/>
      <c r="S42" s="739"/>
    </row>
    <row r="43" spans="1:19" ht="26.25" hidden="1" customHeight="1" x14ac:dyDescent="0.3">
      <c r="A43" s="732">
        <f>'А П 3'!A494:E494</f>
        <v>0</v>
      </c>
      <c r="B43" s="733" t="str">
        <f>'А П 3'!B494:F494</f>
        <v>Капитальный ремонт наружных водопроводных сетей от ВК-3 до жилых домов в/г 415 с.Ивашево  Ногинский м.р.</v>
      </c>
      <c r="C43" s="732">
        <f>'А П 3'!C494:G494</f>
        <v>0</v>
      </c>
      <c r="D43" s="732">
        <f>'А П 3'!D494:H494</f>
        <v>0</v>
      </c>
      <c r="E43" s="732">
        <f>'А П 3'!E494:I494</f>
        <v>0</v>
      </c>
      <c r="F43" s="743" t="str">
        <f>'А П 3'!F494:J494</f>
        <v>Итого</v>
      </c>
      <c r="G43" s="738">
        <f>'А П 3'!G494:K494</f>
        <v>3903.82</v>
      </c>
      <c r="H43" s="739">
        <f>'А П 3'!H494:L494</f>
        <v>3903.82</v>
      </c>
      <c r="I43" s="739">
        <f>'А П 3'!I494:M494</f>
        <v>0</v>
      </c>
      <c r="J43" s="739">
        <f>'А П 3'!J494:N494</f>
        <v>0</v>
      </c>
      <c r="K43" s="739">
        <f>'А П 3'!K494:O494</f>
        <v>0</v>
      </c>
      <c r="L43" s="739">
        <f>'А П 3'!L494:P494</f>
        <v>0</v>
      </c>
      <c r="M43" s="739"/>
      <c r="N43" s="739"/>
      <c r="O43" s="739"/>
      <c r="P43" s="739"/>
      <c r="Q43" s="739"/>
      <c r="R43" s="739"/>
      <c r="S43" s="739"/>
    </row>
    <row r="44" spans="1:19" ht="26.25" hidden="1" customHeight="1" x14ac:dyDescent="0.3">
      <c r="A44" s="732">
        <f>'А П 3'!A495:E495</f>
        <v>0</v>
      </c>
      <c r="B44" s="733">
        <f>'А П 3'!B495:F495</f>
        <v>0</v>
      </c>
      <c r="C44" s="732">
        <f>'А П 3'!C495:G495</f>
        <v>0</v>
      </c>
      <c r="D44" s="732">
        <f>'А П 3'!D495:H495</f>
        <v>0</v>
      </c>
      <c r="E44" s="732">
        <f>'А П 3'!E495:I495</f>
        <v>0</v>
      </c>
      <c r="F44" s="743" t="str">
        <f>'А П 3'!F495:J495</f>
        <v>Средства бюджета Московской области</v>
      </c>
      <c r="G44" s="738">
        <f>'А П 3'!G495:K495</f>
        <v>3708.63</v>
      </c>
      <c r="H44" s="739">
        <f>'А П 3'!H495:L495</f>
        <v>3708.63</v>
      </c>
      <c r="I44" s="739">
        <f>'А П 3'!I495:M495</f>
        <v>0</v>
      </c>
      <c r="J44" s="739">
        <f>'А П 3'!J495:N495</f>
        <v>0</v>
      </c>
      <c r="K44" s="739">
        <f>'А П 3'!K495:O495</f>
        <v>0</v>
      </c>
      <c r="L44" s="739">
        <f>'А П 3'!L495:P495</f>
        <v>0</v>
      </c>
      <c r="M44" s="739"/>
      <c r="N44" s="739"/>
      <c r="O44" s="739"/>
      <c r="P44" s="739"/>
      <c r="Q44" s="739"/>
      <c r="R44" s="739"/>
      <c r="S44" s="739"/>
    </row>
    <row r="45" spans="1:19" ht="26.25" hidden="1" customHeight="1" x14ac:dyDescent="0.3">
      <c r="A45" s="732">
        <f>'А П 3'!A496:E496</f>
        <v>0</v>
      </c>
      <c r="B45" s="733">
        <f>'А П 3'!B496:F496</f>
        <v>0</v>
      </c>
      <c r="C45" s="732">
        <f>'А П 3'!C496:G496</f>
        <v>0</v>
      </c>
      <c r="D45" s="732">
        <f>'А П 3'!D496:H496</f>
        <v>0</v>
      </c>
      <c r="E45" s="732">
        <f>'А П 3'!E496:I496</f>
        <v>0</v>
      </c>
      <c r="F45" s="743" t="str">
        <f>'А П 3'!F496:J496</f>
        <v>Средства бюджетов муниципальных образований Московской области</v>
      </c>
      <c r="G45" s="738">
        <f>'А П 3'!G496:K496</f>
        <v>195.19</v>
      </c>
      <c r="H45" s="739">
        <f>'А П 3'!H496:L496</f>
        <v>195.19</v>
      </c>
      <c r="I45" s="739">
        <f>'А П 3'!I496:M496</f>
        <v>0</v>
      </c>
      <c r="J45" s="739">
        <f>'А П 3'!J496:N496</f>
        <v>0</v>
      </c>
      <c r="K45" s="739">
        <f>'А П 3'!K496:O496</f>
        <v>0</v>
      </c>
      <c r="L45" s="739">
        <f>'А П 3'!L496:P496</f>
        <v>0</v>
      </c>
      <c r="M45" s="739"/>
      <c r="N45" s="739"/>
      <c r="O45" s="739"/>
      <c r="P45" s="739"/>
      <c r="Q45" s="739"/>
      <c r="R45" s="739"/>
      <c r="S45" s="739"/>
    </row>
    <row r="46" spans="1:19" ht="26.25" hidden="1" customHeight="1" x14ac:dyDescent="0.3">
      <c r="A46" s="732">
        <f>'А П 3'!A497:E497</f>
        <v>0</v>
      </c>
      <c r="B46" s="733" t="str">
        <f>'А П 3'!B497:F497</f>
        <v>Капитальный ремонт наружных сетей водоотведения в/г 1 с. Ямкино  Ногинский м.р.</v>
      </c>
      <c r="C46" s="732">
        <f>'А П 3'!C497:G497</f>
        <v>0</v>
      </c>
      <c r="D46" s="732">
        <f>'А П 3'!D497:H497</f>
        <v>0</v>
      </c>
      <c r="E46" s="732">
        <f>'А П 3'!E497:I497</f>
        <v>0</v>
      </c>
      <c r="F46" s="743" t="str">
        <f>'А П 3'!F497:J497</f>
        <v>Итого</v>
      </c>
      <c r="G46" s="738">
        <f>'А П 3'!G497:K497</f>
        <v>5655.83</v>
      </c>
      <c r="H46" s="739">
        <f>'А П 3'!H497:L497</f>
        <v>5655.83</v>
      </c>
      <c r="I46" s="739">
        <f>'А П 3'!I497:M497</f>
        <v>0</v>
      </c>
      <c r="J46" s="739">
        <f>'А П 3'!J497:N497</f>
        <v>0</v>
      </c>
      <c r="K46" s="739">
        <f>'А П 3'!K497:O497</f>
        <v>0</v>
      </c>
      <c r="L46" s="739">
        <f>'А П 3'!L497:P497</f>
        <v>0</v>
      </c>
      <c r="M46" s="739"/>
      <c r="N46" s="739"/>
      <c r="O46" s="739"/>
      <c r="P46" s="739"/>
      <c r="Q46" s="739"/>
      <c r="R46" s="739"/>
      <c r="S46" s="739"/>
    </row>
    <row r="47" spans="1:19" ht="26.25" hidden="1" customHeight="1" x14ac:dyDescent="0.3">
      <c r="A47" s="732">
        <f>'А П 3'!A498:E498</f>
        <v>0</v>
      </c>
      <c r="B47" s="733">
        <f>'А П 3'!B498:F498</f>
        <v>0</v>
      </c>
      <c r="C47" s="732">
        <f>'А П 3'!C498:G498</f>
        <v>0</v>
      </c>
      <c r="D47" s="732">
        <f>'А П 3'!D498:H498</f>
        <v>0</v>
      </c>
      <c r="E47" s="732">
        <f>'А П 3'!E498:I498</f>
        <v>0</v>
      </c>
      <c r="F47" s="743" t="str">
        <f>'А П 3'!F498:J498</f>
        <v>Средства бюджета Московской области</v>
      </c>
      <c r="G47" s="738">
        <f>'А П 3'!G498:K498</f>
        <v>5373.04</v>
      </c>
      <c r="H47" s="739">
        <f>'А П 3'!H498:L498</f>
        <v>5373.04</v>
      </c>
      <c r="I47" s="739">
        <f>'А П 3'!I498:M498</f>
        <v>0</v>
      </c>
      <c r="J47" s="739">
        <f>'А П 3'!J498:N498</f>
        <v>0</v>
      </c>
      <c r="K47" s="739">
        <f>'А П 3'!K498:O498</f>
        <v>0</v>
      </c>
      <c r="L47" s="739">
        <f>'А П 3'!L498:P498</f>
        <v>0</v>
      </c>
      <c r="M47" s="739"/>
      <c r="N47" s="739"/>
      <c r="O47" s="739"/>
      <c r="P47" s="739"/>
      <c r="Q47" s="739"/>
      <c r="R47" s="739"/>
      <c r="S47" s="739"/>
    </row>
    <row r="48" spans="1:19" ht="26.25" hidden="1" customHeight="1" x14ac:dyDescent="0.3">
      <c r="A48" s="732">
        <f>'А П 3'!A499:E499</f>
        <v>0</v>
      </c>
      <c r="B48" s="733">
        <f>'А П 3'!B499:F499</f>
        <v>0</v>
      </c>
      <c r="C48" s="732">
        <f>'А П 3'!C499:G499</f>
        <v>0</v>
      </c>
      <c r="D48" s="732">
        <f>'А П 3'!D499:H499</f>
        <v>0</v>
      </c>
      <c r="E48" s="732">
        <f>'А П 3'!E499:I499</f>
        <v>0</v>
      </c>
      <c r="F48" s="743" t="str">
        <f>'А П 3'!F499:J499</f>
        <v>Средства бюджетов муниципальных образований Московской области</v>
      </c>
      <c r="G48" s="738">
        <f>'А П 3'!G499:K499</f>
        <v>282.79000000000002</v>
      </c>
      <c r="H48" s="739">
        <f>'А П 3'!H499:L499</f>
        <v>282.79000000000002</v>
      </c>
      <c r="I48" s="739">
        <f>'А П 3'!I499:M499</f>
        <v>0</v>
      </c>
      <c r="J48" s="739">
        <f>'А П 3'!J499:N499</f>
        <v>0</v>
      </c>
      <c r="K48" s="739">
        <f>'А П 3'!K499:O499</f>
        <v>0</v>
      </c>
      <c r="L48" s="739">
        <f>'А П 3'!L499:P499</f>
        <v>0</v>
      </c>
      <c r="M48" s="739"/>
      <c r="N48" s="739"/>
      <c r="O48" s="739"/>
      <c r="P48" s="739"/>
      <c r="Q48" s="739"/>
      <c r="R48" s="739"/>
      <c r="S48" s="739"/>
    </row>
    <row r="49" spans="1:19" ht="26.25" hidden="1" customHeight="1" x14ac:dyDescent="0.3">
      <c r="A49" s="732">
        <f>'А П 3'!A500:E500</f>
        <v>0</v>
      </c>
      <c r="B49" s="733" t="str">
        <f>'А П 3'!B500:F500</f>
        <v>Капитальный ремонт наружных водопроводных и канализационных сетей  в/г Ногинск-9, с.п. Мамонтовское Ногинский м.р.</v>
      </c>
      <c r="C49" s="732">
        <f>'А П 3'!C500:G500</f>
        <v>0</v>
      </c>
      <c r="D49" s="732">
        <f>'А П 3'!D500:H500</f>
        <v>0</v>
      </c>
      <c r="E49" s="732">
        <f>'А П 3'!E500:I500</f>
        <v>0</v>
      </c>
      <c r="F49" s="743" t="str">
        <f>'А П 3'!F500:J500</f>
        <v>Итого</v>
      </c>
      <c r="G49" s="738">
        <f>'А П 3'!G500:K500</f>
        <v>80000</v>
      </c>
      <c r="H49" s="739">
        <f>'А П 3'!H500:L500</f>
        <v>80000</v>
      </c>
      <c r="I49" s="739">
        <f>'А П 3'!I500:M500</f>
        <v>0</v>
      </c>
      <c r="J49" s="739">
        <f>'А П 3'!J500:N500</f>
        <v>0</v>
      </c>
      <c r="K49" s="739">
        <f>'А П 3'!K500:O500</f>
        <v>0</v>
      </c>
      <c r="L49" s="739">
        <f>'А П 3'!L500:P500</f>
        <v>0</v>
      </c>
      <c r="M49" s="739"/>
      <c r="N49" s="739"/>
      <c r="O49" s="739"/>
      <c r="P49" s="739"/>
      <c r="Q49" s="739"/>
      <c r="R49" s="739"/>
      <c r="S49" s="739"/>
    </row>
    <row r="50" spans="1:19" ht="26.25" hidden="1" customHeight="1" x14ac:dyDescent="0.3">
      <c r="A50" s="732">
        <f>'А П 3'!A501:E501</f>
        <v>0</v>
      </c>
      <c r="B50" s="733">
        <f>'А П 3'!B501:F501</f>
        <v>0</v>
      </c>
      <c r="C50" s="732">
        <f>'А П 3'!C501:G501</f>
        <v>0</v>
      </c>
      <c r="D50" s="732">
        <f>'А П 3'!D501:H501</f>
        <v>0</v>
      </c>
      <c r="E50" s="732">
        <f>'А П 3'!E501:I501</f>
        <v>0</v>
      </c>
      <c r="F50" s="743" t="str">
        <f>'А П 3'!F501:J501</f>
        <v>Средства бюджета Московской области</v>
      </c>
      <c r="G50" s="738">
        <f>'А П 3'!G501:K501</f>
        <v>76000</v>
      </c>
      <c r="H50" s="739">
        <f>'А П 3'!H501:L501</f>
        <v>76000</v>
      </c>
      <c r="I50" s="739">
        <f>'А П 3'!I501:M501</f>
        <v>0</v>
      </c>
      <c r="J50" s="739">
        <f>'А П 3'!J501:N501</f>
        <v>0</v>
      </c>
      <c r="K50" s="739">
        <f>'А П 3'!K501:O501</f>
        <v>0</v>
      </c>
      <c r="L50" s="739">
        <f>'А П 3'!L501:P501</f>
        <v>0</v>
      </c>
      <c r="M50" s="739"/>
      <c r="N50" s="739"/>
      <c r="O50" s="739"/>
      <c r="P50" s="739"/>
      <c r="Q50" s="739"/>
      <c r="R50" s="739"/>
      <c r="S50" s="739"/>
    </row>
    <row r="51" spans="1:19" ht="26.25" hidden="1" customHeight="1" x14ac:dyDescent="0.3">
      <c r="A51" s="732">
        <f>'А П 3'!A502:E502</f>
        <v>0</v>
      </c>
      <c r="B51" s="733">
        <f>'А П 3'!B502:F502</f>
        <v>0</v>
      </c>
      <c r="C51" s="732">
        <f>'А П 3'!C502:G502</f>
        <v>0</v>
      </c>
      <c r="D51" s="732">
        <f>'А П 3'!D502:H502</f>
        <v>0</v>
      </c>
      <c r="E51" s="732">
        <f>'А П 3'!E502:I502</f>
        <v>0</v>
      </c>
      <c r="F51" s="743" t="str">
        <f>'А П 3'!F502:J502</f>
        <v>Средства бюджетов муниципальных образований Московской области</v>
      </c>
      <c r="G51" s="738">
        <f>'А П 3'!G502:K502</f>
        <v>4000</v>
      </c>
      <c r="H51" s="739">
        <f>'А П 3'!H502:L502</f>
        <v>4000</v>
      </c>
      <c r="I51" s="739">
        <f>'А П 3'!I502:M502</f>
        <v>0</v>
      </c>
      <c r="J51" s="739">
        <f>'А П 3'!J502:N502</f>
        <v>0</v>
      </c>
      <c r="K51" s="739">
        <f>'А П 3'!K502:O502</f>
        <v>0</v>
      </c>
      <c r="L51" s="739">
        <f>'А П 3'!L502:P502</f>
        <v>0</v>
      </c>
      <c r="M51" s="739"/>
      <c r="N51" s="739"/>
      <c r="O51" s="739"/>
      <c r="P51" s="739"/>
      <c r="Q51" s="739"/>
      <c r="R51" s="739"/>
      <c r="S51" s="739"/>
    </row>
    <row r="52" spans="1:19" ht="26.25" hidden="1" customHeight="1" x14ac:dyDescent="0.3">
      <c r="A52" s="732">
        <f>'А П 3'!A503:E503</f>
        <v>0</v>
      </c>
      <c r="B52" s="733" t="str">
        <f>'А П 3'!B503:F503</f>
        <v xml:space="preserve">Капитальный ремонт наружной канализационной сети, с.п. Мамонтовское,  Ногинск-9 </v>
      </c>
      <c r="C52" s="732">
        <f>'А П 3'!C503:G503</f>
        <v>0</v>
      </c>
      <c r="D52" s="732">
        <f>'А П 3'!D503:H503</f>
        <v>0</v>
      </c>
      <c r="E52" s="732">
        <f>'А П 3'!E503:I503</f>
        <v>0</v>
      </c>
      <c r="F52" s="743" t="str">
        <f>'А П 3'!F503:J503</f>
        <v>Итого</v>
      </c>
      <c r="G52" s="738">
        <f>'А П 3'!G503:K503</f>
        <v>6046</v>
      </c>
      <c r="H52" s="739">
        <f>'А П 3'!H503:L503</f>
        <v>6046</v>
      </c>
      <c r="I52" s="739">
        <f>'А П 3'!I503:M503</f>
        <v>0</v>
      </c>
      <c r="J52" s="739">
        <f>'А П 3'!J503:N503</f>
        <v>0</v>
      </c>
      <c r="K52" s="739">
        <f>'А П 3'!K503:O503</f>
        <v>0</v>
      </c>
      <c r="L52" s="739">
        <f>'А П 3'!L503:P503</f>
        <v>0</v>
      </c>
      <c r="M52" s="739"/>
      <c r="N52" s="739"/>
      <c r="O52" s="739"/>
      <c r="P52" s="739"/>
      <c r="Q52" s="739"/>
      <c r="R52" s="739"/>
      <c r="S52" s="739"/>
    </row>
    <row r="53" spans="1:19" ht="26.25" hidden="1" customHeight="1" x14ac:dyDescent="0.3">
      <c r="A53" s="732">
        <f>'А П 3'!A504:E504</f>
        <v>0</v>
      </c>
      <c r="B53" s="733">
        <f>'А П 3'!B504:F504</f>
        <v>0</v>
      </c>
      <c r="C53" s="732">
        <f>'А П 3'!C504:G504</f>
        <v>0</v>
      </c>
      <c r="D53" s="732">
        <f>'А П 3'!D504:H504</f>
        <v>0</v>
      </c>
      <c r="E53" s="732">
        <f>'А П 3'!E504:I504</f>
        <v>0</v>
      </c>
      <c r="F53" s="743" t="str">
        <f>'А П 3'!F504:J504</f>
        <v>Средства бюджета Московской области</v>
      </c>
      <c r="G53" s="738">
        <f>'А П 3'!G504:K504</f>
        <v>5743.69</v>
      </c>
      <c r="H53" s="739">
        <f>'А П 3'!H504:L504</f>
        <v>5743.69</v>
      </c>
      <c r="I53" s="739">
        <f>'А П 3'!I504:M504</f>
        <v>0</v>
      </c>
      <c r="J53" s="739">
        <f>'А П 3'!J504:N504</f>
        <v>0</v>
      </c>
      <c r="K53" s="739">
        <f>'А П 3'!K504:O504</f>
        <v>0</v>
      </c>
      <c r="L53" s="739">
        <f>'А П 3'!L504:P504</f>
        <v>0</v>
      </c>
      <c r="M53" s="739"/>
      <c r="N53" s="739"/>
      <c r="O53" s="739"/>
      <c r="P53" s="739"/>
      <c r="Q53" s="739"/>
      <c r="R53" s="739"/>
      <c r="S53" s="739"/>
    </row>
    <row r="54" spans="1:19" ht="26.25" hidden="1" customHeight="1" x14ac:dyDescent="0.3">
      <c r="A54" s="732">
        <f>'А П 3'!A505:E505</f>
        <v>0</v>
      </c>
      <c r="B54" s="733">
        <f>'А П 3'!B505:F505</f>
        <v>0</v>
      </c>
      <c r="C54" s="732">
        <f>'А П 3'!C505:G505</f>
        <v>0</v>
      </c>
      <c r="D54" s="732">
        <f>'А П 3'!D505:H505</f>
        <v>0</v>
      </c>
      <c r="E54" s="732">
        <f>'А П 3'!E505:I505</f>
        <v>0</v>
      </c>
      <c r="F54" s="743" t="str">
        <f>'А П 3'!F505:J505</f>
        <v>Средства бюджетов муниципальных образований Московской области</v>
      </c>
      <c r="G54" s="738">
        <f>'А П 3'!G505:K505</f>
        <v>302.31</v>
      </c>
      <c r="H54" s="739">
        <f>'А П 3'!H505:L505</f>
        <v>302.31</v>
      </c>
      <c r="I54" s="739">
        <f>'А П 3'!I505:M505</f>
        <v>0</v>
      </c>
      <c r="J54" s="739">
        <f>'А П 3'!J505:N505</f>
        <v>0</v>
      </c>
      <c r="K54" s="739">
        <f>'А П 3'!K505:O505</f>
        <v>0</v>
      </c>
      <c r="L54" s="739">
        <f>'А П 3'!L505:P505</f>
        <v>0</v>
      </c>
      <c r="M54" s="739"/>
      <c r="N54" s="739"/>
      <c r="O54" s="739"/>
      <c r="P54" s="739"/>
      <c r="Q54" s="739"/>
      <c r="R54" s="739"/>
      <c r="S54" s="739"/>
    </row>
    <row r="55" spans="1:19" ht="26.25" hidden="1" customHeight="1" x14ac:dyDescent="0.3">
      <c r="A55" s="732">
        <f>'А П 3'!A506:E506</f>
        <v>0</v>
      </c>
      <c r="B55" s="733" t="str">
        <f>'А П 3'!B506:F506</f>
        <v>Приобретение, монтаж и ввод в эксплуатацию станции водоочистки  в/г № 41, с.п. Ямкинское, село Воскресенское  (НОВЫЙ) (погашение кредиторской задолженности  в сумме 3098,27 тыс.руб.)</v>
      </c>
      <c r="C55" s="732">
        <f>'А П 3'!C506:G506</f>
        <v>0</v>
      </c>
      <c r="D55" s="732">
        <f>'А П 3'!D506:H506</f>
        <v>0</v>
      </c>
      <c r="E55" s="732">
        <f>'А П 3'!E506:I506</f>
        <v>0</v>
      </c>
      <c r="F55" s="743" t="str">
        <f>'А П 3'!F506:J506</f>
        <v>Итого</v>
      </c>
      <c r="G55" s="738">
        <f>'А П 3'!G506:K506</f>
        <v>3098.27</v>
      </c>
      <c r="H55" s="739">
        <f>'А П 3'!H506:L506</f>
        <v>3098.27</v>
      </c>
      <c r="I55" s="739">
        <f>'А П 3'!I506:M506</f>
        <v>0</v>
      </c>
      <c r="J55" s="739">
        <f>'А П 3'!J506:N506</f>
        <v>0</v>
      </c>
      <c r="K55" s="739">
        <f>'А П 3'!K506:O506</f>
        <v>0</v>
      </c>
      <c r="L55" s="739">
        <f>'А П 3'!L506:P506</f>
        <v>0</v>
      </c>
      <c r="M55" s="739"/>
      <c r="N55" s="739"/>
      <c r="O55" s="739"/>
      <c r="P55" s="739"/>
      <c r="Q55" s="739"/>
      <c r="R55" s="739"/>
      <c r="S55" s="739"/>
    </row>
    <row r="56" spans="1:19" ht="26.25" hidden="1" customHeight="1" x14ac:dyDescent="0.3">
      <c r="A56" s="732">
        <f>'А П 3'!A507:E507</f>
        <v>0</v>
      </c>
      <c r="B56" s="733">
        <f>'А П 3'!B507:F507</f>
        <v>0</v>
      </c>
      <c r="C56" s="732">
        <f>'А П 3'!C507:G507</f>
        <v>0</v>
      </c>
      <c r="D56" s="732">
        <f>'А П 3'!D507:H507</f>
        <v>0</v>
      </c>
      <c r="E56" s="732">
        <f>'А П 3'!E507:I507</f>
        <v>0</v>
      </c>
      <c r="F56" s="743" t="str">
        <f>'А П 3'!F507:J507</f>
        <v>Средства бюджета Московской области</v>
      </c>
      <c r="G56" s="738">
        <f>'А П 3'!G507:K507</f>
        <v>3098.27</v>
      </c>
      <c r="H56" s="739">
        <f>'А П 3'!H507:L507</f>
        <v>3098.27</v>
      </c>
      <c r="I56" s="739">
        <f>'А П 3'!I507:M507</f>
        <v>0</v>
      </c>
      <c r="J56" s="739">
        <f>'А П 3'!J507:N507</f>
        <v>0</v>
      </c>
      <c r="K56" s="739">
        <f>'А П 3'!K507:O507</f>
        <v>0</v>
      </c>
      <c r="L56" s="739">
        <f>'А П 3'!L507:P507</f>
        <v>0</v>
      </c>
      <c r="M56" s="739"/>
      <c r="N56" s="739"/>
      <c r="O56" s="739"/>
      <c r="P56" s="739"/>
      <c r="Q56" s="739"/>
      <c r="R56" s="739"/>
      <c r="S56" s="739"/>
    </row>
    <row r="57" spans="1:19" ht="26.25" hidden="1" customHeight="1" x14ac:dyDescent="0.3">
      <c r="A57" s="732">
        <f>'А П 3'!A508:E508</f>
        <v>0</v>
      </c>
      <c r="B57" s="733">
        <f>'А П 3'!B508:F508</f>
        <v>0</v>
      </c>
      <c r="C57" s="732">
        <f>'А П 3'!C508:G508</f>
        <v>0</v>
      </c>
      <c r="D57" s="732">
        <f>'А П 3'!D508:H508</f>
        <v>0</v>
      </c>
      <c r="E57" s="732">
        <f>'А П 3'!E508:I508</f>
        <v>0</v>
      </c>
      <c r="F57" s="743" t="str">
        <f>'А П 3'!F508:J508</f>
        <v>Средства бюджетов муниципальных образований Московской области</v>
      </c>
      <c r="G57" s="738">
        <f>'А П 3'!G508:K508</f>
        <v>0</v>
      </c>
      <c r="H57" s="739">
        <f>'А П 3'!H508:L508</f>
        <v>0</v>
      </c>
      <c r="I57" s="739">
        <f>'А П 3'!I508:M508</f>
        <v>0</v>
      </c>
      <c r="J57" s="739">
        <f>'А П 3'!J508:N508</f>
        <v>0</v>
      </c>
      <c r="K57" s="739">
        <f>'А П 3'!K508:O508</f>
        <v>0</v>
      </c>
      <c r="L57" s="739">
        <f>'А П 3'!L508:P508</f>
        <v>0</v>
      </c>
      <c r="M57" s="739"/>
      <c r="N57" s="739"/>
      <c r="O57" s="739"/>
      <c r="P57" s="739"/>
      <c r="Q57" s="739"/>
      <c r="R57" s="739"/>
      <c r="S57" s="739"/>
    </row>
    <row r="58" spans="1:19" ht="26.25" hidden="1" customHeight="1" x14ac:dyDescent="0.3">
      <c r="A58" s="732">
        <f>'А П 3'!A509:E509</f>
        <v>0</v>
      </c>
      <c r="B58" s="733" t="str">
        <f>'А П 3'!B509:F509</f>
        <v>Приобретение, монтаж и ввод в эксплуатацию станции водоочистки в в/г № 415, с.п. Аксёно-Бутырское, село Ивашево Ногинского м.р.(НОВЫЙ) (погашение кредиторской задолженности  в сумме 3309,52тыс.руб.)</v>
      </c>
      <c r="C58" s="732">
        <f>'А П 3'!C509:G509</f>
        <v>0</v>
      </c>
      <c r="D58" s="732">
        <f>'А П 3'!D509:H509</f>
        <v>0</v>
      </c>
      <c r="E58" s="732">
        <f>'А П 3'!E509:I509</f>
        <v>0</v>
      </c>
      <c r="F58" s="743" t="str">
        <f>'А П 3'!F509:J509</f>
        <v>Итого</v>
      </c>
      <c r="G58" s="738">
        <f>'А П 3'!G509:K509</f>
        <v>3309.52</v>
      </c>
      <c r="H58" s="739">
        <f>'А П 3'!H509:L509</f>
        <v>3309.52</v>
      </c>
      <c r="I58" s="739">
        <f>'А П 3'!I509:M509</f>
        <v>0</v>
      </c>
      <c r="J58" s="739">
        <f>'А П 3'!J509:N509</f>
        <v>0</v>
      </c>
      <c r="K58" s="739">
        <f>'А П 3'!K509:O509</f>
        <v>0</v>
      </c>
      <c r="L58" s="739">
        <f>'А П 3'!L509:P509</f>
        <v>0</v>
      </c>
      <c r="M58" s="739"/>
      <c r="N58" s="739"/>
      <c r="O58" s="739"/>
      <c r="P58" s="739"/>
      <c r="Q58" s="739"/>
      <c r="R58" s="739"/>
      <c r="S58" s="739"/>
    </row>
    <row r="59" spans="1:19" ht="26.25" hidden="1" customHeight="1" x14ac:dyDescent="0.3">
      <c r="A59" s="732">
        <f>'А П 3'!A510:E510</f>
        <v>0</v>
      </c>
      <c r="B59" s="733">
        <f>'А П 3'!B510:F510</f>
        <v>0</v>
      </c>
      <c r="C59" s="732">
        <f>'А П 3'!C510:G510</f>
        <v>0</v>
      </c>
      <c r="D59" s="732">
        <f>'А П 3'!D510:H510</f>
        <v>0</v>
      </c>
      <c r="E59" s="732">
        <f>'А П 3'!E510:I510</f>
        <v>0</v>
      </c>
      <c r="F59" s="743" t="str">
        <f>'А П 3'!F510:J510</f>
        <v>Средства бюджета Московской области</v>
      </c>
      <c r="G59" s="738">
        <f>'А П 3'!G510:K510</f>
        <v>3309.52</v>
      </c>
      <c r="H59" s="739">
        <f>'А П 3'!H510:L510</f>
        <v>3309.52</v>
      </c>
      <c r="I59" s="739">
        <f>'А П 3'!I510:M510</f>
        <v>0</v>
      </c>
      <c r="J59" s="739">
        <f>'А П 3'!J510:N510</f>
        <v>0</v>
      </c>
      <c r="K59" s="739">
        <f>'А П 3'!K510:O510</f>
        <v>0</v>
      </c>
      <c r="L59" s="739">
        <f>'А П 3'!L510:P510</f>
        <v>0</v>
      </c>
      <c r="M59" s="739"/>
      <c r="N59" s="739"/>
      <c r="O59" s="739"/>
      <c r="P59" s="739"/>
      <c r="Q59" s="739"/>
      <c r="R59" s="739"/>
      <c r="S59" s="739"/>
    </row>
    <row r="60" spans="1:19" ht="26.25" hidden="1" customHeight="1" x14ac:dyDescent="0.3">
      <c r="A60" s="732">
        <f>'А П 3'!A511:E511</f>
        <v>0</v>
      </c>
      <c r="B60" s="733">
        <f>'А П 3'!B511:F511</f>
        <v>0</v>
      </c>
      <c r="C60" s="732">
        <f>'А П 3'!C511:G511</f>
        <v>0</v>
      </c>
      <c r="D60" s="732">
        <f>'А П 3'!D511:H511</f>
        <v>0</v>
      </c>
      <c r="E60" s="732">
        <f>'А П 3'!E511:I511</f>
        <v>0</v>
      </c>
      <c r="F60" s="743" t="str">
        <f>'А П 3'!F511:J511</f>
        <v>Средства бюджетов муниципальных образований Московской области</v>
      </c>
      <c r="G60" s="738">
        <f>'А П 3'!G511:K511</f>
        <v>0</v>
      </c>
      <c r="H60" s="739">
        <f>'А П 3'!H511:L511</f>
        <v>0</v>
      </c>
      <c r="I60" s="739">
        <f>'А П 3'!I511:M511</f>
        <v>0</v>
      </c>
      <c r="J60" s="739">
        <f>'А П 3'!J511:N511</f>
        <v>0</v>
      </c>
      <c r="K60" s="739">
        <f>'А П 3'!K511:O511</f>
        <v>0</v>
      </c>
      <c r="L60" s="739">
        <f>'А П 3'!L511:P511</f>
        <v>0</v>
      </c>
      <c r="M60" s="739"/>
      <c r="N60" s="739"/>
      <c r="O60" s="739"/>
      <c r="P60" s="739"/>
      <c r="Q60" s="739"/>
      <c r="R60" s="739"/>
      <c r="S60" s="739"/>
    </row>
    <row r="61" spans="1:19" ht="26.25" hidden="1" customHeight="1" x14ac:dyDescent="0.3">
      <c r="A61" s="732">
        <f>'А П 3'!A512:E512</f>
        <v>0</v>
      </c>
      <c r="B61" s="733" t="str">
        <f>'А П 3'!B512:F512</f>
        <v>Приобретение, монтаж и ввод в эксплуатацию станции водоочистки  в в/г № 1, с.п. Ямкинское,  село Ямкино  (НОВЫЙ) (погашение кредиторской задолженности  в сумме 2464,54 тыс.руб.)</v>
      </c>
      <c r="C61" s="732">
        <f>'А П 3'!C512:G512</f>
        <v>0</v>
      </c>
      <c r="D61" s="732">
        <f>'А П 3'!D512:H512</f>
        <v>0</v>
      </c>
      <c r="E61" s="732">
        <f>'А П 3'!E512:I512</f>
        <v>0</v>
      </c>
      <c r="F61" s="743" t="str">
        <f>'А П 3'!F512:J512</f>
        <v>Итого</v>
      </c>
      <c r="G61" s="738">
        <f>'А П 3'!G512:K512</f>
        <v>2464.54</v>
      </c>
      <c r="H61" s="739">
        <f>'А П 3'!H512:L512</f>
        <v>2464.54</v>
      </c>
      <c r="I61" s="739">
        <f>'А П 3'!I512:M512</f>
        <v>0</v>
      </c>
      <c r="J61" s="739">
        <f>'А П 3'!J512:N512</f>
        <v>0</v>
      </c>
      <c r="K61" s="739">
        <f>'А П 3'!K512:O512</f>
        <v>0</v>
      </c>
      <c r="L61" s="739">
        <f>'А П 3'!L512:P512</f>
        <v>0</v>
      </c>
      <c r="M61" s="739"/>
      <c r="N61" s="739"/>
      <c r="O61" s="739"/>
      <c r="P61" s="739"/>
      <c r="Q61" s="739"/>
      <c r="R61" s="739"/>
      <c r="S61" s="739"/>
    </row>
    <row r="62" spans="1:19" ht="26.25" hidden="1" customHeight="1" x14ac:dyDescent="0.3">
      <c r="A62" s="732">
        <f>'А П 3'!A513:E513</f>
        <v>0</v>
      </c>
      <c r="B62" s="733">
        <f>'А П 3'!B513:F513</f>
        <v>0</v>
      </c>
      <c r="C62" s="732">
        <f>'А П 3'!C513:G513</f>
        <v>0</v>
      </c>
      <c r="D62" s="732">
        <f>'А П 3'!D513:H513</f>
        <v>0</v>
      </c>
      <c r="E62" s="732">
        <f>'А П 3'!E513:I513</f>
        <v>0</v>
      </c>
      <c r="F62" s="743" t="str">
        <f>'А П 3'!F513:J513</f>
        <v>Средства бюджета Московской области</v>
      </c>
      <c r="G62" s="738">
        <f>'А П 3'!G513:K513</f>
        <v>2464.54</v>
      </c>
      <c r="H62" s="739">
        <f>'А П 3'!H513:L513</f>
        <v>2464.54</v>
      </c>
      <c r="I62" s="739">
        <f>'А П 3'!I513:M513</f>
        <v>0</v>
      </c>
      <c r="J62" s="739">
        <f>'А П 3'!J513:N513</f>
        <v>0</v>
      </c>
      <c r="K62" s="739">
        <f>'А П 3'!K513:O513</f>
        <v>0</v>
      </c>
      <c r="L62" s="739">
        <f>'А П 3'!L513:P513</f>
        <v>0</v>
      </c>
      <c r="M62" s="739"/>
      <c r="N62" s="739"/>
      <c r="O62" s="739"/>
      <c r="P62" s="739"/>
      <c r="Q62" s="739"/>
      <c r="R62" s="739"/>
      <c r="S62" s="739"/>
    </row>
    <row r="63" spans="1:19" ht="26.25" hidden="1" customHeight="1" x14ac:dyDescent="0.3">
      <c r="A63" s="732">
        <f>'А П 3'!A514:E514</f>
        <v>0</v>
      </c>
      <c r="B63" s="733">
        <f>'А П 3'!B514:F514</f>
        <v>0</v>
      </c>
      <c r="C63" s="732">
        <f>'А П 3'!C514:G514</f>
        <v>0</v>
      </c>
      <c r="D63" s="732">
        <f>'А П 3'!D514:H514</f>
        <v>0</v>
      </c>
      <c r="E63" s="732">
        <f>'А П 3'!E514:I514</f>
        <v>0</v>
      </c>
      <c r="F63" s="743" t="str">
        <f>'А П 3'!F514:J514</f>
        <v>Средства бюджетов муниципальных образований Московской области</v>
      </c>
      <c r="G63" s="738">
        <f>'А П 3'!G514:K514</f>
        <v>0</v>
      </c>
      <c r="H63" s="739">
        <f>'А П 3'!H514:L514</f>
        <v>0</v>
      </c>
      <c r="I63" s="739">
        <f>'А П 3'!I514:M514</f>
        <v>0</v>
      </c>
      <c r="J63" s="739">
        <f>'А П 3'!J514:N514</f>
        <v>0</v>
      </c>
      <c r="K63" s="739">
        <f>'А П 3'!K514:O514</f>
        <v>0</v>
      </c>
      <c r="L63" s="739">
        <f>'А П 3'!L514:P514</f>
        <v>0</v>
      </c>
      <c r="M63" s="739"/>
      <c r="N63" s="739"/>
      <c r="O63" s="739"/>
      <c r="P63" s="739"/>
      <c r="Q63" s="739"/>
      <c r="R63" s="739"/>
      <c r="S63" s="739"/>
    </row>
    <row r="64" spans="1:19" ht="26.25" hidden="1" customHeight="1" x14ac:dyDescent="0.3">
      <c r="A64" s="732">
        <f>'А П 3'!A515:E515</f>
        <v>0</v>
      </c>
      <c r="B64" s="733" t="str">
        <f>'А П 3'!B515:F515</f>
        <v>Приобретение, монтаж и ввод в эксплуатацию станции водоочистки  в в/г Ногинск-5, с.п. Степановское, село Всеволодово  (НОВЫЙ) (погашение кредиторской задолженности  в сумме 6682,41 тыс.руб.)</v>
      </c>
      <c r="C64" s="732">
        <f>'А П 3'!C515:G515</f>
        <v>0</v>
      </c>
      <c r="D64" s="732">
        <f>'А П 3'!D515:H515</f>
        <v>0</v>
      </c>
      <c r="E64" s="732">
        <f>'А П 3'!E515:I515</f>
        <v>0</v>
      </c>
      <c r="F64" s="743" t="str">
        <f>'А П 3'!F515:J515</f>
        <v>Итого</v>
      </c>
      <c r="G64" s="738">
        <f>'А П 3'!G515:K515</f>
        <v>6682.41</v>
      </c>
      <c r="H64" s="739">
        <f>'А П 3'!H515:L515</f>
        <v>6682.41</v>
      </c>
      <c r="I64" s="739">
        <f>'А П 3'!I515:M515</f>
        <v>0</v>
      </c>
      <c r="J64" s="739">
        <f>'А П 3'!J515:N515</f>
        <v>0</v>
      </c>
      <c r="K64" s="739">
        <f>'А П 3'!K515:O515</f>
        <v>0</v>
      </c>
      <c r="L64" s="739">
        <f>'А П 3'!L515:P515</f>
        <v>0</v>
      </c>
      <c r="M64" s="739"/>
      <c r="N64" s="739"/>
      <c r="O64" s="739"/>
      <c r="P64" s="739"/>
      <c r="Q64" s="739"/>
      <c r="R64" s="739"/>
      <c r="S64" s="739"/>
    </row>
    <row r="65" spans="1:19" ht="26.25" hidden="1" customHeight="1" x14ac:dyDescent="0.3">
      <c r="A65" s="732">
        <f>'А П 3'!A516:E516</f>
        <v>0</v>
      </c>
      <c r="B65" s="733">
        <f>'А П 3'!B516:F516</f>
        <v>0</v>
      </c>
      <c r="C65" s="732">
        <f>'А П 3'!C516:G516</f>
        <v>0</v>
      </c>
      <c r="D65" s="732">
        <f>'А П 3'!D516:H516</f>
        <v>0</v>
      </c>
      <c r="E65" s="732">
        <f>'А П 3'!E516:I516</f>
        <v>0</v>
      </c>
      <c r="F65" s="743" t="str">
        <f>'А П 3'!F516:J516</f>
        <v>Средства бюджета Московской области</v>
      </c>
      <c r="G65" s="738">
        <f>'А П 3'!G516:K516</f>
        <v>6682.41</v>
      </c>
      <c r="H65" s="739">
        <f>'А П 3'!H516:L516</f>
        <v>6682.41</v>
      </c>
      <c r="I65" s="739">
        <f>'А П 3'!I516:M516</f>
        <v>0</v>
      </c>
      <c r="J65" s="739">
        <f>'А П 3'!J516:N516</f>
        <v>0</v>
      </c>
      <c r="K65" s="739">
        <f>'А П 3'!K516:O516</f>
        <v>0</v>
      </c>
      <c r="L65" s="739">
        <f>'А П 3'!L516:P516</f>
        <v>0</v>
      </c>
      <c r="M65" s="739"/>
      <c r="N65" s="739"/>
      <c r="O65" s="739"/>
      <c r="P65" s="739"/>
      <c r="Q65" s="739"/>
      <c r="R65" s="739"/>
      <c r="S65" s="739"/>
    </row>
    <row r="66" spans="1:19" ht="26.25" hidden="1" customHeight="1" x14ac:dyDescent="0.3">
      <c r="A66" s="732">
        <f>'А П 3'!A517:E517</f>
        <v>0</v>
      </c>
      <c r="B66" s="733">
        <f>'А П 3'!B517:F517</f>
        <v>0</v>
      </c>
      <c r="C66" s="732">
        <f>'А П 3'!C517:G517</f>
        <v>0</v>
      </c>
      <c r="D66" s="732">
        <f>'А П 3'!D517:H517</f>
        <v>0</v>
      </c>
      <c r="E66" s="732">
        <f>'А П 3'!E517:I517</f>
        <v>0</v>
      </c>
      <c r="F66" s="743" t="str">
        <f>'А П 3'!F517:J517</f>
        <v>Средства бюджетов муниципальных образований Московской области</v>
      </c>
      <c r="G66" s="738">
        <f>'А П 3'!G517:K517</f>
        <v>0</v>
      </c>
      <c r="H66" s="739">
        <f>'А П 3'!H517:L517</f>
        <v>0</v>
      </c>
      <c r="I66" s="739">
        <f>'А П 3'!I517:M517</f>
        <v>0</v>
      </c>
      <c r="J66" s="739">
        <f>'А П 3'!J517:N517</f>
        <v>0</v>
      </c>
      <c r="K66" s="739">
        <f>'А П 3'!K517:O517</f>
        <v>0</v>
      </c>
      <c r="L66" s="739">
        <f>'А П 3'!L517:P517</f>
        <v>0</v>
      </c>
      <c r="M66" s="739"/>
      <c r="N66" s="739"/>
      <c r="O66" s="739"/>
      <c r="P66" s="739"/>
      <c r="Q66" s="739"/>
      <c r="R66" s="739"/>
      <c r="S66" s="739"/>
    </row>
    <row r="67" spans="1:19" ht="26.25" hidden="1" customHeight="1" x14ac:dyDescent="0.3">
      <c r="A67" s="732">
        <f>'А П 3'!A518:E518</f>
        <v>0</v>
      </c>
      <c r="B67" s="733" t="str">
        <f>'А П 3'!B518:F518</f>
        <v>Приобретение, монтаж и ввод в эксплуатацию станции водоочистки в в/г Ногинск-9, с.п. Мамонтовское  (НОВЫЙ)  (погашение кредиторской задолженности  в сумме 16 974,0 тыс.руб.)</v>
      </c>
      <c r="C67" s="732">
        <f>'А П 3'!C518:G518</f>
        <v>0</v>
      </c>
      <c r="D67" s="732">
        <f>'А П 3'!D518:H518</f>
        <v>0</v>
      </c>
      <c r="E67" s="732">
        <f>'А П 3'!E518:I518</f>
        <v>0</v>
      </c>
      <c r="F67" s="743" t="str">
        <f>'А П 3'!F518:J518</f>
        <v>Итого</v>
      </c>
      <c r="G67" s="738">
        <f>'А П 3'!G518:K518</f>
        <v>16974</v>
      </c>
      <c r="H67" s="739">
        <f>'А П 3'!H518:L518</f>
        <v>16974</v>
      </c>
      <c r="I67" s="739">
        <f>'А П 3'!I518:M518</f>
        <v>0</v>
      </c>
      <c r="J67" s="739">
        <f>'А П 3'!J518:N518</f>
        <v>0</v>
      </c>
      <c r="K67" s="739">
        <f>'А П 3'!K518:O518</f>
        <v>0</v>
      </c>
      <c r="L67" s="739">
        <f>'А П 3'!L518:P518</f>
        <v>0</v>
      </c>
      <c r="M67" s="739"/>
      <c r="N67" s="739"/>
      <c r="O67" s="739"/>
      <c r="P67" s="739"/>
      <c r="Q67" s="739"/>
      <c r="R67" s="739"/>
      <c r="S67" s="739"/>
    </row>
    <row r="68" spans="1:19" ht="26.25" hidden="1" customHeight="1" x14ac:dyDescent="0.3">
      <c r="A68" s="732">
        <f>'А П 3'!A519:E519</f>
        <v>0</v>
      </c>
      <c r="B68" s="733">
        <f>'А П 3'!B519:F519</f>
        <v>0</v>
      </c>
      <c r="C68" s="732">
        <f>'А П 3'!C519:G519</f>
        <v>0</v>
      </c>
      <c r="D68" s="732">
        <f>'А П 3'!D519:H519</f>
        <v>0</v>
      </c>
      <c r="E68" s="732">
        <f>'А П 3'!E519:I519</f>
        <v>0</v>
      </c>
      <c r="F68" s="743" t="str">
        <f>'А П 3'!F519:J519</f>
        <v>Средства бюджета Московской области</v>
      </c>
      <c r="G68" s="738">
        <f>'А П 3'!G519:K519</f>
        <v>16974</v>
      </c>
      <c r="H68" s="739">
        <f>'А П 3'!H519:L519</f>
        <v>16974</v>
      </c>
      <c r="I68" s="739">
        <f>'А П 3'!I519:M519</f>
        <v>0</v>
      </c>
      <c r="J68" s="739">
        <f>'А П 3'!J519:N519</f>
        <v>0</v>
      </c>
      <c r="K68" s="739">
        <f>'А П 3'!K519:O519</f>
        <v>0</v>
      </c>
      <c r="L68" s="739">
        <f>'А П 3'!L519:P519</f>
        <v>0</v>
      </c>
      <c r="M68" s="739"/>
      <c r="N68" s="739"/>
      <c r="O68" s="739"/>
      <c r="P68" s="739"/>
      <c r="Q68" s="739"/>
      <c r="R68" s="739"/>
      <c r="S68" s="739"/>
    </row>
    <row r="69" spans="1:19" ht="26.25" hidden="1" customHeight="1" x14ac:dyDescent="0.3">
      <c r="A69" s="732">
        <f>'А П 3'!A520:E520</f>
        <v>0</v>
      </c>
      <c r="B69" s="733">
        <f>'А П 3'!B520:F520</f>
        <v>0</v>
      </c>
      <c r="C69" s="732">
        <f>'А П 3'!C520:G520</f>
        <v>0</v>
      </c>
      <c r="D69" s="732">
        <f>'А П 3'!D520:H520</f>
        <v>0</v>
      </c>
      <c r="E69" s="732">
        <f>'А П 3'!E520:I520</f>
        <v>0</v>
      </c>
      <c r="F69" s="743" t="str">
        <f>'А П 3'!F520:J520</f>
        <v>Средства бюджетов муниципальных образований Московской области</v>
      </c>
      <c r="G69" s="738">
        <f>'А П 3'!G520:K520</f>
        <v>0</v>
      </c>
      <c r="H69" s="739">
        <f>'А П 3'!H520:L520</f>
        <v>0</v>
      </c>
      <c r="I69" s="739">
        <f>'А П 3'!I520:M520</f>
        <v>0</v>
      </c>
      <c r="J69" s="739">
        <f>'А П 3'!J520:N520</f>
        <v>0</v>
      </c>
      <c r="K69" s="739">
        <f>'А П 3'!K520:O520</f>
        <v>0</v>
      </c>
      <c r="L69" s="739">
        <f>'А П 3'!L520:P520</f>
        <v>0</v>
      </c>
      <c r="M69" s="739"/>
      <c r="N69" s="739"/>
      <c r="O69" s="739"/>
      <c r="P69" s="739"/>
      <c r="Q69" s="739"/>
      <c r="R69" s="739"/>
      <c r="S69" s="739"/>
    </row>
    <row r="70" spans="1:19" ht="26.25" hidden="1" customHeight="1" x14ac:dyDescent="0.3">
      <c r="A70" s="732">
        <f>'А П 3'!A521:E521</f>
        <v>0</v>
      </c>
      <c r="B70" s="733" t="str">
        <f>'А П 3'!B521:F521</f>
        <v xml:space="preserve">Капитальный ремонт наружных сетей водоотведения с.п. Аксено-Бутырское, с. Ивашево </v>
      </c>
      <c r="C70" s="732">
        <f>'А П 3'!C521:G521</f>
        <v>0</v>
      </c>
      <c r="D70" s="732">
        <f>'А П 3'!D521:H521</f>
        <v>0</v>
      </c>
      <c r="E70" s="732">
        <f>'А П 3'!E521:I521</f>
        <v>0</v>
      </c>
      <c r="F70" s="743" t="str">
        <f>'А П 3'!F521:J521</f>
        <v>Итого</v>
      </c>
      <c r="G70" s="738">
        <f>'А П 3'!G521:K521</f>
        <v>3500</v>
      </c>
      <c r="H70" s="739">
        <f>'А П 3'!H521:L521</f>
        <v>3500</v>
      </c>
      <c r="I70" s="739">
        <f>'А П 3'!I521:M521</f>
        <v>0</v>
      </c>
      <c r="J70" s="739">
        <f>'А П 3'!J521:N521</f>
        <v>0</v>
      </c>
      <c r="K70" s="739">
        <f>'А П 3'!K521:O521</f>
        <v>0</v>
      </c>
      <c r="L70" s="739">
        <f>'А П 3'!L521:P521</f>
        <v>0</v>
      </c>
      <c r="M70" s="739"/>
      <c r="N70" s="739"/>
      <c r="O70" s="739"/>
      <c r="P70" s="739"/>
      <c r="Q70" s="739"/>
      <c r="R70" s="739"/>
      <c r="S70" s="739"/>
    </row>
    <row r="71" spans="1:19" ht="26.25" hidden="1" customHeight="1" x14ac:dyDescent="0.3">
      <c r="A71" s="732">
        <f>'А П 3'!A522:E522</f>
        <v>0</v>
      </c>
      <c r="B71" s="733">
        <f>'А П 3'!B522:F522</f>
        <v>0</v>
      </c>
      <c r="C71" s="732">
        <f>'А П 3'!C522:G522</f>
        <v>0</v>
      </c>
      <c r="D71" s="732">
        <f>'А П 3'!D522:H522</f>
        <v>0</v>
      </c>
      <c r="E71" s="732">
        <f>'А П 3'!E522:I522</f>
        <v>0</v>
      </c>
      <c r="F71" s="743" t="str">
        <f>'А П 3'!F522:J522</f>
        <v>Средства бюджета Московской области</v>
      </c>
      <c r="G71" s="738">
        <f>'А П 3'!G522:K522</f>
        <v>3325</v>
      </c>
      <c r="H71" s="739">
        <f>'А П 3'!H522:L522</f>
        <v>3325</v>
      </c>
      <c r="I71" s="739">
        <f>'А П 3'!I522:M522</f>
        <v>0</v>
      </c>
      <c r="J71" s="739">
        <f>'А П 3'!J522:N522</f>
        <v>0</v>
      </c>
      <c r="K71" s="739">
        <f>'А П 3'!K522:O522</f>
        <v>0</v>
      </c>
      <c r="L71" s="739">
        <f>'А П 3'!L522:P522</f>
        <v>0</v>
      </c>
      <c r="M71" s="739"/>
      <c r="N71" s="739"/>
      <c r="O71" s="739"/>
      <c r="P71" s="739"/>
      <c r="Q71" s="739"/>
      <c r="R71" s="739"/>
      <c r="S71" s="739"/>
    </row>
    <row r="72" spans="1:19" ht="26.25" hidden="1" customHeight="1" x14ac:dyDescent="0.3">
      <c r="A72" s="732">
        <f>'А П 3'!A523:E523</f>
        <v>0</v>
      </c>
      <c r="B72" s="733">
        <f>'А П 3'!B523:F523</f>
        <v>0</v>
      </c>
      <c r="C72" s="732">
        <f>'А П 3'!C523:G523</f>
        <v>0</v>
      </c>
      <c r="D72" s="732">
        <f>'А П 3'!D523:H523</f>
        <v>0</v>
      </c>
      <c r="E72" s="732">
        <f>'А П 3'!E523:I523</f>
        <v>0</v>
      </c>
      <c r="F72" s="743" t="str">
        <f>'А П 3'!F523:J523</f>
        <v>Средства бюджетов муниципальных образований Московской области</v>
      </c>
      <c r="G72" s="738">
        <f>'А П 3'!G523:K523</f>
        <v>175</v>
      </c>
      <c r="H72" s="739">
        <f>'А П 3'!H523:L523</f>
        <v>175</v>
      </c>
      <c r="I72" s="739">
        <f>'А П 3'!I523:M523</f>
        <v>0</v>
      </c>
      <c r="J72" s="739">
        <f>'А П 3'!J523:N523</f>
        <v>0</v>
      </c>
      <c r="K72" s="739">
        <f>'А П 3'!K523:O523</f>
        <v>0</v>
      </c>
      <c r="L72" s="739">
        <f>'А П 3'!L523:P523</f>
        <v>0</v>
      </c>
      <c r="M72" s="739"/>
      <c r="N72" s="739"/>
      <c r="O72" s="739"/>
      <c r="P72" s="739"/>
      <c r="Q72" s="739"/>
      <c r="R72" s="739"/>
      <c r="S72" s="739"/>
    </row>
    <row r="73" spans="1:19" ht="26.25" hidden="1" customHeight="1" x14ac:dyDescent="0.3">
      <c r="A73" s="732">
        <f>'А П 3'!A524:E524</f>
        <v>0</v>
      </c>
      <c r="B73" s="733" t="str">
        <f>'А П 3'!B524:F524</f>
        <v xml:space="preserve">Восстановление работоспособности очисных сооружений канализации (приобретение монтаж и ввод в эксплуатацию модульной станции биологической очистки "Диамант 150") с.п. Аксено-Бутырское, с. Ивашево </v>
      </c>
      <c r="C73" s="732">
        <f>'А П 3'!C524:G524</f>
        <v>0</v>
      </c>
      <c r="D73" s="732">
        <f>'А П 3'!D524:H524</f>
        <v>0</v>
      </c>
      <c r="E73" s="732">
        <f>'А П 3'!E524:I524</f>
        <v>0</v>
      </c>
      <c r="F73" s="743" t="str">
        <f>'А П 3'!F524:J524</f>
        <v>Итого</v>
      </c>
      <c r="G73" s="738">
        <f>'А П 3'!G524:K524</f>
        <v>4800</v>
      </c>
      <c r="H73" s="739">
        <f>'А П 3'!H524:L524</f>
        <v>4800</v>
      </c>
      <c r="I73" s="739">
        <f>'А П 3'!I524:M524</f>
        <v>0</v>
      </c>
      <c r="J73" s="739">
        <f>'А П 3'!J524:N524</f>
        <v>0</v>
      </c>
      <c r="K73" s="739">
        <f>'А П 3'!K524:O524</f>
        <v>0</v>
      </c>
      <c r="L73" s="739">
        <f>'А П 3'!L524:P524</f>
        <v>0</v>
      </c>
      <c r="M73" s="739"/>
      <c r="N73" s="739"/>
      <c r="O73" s="739"/>
      <c r="P73" s="739"/>
      <c r="Q73" s="739"/>
      <c r="R73" s="739"/>
      <c r="S73" s="739"/>
    </row>
    <row r="74" spans="1:19" ht="26.25" hidden="1" customHeight="1" x14ac:dyDescent="0.3">
      <c r="A74" s="732">
        <f>'А П 3'!A525:E525</f>
        <v>0</v>
      </c>
      <c r="B74" s="733">
        <f>'А П 3'!B525:F525</f>
        <v>0</v>
      </c>
      <c r="C74" s="732">
        <f>'А П 3'!C525:G525</f>
        <v>0</v>
      </c>
      <c r="D74" s="732">
        <f>'А П 3'!D525:H525</f>
        <v>0</v>
      </c>
      <c r="E74" s="732">
        <f>'А П 3'!E525:I525</f>
        <v>0</v>
      </c>
      <c r="F74" s="743" t="str">
        <f>'А П 3'!F525:J525</f>
        <v>Средства бюджета Московской области</v>
      </c>
      <c r="G74" s="738">
        <f>'А П 3'!G525:K525</f>
        <v>4560</v>
      </c>
      <c r="H74" s="739">
        <f>'А П 3'!H525:L525</f>
        <v>4560</v>
      </c>
      <c r="I74" s="739">
        <f>'А П 3'!I525:M525</f>
        <v>0</v>
      </c>
      <c r="J74" s="739">
        <f>'А П 3'!J525:N525</f>
        <v>0</v>
      </c>
      <c r="K74" s="739">
        <f>'А П 3'!K525:O525</f>
        <v>0</v>
      </c>
      <c r="L74" s="739">
        <f>'А П 3'!L525:P525</f>
        <v>0</v>
      </c>
      <c r="M74" s="739"/>
      <c r="N74" s="739"/>
      <c r="O74" s="739"/>
      <c r="P74" s="739"/>
      <c r="Q74" s="739"/>
      <c r="R74" s="739"/>
      <c r="S74" s="739"/>
    </row>
    <row r="75" spans="1:19" ht="26.25" hidden="1" customHeight="1" x14ac:dyDescent="0.3">
      <c r="A75" s="732">
        <f>'А П 3'!A526:E526</f>
        <v>0</v>
      </c>
      <c r="B75" s="733">
        <f>'А П 3'!B526:F526</f>
        <v>0</v>
      </c>
      <c r="C75" s="732">
        <f>'А П 3'!C526:G526</f>
        <v>0</v>
      </c>
      <c r="D75" s="732">
        <f>'А П 3'!D526:H526</f>
        <v>0</v>
      </c>
      <c r="E75" s="732">
        <f>'А П 3'!E526:I526</f>
        <v>0</v>
      </c>
      <c r="F75" s="743" t="str">
        <f>'А П 3'!F526:J526</f>
        <v>Средства бюджетов муниципальных образований Московской области</v>
      </c>
      <c r="G75" s="738">
        <f>'А П 3'!G526:K526</f>
        <v>240</v>
      </c>
      <c r="H75" s="739">
        <f>'А П 3'!H526:L526</f>
        <v>240</v>
      </c>
      <c r="I75" s="739">
        <f>'А П 3'!I526:M526</f>
        <v>0</v>
      </c>
      <c r="J75" s="739">
        <f>'А П 3'!J526:N526</f>
        <v>0</v>
      </c>
      <c r="K75" s="739">
        <f>'А П 3'!K526:O526</f>
        <v>0</v>
      </c>
      <c r="L75" s="739">
        <f>'А П 3'!L526:P526</f>
        <v>0</v>
      </c>
      <c r="M75" s="739"/>
      <c r="N75" s="739"/>
      <c r="O75" s="739"/>
      <c r="P75" s="739"/>
      <c r="Q75" s="739"/>
      <c r="R75" s="739"/>
      <c r="S75" s="739"/>
    </row>
    <row r="76" spans="1:19" s="750" customFormat="1" ht="26.25" customHeight="1" x14ac:dyDescent="0.3">
      <c r="A76" s="745" t="str">
        <f>'А П 3'!A527:E527</f>
        <v>3.1.1.3</v>
      </c>
      <c r="B76" s="746" t="str">
        <f>'А П 3'!B527:F527</f>
        <v>ЗАТО городской округ Власиха</v>
      </c>
      <c r="C76" s="745">
        <f>'А П 3'!C527:G527</f>
        <v>0</v>
      </c>
      <c r="D76" s="745">
        <f>'А П 3'!D527:H527</f>
        <v>0</v>
      </c>
      <c r="E76" s="745">
        <f>'А П 3'!E527:I527</f>
        <v>0</v>
      </c>
      <c r="F76" s="747" t="str">
        <f>'А П 3'!F527:J527</f>
        <v>Итого</v>
      </c>
      <c r="G76" s="748">
        <f>'А П 3'!G527:K527</f>
        <v>51974.71</v>
      </c>
      <c r="H76" s="749">
        <f>'А П 3'!H527:L527</f>
        <v>51974.71</v>
      </c>
      <c r="I76" s="749">
        <f>'А П 3'!I527:M527</f>
        <v>0</v>
      </c>
      <c r="J76" s="749">
        <f>'А П 3'!J527:N527</f>
        <v>0</v>
      </c>
      <c r="K76" s="749">
        <f>'А П 3'!K527:O527</f>
        <v>0</v>
      </c>
      <c r="L76" s="749">
        <f>'А П 3'!L527:P527</f>
        <v>0</v>
      </c>
      <c r="M76" s="749"/>
      <c r="N76" s="749"/>
      <c r="O76" s="749"/>
      <c r="P76" s="749"/>
      <c r="Q76" s="749"/>
      <c r="R76" s="749"/>
      <c r="S76" s="749"/>
    </row>
    <row r="77" spans="1:19" ht="26.25" customHeight="1" x14ac:dyDescent="0.3">
      <c r="A77" s="732"/>
      <c r="B77" s="733"/>
      <c r="C77" s="732">
        <f>'А П 3'!C528:G528</f>
        <v>0</v>
      </c>
      <c r="D77" s="732">
        <f>'А П 3'!D528:H528</f>
        <v>0</v>
      </c>
      <c r="E77" s="732">
        <f>'А П 3'!E528:I528</f>
        <v>0</v>
      </c>
      <c r="F77" s="743" t="str">
        <f>'А П 3'!F528:J528</f>
        <v>Средства бюджета Московской области</v>
      </c>
      <c r="G77" s="738">
        <f>'А П 3'!G528:K528</f>
        <v>49437.55</v>
      </c>
      <c r="H77" s="739">
        <f>'А П 3'!H528:L528</f>
        <v>49437.55</v>
      </c>
      <c r="I77" s="739">
        <f>'А П 3'!I528:M528</f>
        <v>0</v>
      </c>
      <c r="J77" s="739">
        <f>'А П 3'!J528:N528</f>
        <v>0</v>
      </c>
      <c r="K77" s="739">
        <f>'А П 3'!K528:O528</f>
        <v>0</v>
      </c>
      <c r="L77" s="739">
        <f>'А П 3'!L528:P528</f>
        <v>0</v>
      </c>
      <c r="M77" s="739"/>
      <c r="N77" s="739"/>
      <c r="O77" s="739"/>
      <c r="P77" s="739"/>
      <c r="Q77" s="739"/>
      <c r="R77" s="739"/>
      <c r="S77" s="739"/>
    </row>
    <row r="78" spans="1:19" ht="26.25" customHeight="1" x14ac:dyDescent="0.3">
      <c r="A78" s="732"/>
      <c r="B78" s="733"/>
      <c r="C78" s="732">
        <f>'А П 3'!C529:G529</f>
        <v>0</v>
      </c>
      <c r="D78" s="732">
        <f>'А П 3'!D529:H529</f>
        <v>0</v>
      </c>
      <c r="E78" s="732">
        <f>'А П 3'!E529:I529</f>
        <v>0</v>
      </c>
      <c r="F78" s="743" t="str">
        <f>'А П 3'!F529:J529</f>
        <v>Средства бюджетов муниципальных образований Московской области</v>
      </c>
      <c r="G78" s="738">
        <f>'А П 3'!G529:K529</f>
        <v>2537.16</v>
      </c>
      <c r="H78" s="739">
        <f>'А П 3'!H529:L529</f>
        <v>2537.16</v>
      </c>
      <c r="I78" s="739">
        <f>'А П 3'!I529:M529</f>
        <v>0</v>
      </c>
      <c r="J78" s="739">
        <f>'А П 3'!J529:N529</f>
        <v>0</v>
      </c>
      <c r="K78" s="739">
        <f>'А П 3'!K529:O529</f>
        <v>0</v>
      </c>
      <c r="L78" s="739">
        <f>'А П 3'!L529:P529</f>
        <v>0</v>
      </c>
      <c r="M78" s="739"/>
      <c r="N78" s="739"/>
      <c r="O78" s="739"/>
      <c r="P78" s="739"/>
      <c r="Q78" s="739"/>
      <c r="R78" s="739"/>
      <c r="S78" s="739"/>
    </row>
    <row r="79" spans="1:19" ht="26.25" hidden="1" customHeight="1" x14ac:dyDescent="0.3">
      <c r="A79" s="732">
        <f>'А П 3'!A530:E530</f>
        <v>0</v>
      </c>
      <c r="B79" s="733" t="str">
        <f>'А П 3'!B530:F530</f>
        <v xml:space="preserve">Капитальный ремонт системы питьевого водоснабжения с установкой станций водоподготовки (ПИР), п. Власиха, военный городок № 22/1
(г.Одинцово-10)
</v>
      </c>
      <c r="C79" s="732">
        <f>'А П 3'!C530:G530</f>
        <v>0</v>
      </c>
      <c r="D79" s="732">
        <f>'А П 3'!D530:H530</f>
        <v>0</v>
      </c>
      <c r="E79" s="732">
        <f>'А П 3'!E530:I530</f>
        <v>0</v>
      </c>
      <c r="F79" s="743" t="str">
        <f>'А П 3'!F530:J530</f>
        <v>Итого</v>
      </c>
      <c r="G79" s="738">
        <f>'А П 3'!G530:K530</f>
        <v>13000</v>
      </c>
      <c r="H79" s="739">
        <f>'А П 3'!H530:L530</f>
        <v>13000</v>
      </c>
      <c r="I79" s="739">
        <f>'А П 3'!I530:M530</f>
        <v>0</v>
      </c>
      <c r="J79" s="739">
        <f>'А П 3'!J530:N530</f>
        <v>0</v>
      </c>
      <c r="K79" s="739">
        <f>'А П 3'!K530:O530</f>
        <v>0</v>
      </c>
      <c r="L79" s="739">
        <f>'А П 3'!L530:P530</f>
        <v>0</v>
      </c>
      <c r="M79" s="739"/>
      <c r="N79" s="739"/>
      <c r="O79" s="739"/>
      <c r="P79" s="739"/>
      <c r="Q79" s="739"/>
      <c r="R79" s="739"/>
      <c r="S79" s="739"/>
    </row>
    <row r="80" spans="1:19" ht="26.25" hidden="1" customHeight="1" x14ac:dyDescent="0.3">
      <c r="A80" s="732">
        <f>'А П 3'!A531:E531</f>
        <v>0</v>
      </c>
      <c r="B80" s="733">
        <f>'А П 3'!B531:F531</f>
        <v>0</v>
      </c>
      <c r="C80" s="732">
        <f>'А П 3'!C531:G531</f>
        <v>0</v>
      </c>
      <c r="D80" s="732">
        <f>'А П 3'!D531:H531</f>
        <v>0</v>
      </c>
      <c r="E80" s="732">
        <f>'А П 3'!E531:I531</f>
        <v>0</v>
      </c>
      <c r="F80" s="743" t="str">
        <f>'А П 3'!F531:J531</f>
        <v>Средства бюджета Московской области</v>
      </c>
      <c r="G80" s="738">
        <f>'А П 3'!G531:K531</f>
        <v>12350</v>
      </c>
      <c r="H80" s="739">
        <f>'А П 3'!H531:L531</f>
        <v>12350</v>
      </c>
      <c r="I80" s="739">
        <f>'А П 3'!I531:M531</f>
        <v>0</v>
      </c>
      <c r="J80" s="739">
        <f>'А П 3'!J531:N531</f>
        <v>0</v>
      </c>
      <c r="K80" s="739">
        <f>'А П 3'!K531:O531</f>
        <v>0</v>
      </c>
      <c r="L80" s="739">
        <f>'А П 3'!L531:P531</f>
        <v>0</v>
      </c>
      <c r="M80" s="739"/>
      <c r="N80" s="739"/>
      <c r="O80" s="739"/>
      <c r="P80" s="739"/>
      <c r="Q80" s="739"/>
      <c r="R80" s="739"/>
      <c r="S80" s="739"/>
    </row>
    <row r="81" spans="1:19" ht="26.25" hidden="1" customHeight="1" x14ac:dyDescent="0.3">
      <c r="A81" s="732">
        <f>'А П 3'!A532:E532</f>
        <v>0</v>
      </c>
      <c r="B81" s="733">
        <f>'А П 3'!B532:F532</f>
        <v>0</v>
      </c>
      <c r="C81" s="732">
        <f>'А П 3'!C532:G532</f>
        <v>0</v>
      </c>
      <c r="D81" s="732">
        <f>'А П 3'!D532:H532</f>
        <v>0</v>
      </c>
      <c r="E81" s="732">
        <f>'А П 3'!E532:I532</f>
        <v>0</v>
      </c>
      <c r="F81" s="743" t="str">
        <f>'А П 3'!F532:J532</f>
        <v>Средства бюджетов муниципальных образований Московской области</v>
      </c>
      <c r="G81" s="738">
        <f>'А П 3'!G532:K532</f>
        <v>650</v>
      </c>
      <c r="H81" s="739">
        <f>'А П 3'!H532:L532</f>
        <v>650</v>
      </c>
      <c r="I81" s="739">
        <f>'А П 3'!I532:M532</f>
        <v>0</v>
      </c>
      <c r="J81" s="739">
        <f>'А П 3'!J532:N532</f>
        <v>0</v>
      </c>
      <c r="K81" s="739">
        <f>'А П 3'!K532:O532</f>
        <v>0</v>
      </c>
      <c r="L81" s="739">
        <f>'А П 3'!L532:P532</f>
        <v>0</v>
      </c>
      <c r="M81" s="739"/>
      <c r="N81" s="739"/>
      <c r="O81" s="739"/>
      <c r="P81" s="739"/>
      <c r="Q81" s="739"/>
      <c r="R81" s="739"/>
      <c r="S81" s="739"/>
    </row>
    <row r="82" spans="1:19" ht="26.25" hidden="1" customHeight="1" x14ac:dyDescent="0.3">
      <c r="A82" s="732">
        <f>'А П 3'!A533:E533</f>
        <v>0</v>
      </c>
      <c r="B82" s="733" t="str">
        <f>'А П 3'!B533:F533</f>
        <v>Капитальный ремонт сетей водоснабжения, п. Власиха, военный городок № 22/1
(г.Одинцово-10)</v>
      </c>
      <c r="C82" s="732">
        <f>'А П 3'!C533:G533</f>
        <v>0</v>
      </c>
      <c r="D82" s="732">
        <f>'А П 3'!D533:H533</f>
        <v>0</v>
      </c>
      <c r="E82" s="732">
        <f>'А П 3'!E533:I533</f>
        <v>0</v>
      </c>
      <c r="F82" s="743" t="str">
        <f>'А П 3'!F533:J533</f>
        <v>Итого</v>
      </c>
      <c r="G82" s="738">
        <f>'А П 3'!G533:K533</f>
        <v>37743.269999999997</v>
      </c>
      <c r="H82" s="739">
        <f>'А П 3'!H533:L533</f>
        <v>37743.269999999997</v>
      </c>
      <c r="I82" s="739">
        <f>'А П 3'!I533:M533</f>
        <v>0</v>
      </c>
      <c r="J82" s="739">
        <f>'А П 3'!J533:N533</f>
        <v>0</v>
      </c>
      <c r="K82" s="739">
        <f>'А П 3'!K533:O533</f>
        <v>0</v>
      </c>
      <c r="L82" s="739">
        <f>'А П 3'!L533:P533</f>
        <v>0</v>
      </c>
      <c r="M82" s="739"/>
      <c r="N82" s="739"/>
      <c r="O82" s="739"/>
      <c r="P82" s="739"/>
      <c r="Q82" s="739"/>
      <c r="R82" s="739"/>
      <c r="S82" s="739"/>
    </row>
    <row r="83" spans="1:19" ht="26.25" hidden="1" customHeight="1" x14ac:dyDescent="0.3">
      <c r="A83" s="732">
        <f>'А П 3'!A534:E534</f>
        <v>0</v>
      </c>
      <c r="B83" s="733">
        <f>'А П 3'!B534:F534</f>
        <v>0</v>
      </c>
      <c r="C83" s="732">
        <f>'А П 3'!C534:G534</f>
        <v>0</v>
      </c>
      <c r="D83" s="732">
        <f>'А П 3'!D534:H534</f>
        <v>0</v>
      </c>
      <c r="E83" s="732">
        <f>'А П 3'!E534:I534</f>
        <v>0</v>
      </c>
      <c r="F83" s="743" t="str">
        <f>'А П 3'!F534:J534</f>
        <v>Средства бюджета Московской области</v>
      </c>
      <c r="G83" s="738">
        <f>'А П 3'!G534:K534</f>
        <v>35856.11</v>
      </c>
      <c r="H83" s="739">
        <f>'А П 3'!H534:L534</f>
        <v>35856.11</v>
      </c>
      <c r="I83" s="739">
        <f>'А П 3'!I534:M534</f>
        <v>0</v>
      </c>
      <c r="J83" s="739">
        <f>'А П 3'!J534:N534</f>
        <v>0</v>
      </c>
      <c r="K83" s="739">
        <f>'А П 3'!K534:O534</f>
        <v>0</v>
      </c>
      <c r="L83" s="739">
        <f>'А П 3'!L534:P534</f>
        <v>0</v>
      </c>
      <c r="M83" s="739"/>
      <c r="N83" s="739"/>
      <c r="O83" s="739"/>
      <c r="P83" s="739"/>
      <c r="Q83" s="739"/>
      <c r="R83" s="739"/>
      <c r="S83" s="739"/>
    </row>
    <row r="84" spans="1:19" ht="26.25" hidden="1" customHeight="1" x14ac:dyDescent="0.3">
      <c r="A84" s="732">
        <f>'А П 3'!A535:E535</f>
        <v>0</v>
      </c>
      <c r="B84" s="733">
        <f>'А П 3'!B535:F535</f>
        <v>0</v>
      </c>
      <c r="C84" s="732">
        <f>'А П 3'!C535:G535</f>
        <v>0</v>
      </c>
      <c r="D84" s="732">
        <f>'А П 3'!D535:H535</f>
        <v>0</v>
      </c>
      <c r="E84" s="732">
        <f>'А П 3'!E535:I535</f>
        <v>0</v>
      </c>
      <c r="F84" s="743" t="str">
        <f>'А П 3'!F535:J535</f>
        <v>Средства бюджетов муниципальных образований Московской области</v>
      </c>
      <c r="G84" s="738">
        <f>'А П 3'!G535:K535</f>
        <v>1887.16</v>
      </c>
      <c r="H84" s="739">
        <f>'А П 3'!H535:L535</f>
        <v>1887.16</v>
      </c>
      <c r="I84" s="739">
        <f>'А П 3'!I535:M535</f>
        <v>0</v>
      </c>
      <c r="J84" s="739">
        <f>'А П 3'!J535:N535</f>
        <v>0</v>
      </c>
      <c r="K84" s="739">
        <f>'А П 3'!K535:O535</f>
        <v>0</v>
      </c>
      <c r="L84" s="739">
        <f>'А П 3'!L535:P535</f>
        <v>0</v>
      </c>
      <c r="M84" s="739"/>
      <c r="N84" s="739"/>
      <c r="O84" s="739"/>
      <c r="P84" s="739"/>
      <c r="Q84" s="739"/>
      <c r="R84" s="739"/>
      <c r="S84" s="739"/>
    </row>
    <row r="85" spans="1:19" ht="26.25" hidden="1" customHeight="1" x14ac:dyDescent="0.3">
      <c r="A85" s="732">
        <f>'А П 3'!A536:E536</f>
        <v>0</v>
      </c>
      <c r="B85" s="733" t="str">
        <f>'А П 3'!B536:F536</f>
        <v>Капитальный ремонт сетей водоотведения, п. Власиха, военный городок № 22/1 (погашение кредитиорской задолженности в сумме 1231,44 тыс.руб.)
(г.Одинцово-10)</v>
      </c>
      <c r="C85" s="732">
        <f>'А П 3'!C536:G536</f>
        <v>0</v>
      </c>
      <c r="D85" s="732">
        <f>'А П 3'!D536:H536</f>
        <v>0</v>
      </c>
      <c r="E85" s="732">
        <f>'А П 3'!E536:I536</f>
        <v>0</v>
      </c>
      <c r="F85" s="743" t="str">
        <f>'А П 3'!F536:J536</f>
        <v>Итого</v>
      </c>
      <c r="G85" s="738">
        <f>'А П 3'!G536:K536</f>
        <v>1231.44</v>
      </c>
      <c r="H85" s="739">
        <f>'А П 3'!H536:L536</f>
        <v>1231.44</v>
      </c>
      <c r="I85" s="739">
        <f>'А П 3'!I536:M536</f>
        <v>0</v>
      </c>
      <c r="J85" s="739">
        <f>'А П 3'!J536:N536</f>
        <v>0</v>
      </c>
      <c r="K85" s="739">
        <f>'А П 3'!K536:O536</f>
        <v>0</v>
      </c>
      <c r="L85" s="739">
        <f>'А П 3'!L536:P536</f>
        <v>0</v>
      </c>
      <c r="M85" s="739"/>
      <c r="N85" s="739"/>
      <c r="O85" s="739"/>
      <c r="P85" s="739"/>
      <c r="Q85" s="739"/>
      <c r="R85" s="739"/>
      <c r="S85" s="739"/>
    </row>
    <row r="86" spans="1:19" ht="26.25" hidden="1" customHeight="1" x14ac:dyDescent="0.3">
      <c r="A86" s="732">
        <f>'А П 3'!A537:E537</f>
        <v>0</v>
      </c>
      <c r="B86" s="733">
        <f>'А П 3'!B537:F537</f>
        <v>0</v>
      </c>
      <c r="C86" s="732">
        <f>'А П 3'!C537:G537</f>
        <v>0</v>
      </c>
      <c r="D86" s="732">
        <f>'А П 3'!D537:H537</f>
        <v>0</v>
      </c>
      <c r="E86" s="732">
        <f>'А П 3'!E537:I537</f>
        <v>0</v>
      </c>
      <c r="F86" s="743" t="str">
        <f>'А П 3'!F537:J537</f>
        <v>Средства бюджета Московской области</v>
      </c>
      <c r="G86" s="738">
        <f>'А П 3'!G537:K537</f>
        <v>1231.44</v>
      </c>
      <c r="H86" s="739">
        <f>'А П 3'!H537:L537</f>
        <v>1231.44</v>
      </c>
      <c r="I86" s="739">
        <f>'А П 3'!I537:M537</f>
        <v>0</v>
      </c>
      <c r="J86" s="739">
        <f>'А П 3'!J537:N537</f>
        <v>0</v>
      </c>
      <c r="K86" s="739">
        <f>'А П 3'!K537:O537</f>
        <v>0</v>
      </c>
      <c r="L86" s="739">
        <f>'А П 3'!L537:P537</f>
        <v>0</v>
      </c>
      <c r="M86" s="739"/>
      <c r="N86" s="739"/>
      <c r="O86" s="739"/>
      <c r="P86" s="739"/>
      <c r="Q86" s="739"/>
      <c r="R86" s="739"/>
      <c r="S86" s="739"/>
    </row>
    <row r="87" spans="1:19" ht="26.25" hidden="1" customHeight="1" x14ac:dyDescent="0.3">
      <c r="A87" s="732">
        <f>'А П 3'!A538:E538</f>
        <v>0</v>
      </c>
      <c r="B87" s="733">
        <f>'А П 3'!B538:F538</f>
        <v>0</v>
      </c>
      <c r="C87" s="732">
        <f>'А П 3'!C538:G538</f>
        <v>0</v>
      </c>
      <c r="D87" s="732">
        <f>'А П 3'!D538:H538</f>
        <v>0</v>
      </c>
      <c r="E87" s="732">
        <f>'А П 3'!E538:I538</f>
        <v>0</v>
      </c>
      <c r="F87" s="743" t="str">
        <f>'А П 3'!F538:J538</f>
        <v>Средства бюджетов муниципальных образований Московской области</v>
      </c>
      <c r="G87" s="738">
        <f>'А П 3'!G538:K538</f>
        <v>0</v>
      </c>
      <c r="H87" s="739">
        <f>'А П 3'!H538:L538</f>
        <v>0</v>
      </c>
      <c r="I87" s="739">
        <f>'А П 3'!I538:M538</f>
        <v>0</v>
      </c>
      <c r="J87" s="739">
        <f>'А П 3'!J538:N538</f>
        <v>0</v>
      </c>
      <c r="K87" s="739">
        <f>'А П 3'!K538:O538</f>
        <v>0</v>
      </c>
      <c r="L87" s="739">
        <f>'А П 3'!L538:P538</f>
        <v>0</v>
      </c>
      <c r="M87" s="739"/>
      <c r="N87" s="739"/>
      <c r="O87" s="739"/>
      <c r="P87" s="739"/>
      <c r="Q87" s="739"/>
      <c r="R87" s="739"/>
      <c r="S87" s="739"/>
    </row>
    <row r="88" spans="1:19" s="777" customFormat="1" ht="26.25" customHeight="1" x14ac:dyDescent="0.3">
      <c r="A88" s="772" t="str">
        <f>'А П 3'!A539:E539</f>
        <v>3.1.1.4</v>
      </c>
      <c r="B88" s="773" t="str">
        <f>'А П 3'!B539:F539</f>
        <v>Городское поселение Софрино Пушкинского муниципального района</v>
      </c>
      <c r="C88" s="772">
        <f>'А П 3'!C539:G539</f>
        <v>0</v>
      </c>
      <c r="D88" s="772">
        <f>'А П 3'!D539:H539</f>
        <v>0</v>
      </c>
      <c r="E88" s="772">
        <f>'А П 3'!E539:I539</f>
        <v>0</v>
      </c>
      <c r="F88" s="774" t="str">
        <f>'А П 3'!F539:J539</f>
        <v>Итого</v>
      </c>
      <c r="G88" s="775">
        <f>'А П 3'!G539:K539</f>
        <v>375644.1</v>
      </c>
      <c r="H88" s="776">
        <f>'А П 3'!H539:L539</f>
        <v>375644.1</v>
      </c>
      <c r="I88" s="776">
        <f>'А П 3'!I539:M539</f>
        <v>0</v>
      </c>
      <c r="J88" s="776">
        <f>'А П 3'!J539:N539</f>
        <v>0</v>
      </c>
      <c r="K88" s="776">
        <f>'А П 3'!K539:O539</f>
        <v>0</v>
      </c>
      <c r="L88" s="776">
        <f>'А П 3'!L539:P539</f>
        <v>0</v>
      </c>
      <c r="M88" s="776"/>
      <c r="N88" s="776"/>
      <c r="O88" s="776"/>
      <c r="P88" s="776"/>
      <c r="Q88" s="776"/>
      <c r="R88" s="776"/>
      <c r="S88" s="776"/>
    </row>
    <row r="89" spans="1:19" ht="26.25" customHeight="1" x14ac:dyDescent="0.3">
      <c r="A89" s="732"/>
      <c r="B89" s="733"/>
      <c r="C89" s="732">
        <f>'А П 3'!C540:G540</f>
        <v>0</v>
      </c>
      <c r="D89" s="732">
        <f>'А П 3'!D540:H540</f>
        <v>0</v>
      </c>
      <c r="E89" s="732">
        <f>'А П 3'!E540:I540</f>
        <v>0</v>
      </c>
      <c r="F89" s="743" t="str">
        <f>'А П 3'!F540:J540</f>
        <v>Средства бюджета Московской области</v>
      </c>
      <c r="G89" s="738">
        <f>'А П 3'!G540:K540</f>
        <v>351504.76</v>
      </c>
      <c r="H89" s="739">
        <f>'А П 3'!H540:L540</f>
        <v>351504.76</v>
      </c>
      <c r="I89" s="739">
        <f>'А П 3'!I540:M540</f>
        <v>0</v>
      </c>
      <c r="J89" s="739">
        <f>'А П 3'!J540:N540</f>
        <v>0</v>
      </c>
      <c r="K89" s="739">
        <f>'А П 3'!K540:O540</f>
        <v>0</v>
      </c>
      <c r="L89" s="739">
        <f>'А П 3'!L540:P540</f>
        <v>0</v>
      </c>
      <c r="M89" s="739"/>
      <c r="N89" s="739"/>
      <c r="O89" s="739"/>
      <c r="P89" s="739"/>
      <c r="Q89" s="739"/>
      <c r="R89" s="739"/>
      <c r="S89" s="739"/>
    </row>
    <row r="90" spans="1:19" ht="26.25" customHeight="1" x14ac:dyDescent="0.3">
      <c r="A90" s="732"/>
      <c r="B90" s="733"/>
      <c r="C90" s="732">
        <f>'А П 3'!C541:G541</f>
        <v>0</v>
      </c>
      <c r="D90" s="732">
        <f>'А П 3'!D541:H541</f>
        <v>0</v>
      </c>
      <c r="E90" s="732">
        <f>'А П 3'!E541:I541</f>
        <v>0</v>
      </c>
      <c r="F90" s="743" t="str">
        <f>'А П 3'!F541:J541</f>
        <v>Средства бюджетов муниципальных образований Московской области</v>
      </c>
      <c r="G90" s="738">
        <f>'А П 3'!G541:K541</f>
        <v>24139.34</v>
      </c>
      <c r="H90" s="739">
        <f>'А П 3'!H541:L541</f>
        <v>24139.34</v>
      </c>
      <c r="I90" s="739">
        <f>'А П 3'!I541:M541</f>
        <v>0</v>
      </c>
      <c r="J90" s="739">
        <f>'А П 3'!J541:N541</f>
        <v>0</v>
      </c>
      <c r="K90" s="739">
        <f>'А П 3'!K541:O541</f>
        <v>0</v>
      </c>
      <c r="L90" s="739">
        <f>'А П 3'!L541:P541</f>
        <v>0</v>
      </c>
      <c r="M90" s="739"/>
      <c r="N90" s="739"/>
      <c r="O90" s="739"/>
      <c r="P90" s="739"/>
      <c r="Q90" s="739"/>
      <c r="R90" s="739"/>
      <c r="S90" s="739"/>
    </row>
    <row r="91" spans="1:19" ht="26.25" hidden="1" customHeight="1" x14ac:dyDescent="0.3">
      <c r="A91" s="732" t="str">
        <f>'А П 3'!A542:E542</f>
        <v>1</v>
      </c>
      <c r="B91" s="733" t="str">
        <f>'А П 3'!B542:F542</f>
        <v>Капитальный ремонт сетей теплоснабжения (участки № 1 - № 14) (в том числе на финансирование выполненного, но не оплаченного (частично оплаченного) в предыдущем финансовом году, мероприятия -
55 807,44013 тыс. руб.), г.п.Софрино
   (перенос инженерия)</v>
      </c>
      <c r="C91" s="732">
        <f>'А П 3'!C542:G542</f>
        <v>0</v>
      </c>
      <c r="D91" s="732">
        <f>'А П 3'!D542:H542</f>
        <v>0</v>
      </c>
      <c r="E91" s="732">
        <f>'А П 3'!E542:I542</f>
        <v>0</v>
      </c>
      <c r="F91" s="743" t="str">
        <f>'А П 3'!F542:J542</f>
        <v>Итого</v>
      </c>
      <c r="G91" s="738">
        <f>'А П 3'!G542:K542</f>
        <v>36574.47</v>
      </c>
      <c r="H91" s="739">
        <f>'А П 3'!H542:L542</f>
        <v>36574.47</v>
      </c>
      <c r="I91" s="739">
        <f>'А П 3'!I542:M542</f>
        <v>0</v>
      </c>
      <c r="J91" s="739">
        <f>'А П 3'!J542:N542</f>
        <v>0</v>
      </c>
      <c r="K91" s="739">
        <f>'А П 3'!K542:O542</f>
        <v>0</v>
      </c>
      <c r="L91" s="739">
        <f>'А П 3'!L542:P542</f>
        <v>0</v>
      </c>
      <c r="M91" s="739"/>
      <c r="N91" s="739"/>
      <c r="O91" s="739"/>
      <c r="P91" s="739"/>
      <c r="Q91" s="739"/>
      <c r="R91" s="739"/>
      <c r="S91" s="739"/>
    </row>
    <row r="92" spans="1:19" ht="26.25" hidden="1" customHeight="1" x14ac:dyDescent="0.3">
      <c r="A92" s="732">
        <f>'А П 3'!A543:E543</f>
        <v>0</v>
      </c>
      <c r="B92" s="733">
        <f>'А П 3'!B543:F543</f>
        <v>0</v>
      </c>
      <c r="C92" s="732">
        <f>'А П 3'!C543:G543</f>
        <v>0</v>
      </c>
      <c r="D92" s="732">
        <f>'А П 3'!D543:H543</f>
        <v>0</v>
      </c>
      <c r="E92" s="732">
        <f>'А П 3'!E543:I543</f>
        <v>0</v>
      </c>
      <c r="F92" s="743" t="str">
        <f>'А П 3'!F543:J543</f>
        <v>Средства бюджета Московской области</v>
      </c>
      <c r="G92" s="738">
        <f>'А П 3'!G543:K543</f>
        <v>34745.75</v>
      </c>
      <c r="H92" s="739">
        <f>'А П 3'!H543:L543</f>
        <v>34745.75</v>
      </c>
      <c r="I92" s="739">
        <f>'А П 3'!I543:M543</f>
        <v>0</v>
      </c>
      <c r="J92" s="739">
        <f>'А П 3'!J543:N543</f>
        <v>0</v>
      </c>
      <c r="K92" s="739">
        <f>'А П 3'!K543:O543</f>
        <v>0</v>
      </c>
      <c r="L92" s="739">
        <f>'А П 3'!L543:P543</f>
        <v>0</v>
      </c>
      <c r="M92" s="739"/>
      <c r="N92" s="739"/>
      <c r="O92" s="739"/>
      <c r="P92" s="739"/>
      <c r="Q92" s="739"/>
      <c r="R92" s="739"/>
      <c r="S92" s="739"/>
    </row>
    <row r="93" spans="1:19" ht="26.25" hidden="1" customHeight="1" x14ac:dyDescent="0.3">
      <c r="A93" s="732">
        <f>'А П 3'!A544:E544</f>
        <v>0</v>
      </c>
      <c r="B93" s="733">
        <f>'А П 3'!B544:F544</f>
        <v>0</v>
      </c>
      <c r="C93" s="732">
        <f>'А П 3'!C544:G544</f>
        <v>0</v>
      </c>
      <c r="D93" s="732">
        <f>'А П 3'!D544:H544</f>
        <v>0</v>
      </c>
      <c r="E93" s="732">
        <f>'А П 3'!E544:I544</f>
        <v>0</v>
      </c>
      <c r="F93" s="743" t="str">
        <f>'А П 3'!F544:J544</f>
        <v>Средства бюджетов муниципальных образований Московской области</v>
      </c>
      <c r="G93" s="738">
        <f>'А П 3'!G544:K544</f>
        <v>1828.72</v>
      </c>
      <c r="H93" s="739">
        <f>'А П 3'!H544:L544</f>
        <v>1828.72</v>
      </c>
      <c r="I93" s="739">
        <f>'А П 3'!I544:M544</f>
        <v>0</v>
      </c>
      <c r="J93" s="739">
        <f>'А П 3'!J544:N544</f>
        <v>0</v>
      </c>
      <c r="K93" s="739">
        <f>'А П 3'!K544:O544</f>
        <v>0</v>
      </c>
      <c r="L93" s="739">
        <f>'А П 3'!L544:P544</f>
        <v>0</v>
      </c>
      <c r="M93" s="739"/>
      <c r="N93" s="739"/>
      <c r="O93" s="739"/>
      <c r="P93" s="739"/>
      <c r="Q93" s="739"/>
      <c r="R93" s="739"/>
      <c r="S93" s="739"/>
    </row>
    <row r="94" spans="1:19" ht="26.25" hidden="1" customHeight="1" x14ac:dyDescent="0.3">
      <c r="A94" s="732" t="str">
        <f>'А П 3'!A545:E545</f>
        <v>2</v>
      </c>
      <c r="B94" s="733" t="str">
        <f>'А П 3'!B545:F545</f>
        <v>Капитальный ремонт сетей ГВС  по адресу: военный городок № 19 п. Софрино-1   (перенос инженерия)</v>
      </c>
      <c r="C94" s="732">
        <f>'А П 3'!C545:G545</f>
        <v>0</v>
      </c>
      <c r="D94" s="732">
        <f>'А П 3'!D545:H545</f>
        <v>0</v>
      </c>
      <c r="E94" s="732">
        <f>'А П 3'!E545:I545</f>
        <v>0</v>
      </c>
      <c r="F94" s="743" t="str">
        <f>'А П 3'!F545:J545</f>
        <v>Итого</v>
      </c>
      <c r="G94" s="738">
        <f>'А П 3'!G545:K545</f>
        <v>1297.49</v>
      </c>
      <c r="H94" s="739">
        <f>'А П 3'!H545:L545</f>
        <v>1297.49</v>
      </c>
      <c r="I94" s="739">
        <f>'А П 3'!I545:M545</f>
        <v>0</v>
      </c>
      <c r="J94" s="739">
        <f>'А П 3'!J545:N545</f>
        <v>0</v>
      </c>
      <c r="K94" s="739">
        <f>'А П 3'!K545:O545</f>
        <v>0</v>
      </c>
      <c r="L94" s="739">
        <f>'А П 3'!L545:P545</f>
        <v>0</v>
      </c>
      <c r="M94" s="739"/>
      <c r="N94" s="739"/>
      <c r="O94" s="739"/>
      <c r="P94" s="739"/>
      <c r="Q94" s="739"/>
      <c r="R94" s="739"/>
      <c r="S94" s="739"/>
    </row>
    <row r="95" spans="1:19" ht="26.25" hidden="1" customHeight="1" x14ac:dyDescent="0.3">
      <c r="A95" s="732">
        <f>'А П 3'!A546:E546</f>
        <v>0</v>
      </c>
      <c r="B95" s="733">
        <f>'А П 3'!B546:F546</f>
        <v>0</v>
      </c>
      <c r="C95" s="732">
        <f>'А П 3'!C546:G546</f>
        <v>0</v>
      </c>
      <c r="D95" s="732">
        <f>'А П 3'!D546:H546</f>
        <v>0</v>
      </c>
      <c r="E95" s="732">
        <f>'А П 3'!E546:I546</f>
        <v>0</v>
      </c>
      <c r="F95" s="743" t="str">
        <f>'А П 3'!F546:J546</f>
        <v>Средства бюджета Московской области</v>
      </c>
      <c r="G95" s="738">
        <f>'А П 3'!G546:K546</f>
        <v>1232.6099999999999</v>
      </c>
      <c r="H95" s="739">
        <f>'А П 3'!H546:L546</f>
        <v>1232.6099999999999</v>
      </c>
      <c r="I95" s="739">
        <f>'А П 3'!I546:M546</f>
        <v>0</v>
      </c>
      <c r="J95" s="739">
        <f>'А П 3'!J546:N546</f>
        <v>0</v>
      </c>
      <c r="K95" s="739">
        <f>'А П 3'!K546:O546</f>
        <v>0</v>
      </c>
      <c r="L95" s="739">
        <f>'А П 3'!L546:P546</f>
        <v>0</v>
      </c>
      <c r="M95" s="739"/>
      <c r="N95" s="739"/>
      <c r="O95" s="739"/>
      <c r="P95" s="739"/>
      <c r="Q95" s="739"/>
      <c r="R95" s="739"/>
      <c r="S95" s="739"/>
    </row>
    <row r="96" spans="1:19" ht="26.25" hidden="1" customHeight="1" x14ac:dyDescent="0.3">
      <c r="A96" s="732">
        <f>'А П 3'!A547:E547</f>
        <v>0</v>
      </c>
      <c r="B96" s="733">
        <f>'А П 3'!B547:F547</f>
        <v>0</v>
      </c>
      <c r="C96" s="732">
        <f>'А П 3'!C547:G547</f>
        <v>0</v>
      </c>
      <c r="D96" s="732">
        <f>'А П 3'!D547:H547</f>
        <v>0</v>
      </c>
      <c r="E96" s="732">
        <f>'А П 3'!E547:I547</f>
        <v>0</v>
      </c>
      <c r="F96" s="743" t="str">
        <f>'А П 3'!F547:J547</f>
        <v>Средства бюджетов муниципальных образований Московской области</v>
      </c>
      <c r="G96" s="738">
        <f>'А П 3'!G547:K547</f>
        <v>64.88</v>
      </c>
      <c r="H96" s="739">
        <f>'А П 3'!H547:L547</f>
        <v>64.88</v>
      </c>
      <c r="I96" s="739">
        <f>'А П 3'!I547:M547</f>
        <v>0</v>
      </c>
      <c r="J96" s="739">
        <f>'А П 3'!J547:N547</f>
        <v>0</v>
      </c>
      <c r="K96" s="739">
        <f>'А П 3'!K547:O547</f>
        <v>0</v>
      </c>
      <c r="L96" s="739">
        <f>'А П 3'!L547:P547</f>
        <v>0</v>
      </c>
      <c r="M96" s="739"/>
      <c r="N96" s="739"/>
      <c r="O96" s="739"/>
      <c r="P96" s="739"/>
      <c r="Q96" s="739"/>
      <c r="R96" s="739"/>
      <c r="S96" s="739"/>
    </row>
    <row r="97" spans="1:19" ht="26.25" hidden="1" customHeight="1" x14ac:dyDescent="0.3">
      <c r="A97" s="732" t="str">
        <f>'А П 3'!A548:E548</f>
        <v>3</v>
      </c>
      <c r="B97" s="733" t="str">
        <f>'А П 3'!B548:F548</f>
        <v>Капитальный ремонт сетей водоотведения (самотечная - фикальная канализация): по адресу военный городок № 19  п. Софрино-1   (перенос инженерия)</v>
      </c>
      <c r="C97" s="732">
        <f>'А П 3'!C548:G548</f>
        <v>0</v>
      </c>
      <c r="D97" s="732">
        <f>'А П 3'!D548:H548</f>
        <v>0</v>
      </c>
      <c r="E97" s="732">
        <f>'А П 3'!E548:I548</f>
        <v>0</v>
      </c>
      <c r="F97" s="743" t="str">
        <f>'А П 3'!F548:J548</f>
        <v>Итого</v>
      </c>
      <c r="G97" s="738">
        <f>'А П 3'!G548:K548</f>
        <v>176065.69</v>
      </c>
      <c r="H97" s="739">
        <f>'А П 3'!H548:L548</f>
        <v>176065.69</v>
      </c>
      <c r="I97" s="739">
        <f>'А П 3'!I548:M548</f>
        <v>0</v>
      </c>
      <c r="J97" s="739">
        <f>'А П 3'!J548:N548</f>
        <v>0</v>
      </c>
      <c r="K97" s="739">
        <f>'А П 3'!K548:O548</f>
        <v>0</v>
      </c>
      <c r="L97" s="739">
        <f>'А П 3'!L548:P548</f>
        <v>0</v>
      </c>
      <c r="M97" s="739"/>
      <c r="N97" s="739"/>
      <c r="O97" s="739"/>
      <c r="P97" s="739"/>
      <c r="Q97" s="739"/>
      <c r="R97" s="739"/>
      <c r="S97" s="739"/>
    </row>
    <row r="98" spans="1:19" ht="26.25" hidden="1" customHeight="1" x14ac:dyDescent="0.3">
      <c r="A98" s="732">
        <f>'А П 3'!A549:E549</f>
        <v>0</v>
      </c>
      <c r="B98" s="733">
        <f>'А П 3'!B549:F549</f>
        <v>0</v>
      </c>
      <c r="C98" s="732">
        <f>'А П 3'!C549:G549</f>
        <v>0</v>
      </c>
      <c r="D98" s="732">
        <f>'А П 3'!D549:H549</f>
        <v>0</v>
      </c>
      <c r="E98" s="732">
        <f>'А П 3'!E549:I549</f>
        <v>0</v>
      </c>
      <c r="F98" s="743" t="str">
        <f>'А П 3'!F549:J549</f>
        <v>Средства бюджета Московской области</v>
      </c>
      <c r="G98" s="738">
        <f>'А П 3'!G549:K549</f>
        <v>168118.32</v>
      </c>
      <c r="H98" s="739">
        <f>'А П 3'!H549:L549</f>
        <v>168118.32</v>
      </c>
      <c r="I98" s="739">
        <f>'А П 3'!I549:M549</f>
        <v>0</v>
      </c>
      <c r="J98" s="739">
        <f>'А П 3'!J549:N549</f>
        <v>0</v>
      </c>
      <c r="K98" s="739">
        <f>'А П 3'!K549:O549</f>
        <v>0</v>
      </c>
      <c r="L98" s="739">
        <f>'А П 3'!L549:P549</f>
        <v>0</v>
      </c>
      <c r="M98" s="739"/>
      <c r="N98" s="739"/>
      <c r="O98" s="739"/>
      <c r="P98" s="739"/>
      <c r="Q98" s="739"/>
      <c r="R98" s="739"/>
      <c r="S98" s="739"/>
    </row>
    <row r="99" spans="1:19" ht="26.25" hidden="1" customHeight="1" x14ac:dyDescent="0.3">
      <c r="A99" s="732">
        <f>'А П 3'!A550:E550</f>
        <v>0</v>
      </c>
      <c r="B99" s="733">
        <f>'А П 3'!B550:F550</f>
        <v>0</v>
      </c>
      <c r="C99" s="732">
        <f>'А П 3'!C550:G550</f>
        <v>0</v>
      </c>
      <c r="D99" s="732">
        <f>'А П 3'!D550:H550</f>
        <v>0</v>
      </c>
      <c r="E99" s="732">
        <f>'А П 3'!E550:I550</f>
        <v>0</v>
      </c>
      <c r="F99" s="743" t="str">
        <f>'А П 3'!F550:J550</f>
        <v>Средства бюджетов муниципальных образований Московской области</v>
      </c>
      <c r="G99" s="738">
        <f>'А П 3'!G550:K550</f>
        <v>7947.37</v>
      </c>
      <c r="H99" s="739">
        <f>'А П 3'!H550:L550</f>
        <v>7947.37</v>
      </c>
      <c r="I99" s="739">
        <f>'А П 3'!I550:M550</f>
        <v>0</v>
      </c>
      <c r="J99" s="739">
        <f>'А П 3'!J550:N550</f>
        <v>0</v>
      </c>
      <c r="K99" s="739">
        <f>'А П 3'!K550:O550</f>
        <v>0</v>
      </c>
      <c r="L99" s="739">
        <f>'А П 3'!L550:P550</f>
        <v>0</v>
      </c>
      <c r="M99" s="739"/>
      <c r="N99" s="739"/>
      <c r="O99" s="739"/>
      <c r="P99" s="739"/>
      <c r="Q99" s="739"/>
      <c r="R99" s="739"/>
      <c r="S99" s="739"/>
    </row>
    <row r="100" spans="1:19" ht="26.25" hidden="1" customHeight="1" x14ac:dyDescent="0.3">
      <c r="A100" s="732" t="str">
        <f>'А П 3'!A551:E551</f>
        <v>4</v>
      </c>
      <c r="B100" s="733" t="str">
        <f>'А П 3'!B551:F551</f>
        <v>Капитальный ремонт сетей водоотведения (самотечная канализация): по адресу военный городок № 19  п. Софрино-1   (перенос инженерия)</v>
      </c>
      <c r="C100" s="732">
        <f>'А П 3'!C551:G551</f>
        <v>0</v>
      </c>
      <c r="D100" s="732">
        <f>'А П 3'!D551:H551</f>
        <v>0</v>
      </c>
      <c r="E100" s="732">
        <f>'А П 3'!E551:I551</f>
        <v>0</v>
      </c>
      <c r="F100" s="743" t="str">
        <f>'А П 3'!F551:J551</f>
        <v>Итого</v>
      </c>
      <c r="G100" s="738">
        <f>'А П 3'!G551:K551</f>
        <v>1835.04</v>
      </c>
      <c r="H100" s="739">
        <f>'А П 3'!H551:L551</f>
        <v>1835.04</v>
      </c>
      <c r="I100" s="739">
        <f>'А П 3'!I551:M551</f>
        <v>0</v>
      </c>
      <c r="J100" s="739">
        <f>'А П 3'!J551:N551</f>
        <v>0</v>
      </c>
      <c r="K100" s="739">
        <f>'А П 3'!K551:O551</f>
        <v>0</v>
      </c>
      <c r="L100" s="739">
        <f>'А П 3'!L551:P551</f>
        <v>0</v>
      </c>
      <c r="M100" s="739"/>
      <c r="N100" s="739"/>
      <c r="O100" s="739"/>
      <c r="P100" s="739"/>
      <c r="Q100" s="739"/>
      <c r="R100" s="739"/>
      <c r="S100" s="739"/>
    </row>
    <row r="101" spans="1:19" ht="26.25" hidden="1" customHeight="1" x14ac:dyDescent="0.3">
      <c r="A101" s="732">
        <f>'А П 3'!A552:E552</f>
        <v>0</v>
      </c>
      <c r="B101" s="733">
        <f>'А П 3'!B552:F552</f>
        <v>0</v>
      </c>
      <c r="C101" s="732">
        <f>'А П 3'!C552:G552</f>
        <v>0</v>
      </c>
      <c r="D101" s="732">
        <f>'А П 3'!D552:H552</f>
        <v>0</v>
      </c>
      <c r="E101" s="732">
        <f>'А П 3'!E552:I552</f>
        <v>0</v>
      </c>
      <c r="F101" s="743" t="str">
        <f>'А П 3'!F552:J552</f>
        <v>Средства бюджета Московской области</v>
      </c>
      <c r="G101" s="738">
        <f>'А П 3'!G552:K552</f>
        <v>1806.1</v>
      </c>
      <c r="H101" s="739">
        <f>'А П 3'!H552:L552</f>
        <v>1806.1</v>
      </c>
      <c r="I101" s="739">
        <f>'А П 3'!I552:M552</f>
        <v>0</v>
      </c>
      <c r="J101" s="739">
        <f>'А П 3'!J552:N552</f>
        <v>0</v>
      </c>
      <c r="K101" s="739">
        <f>'А П 3'!K552:O552</f>
        <v>0</v>
      </c>
      <c r="L101" s="739">
        <f>'А П 3'!L552:P552</f>
        <v>0</v>
      </c>
      <c r="M101" s="739"/>
      <c r="N101" s="739"/>
      <c r="O101" s="739"/>
      <c r="P101" s="739"/>
      <c r="Q101" s="739"/>
      <c r="R101" s="739"/>
      <c r="S101" s="739"/>
    </row>
    <row r="102" spans="1:19" ht="26.25" hidden="1" customHeight="1" x14ac:dyDescent="0.3">
      <c r="A102" s="732">
        <f>'А П 3'!A553:E553</f>
        <v>0</v>
      </c>
      <c r="B102" s="733">
        <f>'А П 3'!B553:F553</f>
        <v>0</v>
      </c>
      <c r="C102" s="732">
        <f>'А П 3'!C553:G553</f>
        <v>0</v>
      </c>
      <c r="D102" s="732">
        <f>'А П 3'!D553:H553</f>
        <v>0</v>
      </c>
      <c r="E102" s="732">
        <f>'А П 3'!E553:I553</f>
        <v>0</v>
      </c>
      <c r="F102" s="743" t="str">
        <f>'А П 3'!F553:J553</f>
        <v>Средства бюджетов муниципальных образований Московской области</v>
      </c>
      <c r="G102" s="738">
        <f>'А П 3'!G553:K553</f>
        <v>28.94</v>
      </c>
      <c r="H102" s="739">
        <f>'А П 3'!H553:L553</f>
        <v>28.94</v>
      </c>
      <c r="I102" s="739">
        <f>'А П 3'!I553:M553</f>
        <v>0</v>
      </c>
      <c r="J102" s="739">
        <f>'А П 3'!J553:N553</f>
        <v>0</v>
      </c>
      <c r="K102" s="739">
        <f>'А П 3'!K553:O553</f>
        <v>0</v>
      </c>
      <c r="L102" s="739">
        <f>'А П 3'!L553:P553</f>
        <v>0</v>
      </c>
      <c r="M102" s="739"/>
      <c r="N102" s="739"/>
      <c r="O102" s="739"/>
      <c r="P102" s="739"/>
      <c r="Q102" s="739"/>
      <c r="R102" s="739"/>
      <c r="S102" s="739"/>
    </row>
    <row r="103" spans="1:19" ht="26.25" hidden="1" customHeight="1" x14ac:dyDescent="0.3">
      <c r="A103" s="732" t="str">
        <f>'А П 3'!A554:E554</f>
        <v>5</v>
      </c>
      <c r="B103" s="733" t="str">
        <f>'А П 3'!B554:F554</f>
        <v>Капитальный ремонт артскважины № 3 ВНС в/г  19 г.п. Софрино</v>
      </c>
      <c r="C103" s="732">
        <f>'А П 3'!C554:G554</f>
        <v>0</v>
      </c>
      <c r="D103" s="732">
        <f>'А П 3'!D554:H554</f>
        <v>0</v>
      </c>
      <c r="E103" s="732">
        <f>'А П 3'!E554:I554</f>
        <v>0</v>
      </c>
      <c r="F103" s="743" t="str">
        <f>'А П 3'!F554:J554</f>
        <v>Итого</v>
      </c>
      <c r="G103" s="738">
        <f>'А П 3'!G554:K554</f>
        <v>6003.5</v>
      </c>
      <c r="H103" s="739">
        <f>'А П 3'!H554:L554</f>
        <v>6003.5</v>
      </c>
      <c r="I103" s="739">
        <f>'А П 3'!I554:M554</f>
        <v>0</v>
      </c>
      <c r="J103" s="739">
        <f>'А П 3'!J554:N554</f>
        <v>0</v>
      </c>
      <c r="K103" s="739">
        <f>'А П 3'!K554:O554</f>
        <v>0</v>
      </c>
      <c r="L103" s="739">
        <f>'А П 3'!L554:P554</f>
        <v>0</v>
      </c>
      <c r="M103" s="739"/>
      <c r="N103" s="739"/>
      <c r="O103" s="739"/>
      <c r="P103" s="739"/>
      <c r="Q103" s="739"/>
      <c r="R103" s="739"/>
      <c r="S103" s="739"/>
    </row>
    <row r="104" spans="1:19" ht="26.25" hidden="1" customHeight="1" x14ac:dyDescent="0.3">
      <c r="A104" s="732">
        <f>'А П 3'!A555:E555</f>
        <v>0</v>
      </c>
      <c r="B104" s="733">
        <f>'А П 3'!B555:F555</f>
        <v>0</v>
      </c>
      <c r="C104" s="732">
        <f>'А П 3'!C555:G555</f>
        <v>0</v>
      </c>
      <c r="D104" s="732">
        <f>'А П 3'!D555:H555</f>
        <v>0</v>
      </c>
      <c r="E104" s="732">
        <f>'А П 3'!E555:I555</f>
        <v>0</v>
      </c>
      <c r="F104" s="743" t="str">
        <f>'А П 3'!F555:J555</f>
        <v>Средства бюджета Московской области</v>
      </c>
      <c r="G104" s="738">
        <f>'А П 3'!G555:K555</f>
        <v>5403.15</v>
      </c>
      <c r="H104" s="739">
        <f>'А П 3'!H555:L555</f>
        <v>5403.15</v>
      </c>
      <c r="I104" s="739">
        <f>'А П 3'!I555:M555</f>
        <v>0</v>
      </c>
      <c r="J104" s="739">
        <f>'А П 3'!J555:N555</f>
        <v>0</v>
      </c>
      <c r="K104" s="739">
        <f>'А П 3'!K555:O555</f>
        <v>0</v>
      </c>
      <c r="L104" s="739">
        <f>'А П 3'!L555:P555</f>
        <v>0</v>
      </c>
      <c r="M104" s="739"/>
      <c r="N104" s="739"/>
      <c r="O104" s="739"/>
      <c r="P104" s="739"/>
      <c r="Q104" s="739"/>
      <c r="R104" s="739"/>
      <c r="S104" s="739"/>
    </row>
    <row r="105" spans="1:19" ht="26.25" hidden="1" customHeight="1" x14ac:dyDescent="0.3">
      <c r="A105" s="732">
        <f>'А П 3'!A556:E556</f>
        <v>0</v>
      </c>
      <c r="B105" s="733">
        <f>'А П 3'!B556:F556</f>
        <v>0</v>
      </c>
      <c r="C105" s="732">
        <f>'А П 3'!C556:G556</f>
        <v>0</v>
      </c>
      <c r="D105" s="732">
        <f>'А П 3'!D556:H556</f>
        <v>0</v>
      </c>
      <c r="E105" s="732">
        <f>'А П 3'!E556:I556</f>
        <v>0</v>
      </c>
      <c r="F105" s="743" t="str">
        <f>'А П 3'!F556:J556</f>
        <v>Средства бюджетов муниципальных образований Московской области</v>
      </c>
      <c r="G105" s="738">
        <f>'А П 3'!G556:K556</f>
        <v>600.35</v>
      </c>
      <c r="H105" s="739">
        <f>'А П 3'!H556:L556</f>
        <v>600.35</v>
      </c>
      <c r="I105" s="739">
        <f>'А П 3'!I556:M556</f>
        <v>0</v>
      </c>
      <c r="J105" s="739">
        <f>'А П 3'!J556:N556</f>
        <v>0</v>
      </c>
      <c r="K105" s="739">
        <f>'А П 3'!K556:O556</f>
        <v>0</v>
      </c>
      <c r="L105" s="739">
        <f>'А П 3'!L556:P556</f>
        <v>0</v>
      </c>
      <c r="M105" s="739"/>
      <c r="N105" s="739"/>
      <c r="O105" s="739"/>
      <c r="P105" s="739"/>
      <c r="Q105" s="739"/>
      <c r="R105" s="739"/>
      <c r="S105" s="739"/>
    </row>
    <row r="106" spans="1:19" ht="26.25" hidden="1" customHeight="1" x14ac:dyDescent="0.3">
      <c r="A106" s="732" t="str">
        <f>'А П 3'!A557:E557</f>
        <v>6</v>
      </c>
      <c r="B106" s="733" t="str">
        <f>'А П 3'!B557:F557</f>
        <v>Капитальный ремонт артскважины № 4 ВНС в/г  19 г.п. Софрино</v>
      </c>
      <c r="C106" s="732">
        <f>'А П 3'!C557:G557</f>
        <v>0</v>
      </c>
      <c r="D106" s="732">
        <f>'А П 3'!D557:H557</f>
        <v>0</v>
      </c>
      <c r="E106" s="732">
        <f>'А П 3'!E557:I557</f>
        <v>0</v>
      </c>
      <c r="F106" s="743" t="str">
        <f>'А П 3'!F557:J557</f>
        <v>Итого</v>
      </c>
      <c r="G106" s="738">
        <f>'А П 3'!G557:K557</f>
        <v>5989.27</v>
      </c>
      <c r="H106" s="739">
        <f>'А П 3'!H557:L557</f>
        <v>5989.27</v>
      </c>
      <c r="I106" s="739">
        <f>'А П 3'!I557:M557</f>
        <v>0</v>
      </c>
      <c r="J106" s="739">
        <f>'А П 3'!J557:N557</f>
        <v>0</v>
      </c>
      <c r="K106" s="739">
        <f>'А П 3'!K557:O557</f>
        <v>0</v>
      </c>
      <c r="L106" s="739">
        <f>'А П 3'!L557:P557</f>
        <v>0</v>
      </c>
      <c r="M106" s="739"/>
      <c r="N106" s="739"/>
      <c r="O106" s="739"/>
      <c r="P106" s="739"/>
      <c r="Q106" s="739"/>
      <c r="R106" s="739"/>
      <c r="S106" s="739"/>
    </row>
    <row r="107" spans="1:19" ht="26.25" hidden="1" customHeight="1" x14ac:dyDescent="0.3">
      <c r="A107" s="732">
        <f>'А П 3'!A558:E558</f>
        <v>0</v>
      </c>
      <c r="B107" s="733">
        <f>'А П 3'!B558:F558</f>
        <v>0</v>
      </c>
      <c r="C107" s="732">
        <f>'А П 3'!C558:G558</f>
        <v>0</v>
      </c>
      <c r="D107" s="732">
        <f>'А П 3'!D558:H558</f>
        <v>0</v>
      </c>
      <c r="E107" s="732">
        <f>'А П 3'!E558:I558</f>
        <v>0</v>
      </c>
      <c r="F107" s="743" t="str">
        <f>'А П 3'!F558:J558</f>
        <v>Средства бюджета Московской области</v>
      </c>
      <c r="G107" s="738">
        <f>'А П 3'!G558:K558</f>
        <v>5390.34</v>
      </c>
      <c r="H107" s="739">
        <f>'А П 3'!H558:L558</f>
        <v>5390.34</v>
      </c>
      <c r="I107" s="739">
        <f>'А П 3'!I558:M558</f>
        <v>0</v>
      </c>
      <c r="J107" s="739">
        <f>'А П 3'!J558:N558</f>
        <v>0</v>
      </c>
      <c r="K107" s="739">
        <f>'А П 3'!K558:O558</f>
        <v>0</v>
      </c>
      <c r="L107" s="739">
        <f>'А П 3'!L558:P558</f>
        <v>0</v>
      </c>
      <c r="M107" s="739"/>
      <c r="N107" s="739"/>
      <c r="O107" s="739"/>
      <c r="P107" s="739"/>
      <c r="Q107" s="739"/>
      <c r="R107" s="739"/>
      <c r="S107" s="739"/>
    </row>
    <row r="108" spans="1:19" ht="26.25" hidden="1" customHeight="1" x14ac:dyDescent="0.3">
      <c r="A108" s="732">
        <f>'А П 3'!A559:E559</f>
        <v>0</v>
      </c>
      <c r="B108" s="733">
        <f>'А П 3'!B559:F559</f>
        <v>0</v>
      </c>
      <c r="C108" s="732">
        <f>'А П 3'!C559:G559</f>
        <v>0</v>
      </c>
      <c r="D108" s="732">
        <f>'А П 3'!D559:H559</f>
        <v>0</v>
      </c>
      <c r="E108" s="732">
        <f>'А П 3'!E559:I559</f>
        <v>0</v>
      </c>
      <c r="F108" s="743" t="str">
        <f>'А П 3'!F559:J559</f>
        <v>Средства бюджетов муниципальных образований Московской области</v>
      </c>
      <c r="G108" s="738">
        <f>'А П 3'!G559:K559</f>
        <v>598.92999999999995</v>
      </c>
      <c r="H108" s="739">
        <f>'А П 3'!H559:L559</f>
        <v>598.92999999999995</v>
      </c>
      <c r="I108" s="739">
        <f>'А П 3'!I559:M559</f>
        <v>0</v>
      </c>
      <c r="J108" s="739">
        <f>'А П 3'!J559:N559</f>
        <v>0</v>
      </c>
      <c r="K108" s="739">
        <f>'А П 3'!K559:O559</f>
        <v>0</v>
      </c>
      <c r="L108" s="739">
        <f>'А П 3'!L559:P559</f>
        <v>0</v>
      </c>
      <c r="M108" s="739"/>
      <c r="N108" s="739"/>
      <c r="O108" s="739"/>
      <c r="P108" s="739"/>
      <c r="Q108" s="739"/>
      <c r="R108" s="739"/>
      <c r="S108" s="739"/>
    </row>
    <row r="109" spans="1:19" ht="26.25" hidden="1" customHeight="1" x14ac:dyDescent="0.3">
      <c r="A109" s="732" t="str">
        <f>'А П 3'!A560:E560</f>
        <v>7</v>
      </c>
      <c r="B109" s="733" t="str">
        <f>'А П 3'!B560:F560</f>
        <v xml:space="preserve"> Капитальный ремонт напорного коллектора канализации диам. 150 мм. Протяж. 1200 п/м от от КНС-150 до КНС-108 в/г  19 г.п. Софрино</v>
      </c>
      <c r="C109" s="732">
        <f>'А П 3'!C560:G560</f>
        <v>0</v>
      </c>
      <c r="D109" s="732">
        <f>'А П 3'!D560:H560</f>
        <v>0</v>
      </c>
      <c r="E109" s="732">
        <f>'А П 3'!E560:I560</f>
        <v>0</v>
      </c>
      <c r="F109" s="743" t="str">
        <f>'А П 3'!F560:J560</f>
        <v>Итого</v>
      </c>
      <c r="G109" s="738">
        <f>'А П 3'!G560:K560</f>
        <v>11283.09</v>
      </c>
      <c r="H109" s="739">
        <f>'А П 3'!H560:L560</f>
        <v>11283.09</v>
      </c>
      <c r="I109" s="739">
        <f>'А П 3'!I560:M560</f>
        <v>0</v>
      </c>
      <c r="J109" s="739">
        <f>'А П 3'!J560:N560</f>
        <v>0</v>
      </c>
      <c r="K109" s="739">
        <f>'А П 3'!K560:O560</f>
        <v>0</v>
      </c>
      <c r="L109" s="739">
        <f>'А П 3'!L560:P560</f>
        <v>0</v>
      </c>
      <c r="M109" s="739"/>
      <c r="N109" s="739"/>
      <c r="O109" s="739"/>
      <c r="P109" s="739"/>
      <c r="Q109" s="739"/>
      <c r="R109" s="739"/>
      <c r="S109" s="739"/>
    </row>
    <row r="110" spans="1:19" ht="26.25" hidden="1" customHeight="1" x14ac:dyDescent="0.3">
      <c r="A110" s="732">
        <f>'А П 3'!A561:E561</f>
        <v>0</v>
      </c>
      <c r="B110" s="733">
        <f>'А П 3'!B561:F561</f>
        <v>0</v>
      </c>
      <c r="C110" s="732">
        <f>'А П 3'!C561:G561</f>
        <v>0</v>
      </c>
      <c r="D110" s="732">
        <f>'А П 3'!D561:H561</f>
        <v>0</v>
      </c>
      <c r="E110" s="732">
        <f>'А П 3'!E561:I561</f>
        <v>0</v>
      </c>
      <c r="F110" s="743" t="str">
        <f>'А П 3'!F561:J561</f>
        <v>Средства бюджета Московской области</v>
      </c>
      <c r="G110" s="738">
        <f>'А П 3'!G561:K561</f>
        <v>10154.780000000001</v>
      </c>
      <c r="H110" s="739">
        <f>'А П 3'!H561:L561</f>
        <v>10154.780000000001</v>
      </c>
      <c r="I110" s="739">
        <f>'А П 3'!I561:M561</f>
        <v>0</v>
      </c>
      <c r="J110" s="739">
        <f>'А П 3'!J561:N561</f>
        <v>0</v>
      </c>
      <c r="K110" s="739">
        <f>'А П 3'!K561:O561</f>
        <v>0</v>
      </c>
      <c r="L110" s="739">
        <f>'А П 3'!L561:P561</f>
        <v>0</v>
      </c>
      <c r="M110" s="739"/>
      <c r="N110" s="739"/>
      <c r="O110" s="739"/>
      <c r="P110" s="739"/>
      <c r="Q110" s="739"/>
      <c r="R110" s="739"/>
      <c r="S110" s="739"/>
    </row>
    <row r="111" spans="1:19" ht="26.25" hidden="1" customHeight="1" x14ac:dyDescent="0.3">
      <c r="A111" s="732">
        <f>'А П 3'!A562:E562</f>
        <v>0</v>
      </c>
      <c r="B111" s="733">
        <f>'А П 3'!B562:F562</f>
        <v>0</v>
      </c>
      <c r="C111" s="732">
        <f>'А П 3'!C562:G562</f>
        <v>0</v>
      </c>
      <c r="D111" s="732">
        <f>'А П 3'!D562:H562</f>
        <v>0</v>
      </c>
      <c r="E111" s="732">
        <f>'А П 3'!E562:I562</f>
        <v>0</v>
      </c>
      <c r="F111" s="743" t="str">
        <f>'А П 3'!F562:J562</f>
        <v>Средства бюджетов муниципальных образований Московской области</v>
      </c>
      <c r="G111" s="738">
        <f>'А П 3'!G562:K562</f>
        <v>1128.31</v>
      </c>
      <c r="H111" s="739">
        <f>'А П 3'!H562:L562</f>
        <v>1128.31</v>
      </c>
      <c r="I111" s="739">
        <f>'А П 3'!I562:M562</f>
        <v>0</v>
      </c>
      <c r="J111" s="739">
        <f>'А П 3'!J562:N562</f>
        <v>0</v>
      </c>
      <c r="K111" s="739">
        <f>'А П 3'!K562:O562</f>
        <v>0</v>
      </c>
      <c r="L111" s="739">
        <f>'А П 3'!L562:P562</f>
        <v>0</v>
      </c>
      <c r="M111" s="739"/>
      <c r="N111" s="739"/>
      <c r="O111" s="739"/>
      <c r="P111" s="739"/>
      <c r="Q111" s="739"/>
      <c r="R111" s="739"/>
      <c r="S111" s="739"/>
    </row>
    <row r="112" spans="1:19" ht="26.25" hidden="1" customHeight="1" x14ac:dyDescent="0.3">
      <c r="A112" s="732" t="str">
        <f>'А П 3'!A563:E563</f>
        <v>8</v>
      </c>
      <c r="B112" s="733" t="str">
        <f>'А П 3'!B563:F563</f>
        <v xml:space="preserve"> Капитальный ремонт напорного коллектора канализации диамю 200 мм., протяж. 1104 п/м от очистных сооружений ОС-110 до КНС-108 в/г  19 г.п. Софрино</v>
      </c>
      <c r="C112" s="732">
        <f>'А П 3'!C563:G563</f>
        <v>0</v>
      </c>
      <c r="D112" s="732">
        <f>'А П 3'!D563:H563</f>
        <v>0</v>
      </c>
      <c r="E112" s="732">
        <f>'А П 3'!E563:I563</f>
        <v>0</v>
      </c>
      <c r="F112" s="743" t="str">
        <f>'А П 3'!F563:J563</f>
        <v>Итого</v>
      </c>
      <c r="G112" s="738">
        <f>'А П 3'!G563:K563</f>
        <v>10085.89</v>
      </c>
      <c r="H112" s="739">
        <f>'А П 3'!H563:L563</f>
        <v>10085.89</v>
      </c>
      <c r="I112" s="739">
        <f>'А П 3'!I563:M563</f>
        <v>0</v>
      </c>
      <c r="J112" s="739">
        <f>'А П 3'!J563:N563</f>
        <v>0</v>
      </c>
      <c r="K112" s="739">
        <f>'А П 3'!K563:O563</f>
        <v>0</v>
      </c>
      <c r="L112" s="739">
        <f>'А П 3'!L563:P563</f>
        <v>0</v>
      </c>
      <c r="M112" s="739"/>
      <c r="N112" s="739"/>
      <c r="O112" s="739"/>
      <c r="P112" s="739"/>
      <c r="Q112" s="739"/>
      <c r="R112" s="739"/>
      <c r="S112" s="739"/>
    </row>
    <row r="113" spans="1:19" ht="26.25" hidden="1" customHeight="1" x14ac:dyDescent="0.3">
      <c r="A113" s="732">
        <f>'А П 3'!A564:E564</f>
        <v>0</v>
      </c>
      <c r="B113" s="733">
        <f>'А П 3'!B564:F564</f>
        <v>0</v>
      </c>
      <c r="C113" s="732">
        <f>'А П 3'!C564:G564</f>
        <v>0</v>
      </c>
      <c r="D113" s="732">
        <f>'А П 3'!D564:H564</f>
        <v>0</v>
      </c>
      <c r="E113" s="732">
        <f>'А П 3'!E564:I564</f>
        <v>0</v>
      </c>
      <c r="F113" s="743" t="str">
        <f>'А П 3'!F564:J564</f>
        <v>Средства бюджета Московской области</v>
      </c>
      <c r="G113" s="738">
        <f>'А П 3'!G564:K564</f>
        <v>9077.2999999999993</v>
      </c>
      <c r="H113" s="739">
        <f>'А П 3'!H564:L564</f>
        <v>9077.2999999999993</v>
      </c>
      <c r="I113" s="739">
        <f>'А П 3'!I564:M564</f>
        <v>0</v>
      </c>
      <c r="J113" s="739">
        <f>'А П 3'!J564:N564</f>
        <v>0</v>
      </c>
      <c r="K113" s="739">
        <f>'А П 3'!K564:O564</f>
        <v>0</v>
      </c>
      <c r="L113" s="739">
        <f>'А П 3'!L564:P564</f>
        <v>0</v>
      </c>
      <c r="M113" s="739"/>
      <c r="N113" s="739"/>
      <c r="O113" s="739"/>
      <c r="P113" s="739"/>
      <c r="Q113" s="739"/>
      <c r="R113" s="739"/>
      <c r="S113" s="739"/>
    </row>
    <row r="114" spans="1:19" ht="26.25" hidden="1" customHeight="1" x14ac:dyDescent="0.3">
      <c r="A114" s="732">
        <f>'А П 3'!A565:E565</f>
        <v>0</v>
      </c>
      <c r="B114" s="733">
        <f>'А П 3'!B565:F565</f>
        <v>0</v>
      </c>
      <c r="C114" s="732">
        <f>'А П 3'!C565:G565</f>
        <v>0</v>
      </c>
      <c r="D114" s="732">
        <f>'А П 3'!D565:H565</f>
        <v>0</v>
      </c>
      <c r="E114" s="732">
        <f>'А П 3'!E565:I565</f>
        <v>0</v>
      </c>
      <c r="F114" s="743" t="str">
        <f>'А П 3'!F565:J565</f>
        <v>Средства бюджетов муниципальных образований Московской области</v>
      </c>
      <c r="G114" s="738">
        <f>'А П 3'!G565:K565</f>
        <v>1008.59</v>
      </c>
      <c r="H114" s="739">
        <f>'А П 3'!H565:L565</f>
        <v>1008.59</v>
      </c>
      <c r="I114" s="739">
        <f>'А П 3'!I565:M565</f>
        <v>0</v>
      </c>
      <c r="J114" s="739">
        <f>'А П 3'!J565:N565</f>
        <v>0</v>
      </c>
      <c r="K114" s="739">
        <f>'А П 3'!K565:O565</f>
        <v>0</v>
      </c>
      <c r="L114" s="739">
        <f>'А П 3'!L565:P565</f>
        <v>0</v>
      </c>
      <c r="M114" s="739"/>
      <c r="N114" s="739"/>
      <c r="O114" s="739"/>
      <c r="P114" s="739"/>
      <c r="Q114" s="739"/>
      <c r="R114" s="739"/>
      <c r="S114" s="739"/>
    </row>
    <row r="115" spans="1:19" ht="26.25" hidden="1" customHeight="1" x14ac:dyDescent="0.3">
      <c r="A115" s="732" t="str">
        <f>'А П 3'!A566:E566</f>
        <v>9</v>
      </c>
      <c r="B115" s="733" t="str">
        <f>'А П 3'!B566:F566</f>
        <v>Капитальный ремонт напорной канализации, расположенной на территории военного городка № 19 п.Софрино-1 (10% увеличение цены контракта)</v>
      </c>
      <c r="C115" s="732">
        <f>'А П 3'!C566:G566</f>
        <v>0</v>
      </c>
      <c r="D115" s="732">
        <f>'А П 3'!D566:H566</f>
        <v>0</v>
      </c>
      <c r="E115" s="732">
        <f>'А П 3'!E566:I566</f>
        <v>0</v>
      </c>
      <c r="F115" s="743" t="str">
        <f>'А П 3'!F566:J566</f>
        <v>Итого</v>
      </c>
      <c r="G115" s="738">
        <f>'А П 3'!G566:K566</f>
        <v>10291</v>
      </c>
      <c r="H115" s="739">
        <f>'А П 3'!H566:L566</f>
        <v>10291</v>
      </c>
      <c r="I115" s="739">
        <f>'А П 3'!I566:M566</f>
        <v>0</v>
      </c>
      <c r="J115" s="739">
        <f>'А П 3'!J566:N566</f>
        <v>0</v>
      </c>
      <c r="K115" s="739">
        <f>'А П 3'!K566:O566</f>
        <v>0</v>
      </c>
      <c r="L115" s="739">
        <f>'А П 3'!L566:P566</f>
        <v>0</v>
      </c>
      <c r="M115" s="739"/>
      <c r="N115" s="739"/>
      <c r="O115" s="739"/>
      <c r="P115" s="739"/>
      <c r="Q115" s="739"/>
      <c r="R115" s="739"/>
      <c r="S115" s="739"/>
    </row>
    <row r="116" spans="1:19" ht="26.25" hidden="1" customHeight="1" x14ac:dyDescent="0.3">
      <c r="A116" s="732">
        <f>'А П 3'!A567:E567</f>
        <v>0</v>
      </c>
      <c r="B116" s="733">
        <f>'А П 3'!B567:F567</f>
        <v>0</v>
      </c>
      <c r="C116" s="732">
        <f>'А П 3'!C567:G567</f>
        <v>0</v>
      </c>
      <c r="D116" s="732">
        <f>'А П 3'!D567:H567</f>
        <v>0</v>
      </c>
      <c r="E116" s="732">
        <f>'А П 3'!E567:I567</f>
        <v>0</v>
      </c>
      <c r="F116" s="743" t="str">
        <f>'А П 3'!F567:J567</f>
        <v>Средства бюджета Московской области</v>
      </c>
      <c r="G116" s="738">
        <f>'А П 3'!G567:K567</f>
        <v>9776.4500000000007</v>
      </c>
      <c r="H116" s="739">
        <f>'А П 3'!H567:L567</f>
        <v>9776.4500000000007</v>
      </c>
      <c r="I116" s="739">
        <f>'А П 3'!I567:M567</f>
        <v>0</v>
      </c>
      <c r="J116" s="739">
        <f>'А П 3'!J567:N567</f>
        <v>0</v>
      </c>
      <c r="K116" s="739">
        <f>'А П 3'!K567:O567</f>
        <v>0</v>
      </c>
      <c r="L116" s="739">
        <f>'А П 3'!L567:P567</f>
        <v>0</v>
      </c>
      <c r="M116" s="739"/>
      <c r="N116" s="739"/>
      <c r="O116" s="739"/>
      <c r="P116" s="739"/>
      <c r="Q116" s="739"/>
      <c r="R116" s="739"/>
      <c r="S116" s="739"/>
    </row>
    <row r="117" spans="1:19" ht="26.25" hidden="1" customHeight="1" x14ac:dyDescent="0.3">
      <c r="A117" s="732">
        <f>'А П 3'!A568:E568</f>
        <v>0</v>
      </c>
      <c r="B117" s="733">
        <f>'А П 3'!B568:F568</f>
        <v>0</v>
      </c>
      <c r="C117" s="732">
        <f>'А П 3'!C568:G568</f>
        <v>0</v>
      </c>
      <c r="D117" s="732">
        <f>'А П 3'!D568:H568</f>
        <v>0</v>
      </c>
      <c r="E117" s="732">
        <f>'А П 3'!E568:I568</f>
        <v>0</v>
      </c>
      <c r="F117" s="743" t="str">
        <f>'А П 3'!F568:J568</f>
        <v>Средства бюджетов муниципальных образований Московской области</v>
      </c>
      <c r="G117" s="738">
        <f>'А П 3'!G568:K568</f>
        <v>514.54999999999995</v>
      </c>
      <c r="H117" s="739">
        <f>'А П 3'!H568:L568</f>
        <v>514.54999999999995</v>
      </c>
      <c r="I117" s="739">
        <f>'А П 3'!I568:M568</f>
        <v>0</v>
      </c>
      <c r="J117" s="739">
        <f>'А П 3'!J568:N568</f>
        <v>0</v>
      </c>
      <c r="K117" s="739">
        <f>'А П 3'!K568:O568</f>
        <v>0</v>
      </c>
      <c r="L117" s="739">
        <f>'А П 3'!L568:P568</f>
        <v>0</v>
      </c>
      <c r="M117" s="739"/>
      <c r="N117" s="739"/>
      <c r="O117" s="739"/>
      <c r="P117" s="739"/>
      <c r="Q117" s="739"/>
      <c r="R117" s="739"/>
      <c r="S117" s="739"/>
    </row>
    <row r="118" spans="1:19" ht="26.25" hidden="1" customHeight="1" x14ac:dyDescent="0.3">
      <c r="A118" s="732" t="str">
        <f>'А П 3'!A569:E569</f>
        <v>10</v>
      </c>
      <c r="B118" s="733" t="str">
        <f>'А П 3'!B569:F569</f>
        <v>Капитальный ремонт подающих трубпроводов холодного водоснабжения на участке от скважины № 2 до наземного резервуара ВЗУ диам.150 мм. протяженностью 600 п/м в/г  19 г.п. Софрино</v>
      </c>
      <c r="C118" s="732">
        <f>'А П 3'!C569:G569</f>
        <v>0</v>
      </c>
      <c r="D118" s="732">
        <f>'А П 3'!D569:H569</f>
        <v>0</v>
      </c>
      <c r="E118" s="732">
        <f>'А П 3'!E569:I569</f>
        <v>0</v>
      </c>
      <c r="F118" s="743" t="str">
        <f>'А П 3'!F569:J569</f>
        <v>Итого</v>
      </c>
      <c r="G118" s="738">
        <f>'А П 3'!G569:K569</f>
        <v>2636.07</v>
      </c>
      <c r="H118" s="739">
        <f>'А П 3'!H569:L569</f>
        <v>2636.07</v>
      </c>
      <c r="I118" s="739">
        <f>'А П 3'!I569:M569</f>
        <v>0</v>
      </c>
      <c r="J118" s="739">
        <f>'А П 3'!J569:N569</f>
        <v>0</v>
      </c>
      <c r="K118" s="739">
        <f>'А П 3'!K569:O569</f>
        <v>0</v>
      </c>
      <c r="L118" s="739">
        <f>'А П 3'!L569:P569</f>
        <v>0</v>
      </c>
      <c r="M118" s="739"/>
      <c r="N118" s="739"/>
      <c r="O118" s="739"/>
      <c r="P118" s="739"/>
      <c r="Q118" s="739"/>
      <c r="R118" s="739"/>
      <c r="S118" s="739"/>
    </row>
    <row r="119" spans="1:19" ht="26.25" hidden="1" customHeight="1" x14ac:dyDescent="0.3">
      <c r="A119" s="732">
        <f>'А П 3'!A570:E570</f>
        <v>0</v>
      </c>
      <c r="B119" s="733">
        <f>'А П 3'!B570:F570</f>
        <v>0</v>
      </c>
      <c r="C119" s="732">
        <f>'А П 3'!C570:G570</f>
        <v>0</v>
      </c>
      <c r="D119" s="732">
        <f>'А П 3'!D570:H570</f>
        <v>0</v>
      </c>
      <c r="E119" s="732">
        <f>'А П 3'!E570:I570</f>
        <v>0</v>
      </c>
      <c r="F119" s="743" t="str">
        <f>'А П 3'!F570:J570</f>
        <v>Средства бюджета Московской области</v>
      </c>
      <c r="G119" s="738">
        <f>'А П 3'!G570:K570</f>
        <v>2372.46</v>
      </c>
      <c r="H119" s="739">
        <f>'А П 3'!H570:L570</f>
        <v>2372.46</v>
      </c>
      <c r="I119" s="739">
        <f>'А П 3'!I570:M570</f>
        <v>0</v>
      </c>
      <c r="J119" s="739">
        <f>'А П 3'!J570:N570</f>
        <v>0</v>
      </c>
      <c r="K119" s="739">
        <f>'А П 3'!K570:O570</f>
        <v>0</v>
      </c>
      <c r="L119" s="739">
        <f>'А П 3'!L570:P570</f>
        <v>0</v>
      </c>
      <c r="M119" s="739"/>
      <c r="N119" s="739"/>
      <c r="O119" s="739"/>
      <c r="P119" s="739"/>
      <c r="Q119" s="739"/>
      <c r="R119" s="739"/>
      <c r="S119" s="739"/>
    </row>
    <row r="120" spans="1:19" ht="26.25" hidden="1" customHeight="1" x14ac:dyDescent="0.3">
      <c r="A120" s="732">
        <f>'А П 3'!A571:E571</f>
        <v>0</v>
      </c>
      <c r="B120" s="733">
        <f>'А П 3'!B571:F571</f>
        <v>0</v>
      </c>
      <c r="C120" s="732">
        <f>'А П 3'!C571:G571</f>
        <v>0</v>
      </c>
      <c r="D120" s="732">
        <f>'А П 3'!D571:H571</f>
        <v>0</v>
      </c>
      <c r="E120" s="732">
        <f>'А П 3'!E571:I571</f>
        <v>0</v>
      </c>
      <c r="F120" s="743" t="str">
        <f>'А П 3'!F571:J571</f>
        <v>Средства бюджетов муниципальных образований Московской области</v>
      </c>
      <c r="G120" s="738">
        <f>'А П 3'!G571:K571</f>
        <v>263.61</v>
      </c>
      <c r="H120" s="739">
        <f>'А П 3'!H571:L571</f>
        <v>263.61</v>
      </c>
      <c r="I120" s="739">
        <f>'А П 3'!I571:M571</f>
        <v>0</v>
      </c>
      <c r="J120" s="739">
        <f>'А П 3'!J571:N571</f>
        <v>0</v>
      </c>
      <c r="K120" s="739">
        <f>'А П 3'!K571:O571</f>
        <v>0</v>
      </c>
      <c r="L120" s="739">
        <f>'А П 3'!L571:P571</f>
        <v>0</v>
      </c>
      <c r="M120" s="739"/>
      <c r="N120" s="739"/>
      <c r="O120" s="739"/>
      <c r="P120" s="739"/>
      <c r="Q120" s="739"/>
      <c r="R120" s="739"/>
      <c r="S120" s="739"/>
    </row>
    <row r="121" spans="1:19" ht="26.25" hidden="1" customHeight="1" x14ac:dyDescent="0.3">
      <c r="A121" s="732" t="str">
        <f>'А П 3'!A572:E572</f>
        <v>11</v>
      </c>
      <c r="B121" s="733" t="str">
        <f>'А П 3'!B572:F572</f>
        <v>Капитальный ремонт участка водопроводной сети от ВК-1 к многоквартирным домам № 3, 4, 5 и дер.Нововоронино в/г  19 г.п. Софрино</v>
      </c>
      <c r="C121" s="732">
        <f>'А П 3'!C572:G572</f>
        <v>0</v>
      </c>
      <c r="D121" s="732">
        <f>'А П 3'!D572:H572</f>
        <v>0</v>
      </c>
      <c r="E121" s="732">
        <f>'А П 3'!E572:I572</f>
        <v>0</v>
      </c>
      <c r="F121" s="743" t="str">
        <f>'А П 3'!F572:J572</f>
        <v>Итого</v>
      </c>
      <c r="G121" s="738">
        <f>'А П 3'!G572:K572</f>
        <v>3070.94</v>
      </c>
      <c r="H121" s="739">
        <f>'А П 3'!H572:L572</f>
        <v>3070.94</v>
      </c>
      <c r="I121" s="739">
        <f>'А П 3'!I572:M572</f>
        <v>0</v>
      </c>
      <c r="J121" s="739">
        <f>'А П 3'!J572:N572</f>
        <v>0</v>
      </c>
      <c r="K121" s="739">
        <f>'А П 3'!K572:O572</f>
        <v>0</v>
      </c>
      <c r="L121" s="739">
        <f>'А П 3'!L572:P572</f>
        <v>0</v>
      </c>
      <c r="M121" s="739"/>
      <c r="N121" s="739"/>
      <c r="O121" s="739"/>
      <c r="P121" s="739"/>
      <c r="Q121" s="739"/>
      <c r="R121" s="739"/>
      <c r="S121" s="739"/>
    </row>
    <row r="122" spans="1:19" ht="26.25" hidden="1" customHeight="1" x14ac:dyDescent="0.3">
      <c r="A122" s="732">
        <f>'А П 3'!A573:E573</f>
        <v>0</v>
      </c>
      <c r="B122" s="733">
        <f>'А П 3'!B573:F573</f>
        <v>0</v>
      </c>
      <c r="C122" s="732">
        <f>'А П 3'!C573:G573</f>
        <v>0</v>
      </c>
      <c r="D122" s="732">
        <f>'А П 3'!D573:H573</f>
        <v>0</v>
      </c>
      <c r="E122" s="732">
        <f>'А П 3'!E573:I573</f>
        <v>0</v>
      </c>
      <c r="F122" s="743" t="str">
        <f>'А П 3'!F573:J573</f>
        <v>Средства бюджета Московской области</v>
      </c>
      <c r="G122" s="738">
        <f>'А П 3'!G573:K573</f>
        <v>2763.85</v>
      </c>
      <c r="H122" s="739">
        <f>'А П 3'!H573:L573</f>
        <v>2763.85</v>
      </c>
      <c r="I122" s="739">
        <f>'А П 3'!I573:M573</f>
        <v>0</v>
      </c>
      <c r="J122" s="739">
        <f>'А П 3'!J573:N573</f>
        <v>0</v>
      </c>
      <c r="K122" s="739">
        <f>'А П 3'!K573:O573</f>
        <v>0</v>
      </c>
      <c r="L122" s="739">
        <f>'А П 3'!L573:P573</f>
        <v>0</v>
      </c>
      <c r="M122" s="739"/>
      <c r="N122" s="739"/>
      <c r="O122" s="739"/>
      <c r="P122" s="739"/>
      <c r="Q122" s="739"/>
      <c r="R122" s="739"/>
      <c r="S122" s="739"/>
    </row>
    <row r="123" spans="1:19" ht="26.25" hidden="1" customHeight="1" x14ac:dyDescent="0.3">
      <c r="A123" s="732">
        <f>'А П 3'!A574:E574</f>
        <v>0</v>
      </c>
      <c r="B123" s="733">
        <f>'А П 3'!B574:F574</f>
        <v>0</v>
      </c>
      <c r="C123" s="732">
        <f>'А П 3'!C574:G574</f>
        <v>0</v>
      </c>
      <c r="D123" s="732">
        <f>'А П 3'!D574:H574</f>
        <v>0</v>
      </c>
      <c r="E123" s="732">
        <f>'А П 3'!E574:I574</f>
        <v>0</v>
      </c>
      <c r="F123" s="743" t="str">
        <f>'А П 3'!F574:J574</f>
        <v>Средства бюджетов муниципальных образований Московской области</v>
      </c>
      <c r="G123" s="738">
        <f>'А П 3'!G574:K574</f>
        <v>307.08999999999997</v>
      </c>
      <c r="H123" s="739">
        <f>'А П 3'!H574:L574</f>
        <v>307.08999999999997</v>
      </c>
      <c r="I123" s="739">
        <f>'А П 3'!I574:M574</f>
        <v>0</v>
      </c>
      <c r="J123" s="739">
        <f>'А П 3'!J574:N574</f>
        <v>0</v>
      </c>
      <c r="K123" s="739">
        <f>'А П 3'!K574:O574</f>
        <v>0</v>
      </c>
      <c r="L123" s="739">
        <f>'А П 3'!L574:P574</f>
        <v>0</v>
      </c>
      <c r="M123" s="739"/>
      <c r="N123" s="739"/>
      <c r="O123" s="739"/>
      <c r="P123" s="739"/>
      <c r="Q123" s="739"/>
      <c r="R123" s="739"/>
      <c r="S123" s="739"/>
    </row>
    <row r="124" spans="1:19" ht="26.25" hidden="1" customHeight="1" x14ac:dyDescent="0.3">
      <c r="A124" s="732" t="str">
        <f>'А П 3'!A575:E575</f>
        <v>12</v>
      </c>
      <c r="B124" s="733" t="str">
        <f>'А П 3'!B575:F575</f>
        <v>Капитальный ремонт водопроводных сетей, расположенных на территории военного городка № 19  п. Софрино-1  (перенос инженерия)</v>
      </c>
      <c r="C124" s="732">
        <f>'А П 3'!C575:G575</f>
        <v>0</v>
      </c>
      <c r="D124" s="732">
        <f>'А П 3'!D575:H575</f>
        <v>0</v>
      </c>
      <c r="E124" s="732">
        <f>'А П 3'!E575:I575</f>
        <v>0</v>
      </c>
      <c r="F124" s="743" t="str">
        <f>'А П 3'!F575:J575</f>
        <v>Итого</v>
      </c>
      <c r="G124" s="738">
        <f>'А П 3'!G575:K575</f>
        <v>14929.74</v>
      </c>
      <c r="H124" s="739">
        <f>'А П 3'!H575:L575</f>
        <v>14929.74</v>
      </c>
      <c r="I124" s="739">
        <f>'А П 3'!I575:M575</f>
        <v>0</v>
      </c>
      <c r="J124" s="739">
        <f>'А П 3'!J575:N575</f>
        <v>0</v>
      </c>
      <c r="K124" s="739">
        <f>'А П 3'!K575:O575</f>
        <v>0</v>
      </c>
      <c r="L124" s="739">
        <f>'А П 3'!L575:P575</f>
        <v>0</v>
      </c>
      <c r="M124" s="739"/>
      <c r="N124" s="739"/>
      <c r="O124" s="739"/>
      <c r="P124" s="739"/>
      <c r="Q124" s="739"/>
      <c r="R124" s="739"/>
      <c r="S124" s="739"/>
    </row>
    <row r="125" spans="1:19" ht="26.25" hidden="1" customHeight="1" x14ac:dyDescent="0.3">
      <c r="A125" s="732">
        <f>'А П 3'!A576:E576</f>
        <v>0</v>
      </c>
      <c r="B125" s="733">
        <f>'А П 3'!B576:F576</f>
        <v>0</v>
      </c>
      <c r="C125" s="732">
        <f>'А П 3'!C576:G576</f>
        <v>0</v>
      </c>
      <c r="D125" s="732">
        <f>'А П 3'!D576:H576</f>
        <v>0</v>
      </c>
      <c r="E125" s="732">
        <f>'А П 3'!E576:I576</f>
        <v>0</v>
      </c>
      <c r="F125" s="743" t="str">
        <f>'А П 3'!F576:J576</f>
        <v>Средства бюджета Московской области</v>
      </c>
      <c r="G125" s="738">
        <f>'А П 3'!G576:K576</f>
        <v>14183.25</v>
      </c>
      <c r="H125" s="739">
        <f>'А П 3'!H576:L576</f>
        <v>14183.25</v>
      </c>
      <c r="I125" s="739">
        <f>'А П 3'!I576:M576</f>
        <v>0</v>
      </c>
      <c r="J125" s="739">
        <f>'А П 3'!J576:N576</f>
        <v>0</v>
      </c>
      <c r="K125" s="739">
        <f>'А П 3'!K576:O576</f>
        <v>0</v>
      </c>
      <c r="L125" s="739">
        <f>'А П 3'!L576:P576</f>
        <v>0</v>
      </c>
      <c r="M125" s="739"/>
      <c r="N125" s="739"/>
      <c r="O125" s="739"/>
      <c r="P125" s="739"/>
      <c r="Q125" s="739"/>
      <c r="R125" s="739"/>
      <c r="S125" s="739"/>
    </row>
    <row r="126" spans="1:19" ht="26.25" hidden="1" customHeight="1" x14ac:dyDescent="0.3">
      <c r="A126" s="732">
        <f>'А П 3'!A577:E577</f>
        <v>0</v>
      </c>
      <c r="B126" s="733">
        <f>'А П 3'!B577:F577</f>
        <v>0</v>
      </c>
      <c r="C126" s="732">
        <f>'А П 3'!C577:G577</f>
        <v>0</v>
      </c>
      <c r="D126" s="732">
        <f>'А П 3'!D577:H577</f>
        <v>0</v>
      </c>
      <c r="E126" s="732">
        <f>'А П 3'!E577:I577</f>
        <v>0</v>
      </c>
      <c r="F126" s="743" t="str">
        <f>'А П 3'!F577:J577</f>
        <v>Средства бюджетов муниципальных образований Московской области</v>
      </c>
      <c r="G126" s="738">
        <f>'А П 3'!G577:K577</f>
        <v>746.49</v>
      </c>
      <c r="H126" s="739">
        <f>'А П 3'!H577:L577</f>
        <v>746.49</v>
      </c>
      <c r="I126" s="739">
        <f>'А П 3'!I577:M577</f>
        <v>0</v>
      </c>
      <c r="J126" s="739">
        <f>'А П 3'!J577:N577</f>
        <v>0</v>
      </c>
      <c r="K126" s="739">
        <f>'А П 3'!K577:O577</f>
        <v>0</v>
      </c>
      <c r="L126" s="739">
        <f>'А П 3'!L577:P577</f>
        <v>0</v>
      </c>
      <c r="M126" s="739"/>
      <c r="N126" s="739"/>
      <c r="O126" s="739"/>
      <c r="P126" s="739"/>
      <c r="Q126" s="739"/>
      <c r="R126" s="739"/>
      <c r="S126" s="739"/>
    </row>
    <row r="127" spans="1:19" ht="26.25" hidden="1" customHeight="1" x14ac:dyDescent="0.3">
      <c r="A127" s="732" t="str">
        <f>'А П 3'!A578:E578</f>
        <v>13</v>
      </c>
      <c r="B127" s="733" t="str">
        <f>'А П 3'!B578:F578</f>
        <v>Капитальный ремонт (замену) электропитающего кабеля к скважине № 4 от ВЗУ в/г  19 г.п. Софрино</v>
      </c>
      <c r="C127" s="732">
        <f>'А П 3'!C578:G578</f>
        <v>0</v>
      </c>
      <c r="D127" s="732">
        <f>'А П 3'!D578:H578</f>
        <v>0</v>
      </c>
      <c r="E127" s="732">
        <f>'А П 3'!E578:I578</f>
        <v>0</v>
      </c>
      <c r="F127" s="743" t="str">
        <f>'А П 3'!F578:J578</f>
        <v>Итого</v>
      </c>
      <c r="G127" s="738">
        <f>'А П 3'!G578:K578</f>
        <v>1279.6199999999999</v>
      </c>
      <c r="H127" s="739">
        <f>'А П 3'!H578:L578</f>
        <v>1279.6199999999999</v>
      </c>
      <c r="I127" s="739">
        <f>'А П 3'!I578:M578</f>
        <v>0</v>
      </c>
      <c r="J127" s="739">
        <f>'А П 3'!J578:N578</f>
        <v>0</v>
      </c>
      <c r="K127" s="739">
        <f>'А П 3'!K578:O578</f>
        <v>0</v>
      </c>
      <c r="L127" s="739">
        <f>'А П 3'!L578:P578</f>
        <v>0</v>
      </c>
      <c r="M127" s="739"/>
      <c r="N127" s="739"/>
      <c r="O127" s="739"/>
      <c r="P127" s="739"/>
      <c r="Q127" s="739"/>
      <c r="R127" s="739"/>
      <c r="S127" s="739"/>
    </row>
    <row r="128" spans="1:19" ht="26.25" hidden="1" customHeight="1" x14ac:dyDescent="0.3">
      <c r="A128" s="732">
        <f>'А П 3'!A579:E579</f>
        <v>0</v>
      </c>
      <c r="B128" s="733">
        <f>'А П 3'!B579:F579</f>
        <v>0</v>
      </c>
      <c r="C128" s="732">
        <f>'А П 3'!C579:G579</f>
        <v>0</v>
      </c>
      <c r="D128" s="732">
        <f>'А П 3'!D579:H579</f>
        <v>0</v>
      </c>
      <c r="E128" s="732">
        <f>'А П 3'!E579:I579</f>
        <v>0</v>
      </c>
      <c r="F128" s="743" t="str">
        <f>'А П 3'!F579:J579</f>
        <v>Средства бюджета Московской области</v>
      </c>
      <c r="G128" s="738">
        <f>'А П 3'!G579:K579</f>
        <v>1151.6600000000001</v>
      </c>
      <c r="H128" s="739">
        <f>'А П 3'!H579:L579</f>
        <v>1151.6600000000001</v>
      </c>
      <c r="I128" s="739">
        <f>'А П 3'!I579:M579</f>
        <v>0</v>
      </c>
      <c r="J128" s="739">
        <f>'А П 3'!J579:N579</f>
        <v>0</v>
      </c>
      <c r="K128" s="739">
        <f>'А П 3'!K579:O579</f>
        <v>0</v>
      </c>
      <c r="L128" s="739">
        <f>'А П 3'!L579:P579</f>
        <v>0</v>
      </c>
      <c r="M128" s="739"/>
      <c r="N128" s="739"/>
      <c r="O128" s="739"/>
      <c r="P128" s="739"/>
      <c r="Q128" s="739"/>
      <c r="R128" s="739"/>
      <c r="S128" s="739"/>
    </row>
    <row r="129" spans="1:19" ht="26.25" hidden="1" customHeight="1" x14ac:dyDescent="0.3">
      <c r="A129" s="732">
        <f>'А П 3'!A580:E580</f>
        <v>0</v>
      </c>
      <c r="B129" s="733">
        <f>'А П 3'!B580:F580</f>
        <v>0</v>
      </c>
      <c r="C129" s="732">
        <f>'А П 3'!C580:G580</f>
        <v>0</v>
      </c>
      <c r="D129" s="732">
        <f>'А П 3'!D580:H580</f>
        <v>0</v>
      </c>
      <c r="E129" s="732">
        <f>'А П 3'!E580:I580</f>
        <v>0</v>
      </c>
      <c r="F129" s="743" t="str">
        <f>'А П 3'!F580:J580</f>
        <v>Средства бюджетов муниципальных образований Московской области</v>
      </c>
      <c r="G129" s="738">
        <f>'А П 3'!G580:K580</f>
        <v>127.96</v>
      </c>
      <c r="H129" s="739">
        <f>'А П 3'!H580:L580</f>
        <v>127.96</v>
      </c>
      <c r="I129" s="739">
        <f>'А П 3'!I580:M580</f>
        <v>0</v>
      </c>
      <c r="J129" s="739">
        <f>'А П 3'!J580:N580</f>
        <v>0</v>
      </c>
      <c r="K129" s="739">
        <f>'А П 3'!K580:O580</f>
        <v>0</v>
      </c>
      <c r="L129" s="739">
        <f>'А П 3'!L580:P580</f>
        <v>0</v>
      </c>
      <c r="M129" s="739"/>
      <c r="N129" s="739"/>
      <c r="O129" s="739"/>
      <c r="P129" s="739"/>
      <c r="Q129" s="739"/>
      <c r="R129" s="739"/>
      <c r="S129" s="739"/>
    </row>
    <row r="130" spans="1:19" ht="26.25" hidden="1" customHeight="1" x14ac:dyDescent="0.3">
      <c r="A130" s="732" t="str">
        <f>'А П 3'!A581:E581</f>
        <v>14</v>
      </c>
      <c r="B130" s="733" t="str">
        <f>'А П 3'!B581:F581</f>
        <v>Капитальный ремонт котельной № 94 по адресу: военный городок № 19 п. Софрино-1   (перенос инженерия)</v>
      </c>
      <c r="C130" s="732">
        <f>'А П 3'!C581:G581</f>
        <v>0</v>
      </c>
      <c r="D130" s="732">
        <f>'А П 3'!D581:H581</f>
        <v>0</v>
      </c>
      <c r="E130" s="732">
        <f>'А П 3'!E581:I581</f>
        <v>0</v>
      </c>
      <c r="F130" s="743" t="str">
        <f>'А П 3'!F581:J581</f>
        <v>Итого</v>
      </c>
      <c r="G130" s="738">
        <f>'А П 3'!G581:K581</f>
        <v>9133.6</v>
      </c>
      <c r="H130" s="739">
        <f>'А П 3'!H581:L581</f>
        <v>9133.6</v>
      </c>
      <c r="I130" s="739">
        <f>'А П 3'!I581:M581</f>
        <v>0</v>
      </c>
      <c r="J130" s="739">
        <f>'А П 3'!J581:N581</f>
        <v>0</v>
      </c>
      <c r="K130" s="739">
        <f>'А П 3'!K581:O581</f>
        <v>0</v>
      </c>
      <c r="L130" s="739">
        <f>'А П 3'!L581:P581</f>
        <v>0</v>
      </c>
      <c r="M130" s="739"/>
      <c r="N130" s="739"/>
      <c r="O130" s="739"/>
      <c r="P130" s="739"/>
      <c r="Q130" s="739"/>
      <c r="R130" s="739"/>
      <c r="S130" s="739"/>
    </row>
    <row r="131" spans="1:19" ht="26.25" hidden="1" customHeight="1" x14ac:dyDescent="0.3">
      <c r="A131" s="732">
        <f>'А П 3'!A582:E582</f>
        <v>0</v>
      </c>
      <c r="B131" s="733">
        <f>'А П 3'!B582:F582</f>
        <v>0</v>
      </c>
      <c r="C131" s="732">
        <f>'А П 3'!C582:G582</f>
        <v>0</v>
      </c>
      <c r="D131" s="732">
        <f>'А П 3'!D582:H582</f>
        <v>0</v>
      </c>
      <c r="E131" s="732">
        <f>'А П 3'!E582:I582</f>
        <v>0</v>
      </c>
      <c r="F131" s="743" t="str">
        <f>'А П 3'!F582:J582</f>
        <v>Средства бюджета Московской области</v>
      </c>
      <c r="G131" s="738">
        <f>'А П 3'!G582:K582</f>
        <v>8676.92</v>
      </c>
      <c r="H131" s="739">
        <f>'А П 3'!H582:L582</f>
        <v>8676.92</v>
      </c>
      <c r="I131" s="739">
        <f>'А П 3'!I582:M582</f>
        <v>0</v>
      </c>
      <c r="J131" s="739">
        <f>'А П 3'!J582:N582</f>
        <v>0</v>
      </c>
      <c r="K131" s="739">
        <f>'А П 3'!K582:O582</f>
        <v>0</v>
      </c>
      <c r="L131" s="739">
        <f>'А П 3'!L582:P582</f>
        <v>0</v>
      </c>
      <c r="M131" s="739"/>
      <c r="N131" s="739"/>
      <c r="O131" s="739"/>
      <c r="P131" s="739"/>
      <c r="Q131" s="739"/>
      <c r="R131" s="739"/>
      <c r="S131" s="739"/>
    </row>
    <row r="132" spans="1:19" ht="26.25" hidden="1" customHeight="1" x14ac:dyDescent="0.3">
      <c r="A132" s="732">
        <f>'А П 3'!A583:E583</f>
        <v>0</v>
      </c>
      <c r="B132" s="733">
        <f>'А П 3'!B583:F583</f>
        <v>0</v>
      </c>
      <c r="C132" s="732">
        <f>'А П 3'!C583:G583</f>
        <v>0</v>
      </c>
      <c r="D132" s="732">
        <f>'А П 3'!D583:H583</f>
        <v>0</v>
      </c>
      <c r="E132" s="732">
        <f>'А П 3'!E583:I583</f>
        <v>0</v>
      </c>
      <c r="F132" s="743" t="str">
        <f>'А П 3'!F583:J583</f>
        <v>Средства бюджетов муниципальных образований Московской области</v>
      </c>
      <c r="G132" s="738">
        <f>'А П 3'!G583:K583</f>
        <v>456.68</v>
      </c>
      <c r="H132" s="739">
        <f>'А П 3'!H583:L583</f>
        <v>456.68</v>
      </c>
      <c r="I132" s="739">
        <f>'А П 3'!I583:M583</f>
        <v>0</v>
      </c>
      <c r="J132" s="739">
        <f>'А П 3'!J583:N583</f>
        <v>0</v>
      </c>
      <c r="K132" s="739">
        <f>'А П 3'!K583:O583</f>
        <v>0</v>
      </c>
      <c r="L132" s="739">
        <f>'А П 3'!L583:P583</f>
        <v>0</v>
      </c>
      <c r="M132" s="739"/>
      <c r="N132" s="739"/>
      <c r="O132" s="739"/>
      <c r="P132" s="739"/>
      <c r="Q132" s="739"/>
      <c r="R132" s="739"/>
      <c r="S132" s="739"/>
    </row>
    <row r="133" spans="1:19" ht="26.25" hidden="1" customHeight="1" x14ac:dyDescent="0.3">
      <c r="A133" s="732" t="str">
        <f>'А П 3'!A584:E584</f>
        <v>15</v>
      </c>
      <c r="B133" s="733" t="str">
        <f>'А П 3'!B584:F584</f>
        <v>Капитальный ремонт ВНС №102 пос.Софрино-1 с установкой станции обезжелезивания п.Софрино-1, в/г 19</v>
      </c>
      <c r="C133" s="732">
        <f>'А П 3'!C584:G584</f>
        <v>0</v>
      </c>
      <c r="D133" s="732">
        <f>'А П 3'!D584:H584</f>
        <v>0</v>
      </c>
      <c r="E133" s="732">
        <f>'А П 3'!E584:I584</f>
        <v>0</v>
      </c>
      <c r="F133" s="743" t="str">
        <f>'А П 3'!F584:J584</f>
        <v>Итого</v>
      </c>
      <c r="G133" s="738">
        <f>'А П 3'!G584:K584</f>
        <v>23984.53</v>
      </c>
      <c r="H133" s="739">
        <f>'А П 3'!H584:L584</f>
        <v>23984.53</v>
      </c>
      <c r="I133" s="739">
        <f>'А П 3'!I584:M584</f>
        <v>0</v>
      </c>
      <c r="J133" s="739">
        <f>'А П 3'!J584:N584</f>
        <v>0</v>
      </c>
      <c r="K133" s="739">
        <f>'А П 3'!K584:O584</f>
        <v>0</v>
      </c>
      <c r="L133" s="739">
        <f>'А П 3'!L584:P584</f>
        <v>0</v>
      </c>
      <c r="M133" s="739"/>
      <c r="N133" s="739"/>
      <c r="O133" s="739"/>
      <c r="P133" s="739"/>
      <c r="Q133" s="739"/>
      <c r="R133" s="739"/>
      <c r="S133" s="739"/>
    </row>
    <row r="134" spans="1:19" ht="26.25" hidden="1" customHeight="1" x14ac:dyDescent="0.3">
      <c r="A134" s="732">
        <f>'А П 3'!A585:E585</f>
        <v>0</v>
      </c>
      <c r="B134" s="733">
        <f>'А П 3'!B585:F585</f>
        <v>0</v>
      </c>
      <c r="C134" s="732">
        <f>'А П 3'!C585:G585</f>
        <v>0</v>
      </c>
      <c r="D134" s="732">
        <f>'А П 3'!D585:H585</f>
        <v>0</v>
      </c>
      <c r="E134" s="732">
        <f>'А П 3'!E585:I585</f>
        <v>0</v>
      </c>
      <c r="F134" s="743" t="str">
        <f>'А П 3'!F585:J585</f>
        <v>Средства бюджета Московской области</v>
      </c>
      <c r="G134" s="738">
        <f>'А П 3'!G585:K585</f>
        <v>21586.080000000002</v>
      </c>
      <c r="H134" s="739">
        <f>'А П 3'!H585:L585</f>
        <v>21586.080000000002</v>
      </c>
      <c r="I134" s="739">
        <f>'А П 3'!I585:M585</f>
        <v>0</v>
      </c>
      <c r="J134" s="739">
        <f>'А П 3'!J585:N585</f>
        <v>0</v>
      </c>
      <c r="K134" s="739">
        <f>'А П 3'!K585:O585</f>
        <v>0</v>
      </c>
      <c r="L134" s="739">
        <f>'А П 3'!L585:P585</f>
        <v>0</v>
      </c>
      <c r="M134" s="739"/>
      <c r="N134" s="739"/>
      <c r="O134" s="739"/>
      <c r="P134" s="739"/>
      <c r="Q134" s="739"/>
      <c r="R134" s="739"/>
      <c r="S134" s="739"/>
    </row>
    <row r="135" spans="1:19" ht="26.25" hidden="1" customHeight="1" x14ac:dyDescent="0.3">
      <c r="A135" s="732">
        <f>'А П 3'!A586:E586</f>
        <v>0</v>
      </c>
      <c r="B135" s="733">
        <f>'А П 3'!B586:F586</f>
        <v>0</v>
      </c>
      <c r="C135" s="732">
        <f>'А П 3'!C586:G586</f>
        <v>0</v>
      </c>
      <c r="D135" s="732">
        <f>'А П 3'!D586:H586</f>
        <v>0</v>
      </c>
      <c r="E135" s="732">
        <f>'А П 3'!E586:I586</f>
        <v>0</v>
      </c>
      <c r="F135" s="743" t="str">
        <f>'А П 3'!F586:J586</f>
        <v>Средства бюджетов муниципальных образований Московской области</v>
      </c>
      <c r="G135" s="738">
        <f>'А П 3'!G586:K586</f>
        <v>2398.4499999999998</v>
      </c>
      <c r="H135" s="739">
        <f>'А П 3'!H586:L586</f>
        <v>2398.4499999999998</v>
      </c>
      <c r="I135" s="739">
        <f>'А П 3'!I586:M586</f>
        <v>0</v>
      </c>
      <c r="J135" s="739">
        <f>'А П 3'!J586:N586</f>
        <v>0</v>
      </c>
      <c r="K135" s="739">
        <f>'А П 3'!K586:O586</f>
        <v>0</v>
      </c>
      <c r="L135" s="739">
        <f>'А П 3'!L586:P586</f>
        <v>0</v>
      </c>
      <c r="M135" s="739"/>
      <c r="N135" s="739"/>
      <c r="O135" s="739"/>
      <c r="P135" s="739"/>
      <c r="Q135" s="739"/>
      <c r="R135" s="739"/>
      <c r="S135" s="739"/>
    </row>
    <row r="136" spans="1:19" ht="26.25" hidden="1" customHeight="1" x14ac:dyDescent="0.3">
      <c r="A136" s="732" t="str">
        <f>'А П 3'!A587:E587</f>
        <v>16</v>
      </c>
      <c r="B136" s="733" t="str">
        <f>'А П 3'!B587:F587</f>
        <v>Капитальный ремонт арт.скважины № 1 ВНС в/г № 19 пос.Софрино</v>
      </c>
      <c r="C136" s="732">
        <f>'А П 3'!C587:G587</f>
        <v>0</v>
      </c>
      <c r="D136" s="732">
        <f>'А П 3'!D587:H587</f>
        <v>0</v>
      </c>
      <c r="E136" s="732">
        <f>'А П 3'!E587:I587</f>
        <v>0</v>
      </c>
      <c r="F136" s="743" t="str">
        <f>'А П 3'!F587:J587</f>
        <v>Итого</v>
      </c>
      <c r="G136" s="738">
        <f>'А П 3'!G587:K587</f>
        <v>1507.52</v>
      </c>
      <c r="H136" s="739">
        <f>'А П 3'!H587:L587</f>
        <v>1507.52</v>
      </c>
      <c r="I136" s="739">
        <f>'А П 3'!I587:M587</f>
        <v>0</v>
      </c>
      <c r="J136" s="739">
        <f>'А П 3'!J587:N587</f>
        <v>0</v>
      </c>
      <c r="K136" s="739">
        <f>'А П 3'!K587:O587</f>
        <v>0</v>
      </c>
      <c r="L136" s="739">
        <f>'А П 3'!L587:P587</f>
        <v>0</v>
      </c>
      <c r="M136" s="739"/>
      <c r="N136" s="739"/>
      <c r="O136" s="739"/>
      <c r="P136" s="739"/>
      <c r="Q136" s="739"/>
      <c r="R136" s="739"/>
      <c r="S136" s="739"/>
    </row>
    <row r="137" spans="1:19" ht="26.25" hidden="1" customHeight="1" x14ac:dyDescent="0.3">
      <c r="A137" s="732">
        <f>'А П 3'!A588:E588</f>
        <v>0</v>
      </c>
      <c r="B137" s="733">
        <f>'А П 3'!B588:F588</f>
        <v>0</v>
      </c>
      <c r="C137" s="732">
        <f>'А П 3'!C588:G588</f>
        <v>0</v>
      </c>
      <c r="D137" s="732">
        <f>'А П 3'!D588:H588</f>
        <v>0</v>
      </c>
      <c r="E137" s="732">
        <f>'А П 3'!E588:I588</f>
        <v>0</v>
      </c>
      <c r="F137" s="743" t="str">
        <f>'А П 3'!F588:J588</f>
        <v>Средства бюджета Московской области</v>
      </c>
      <c r="G137" s="738">
        <f>'А П 3'!G588:K588</f>
        <v>1356.77</v>
      </c>
      <c r="H137" s="739">
        <f>'А П 3'!H588:L588</f>
        <v>1356.77</v>
      </c>
      <c r="I137" s="739">
        <f>'А П 3'!I588:M588</f>
        <v>0</v>
      </c>
      <c r="J137" s="739">
        <f>'А П 3'!J588:N588</f>
        <v>0</v>
      </c>
      <c r="K137" s="739">
        <f>'А П 3'!K588:O588</f>
        <v>0</v>
      </c>
      <c r="L137" s="739">
        <f>'А П 3'!L588:P588</f>
        <v>0</v>
      </c>
      <c r="M137" s="739"/>
      <c r="N137" s="739"/>
      <c r="O137" s="739"/>
      <c r="P137" s="739"/>
      <c r="Q137" s="739"/>
      <c r="R137" s="739"/>
      <c r="S137" s="739"/>
    </row>
    <row r="138" spans="1:19" ht="26.25" hidden="1" customHeight="1" x14ac:dyDescent="0.3">
      <c r="A138" s="732">
        <f>'А П 3'!A589:E589</f>
        <v>0</v>
      </c>
      <c r="B138" s="733">
        <f>'А П 3'!B589:F589</f>
        <v>0</v>
      </c>
      <c r="C138" s="732">
        <f>'А П 3'!C589:G589</f>
        <v>0</v>
      </c>
      <c r="D138" s="732">
        <f>'А П 3'!D589:H589</f>
        <v>0</v>
      </c>
      <c r="E138" s="732">
        <f>'А П 3'!E589:I589</f>
        <v>0</v>
      </c>
      <c r="F138" s="743" t="str">
        <f>'А П 3'!F589:J589</f>
        <v>Средства бюджетов муниципальных образований Московской области</v>
      </c>
      <c r="G138" s="738">
        <f>'А П 3'!G589:K589</f>
        <v>150.75</v>
      </c>
      <c r="H138" s="739">
        <f>'А П 3'!H589:L589</f>
        <v>150.75</v>
      </c>
      <c r="I138" s="739">
        <f>'А П 3'!I589:M589</f>
        <v>0</v>
      </c>
      <c r="J138" s="739">
        <f>'А П 3'!J589:N589</f>
        <v>0</v>
      </c>
      <c r="K138" s="739">
        <f>'А П 3'!K589:O589</f>
        <v>0</v>
      </c>
      <c r="L138" s="739">
        <f>'А П 3'!L589:P589</f>
        <v>0</v>
      </c>
      <c r="M138" s="739"/>
      <c r="N138" s="739"/>
      <c r="O138" s="739"/>
      <c r="P138" s="739"/>
      <c r="Q138" s="739"/>
      <c r="R138" s="739"/>
      <c r="S138" s="739"/>
    </row>
    <row r="139" spans="1:19" ht="26.25" hidden="1" customHeight="1" x14ac:dyDescent="0.3">
      <c r="A139" s="732" t="str">
        <f>'А П 3'!A590:E590</f>
        <v>17</v>
      </c>
      <c r="B139" s="733" t="str">
        <f>'А П 3'!B590:F590</f>
        <v>Капитальный ремонт сетей водопровода пос.Софрино-1, в/г 19</v>
      </c>
      <c r="C139" s="732">
        <f>'А П 3'!C590:G590</f>
        <v>0</v>
      </c>
      <c r="D139" s="732">
        <f>'А П 3'!D590:H590</f>
        <v>0</v>
      </c>
      <c r="E139" s="732">
        <f>'А П 3'!E590:I590</f>
        <v>0</v>
      </c>
      <c r="F139" s="743" t="str">
        <f>'А П 3'!F590:J590</f>
        <v>Итого</v>
      </c>
      <c r="G139" s="738">
        <f>'А П 3'!G590:K590</f>
        <v>2399.39</v>
      </c>
      <c r="H139" s="739">
        <f>'А П 3'!H590:L590</f>
        <v>2399.39</v>
      </c>
      <c r="I139" s="739">
        <f>'А П 3'!I590:M590</f>
        <v>0</v>
      </c>
      <c r="J139" s="739">
        <f>'А П 3'!J590:N590</f>
        <v>0</v>
      </c>
      <c r="K139" s="739">
        <f>'А П 3'!K590:O590</f>
        <v>0</v>
      </c>
      <c r="L139" s="739">
        <f>'А П 3'!L590:P590</f>
        <v>0</v>
      </c>
      <c r="M139" s="739"/>
      <c r="N139" s="739"/>
      <c r="O139" s="739"/>
      <c r="P139" s="739"/>
      <c r="Q139" s="739"/>
      <c r="R139" s="739"/>
      <c r="S139" s="739"/>
    </row>
    <row r="140" spans="1:19" ht="26.25" hidden="1" customHeight="1" x14ac:dyDescent="0.3">
      <c r="A140" s="732">
        <f>'А П 3'!A591:E591</f>
        <v>0</v>
      </c>
      <c r="B140" s="733">
        <f>'А П 3'!B591:F591</f>
        <v>0</v>
      </c>
      <c r="C140" s="732">
        <f>'А П 3'!C591:G591</f>
        <v>0</v>
      </c>
      <c r="D140" s="732">
        <f>'А П 3'!D591:H591</f>
        <v>0</v>
      </c>
      <c r="E140" s="732">
        <f>'А П 3'!E591:I591</f>
        <v>0</v>
      </c>
      <c r="F140" s="743" t="str">
        <f>'А П 3'!F591:J591</f>
        <v>Средства бюджета Московской области</v>
      </c>
      <c r="G140" s="738">
        <f>'А П 3'!G591:K591</f>
        <v>2159.4499999999998</v>
      </c>
      <c r="H140" s="739">
        <f>'А П 3'!H591:L591</f>
        <v>2159.4499999999998</v>
      </c>
      <c r="I140" s="739">
        <f>'А П 3'!I591:M591</f>
        <v>0</v>
      </c>
      <c r="J140" s="739">
        <f>'А П 3'!J591:N591</f>
        <v>0</v>
      </c>
      <c r="K140" s="739">
        <f>'А П 3'!K591:O591</f>
        <v>0</v>
      </c>
      <c r="L140" s="739">
        <f>'А П 3'!L591:P591</f>
        <v>0</v>
      </c>
      <c r="M140" s="739"/>
      <c r="N140" s="739"/>
      <c r="O140" s="739"/>
      <c r="P140" s="739"/>
      <c r="Q140" s="739"/>
      <c r="R140" s="739"/>
      <c r="S140" s="739"/>
    </row>
    <row r="141" spans="1:19" ht="26.25" hidden="1" customHeight="1" x14ac:dyDescent="0.3">
      <c r="A141" s="732">
        <f>'А П 3'!A592:E592</f>
        <v>0</v>
      </c>
      <c r="B141" s="733">
        <f>'А П 3'!B592:F592</f>
        <v>0</v>
      </c>
      <c r="C141" s="732">
        <f>'А П 3'!C592:G592</f>
        <v>0</v>
      </c>
      <c r="D141" s="732">
        <f>'А П 3'!D592:H592</f>
        <v>0</v>
      </c>
      <c r="E141" s="732">
        <f>'А П 3'!E592:I592</f>
        <v>0</v>
      </c>
      <c r="F141" s="743" t="str">
        <f>'А П 3'!F592:J592</f>
        <v>Средства бюджетов муниципальных образований Московской области</v>
      </c>
      <c r="G141" s="738">
        <f>'А П 3'!G592:K592</f>
        <v>239.94</v>
      </c>
      <c r="H141" s="739">
        <f>'А П 3'!H592:L592</f>
        <v>239.94</v>
      </c>
      <c r="I141" s="739">
        <f>'А П 3'!I592:M592</f>
        <v>0</v>
      </c>
      <c r="J141" s="739">
        <f>'А П 3'!J592:N592</f>
        <v>0</v>
      </c>
      <c r="K141" s="739">
        <f>'А П 3'!K592:O592</f>
        <v>0</v>
      </c>
      <c r="L141" s="739">
        <f>'А П 3'!L592:P592</f>
        <v>0</v>
      </c>
      <c r="M141" s="739"/>
      <c r="N141" s="739"/>
      <c r="O141" s="739"/>
      <c r="P141" s="739"/>
      <c r="Q141" s="739"/>
      <c r="R141" s="739"/>
      <c r="S141" s="739"/>
    </row>
    <row r="142" spans="1:19" ht="26.25" hidden="1" customHeight="1" x14ac:dyDescent="0.3">
      <c r="A142" s="732" t="str">
        <f>'А П 3'!A593:E593</f>
        <v>18</v>
      </c>
      <c r="B142" s="733" t="str">
        <f>'А П 3'!B593:F593</f>
        <v>Капитальный ремонт наружных водопроводных сетей диам.300мм общей протяженностью 220пм (2 трубопровода на уч-ке от ВНС до здания котельной) п.Софрино-1, в/г 19</v>
      </c>
      <c r="C142" s="732">
        <f>'А П 3'!C593:G593</f>
        <v>0</v>
      </c>
      <c r="D142" s="732">
        <f>'А П 3'!D593:H593</f>
        <v>0</v>
      </c>
      <c r="E142" s="732">
        <f>'А П 3'!E593:I593</f>
        <v>0</v>
      </c>
      <c r="F142" s="743" t="str">
        <f>'А П 3'!F593:J593</f>
        <v>Итого</v>
      </c>
      <c r="G142" s="738">
        <f>'А П 3'!G593:K593</f>
        <v>1398.21</v>
      </c>
      <c r="H142" s="739">
        <f>'А П 3'!H593:L593</f>
        <v>1398.21</v>
      </c>
      <c r="I142" s="739">
        <f>'А П 3'!I593:M593</f>
        <v>0</v>
      </c>
      <c r="J142" s="739">
        <f>'А П 3'!J593:N593</f>
        <v>0</v>
      </c>
      <c r="K142" s="739">
        <f>'А П 3'!K593:O593</f>
        <v>0</v>
      </c>
      <c r="L142" s="739">
        <f>'А П 3'!L593:P593</f>
        <v>0</v>
      </c>
      <c r="M142" s="739"/>
      <c r="N142" s="739"/>
      <c r="O142" s="739"/>
      <c r="P142" s="739"/>
      <c r="Q142" s="739"/>
      <c r="R142" s="739"/>
      <c r="S142" s="739"/>
    </row>
    <row r="143" spans="1:19" ht="26.25" hidden="1" customHeight="1" x14ac:dyDescent="0.3">
      <c r="A143" s="732">
        <f>'А П 3'!A594:E594</f>
        <v>0</v>
      </c>
      <c r="B143" s="733">
        <f>'А П 3'!B594:F594</f>
        <v>0</v>
      </c>
      <c r="C143" s="732">
        <f>'А П 3'!C594:G594</f>
        <v>0</v>
      </c>
      <c r="D143" s="732">
        <f>'А П 3'!D594:H594</f>
        <v>0</v>
      </c>
      <c r="E143" s="732">
        <f>'А П 3'!E594:I594</f>
        <v>0</v>
      </c>
      <c r="F143" s="743" t="str">
        <f>'А П 3'!F594:J594</f>
        <v>Средства бюджета Московской области</v>
      </c>
      <c r="G143" s="738">
        <f>'А П 3'!G594:K594</f>
        <v>1258.3900000000001</v>
      </c>
      <c r="H143" s="739">
        <f>'А П 3'!H594:L594</f>
        <v>1258.3900000000001</v>
      </c>
      <c r="I143" s="739">
        <f>'А П 3'!I594:M594</f>
        <v>0</v>
      </c>
      <c r="J143" s="739">
        <f>'А П 3'!J594:N594</f>
        <v>0</v>
      </c>
      <c r="K143" s="739">
        <f>'А П 3'!K594:O594</f>
        <v>0</v>
      </c>
      <c r="L143" s="739">
        <f>'А П 3'!L594:P594</f>
        <v>0</v>
      </c>
      <c r="M143" s="739"/>
      <c r="N143" s="739"/>
      <c r="O143" s="739"/>
      <c r="P143" s="739"/>
      <c r="Q143" s="739"/>
      <c r="R143" s="739"/>
      <c r="S143" s="739"/>
    </row>
    <row r="144" spans="1:19" ht="26.25" hidden="1" customHeight="1" x14ac:dyDescent="0.3">
      <c r="A144" s="732">
        <f>'А П 3'!A595:E595</f>
        <v>0</v>
      </c>
      <c r="B144" s="733">
        <f>'А П 3'!B595:F595</f>
        <v>0</v>
      </c>
      <c r="C144" s="732">
        <f>'А П 3'!C595:G595</f>
        <v>0</v>
      </c>
      <c r="D144" s="732">
        <f>'А П 3'!D595:H595</f>
        <v>0</v>
      </c>
      <c r="E144" s="732">
        <f>'А П 3'!E595:I595</f>
        <v>0</v>
      </c>
      <c r="F144" s="743" t="str">
        <f>'А П 3'!F595:J595</f>
        <v>Средства бюджетов муниципальных образований Московской области</v>
      </c>
      <c r="G144" s="738">
        <f>'А П 3'!G595:K595</f>
        <v>139.82</v>
      </c>
      <c r="H144" s="739">
        <f>'А П 3'!H595:L595</f>
        <v>139.82</v>
      </c>
      <c r="I144" s="739">
        <f>'А П 3'!I595:M595</f>
        <v>0</v>
      </c>
      <c r="J144" s="739">
        <f>'А П 3'!J595:N595</f>
        <v>0</v>
      </c>
      <c r="K144" s="739">
        <f>'А П 3'!K595:O595</f>
        <v>0</v>
      </c>
      <c r="L144" s="739">
        <f>'А П 3'!L595:P595</f>
        <v>0</v>
      </c>
      <c r="M144" s="739"/>
      <c r="N144" s="739"/>
      <c r="O144" s="739"/>
      <c r="P144" s="739"/>
      <c r="Q144" s="739"/>
      <c r="R144" s="739"/>
      <c r="S144" s="739"/>
    </row>
    <row r="145" spans="1:19" ht="26.25" hidden="1" customHeight="1" x14ac:dyDescent="0.3">
      <c r="A145" s="732" t="str">
        <f>'А П 3'!A596:E596</f>
        <v>19</v>
      </c>
      <c r="B145" s="733" t="str">
        <f>'А П 3'!B596:F596</f>
        <v>Доп работы по капитальному ремонту напорной канализации п.Софрино-1, в/г 19</v>
      </c>
      <c r="C145" s="732">
        <f>'А П 3'!C596:G596</f>
        <v>0</v>
      </c>
      <c r="D145" s="732">
        <f>'А П 3'!D596:H596</f>
        <v>0</v>
      </c>
      <c r="E145" s="732">
        <f>'А П 3'!E596:I596</f>
        <v>0</v>
      </c>
      <c r="F145" s="743" t="str">
        <f>'А П 3'!F596:J596</f>
        <v>Итого</v>
      </c>
      <c r="G145" s="738">
        <f>'А П 3'!G596:K596</f>
        <v>7448.4</v>
      </c>
      <c r="H145" s="739">
        <f>'А П 3'!H596:L596</f>
        <v>7448.4</v>
      </c>
      <c r="I145" s="739">
        <f>'А П 3'!I596:M596</f>
        <v>0</v>
      </c>
      <c r="J145" s="739">
        <f>'А П 3'!J596:N596</f>
        <v>0</v>
      </c>
      <c r="K145" s="739">
        <f>'А П 3'!K596:O596</f>
        <v>0</v>
      </c>
      <c r="L145" s="739">
        <f>'А П 3'!L596:P596</f>
        <v>0</v>
      </c>
      <c r="M145" s="739"/>
      <c r="N145" s="739"/>
      <c r="O145" s="739"/>
      <c r="P145" s="739"/>
      <c r="Q145" s="739"/>
      <c r="R145" s="739"/>
      <c r="S145" s="739"/>
    </row>
    <row r="146" spans="1:19" ht="26.25" hidden="1" customHeight="1" x14ac:dyDescent="0.3">
      <c r="A146" s="732">
        <f>'А П 3'!A597:E597</f>
        <v>0</v>
      </c>
      <c r="B146" s="733">
        <f>'А П 3'!B597:F597</f>
        <v>0</v>
      </c>
      <c r="C146" s="732">
        <f>'А П 3'!C597:G597</f>
        <v>0</v>
      </c>
      <c r="D146" s="732">
        <f>'А П 3'!D597:H597</f>
        <v>0</v>
      </c>
      <c r="E146" s="732">
        <f>'А П 3'!E597:I597</f>
        <v>0</v>
      </c>
      <c r="F146" s="743" t="str">
        <f>'А П 3'!F597:J597</f>
        <v>Средства бюджета Московской области</v>
      </c>
      <c r="G146" s="738">
        <f>'А П 3'!G597:K597</f>
        <v>6703.56</v>
      </c>
      <c r="H146" s="739">
        <f>'А П 3'!H597:L597</f>
        <v>6703.56</v>
      </c>
      <c r="I146" s="739">
        <f>'А П 3'!I597:M597</f>
        <v>0</v>
      </c>
      <c r="J146" s="739">
        <f>'А П 3'!J597:N597</f>
        <v>0</v>
      </c>
      <c r="K146" s="739">
        <f>'А П 3'!K597:O597</f>
        <v>0</v>
      </c>
      <c r="L146" s="739">
        <f>'А П 3'!L597:P597</f>
        <v>0</v>
      </c>
      <c r="M146" s="739"/>
      <c r="N146" s="739"/>
      <c r="O146" s="739"/>
      <c r="P146" s="739"/>
      <c r="Q146" s="739"/>
      <c r="R146" s="739"/>
      <c r="S146" s="739"/>
    </row>
    <row r="147" spans="1:19" ht="26.25" hidden="1" customHeight="1" x14ac:dyDescent="0.3">
      <c r="A147" s="732">
        <f>'А П 3'!A598:E598</f>
        <v>0</v>
      </c>
      <c r="B147" s="733">
        <f>'А П 3'!B598:F598</f>
        <v>0</v>
      </c>
      <c r="C147" s="732">
        <f>'А П 3'!C598:G598</f>
        <v>0</v>
      </c>
      <c r="D147" s="732">
        <f>'А П 3'!D598:H598</f>
        <v>0</v>
      </c>
      <c r="E147" s="732">
        <f>'А П 3'!E598:I598</f>
        <v>0</v>
      </c>
      <c r="F147" s="743" t="str">
        <f>'А П 3'!F598:J598</f>
        <v>Средства бюджетов муниципальных образований Московской области</v>
      </c>
      <c r="G147" s="738">
        <f>'А П 3'!G598:K598</f>
        <v>744.84</v>
      </c>
      <c r="H147" s="739">
        <f>'А П 3'!H598:L598</f>
        <v>744.84</v>
      </c>
      <c r="I147" s="739">
        <f>'А П 3'!I598:M598</f>
        <v>0</v>
      </c>
      <c r="J147" s="739">
        <f>'А П 3'!J598:N598</f>
        <v>0</v>
      </c>
      <c r="K147" s="739">
        <f>'А П 3'!K598:O598</f>
        <v>0</v>
      </c>
      <c r="L147" s="739">
        <f>'А П 3'!L598:P598</f>
        <v>0</v>
      </c>
      <c r="M147" s="739"/>
      <c r="N147" s="739"/>
      <c r="O147" s="739"/>
      <c r="P147" s="739"/>
      <c r="Q147" s="739"/>
      <c r="R147" s="739"/>
      <c r="S147" s="739"/>
    </row>
    <row r="148" spans="1:19" ht="26.25" hidden="1" customHeight="1" x14ac:dyDescent="0.3">
      <c r="A148" s="732" t="str">
        <f>'А П 3'!A599:E599</f>
        <v>20</v>
      </c>
      <c r="B148" s="733" t="str">
        <f>'А П 3'!B599:F599</f>
        <v>Доп работы по капитальному ремонту сетей водоотведения (самотечная канализация) п.Софрино-1, в/г 19</v>
      </c>
      <c r="C148" s="732">
        <f>'А П 3'!C599:G599</f>
        <v>0</v>
      </c>
      <c r="D148" s="732">
        <f>'А П 3'!D599:H599</f>
        <v>0</v>
      </c>
      <c r="E148" s="732">
        <f>'А П 3'!E599:I599</f>
        <v>0</v>
      </c>
      <c r="F148" s="743" t="str">
        <f>'А П 3'!F599:J599</f>
        <v>Итого</v>
      </c>
      <c r="G148" s="738">
        <f>'А П 3'!G599:K599</f>
        <v>14681.3</v>
      </c>
      <c r="H148" s="739">
        <f>'А П 3'!H599:L599</f>
        <v>14681.3</v>
      </c>
      <c r="I148" s="739">
        <f>'А П 3'!I599:M599</f>
        <v>0</v>
      </c>
      <c r="J148" s="739">
        <f>'А П 3'!J599:N599</f>
        <v>0</v>
      </c>
      <c r="K148" s="739">
        <f>'А П 3'!K599:O599</f>
        <v>0</v>
      </c>
      <c r="L148" s="739">
        <f>'А П 3'!L599:P599</f>
        <v>0</v>
      </c>
      <c r="M148" s="739"/>
      <c r="N148" s="739"/>
      <c r="O148" s="739"/>
      <c r="P148" s="739"/>
      <c r="Q148" s="739"/>
      <c r="R148" s="739"/>
      <c r="S148" s="739"/>
    </row>
    <row r="149" spans="1:19" ht="26.25" hidden="1" customHeight="1" x14ac:dyDescent="0.3">
      <c r="A149" s="732">
        <f>'А П 3'!A600:E600</f>
        <v>0</v>
      </c>
      <c r="B149" s="733">
        <f>'А П 3'!B600:F600</f>
        <v>0</v>
      </c>
      <c r="C149" s="732">
        <f>'А П 3'!C600:G600</f>
        <v>0</v>
      </c>
      <c r="D149" s="732">
        <f>'А П 3'!D600:H600</f>
        <v>0</v>
      </c>
      <c r="E149" s="732">
        <f>'А П 3'!E600:I600</f>
        <v>0</v>
      </c>
      <c r="F149" s="743" t="str">
        <f>'А П 3'!F600:J600</f>
        <v>Средства бюджета Московской области</v>
      </c>
      <c r="G149" s="738">
        <f>'А П 3'!G600:K600</f>
        <v>13213.17</v>
      </c>
      <c r="H149" s="739">
        <f>'А П 3'!H600:L600</f>
        <v>13213.17</v>
      </c>
      <c r="I149" s="739">
        <f>'А П 3'!I600:M600</f>
        <v>0</v>
      </c>
      <c r="J149" s="739">
        <f>'А П 3'!J600:N600</f>
        <v>0</v>
      </c>
      <c r="K149" s="739">
        <f>'А П 3'!K600:O600</f>
        <v>0</v>
      </c>
      <c r="L149" s="739">
        <f>'А П 3'!L600:P600</f>
        <v>0</v>
      </c>
      <c r="M149" s="739"/>
      <c r="N149" s="739"/>
      <c r="O149" s="739"/>
      <c r="P149" s="739"/>
      <c r="Q149" s="739"/>
      <c r="R149" s="739"/>
      <c r="S149" s="739"/>
    </row>
    <row r="150" spans="1:19" ht="26.25" hidden="1" customHeight="1" x14ac:dyDescent="0.3">
      <c r="A150" s="732">
        <f>'А П 3'!A601:E601</f>
        <v>0</v>
      </c>
      <c r="B150" s="733">
        <f>'А П 3'!B601:F601</f>
        <v>0</v>
      </c>
      <c r="C150" s="732">
        <f>'А П 3'!C601:G601</f>
        <v>0</v>
      </c>
      <c r="D150" s="732">
        <f>'А П 3'!D601:H601</f>
        <v>0</v>
      </c>
      <c r="E150" s="732">
        <f>'А П 3'!E601:I601</f>
        <v>0</v>
      </c>
      <c r="F150" s="743" t="str">
        <f>'А П 3'!F601:J601</f>
        <v>Средства бюджетов муниципальных образований Московской области</v>
      </c>
      <c r="G150" s="738">
        <f>'А П 3'!G601:K601</f>
        <v>1468.13</v>
      </c>
      <c r="H150" s="739">
        <f>'А П 3'!H601:L601</f>
        <v>1468.13</v>
      </c>
      <c r="I150" s="739">
        <f>'А П 3'!I601:M601</f>
        <v>0</v>
      </c>
      <c r="J150" s="739">
        <f>'А П 3'!J601:N601</f>
        <v>0</v>
      </c>
      <c r="K150" s="739">
        <f>'А П 3'!K601:O601</f>
        <v>0</v>
      </c>
      <c r="L150" s="739">
        <f>'А П 3'!L601:P601</f>
        <v>0</v>
      </c>
      <c r="M150" s="739"/>
      <c r="N150" s="739"/>
      <c r="O150" s="739"/>
      <c r="P150" s="739"/>
      <c r="Q150" s="739"/>
      <c r="R150" s="739"/>
      <c r="S150" s="739"/>
    </row>
    <row r="151" spans="1:19" ht="26.25" hidden="1" customHeight="1" x14ac:dyDescent="0.3">
      <c r="A151" s="732" t="str">
        <f>'А П 3'!A602:E602</f>
        <v>21</v>
      </c>
      <c r="B151" s="733" t="str">
        <f>'А П 3'!B602:F602</f>
        <v>Доп работы по капитальному ремонту сетей теплоснабжения (участка №1-№14) п.Софрино-1, в/г 19</v>
      </c>
      <c r="C151" s="732">
        <f>'А П 3'!C602:G602</f>
        <v>0</v>
      </c>
      <c r="D151" s="732">
        <f>'А П 3'!D602:H602</f>
        <v>0</v>
      </c>
      <c r="E151" s="732">
        <f>'А П 3'!E602:I602</f>
        <v>0</v>
      </c>
      <c r="F151" s="743" t="str">
        <f>'А П 3'!F602:J602</f>
        <v>Итого</v>
      </c>
      <c r="G151" s="738">
        <f>'А П 3'!G602:K602</f>
        <v>16000.78</v>
      </c>
      <c r="H151" s="739">
        <f>'А П 3'!H602:L602</f>
        <v>16000.78</v>
      </c>
      <c r="I151" s="739">
        <f>'А П 3'!I602:M602</f>
        <v>0</v>
      </c>
      <c r="J151" s="739">
        <f>'А П 3'!J602:N602</f>
        <v>0</v>
      </c>
      <c r="K151" s="739">
        <f>'А П 3'!K602:O602</f>
        <v>0</v>
      </c>
      <c r="L151" s="739">
        <f>'А П 3'!L602:P602</f>
        <v>0</v>
      </c>
      <c r="M151" s="739"/>
      <c r="N151" s="739"/>
      <c r="O151" s="739"/>
      <c r="P151" s="739"/>
      <c r="Q151" s="739"/>
      <c r="R151" s="739"/>
      <c r="S151" s="739"/>
    </row>
    <row r="152" spans="1:19" ht="26.25" hidden="1" customHeight="1" x14ac:dyDescent="0.3">
      <c r="A152" s="732">
        <f>'А П 3'!A603:E603</f>
        <v>0</v>
      </c>
      <c r="B152" s="733">
        <f>'А П 3'!B603:F603</f>
        <v>0</v>
      </c>
      <c r="C152" s="732">
        <f>'А П 3'!C603:G603</f>
        <v>0</v>
      </c>
      <c r="D152" s="732">
        <f>'А П 3'!D603:H603</f>
        <v>0</v>
      </c>
      <c r="E152" s="732">
        <f>'А П 3'!E603:I603</f>
        <v>0</v>
      </c>
      <c r="F152" s="743" t="str">
        <f>'А П 3'!F603:J603</f>
        <v>Средства бюджета Московской области</v>
      </c>
      <c r="G152" s="738">
        <f>'А П 3'!G603:K603</f>
        <v>14400.7</v>
      </c>
      <c r="H152" s="739">
        <f>'А П 3'!H603:L603</f>
        <v>14400.7</v>
      </c>
      <c r="I152" s="739">
        <f>'А П 3'!I603:M603</f>
        <v>0</v>
      </c>
      <c r="J152" s="739">
        <f>'А П 3'!J603:N603</f>
        <v>0</v>
      </c>
      <c r="K152" s="739">
        <f>'А П 3'!K603:O603</f>
        <v>0</v>
      </c>
      <c r="L152" s="739">
        <f>'А П 3'!L603:P603</f>
        <v>0</v>
      </c>
      <c r="M152" s="739"/>
      <c r="N152" s="739"/>
      <c r="O152" s="739"/>
      <c r="P152" s="739"/>
      <c r="Q152" s="739"/>
      <c r="R152" s="739"/>
      <c r="S152" s="739"/>
    </row>
    <row r="153" spans="1:19" ht="26.25" hidden="1" customHeight="1" x14ac:dyDescent="0.3">
      <c r="A153" s="732">
        <f>'А П 3'!A604:E604</f>
        <v>0</v>
      </c>
      <c r="B153" s="733">
        <f>'А П 3'!B604:F604</f>
        <v>0</v>
      </c>
      <c r="C153" s="732">
        <f>'А П 3'!C604:G604</f>
        <v>0</v>
      </c>
      <c r="D153" s="732">
        <f>'А П 3'!D604:H604</f>
        <v>0</v>
      </c>
      <c r="E153" s="732">
        <f>'А П 3'!E604:I604</f>
        <v>0</v>
      </c>
      <c r="F153" s="743" t="str">
        <f>'А П 3'!F604:J604</f>
        <v>Средства бюджетов муниципальных образований Московской области</v>
      </c>
      <c r="G153" s="738">
        <f>'А П 3'!G604:K604</f>
        <v>1600.08</v>
      </c>
      <c r="H153" s="739">
        <f>'А П 3'!H604:L604</f>
        <v>1600.08</v>
      </c>
      <c r="I153" s="739">
        <f>'А П 3'!I604:M604</f>
        <v>0</v>
      </c>
      <c r="J153" s="739">
        <f>'А П 3'!J604:N604</f>
        <v>0</v>
      </c>
      <c r="K153" s="739">
        <f>'А П 3'!K604:O604</f>
        <v>0</v>
      </c>
      <c r="L153" s="739">
        <f>'А П 3'!L604:P604</f>
        <v>0</v>
      </c>
      <c r="M153" s="739"/>
      <c r="N153" s="739"/>
      <c r="O153" s="739"/>
      <c r="P153" s="739"/>
      <c r="Q153" s="739"/>
      <c r="R153" s="739"/>
      <c r="S153" s="739"/>
    </row>
    <row r="154" spans="1:19" ht="26.25" hidden="1" customHeight="1" x14ac:dyDescent="0.3">
      <c r="A154" s="732" t="str">
        <f>'А П 3'!A605:E605</f>
        <v>22</v>
      </c>
      <c r="B154" s="733" t="str">
        <f>'А П 3'!B605:F605</f>
        <v>Доп работы по капитальному ремонту водопроводных сетей п.Софрино-1, в/г 19</v>
      </c>
      <c r="C154" s="732">
        <f>'А П 3'!C605:G605</f>
        <v>0</v>
      </c>
      <c r="D154" s="732">
        <f>'А П 3'!D605:H605</f>
        <v>0</v>
      </c>
      <c r="E154" s="732">
        <f>'А П 3'!E605:I605</f>
        <v>0</v>
      </c>
      <c r="F154" s="743" t="str">
        <f>'А П 3'!F605:J605</f>
        <v>Итого</v>
      </c>
      <c r="G154" s="738">
        <f>'А П 3'!G605:K605</f>
        <v>5257.4</v>
      </c>
      <c r="H154" s="739">
        <f>'А П 3'!H605:L605</f>
        <v>5257.4</v>
      </c>
      <c r="I154" s="739">
        <f>'А П 3'!I605:M605</f>
        <v>0</v>
      </c>
      <c r="J154" s="739">
        <f>'А П 3'!J605:N605</f>
        <v>0</v>
      </c>
      <c r="K154" s="739">
        <f>'А П 3'!K605:O605</f>
        <v>0</v>
      </c>
      <c r="L154" s="739">
        <f>'А П 3'!L605:P605</f>
        <v>0</v>
      </c>
      <c r="M154" s="739"/>
      <c r="N154" s="739"/>
      <c r="O154" s="739"/>
      <c r="P154" s="739"/>
      <c r="Q154" s="739"/>
      <c r="R154" s="739"/>
      <c r="S154" s="739"/>
    </row>
    <row r="155" spans="1:19" ht="26.25" hidden="1" customHeight="1" x14ac:dyDescent="0.3">
      <c r="A155" s="732">
        <f>'А П 3'!A606:E606</f>
        <v>0</v>
      </c>
      <c r="B155" s="733">
        <f>'А П 3'!B606:F606</f>
        <v>0</v>
      </c>
      <c r="C155" s="732">
        <f>'А П 3'!C606:G606</f>
        <v>0</v>
      </c>
      <c r="D155" s="732">
        <f>'А П 3'!D606:H606</f>
        <v>0</v>
      </c>
      <c r="E155" s="732">
        <f>'А П 3'!E606:I606</f>
        <v>0</v>
      </c>
      <c r="F155" s="743" t="str">
        <f>'А П 3'!F606:J606</f>
        <v>Средства бюджета Московской области</v>
      </c>
      <c r="G155" s="738">
        <f>'А П 3'!G606:K606</f>
        <v>4731.66</v>
      </c>
      <c r="H155" s="739">
        <f>'А П 3'!H606:L606</f>
        <v>4731.66</v>
      </c>
      <c r="I155" s="739">
        <f>'А П 3'!I606:M606</f>
        <v>0</v>
      </c>
      <c r="J155" s="739">
        <f>'А П 3'!J606:N606</f>
        <v>0</v>
      </c>
      <c r="K155" s="739">
        <f>'А П 3'!K606:O606</f>
        <v>0</v>
      </c>
      <c r="L155" s="739">
        <f>'А П 3'!L606:P606</f>
        <v>0</v>
      </c>
      <c r="M155" s="739"/>
      <c r="N155" s="739"/>
      <c r="O155" s="739"/>
      <c r="P155" s="739"/>
      <c r="Q155" s="739"/>
      <c r="R155" s="739"/>
      <c r="S155" s="739"/>
    </row>
    <row r="156" spans="1:19" ht="26.25" hidden="1" customHeight="1" x14ac:dyDescent="0.3">
      <c r="A156" s="732">
        <f>'А П 3'!A607:E607</f>
        <v>0</v>
      </c>
      <c r="B156" s="733">
        <f>'А П 3'!B607:F607</f>
        <v>0</v>
      </c>
      <c r="C156" s="732">
        <f>'А П 3'!C607:G607</f>
        <v>0</v>
      </c>
      <c r="D156" s="732">
        <f>'А П 3'!D607:H607</f>
        <v>0</v>
      </c>
      <c r="E156" s="732">
        <f>'А П 3'!E607:I607</f>
        <v>0</v>
      </c>
      <c r="F156" s="743" t="str">
        <f>'А П 3'!F607:J607</f>
        <v>Средства бюджетов муниципальных образований Московской области</v>
      </c>
      <c r="G156" s="738">
        <f>'А П 3'!G607:K607</f>
        <v>525.74</v>
      </c>
      <c r="H156" s="739">
        <f>'А П 3'!H607:L607</f>
        <v>525.74</v>
      </c>
      <c r="I156" s="739">
        <f>'А П 3'!I607:M607</f>
        <v>0</v>
      </c>
      <c r="J156" s="739">
        <f>'А П 3'!J607:N607</f>
        <v>0</v>
      </c>
      <c r="K156" s="739">
        <f>'А П 3'!K607:O607</f>
        <v>0</v>
      </c>
      <c r="L156" s="739">
        <f>'А П 3'!L607:P607</f>
        <v>0</v>
      </c>
      <c r="M156" s="739"/>
      <c r="N156" s="739"/>
      <c r="O156" s="739"/>
      <c r="P156" s="739"/>
      <c r="Q156" s="739"/>
      <c r="R156" s="739"/>
      <c r="S156" s="739"/>
    </row>
    <row r="157" spans="1:19" ht="26.25" hidden="1" customHeight="1" x14ac:dyDescent="0.3">
      <c r="A157" s="732" t="str">
        <f>'А П 3'!A608:E608</f>
        <v>23</v>
      </c>
      <c r="B157" s="733" t="str">
        <f>'А П 3'!B608:F608</f>
        <v>Доп работы по капитальному ремонту котельной №94 п.Софрино-1, в/г 19</v>
      </c>
      <c r="C157" s="732">
        <f>'А П 3'!C608:G608</f>
        <v>0</v>
      </c>
      <c r="D157" s="732">
        <f>'А П 3'!D608:H608</f>
        <v>0</v>
      </c>
      <c r="E157" s="732">
        <f>'А П 3'!E608:I608</f>
        <v>0</v>
      </c>
      <c r="F157" s="743" t="str">
        <f>'А П 3'!F608:J608</f>
        <v>Итого</v>
      </c>
      <c r="G157" s="738">
        <f>'А П 3'!G608:K608</f>
        <v>12491.16</v>
      </c>
      <c r="H157" s="739">
        <f>'А П 3'!H608:L608</f>
        <v>12491.16</v>
      </c>
      <c r="I157" s="739">
        <f>'А П 3'!I608:M608</f>
        <v>0</v>
      </c>
      <c r="J157" s="739">
        <f>'А П 3'!J608:N608</f>
        <v>0</v>
      </c>
      <c r="K157" s="739">
        <f>'А П 3'!K608:O608</f>
        <v>0</v>
      </c>
      <c r="L157" s="739">
        <f>'А П 3'!L608:P608</f>
        <v>0</v>
      </c>
      <c r="M157" s="739"/>
      <c r="N157" s="739"/>
      <c r="O157" s="739"/>
      <c r="P157" s="739"/>
      <c r="Q157" s="739"/>
      <c r="R157" s="739"/>
      <c r="S157" s="739"/>
    </row>
    <row r="158" spans="1:19" ht="26.25" hidden="1" customHeight="1" x14ac:dyDescent="0.3">
      <c r="A158" s="732">
        <f>'А П 3'!A609:E609</f>
        <v>0</v>
      </c>
      <c r="B158" s="733">
        <f>'А П 3'!B609:F609</f>
        <v>0</v>
      </c>
      <c r="C158" s="732">
        <f>'А П 3'!C609:G609</f>
        <v>0</v>
      </c>
      <c r="D158" s="732">
        <f>'А П 3'!D609:H609</f>
        <v>0</v>
      </c>
      <c r="E158" s="732">
        <f>'А П 3'!E609:I609</f>
        <v>0</v>
      </c>
      <c r="F158" s="743" t="str">
        <f>'А П 3'!F609:J609</f>
        <v>Средства бюджета Московской области</v>
      </c>
      <c r="G158" s="738">
        <f>'А П 3'!G609:K609</f>
        <v>11242.04</v>
      </c>
      <c r="H158" s="739">
        <f>'А П 3'!H609:L609</f>
        <v>11242.04</v>
      </c>
      <c r="I158" s="739">
        <f>'А П 3'!I609:M609</f>
        <v>0</v>
      </c>
      <c r="J158" s="739">
        <f>'А П 3'!J609:N609</f>
        <v>0</v>
      </c>
      <c r="K158" s="739">
        <f>'А П 3'!K609:O609</f>
        <v>0</v>
      </c>
      <c r="L158" s="739">
        <f>'А П 3'!L609:P609</f>
        <v>0</v>
      </c>
      <c r="M158" s="739"/>
      <c r="N158" s="739"/>
      <c r="O158" s="739"/>
      <c r="P158" s="739"/>
      <c r="Q158" s="739"/>
      <c r="R158" s="739"/>
      <c r="S158" s="739"/>
    </row>
    <row r="159" spans="1:19" ht="26.25" hidden="1" customHeight="1" x14ac:dyDescent="0.3">
      <c r="A159" s="732">
        <f>'А П 3'!A610:E610</f>
        <v>0</v>
      </c>
      <c r="B159" s="733">
        <f>'А П 3'!B610:F610</f>
        <v>0</v>
      </c>
      <c r="C159" s="732">
        <f>'А П 3'!C610:G610</f>
        <v>0</v>
      </c>
      <c r="D159" s="732">
        <f>'А П 3'!D610:H610</f>
        <v>0</v>
      </c>
      <c r="E159" s="732">
        <f>'А П 3'!E610:I610</f>
        <v>0</v>
      </c>
      <c r="F159" s="743" t="str">
        <f>'А П 3'!F610:J610</f>
        <v>Средства бюджетов муниципальных образований Московской области</v>
      </c>
      <c r="G159" s="738">
        <f>'А П 3'!G610:K610</f>
        <v>1249.1199999999999</v>
      </c>
      <c r="H159" s="739">
        <f>'А П 3'!H610:L610</f>
        <v>1249.1199999999999</v>
      </c>
      <c r="I159" s="739">
        <f>'А П 3'!I610:M610</f>
        <v>0</v>
      </c>
      <c r="J159" s="739">
        <f>'А П 3'!J610:N610</f>
        <v>0</v>
      </c>
      <c r="K159" s="739">
        <f>'А П 3'!K610:O610</f>
        <v>0</v>
      </c>
      <c r="L159" s="739">
        <f>'А П 3'!L610:P610</f>
        <v>0</v>
      </c>
      <c r="M159" s="739"/>
      <c r="N159" s="739"/>
      <c r="O159" s="739"/>
      <c r="P159" s="739"/>
      <c r="Q159" s="739"/>
      <c r="R159" s="739"/>
      <c r="S159" s="739"/>
    </row>
    <row r="160" spans="1:19" s="750" customFormat="1" ht="26.25" customHeight="1" x14ac:dyDescent="0.3">
      <c r="A160" s="745" t="str">
        <f>'А П 3'!A611:E611</f>
        <v>1.2.1.14</v>
      </c>
      <c r="B160" s="746" t="str">
        <f>'А П 3'!B611:F611</f>
        <v>Щелковский муниципальный район</v>
      </c>
      <c r="C160" s="745">
        <f>'А П 3'!C611:G611</f>
        <v>0</v>
      </c>
      <c r="D160" s="745">
        <f>'А П 3'!D611:H611</f>
        <v>0</v>
      </c>
      <c r="E160" s="745">
        <f>'А П 3'!E611:I611</f>
        <v>0</v>
      </c>
      <c r="F160" s="747" t="str">
        <f>'А П 3'!F611:J611</f>
        <v>Итого</v>
      </c>
      <c r="G160" s="748">
        <f>'А П 3'!G611:K611</f>
        <v>30533.37</v>
      </c>
      <c r="H160" s="749">
        <f>'А П 3'!H611:L611</f>
        <v>7815.47</v>
      </c>
      <c r="I160" s="749">
        <f>'А П 3'!I611:M611</f>
        <v>22717.9</v>
      </c>
      <c r="J160" s="749">
        <f>'А П 3'!J611:N611</f>
        <v>0</v>
      </c>
      <c r="K160" s="749">
        <f>'А П 3'!K611:O611</f>
        <v>0</v>
      </c>
      <c r="L160" s="749">
        <f>'А П 3'!L611:P611</f>
        <v>0</v>
      </c>
      <c r="M160" s="749"/>
      <c r="N160" s="749"/>
      <c r="O160" s="749"/>
      <c r="P160" s="749"/>
      <c r="Q160" s="749"/>
      <c r="R160" s="749"/>
      <c r="S160" s="749"/>
    </row>
    <row r="161" spans="1:19" ht="26.25" customHeight="1" x14ac:dyDescent="0.3">
      <c r="A161" s="732"/>
      <c r="B161" s="733"/>
      <c r="C161" s="732">
        <f>'А П 3'!C612:G612</f>
        <v>0</v>
      </c>
      <c r="D161" s="732">
        <f>'А П 3'!D612:H612</f>
        <v>0</v>
      </c>
      <c r="E161" s="732">
        <f>'А П 3'!E612:I612</f>
        <v>0</v>
      </c>
      <c r="F161" s="743" t="str">
        <f>'А П 3'!F612:J612</f>
        <v>Средства бюджета Московской области</v>
      </c>
      <c r="G161" s="738">
        <f>'А П 3'!G612:K612</f>
        <v>29006.69</v>
      </c>
      <c r="H161" s="739">
        <f>'А П 3'!H612:L612</f>
        <v>7424.69</v>
      </c>
      <c r="I161" s="739">
        <f>'А П 3'!I612:M612</f>
        <v>21582</v>
      </c>
      <c r="J161" s="739">
        <f>'А П 3'!J612:N612</f>
        <v>0</v>
      </c>
      <c r="K161" s="739">
        <f>'А П 3'!K612:O612</f>
        <v>0</v>
      </c>
      <c r="L161" s="739">
        <f>'А П 3'!L612:P612</f>
        <v>0</v>
      </c>
      <c r="M161" s="739"/>
      <c r="N161" s="739"/>
      <c r="O161" s="739"/>
      <c r="P161" s="739"/>
      <c r="Q161" s="739"/>
      <c r="R161" s="739"/>
      <c r="S161" s="739"/>
    </row>
    <row r="162" spans="1:19" ht="26.25" customHeight="1" x14ac:dyDescent="0.3">
      <c r="A162" s="732"/>
      <c r="B162" s="733"/>
      <c r="C162" s="732">
        <f>'А П 3'!C613:G613</f>
        <v>0</v>
      </c>
      <c r="D162" s="732">
        <f>'А П 3'!D613:H613</f>
        <v>0</v>
      </c>
      <c r="E162" s="732">
        <f>'А П 3'!E613:I613</f>
        <v>0</v>
      </c>
      <c r="F162" s="743" t="str">
        <f>'А П 3'!F613:J613</f>
        <v>Средства бюджетов муниципальных образований Московской области</v>
      </c>
      <c r="G162" s="738">
        <f>'А П 3'!G613:K613</f>
        <v>1526.68</v>
      </c>
      <c r="H162" s="739">
        <f>'А П 3'!H613:L613</f>
        <v>390.78</v>
      </c>
      <c r="I162" s="739">
        <f>'А П 3'!I613:M613</f>
        <v>1135.9000000000001</v>
      </c>
      <c r="J162" s="739">
        <f>'А П 3'!J613:N613</f>
        <v>0</v>
      </c>
      <c r="K162" s="739">
        <f>'А П 3'!K613:O613</f>
        <v>0</v>
      </c>
      <c r="L162" s="739">
        <f>'А П 3'!L613:P613</f>
        <v>0</v>
      </c>
      <c r="M162" s="739"/>
      <c r="N162" s="739"/>
      <c r="O162" s="739"/>
      <c r="P162" s="739"/>
      <c r="Q162" s="739"/>
      <c r="R162" s="739"/>
      <c r="S162" s="739"/>
    </row>
    <row r="163" spans="1:19" ht="26.25" hidden="1" customHeight="1" x14ac:dyDescent="0.3">
      <c r="A163" s="732">
        <f>'А П 3'!A614:E614</f>
        <v>0</v>
      </c>
      <c r="B163" s="733" t="str">
        <f>'А П 3'!B614:F614</f>
        <v>Капитальный ремонт котельной по адресу: с.п. Медвежье-Озерское, п. Новый городок (в том числе погашение кредиторской задолженности органов местного самоуправления муниципального образования за работы, выполненные в 2016 г. -  11031,70402 тыс. руб.)</v>
      </c>
      <c r="C163" s="732">
        <f>'А П 3'!C614:G614</f>
        <v>0</v>
      </c>
      <c r="D163" s="732">
        <f>'А П 3'!D614:H614</f>
        <v>0</v>
      </c>
      <c r="E163" s="732">
        <f>'А П 3'!E614:I614</f>
        <v>0</v>
      </c>
      <c r="F163" s="743" t="str">
        <f>'А П 3'!F614:J614</f>
        <v>Итого</v>
      </c>
      <c r="G163" s="738">
        <f>'А П 3'!G614:K614</f>
        <v>7815.47</v>
      </c>
      <c r="H163" s="739">
        <f>'А П 3'!H614:L614</f>
        <v>7815.47</v>
      </c>
      <c r="I163" s="739">
        <f>'А П 3'!I614:M614</f>
        <v>0</v>
      </c>
      <c r="J163" s="739">
        <f>'А П 3'!J614:N614</f>
        <v>0</v>
      </c>
      <c r="K163" s="739">
        <f>'А П 3'!K614:O614</f>
        <v>0</v>
      </c>
      <c r="L163" s="739">
        <f>'А П 3'!L614:P614</f>
        <v>0</v>
      </c>
      <c r="M163" s="739"/>
      <c r="N163" s="739"/>
      <c r="O163" s="739"/>
      <c r="P163" s="739"/>
      <c r="Q163" s="739"/>
      <c r="R163" s="739"/>
      <c r="S163" s="739"/>
    </row>
    <row r="164" spans="1:19" ht="26.25" hidden="1" customHeight="1" x14ac:dyDescent="0.3">
      <c r="A164" s="732"/>
      <c r="B164" s="733"/>
      <c r="C164" s="732">
        <f>'А П 3'!C615:G615</f>
        <v>0</v>
      </c>
      <c r="D164" s="732">
        <f>'А П 3'!D615:H615</f>
        <v>0</v>
      </c>
      <c r="E164" s="732">
        <f>'А П 3'!E615:I615</f>
        <v>0</v>
      </c>
      <c r="F164" s="743" t="str">
        <f>'А П 3'!F615:J615</f>
        <v>Средства бюджета Московской области</v>
      </c>
      <c r="G164" s="738">
        <f>'А П 3'!G615:K615</f>
        <v>7424.69</v>
      </c>
      <c r="H164" s="739">
        <f>'А П 3'!H615:L615</f>
        <v>7424.69</v>
      </c>
      <c r="I164" s="739">
        <f>'А П 3'!I615:M615</f>
        <v>0</v>
      </c>
      <c r="J164" s="739">
        <f>'А П 3'!J615:N615</f>
        <v>0</v>
      </c>
      <c r="K164" s="739">
        <f>'А П 3'!K615:O615</f>
        <v>0</v>
      </c>
      <c r="L164" s="739">
        <f>'А П 3'!L615:P615</f>
        <v>0</v>
      </c>
      <c r="M164" s="739"/>
      <c r="N164" s="739"/>
      <c r="O164" s="739"/>
      <c r="P164" s="739"/>
      <c r="Q164" s="739"/>
      <c r="R164" s="739"/>
      <c r="S164" s="739"/>
    </row>
    <row r="165" spans="1:19" ht="26.25" hidden="1" customHeight="1" x14ac:dyDescent="0.3">
      <c r="A165" s="732"/>
      <c r="B165" s="733"/>
      <c r="C165" s="732">
        <f>'А П 3'!C616:G616</f>
        <v>0</v>
      </c>
      <c r="D165" s="732">
        <f>'А П 3'!D616:H616</f>
        <v>0</v>
      </c>
      <c r="E165" s="732">
        <f>'А П 3'!E616:I616</f>
        <v>0</v>
      </c>
      <c r="F165" s="743" t="str">
        <f>'А П 3'!F616:J616</f>
        <v>Средства бюджетов муниципальных образований Московской области</v>
      </c>
      <c r="G165" s="738">
        <f>'А П 3'!G616:K616</f>
        <v>390.78</v>
      </c>
      <c r="H165" s="739">
        <f>'А П 3'!H616:L616</f>
        <v>390.78</v>
      </c>
      <c r="I165" s="739">
        <f>'А П 3'!I616:M616</f>
        <v>0</v>
      </c>
      <c r="J165" s="739">
        <f>'А П 3'!J616:N616</f>
        <v>0</v>
      </c>
      <c r="K165" s="739">
        <f>'А П 3'!K616:O616</f>
        <v>0</v>
      </c>
      <c r="L165" s="739">
        <f>'А П 3'!L616:P616</f>
        <v>0</v>
      </c>
      <c r="M165" s="739"/>
      <c r="N165" s="739"/>
      <c r="O165" s="739"/>
      <c r="P165" s="739"/>
      <c r="Q165" s="739"/>
      <c r="R165" s="739"/>
      <c r="S165" s="739"/>
    </row>
    <row r="166" spans="1:19" ht="26.25" hidden="1" customHeight="1" x14ac:dyDescent="0.3">
      <c r="A166" s="732">
        <f>'А П 3'!A617:E617</f>
        <v>0</v>
      </c>
      <c r="B166" s="733" t="str">
        <f>'А П 3'!B617:F617</f>
        <v>Капитальный ремонт напорного канализационного коллектора диаметром 160 мм, протяженностью 987 п.м. от КНС "Новый городок" до КНС "Кустовая" Щелковсккий м.р.</v>
      </c>
      <c r="C166" s="732">
        <f>'А П 3'!C617:G617</f>
        <v>0</v>
      </c>
      <c r="D166" s="732">
        <f>'А П 3'!D617:H617</f>
        <v>0</v>
      </c>
      <c r="E166" s="732">
        <f>'А П 3'!E617:I617</f>
        <v>0</v>
      </c>
      <c r="F166" s="743" t="str">
        <f>'А П 3'!F617:J617</f>
        <v>Итого</v>
      </c>
      <c r="G166" s="738">
        <f>'А П 3'!G617:K617</f>
        <v>19875.79</v>
      </c>
      <c r="H166" s="739">
        <f>'А П 3'!H617:L617</f>
        <v>0</v>
      </c>
      <c r="I166" s="739">
        <f>'А П 3'!I617:M617</f>
        <v>19875.79</v>
      </c>
      <c r="J166" s="739">
        <f>'А П 3'!J617:N617</f>
        <v>0</v>
      </c>
      <c r="K166" s="739">
        <f>'А П 3'!K617:O617</f>
        <v>0</v>
      </c>
      <c r="L166" s="739">
        <f>'А П 3'!L617:P617</f>
        <v>0</v>
      </c>
      <c r="M166" s="739"/>
      <c r="N166" s="739"/>
      <c r="O166" s="739"/>
      <c r="P166" s="739"/>
      <c r="Q166" s="739"/>
      <c r="R166" s="739"/>
      <c r="S166" s="739"/>
    </row>
    <row r="167" spans="1:19" ht="26.25" hidden="1" customHeight="1" x14ac:dyDescent="0.3">
      <c r="A167" s="732">
        <f>'А П 3'!A618:E618</f>
        <v>0</v>
      </c>
      <c r="B167" s="733">
        <f>'А П 3'!B618:F618</f>
        <v>0</v>
      </c>
      <c r="C167" s="732">
        <f>'А П 3'!C618:G618</f>
        <v>0</v>
      </c>
      <c r="D167" s="732">
        <f>'А П 3'!D618:H618</f>
        <v>0</v>
      </c>
      <c r="E167" s="732">
        <f>'А П 3'!E618:I618</f>
        <v>0</v>
      </c>
      <c r="F167" s="743" t="str">
        <f>'А П 3'!F618:J618</f>
        <v>Средства бюджета Московской области</v>
      </c>
      <c r="G167" s="738">
        <f>'А П 3'!G618:K618</f>
        <v>18882</v>
      </c>
      <c r="H167" s="739">
        <f>'А П 3'!H618:L618</f>
        <v>0</v>
      </c>
      <c r="I167" s="739">
        <f>'А П 3'!I618:M618</f>
        <v>18882</v>
      </c>
      <c r="J167" s="739">
        <f>'А П 3'!J618:N618</f>
        <v>0</v>
      </c>
      <c r="K167" s="739">
        <f>'А П 3'!K618:O618</f>
        <v>0</v>
      </c>
      <c r="L167" s="739">
        <f>'А П 3'!L618:P618</f>
        <v>0</v>
      </c>
      <c r="M167" s="739"/>
      <c r="N167" s="739"/>
      <c r="O167" s="739"/>
      <c r="P167" s="739"/>
      <c r="Q167" s="739"/>
      <c r="R167" s="739"/>
      <c r="S167" s="739"/>
    </row>
    <row r="168" spans="1:19" ht="26.25" hidden="1" customHeight="1" x14ac:dyDescent="0.3">
      <c r="A168" s="732">
        <f>'А П 3'!A619:E619</f>
        <v>0</v>
      </c>
      <c r="B168" s="733">
        <f>'А П 3'!B619:F619</f>
        <v>0</v>
      </c>
      <c r="C168" s="732">
        <f>'А П 3'!C619:G619</f>
        <v>0</v>
      </c>
      <c r="D168" s="732">
        <f>'А П 3'!D619:H619</f>
        <v>0</v>
      </c>
      <c r="E168" s="732">
        <f>'А П 3'!E619:I619</f>
        <v>0</v>
      </c>
      <c r="F168" s="743" t="str">
        <f>'А П 3'!F619:J619</f>
        <v>Средства бюджетов муниципальных образований Московской области</v>
      </c>
      <c r="G168" s="738">
        <f>'А П 3'!G619:K619</f>
        <v>993.79</v>
      </c>
      <c r="H168" s="739">
        <f>'А П 3'!H619:L619</f>
        <v>0</v>
      </c>
      <c r="I168" s="739">
        <f>'А П 3'!I619:M619</f>
        <v>993.79</v>
      </c>
      <c r="J168" s="739">
        <f>'А П 3'!J619:N619</f>
        <v>0</v>
      </c>
      <c r="K168" s="739">
        <f>'А П 3'!K619:O619</f>
        <v>0</v>
      </c>
      <c r="L168" s="739">
        <f>'А П 3'!L619:P619</f>
        <v>0</v>
      </c>
      <c r="M168" s="739"/>
      <c r="N168" s="739"/>
      <c r="O168" s="739"/>
      <c r="P168" s="739"/>
      <c r="Q168" s="739"/>
      <c r="R168" s="739"/>
      <c r="S168" s="739"/>
    </row>
    <row r="169" spans="1:19" ht="26.25" hidden="1" customHeight="1" x14ac:dyDescent="0.3">
      <c r="A169" s="732">
        <f>'А П 3'!A620:E620</f>
        <v>0</v>
      </c>
      <c r="B169" s="733" t="str">
        <f>'А П 3'!B620:F620</f>
        <v>Капитальный ремонт напорного коллектора и КНС п.Новый городок</v>
      </c>
      <c r="C169" s="732">
        <f>'А П 3'!C620:G620</f>
        <v>0</v>
      </c>
      <c r="D169" s="732">
        <f>'А П 3'!D620:H620</f>
        <v>0</v>
      </c>
      <c r="E169" s="732">
        <f>'А П 3'!E620:I620</f>
        <v>0</v>
      </c>
      <c r="F169" s="743" t="str">
        <f>'А П 3'!F620:J620</f>
        <v>Итого</v>
      </c>
      <c r="G169" s="738">
        <f>'А П 3'!G620:K620</f>
        <v>2842.11</v>
      </c>
      <c r="H169" s="739">
        <f>'А П 3'!H620:L620</f>
        <v>0</v>
      </c>
      <c r="I169" s="739">
        <f>'А П 3'!I620:M620</f>
        <v>2842.11</v>
      </c>
      <c r="J169" s="739">
        <f>'А П 3'!J620:N620</f>
        <v>0</v>
      </c>
      <c r="K169" s="739">
        <f>'А П 3'!K620:O620</f>
        <v>0</v>
      </c>
      <c r="L169" s="739">
        <f>'А П 3'!L620:P620</f>
        <v>0</v>
      </c>
      <c r="M169" s="739"/>
      <c r="N169" s="739"/>
      <c r="O169" s="739"/>
      <c r="P169" s="739"/>
      <c r="Q169" s="739"/>
      <c r="R169" s="739"/>
      <c r="S169" s="739"/>
    </row>
    <row r="170" spans="1:19" ht="26.25" hidden="1" customHeight="1" x14ac:dyDescent="0.3">
      <c r="A170" s="732">
        <f>'А П 3'!A621:E621</f>
        <v>0</v>
      </c>
      <c r="B170" s="733">
        <f>'А П 3'!B621:F621</f>
        <v>0</v>
      </c>
      <c r="C170" s="732">
        <f>'А П 3'!C621:G621</f>
        <v>0</v>
      </c>
      <c r="D170" s="732">
        <f>'А П 3'!D621:H621</f>
        <v>0</v>
      </c>
      <c r="E170" s="732">
        <f>'А П 3'!E621:I621</f>
        <v>0</v>
      </c>
      <c r="F170" s="743" t="str">
        <f>'А П 3'!F621:J621</f>
        <v>Средства бюджета Московской области</v>
      </c>
      <c r="G170" s="738">
        <f>'А П 3'!G621:K621</f>
        <v>2700</v>
      </c>
      <c r="H170" s="739">
        <f>'А П 3'!H621:L621</f>
        <v>0</v>
      </c>
      <c r="I170" s="739">
        <f>'А П 3'!I621:M621</f>
        <v>2700</v>
      </c>
      <c r="J170" s="739">
        <f>'А П 3'!J621:N621</f>
        <v>0</v>
      </c>
      <c r="K170" s="739">
        <f>'А П 3'!K621:O621</f>
        <v>0</v>
      </c>
      <c r="L170" s="739">
        <f>'А П 3'!L621:P621</f>
        <v>0</v>
      </c>
      <c r="M170" s="739"/>
      <c r="N170" s="739"/>
      <c r="O170" s="739"/>
      <c r="P170" s="739"/>
      <c r="Q170" s="739"/>
      <c r="R170" s="739"/>
      <c r="S170" s="739"/>
    </row>
    <row r="171" spans="1:19" ht="26.25" hidden="1" customHeight="1" x14ac:dyDescent="0.3">
      <c r="A171" s="732">
        <f>'А П 3'!A622:E622</f>
        <v>0</v>
      </c>
      <c r="B171" s="733">
        <f>'А П 3'!B622:F622</f>
        <v>0</v>
      </c>
      <c r="C171" s="732">
        <f>'А П 3'!C622:G622</f>
        <v>0</v>
      </c>
      <c r="D171" s="732">
        <f>'А П 3'!D622:H622</f>
        <v>0</v>
      </c>
      <c r="E171" s="732">
        <f>'А П 3'!E622:I622</f>
        <v>0</v>
      </c>
      <c r="F171" s="743" t="str">
        <f>'А П 3'!F622:J622</f>
        <v>Средства бюджетов муниципальных образований Московской области</v>
      </c>
      <c r="G171" s="738">
        <f>'А П 3'!G622:K622</f>
        <v>142.11000000000001</v>
      </c>
      <c r="H171" s="739">
        <f>'А П 3'!H622:L622</f>
        <v>0</v>
      </c>
      <c r="I171" s="739">
        <f>'А П 3'!I622:M622</f>
        <v>142.11000000000001</v>
      </c>
      <c r="J171" s="739">
        <f>'А П 3'!J622:N622</f>
        <v>0</v>
      </c>
      <c r="K171" s="739">
        <f>'А П 3'!K622:O622</f>
        <v>0</v>
      </c>
      <c r="L171" s="739">
        <f>'А П 3'!L622:P622</f>
        <v>0</v>
      </c>
      <c r="M171" s="739"/>
      <c r="N171" s="739"/>
      <c r="O171" s="739"/>
      <c r="P171" s="739"/>
      <c r="Q171" s="739"/>
      <c r="R171" s="739"/>
      <c r="S171" s="739"/>
    </row>
    <row r="172" spans="1:19" s="750" customFormat="1" ht="26.25" customHeight="1" x14ac:dyDescent="0.3">
      <c r="A172" s="745" t="str">
        <f>'А П 3'!A623:E623</f>
        <v>3.1.1.5</v>
      </c>
      <c r="B172" s="746" t="str">
        <f>'А П 3'!B623:F623</f>
        <v>Городское поселение Монино Щелковского муниципального района</v>
      </c>
      <c r="C172" s="745">
        <f>'А П 3'!C623:G623</f>
        <v>0</v>
      </c>
      <c r="D172" s="745">
        <f>'А П 3'!D623:H623</f>
        <v>0</v>
      </c>
      <c r="E172" s="745">
        <f>'А П 3'!E623:I623</f>
        <v>0</v>
      </c>
      <c r="F172" s="747" t="str">
        <f>'А П 3'!F623:J623</f>
        <v>Итого</v>
      </c>
      <c r="G172" s="748">
        <f>'А П 3'!G623:K623</f>
        <v>103021.68</v>
      </c>
      <c r="H172" s="749">
        <f>'А П 3'!H623:L623</f>
        <v>103021.68</v>
      </c>
      <c r="I172" s="749">
        <f>'А П 3'!I623:M623</f>
        <v>0</v>
      </c>
      <c r="J172" s="749">
        <f>'А П 3'!J623:N623</f>
        <v>0</v>
      </c>
      <c r="K172" s="749">
        <f>'А П 3'!K623:O623</f>
        <v>0</v>
      </c>
      <c r="L172" s="749">
        <f>'А П 3'!L623:P623</f>
        <v>0</v>
      </c>
      <c r="M172" s="749"/>
      <c r="N172" s="749"/>
      <c r="O172" s="749"/>
      <c r="P172" s="749"/>
      <c r="Q172" s="749"/>
      <c r="R172" s="749"/>
      <c r="S172" s="749"/>
    </row>
    <row r="173" spans="1:19" ht="26.25" customHeight="1" x14ac:dyDescent="0.3">
      <c r="A173" s="732">
        <f>'А П 3'!A624:E624</f>
        <v>0</v>
      </c>
      <c r="B173" s="733"/>
      <c r="C173" s="732">
        <f>'А П 3'!C624:G624</f>
        <v>0</v>
      </c>
      <c r="D173" s="732">
        <f>'А П 3'!D624:H624</f>
        <v>0</v>
      </c>
      <c r="E173" s="732">
        <f>'А П 3'!E624:I624</f>
        <v>0</v>
      </c>
      <c r="F173" s="743" t="str">
        <f>'А П 3'!F624:J624</f>
        <v>Средства бюджета Московской области</v>
      </c>
      <c r="G173" s="738">
        <f>'А П 3'!G624:K624</f>
        <v>96445.39</v>
      </c>
      <c r="H173" s="739">
        <f>'А П 3'!H624:L624</f>
        <v>96445.39</v>
      </c>
      <c r="I173" s="739">
        <f>'А П 3'!I624:M624</f>
        <v>0</v>
      </c>
      <c r="J173" s="739">
        <f>'А П 3'!J624:N624</f>
        <v>0</v>
      </c>
      <c r="K173" s="739">
        <f>'А П 3'!K624:O624</f>
        <v>0</v>
      </c>
      <c r="L173" s="739">
        <f>'А П 3'!L624:P624</f>
        <v>0</v>
      </c>
      <c r="M173" s="739"/>
      <c r="N173" s="739"/>
      <c r="O173" s="739"/>
      <c r="P173" s="739"/>
      <c r="Q173" s="739"/>
      <c r="R173" s="739"/>
      <c r="S173" s="739"/>
    </row>
    <row r="174" spans="1:19" ht="26.25" customHeight="1" x14ac:dyDescent="0.3">
      <c r="A174" s="732">
        <f>'А П 3'!A625:E625</f>
        <v>0</v>
      </c>
      <c r="B174" s="733"/>
      <c r="C174" s="732">
        <f>'А П 3'!C625:G625</f>
        <v>0</v>
      </c>
      <c r="D174" s="732">
        <f>'А П 3'!D625:H625</f>
        <v>0</v>
      </c>
      <c r="E174" s="732">
        <f>'А П 3'!E625:I625</f>
        <v>0</v>
      </c>
      <c r="F174" s="743" t="str">
        <f>'А П 3'!F625:J625</f>
        <v>Средства бюджетов муниципальных образований Московской области</v>
      </c>
      <c r="G174" s="738">
        <f>'А П 3'!G625:K625</f>
        <v>6576.29</v>
      </c>
      <c r="H174" s="739">
        <f>'А П 3'!H625:L625</f>
        <v>6576.29</v>
      </c>
      <c r="I174" s="739">
        <f>'А П 3'!I625:M625</f>
        <v>0</v>
      </c>
      <c r="J174" s="739">
        <f>'А П 3'!J625:N625</f>
        <v>0</v>
      </c>
      <c r="K174" s="739">
        <f>'А П 3'!K625:O625</f>
        <v>0</v>
      </c>
      <c r="L174" s="739">
        <f>'А П 3'!L625:P625</f>
        <v>0</v>
      </c>
      <c r="M174" s="739"/>
      <c r="N174" s="739"/>
      <c r="O174" s="739"/>
      <c r="P174" s="739"/>
      <c r="Q174" s="739"/>
      <c r="R174" s="739"/>
      <c r="S174" s="739"/>
    </row>
    <row r="175" spans="1:19" ht="26.25" hidden="1" customHeight="1" x14ac:dyDescent="0.3">
      <c r="A175" s="732">
        <f>'А П 3'!A626:E626</f>
        <v>0</v>
      </c>
      <c r="B175" s="733" t="str">
        <f>'А П 3'!B626:F626</f>
        <v>Капитальный ремонт котельной №2 Щелковский м.р. Монино</v>
      </c>
      <c r="C175" s="732">
        <f>'А П 3'!C626:G626</f>
        <v>0</v>
      </c>
      <c r="D175" s="732">
        <f>'А П 3'!D626:H626</f>
        <v>0</v>
      </c>
      <c r="E175" s="732">
        <f>'А П 3'!E626:I626</f>
        <v>0</v>
      </c>
      <c r="F175" s="743" t="str">
        <f>'А П 3'!F626:J626</f>
        <v>Итого</v>
      </c>
      <c r="G175" s="738">
        <f>'А П 3'!G626:K626</f>
        <v>45580.75</v>
      </c>
      <c r="H175" s="739">
        <f>'А П 3'!H626:L626</f>
        <v>45580.75</v>
      </c>
      <c r="I175" s="739">
        <f>'А П 3'!I626:M626</f>
        <v>0</v>
      </c>
      <c r="J175" s="739">
        <f>'А П 3'!J626:N626</f>
        <v>0</v>
      </c>
      <c r="K175" s="739">
        <f>'А П 3'!K626:O626</f>
        <v>0</v>
      </c>
      <c r="L175" s="739">
        <f>'А П 3'!L626:P626</f>
        <v>0</v>
      </c>
      <c r="M175" s="739"/>
      <c r="N175" s="739"/>
      <c r="O175" s="739"/>
      <c r="P175" s="739"/>
      <c r="Q175" s="739"/>
      <c r="R175" s="739"/>
      <c r="S175" s="739"/>
    </row>
    <row r="176" spans="1:19" ht="26.25" hidden="1" customHeight="1" x14ac:dyDescent="0.3">
      <c r="A176" s="732">
        <f>'А П 3'!A627:E627</f>
        <v>0</v>
      </c>
      <c r="B176" s="733">
        <f>'А П 3'!B627:F627</f>
        <v>0</v>
      </c>
      <c r="C176" s="732">
        <f>'А П 3'!C627:G627</f>
        <v>0</v>
      </c>
      <c r="D176" s="732">
        <f>'А П 3'!D627:H627</f>
        <v>0</v>
      </c>
      <c r="E176" s="732">
        <f>'А П 3'!E627:I627</f>
        <v>0</v>
      </c>
      <c r="F176" s="743" t="str">
        <f>'А П 3'!F627:J627</f>
        <v>Средства бюджета Московской области</v>
      </c>
      <c r="G176" s="738">
        <f>'А П 3'!G627:K627</f>
        <v>43302.26</v>
      </c>
      <c r="H176" s="739">
        <f>'А П 3'!H627:L627</f>
        <v>43302.26</v>
      </c>
      <c r="I176" s="739">
        <f>'А П 3'!I627:M627</f>
        <v>0</v>
      </c>
      <c r="J176" s="739">
        <f>'А П 3'!J627:N627</f>
        <v>0</v>
      </c>
      <c r="K176" s="739">
        <f>'А П 3'!K627:O627</f>
        <v>0</v>
      </c>
      <c r="L176" s="739">
        <f>'А П 3'!L627:P627</f>
        <v>0</v>
      </c>
      <c r="M176" s="739"/>
      <c r="N176" s="739"/>
      <c r="O176" s="739"/>
      <c r="P176" s="739"/>
      <c r="Q176" s="739"/>
      <c r="R176" s="739"/>
      <c r="S176" s="739"/>
    </row>
    <row r="177" spans="1:19" ht="26.25" hidden="1" customHeight="1" x14ac:dyDescent="0.3">
      <c r="A177" s="732">
        <f>'А П 3'!A628:E628</f>
        <v>0</v>
      </c>
      <c r="B177" s="733">
        <f>'А П 3'!B628:F628</f>
        <v>0</v>
      </c>
      <c r="C177" s="732">
        <f>'А П 3'!C628:G628</f>
        <v>0</v>
      </c>
      <c r="D177" s="732">
        <f>'А П 3'!D628:H628</f>
        <v>0</v>
      </c>
      <c r="E177" s="732">
        <f>'А П 3'!E628:I628</f>
        <v>0</v>
      </c>
      <c r="F177" s="743" t="str">
        <f>'А П 3'!F628:J628</f>
        <v>Средства бюджетов муниципальных образований Московской области</v>
      </c>
      <c r="G177" s="738">
        <f>'А П 3'!G628:K628</f>
        <v>2278.4899999999998</v>
      </c>
      <c r="H177" s="739">
        <f>'А П 3'!H628:L628</f>
        <v>2278.4899999999998</v>
      </c>
      <c r="I177" s="739">
        <f>'А П 3'!I628:M628</f>
        <v>0</v>
      </c>
      <c r="J177" s="739">
        <f>'А П 3'!J628:N628</f>
        <v>0</v>
      </c>
      <c r="K177" s="739">
        <f>'А П 3'!K628:O628</f>
        <v>0</v>
      </c>
      <c r="L177" s="739">
        <f>'А П 3'!L628:P628</f>
        <v>0</v>
      </c>
      <c r="M177" s="739"/>
      <c r="N177" s="739"/>
      <c r="O177" s="739"/>
      <c r="P177" s="739"/>
      <c r="Q177" s="739"/>
      <c r="R177" s="739"/>
      <c r="S177" s="739"/>
    </row>
    <row r="178" spans="1:19" ht="26.25" hidden="1" customHeight="1" x14ac:dyDescent="0.3">
      <c r="A178" s="732">
        <f>'А П 3'!A629:E629</f>
        <v>0</v>
      </c>
      <c r="B178" s="733" t="str">
        <f>'А П 3'!B629:F629</f>
        <v>Капитальный ремонт котельной № 1 по адресу: городского поселения Монино,  военный городок № 21/1,  ул. Авиационная  (перенос инженерия)</v>
      </c>
      <c r="C178" s="732">
        <f>'А П 3'!C629:G629</f>
        <v>0</v>
      </c>
      <c r="D178" s="732">
        <f>'А П 3'!D629:H629</f>
        <v>0</v>
      </c>
      <c r="E178" s="732">
        <f>'А П 3'!E629:I629</f>
        <v>0</v>
      </c>
      <c r="F178" s="743" t="str">
        <f>'А П 3'!F629:J629</f>
        <v>Итого</v>
      </c>
      <c r="G178" s="738">
        <f>'А П 3'!G629:K629</f>
        <v>37934.86</v>
      </c>
      <c r="H178" s="739">
        <f>'А П 3'!H629:L629</f>
        <v>37934.86</v>
      </c>
      <c r="I178" s="739">
        <f>'А П 3'!I629:M629</f>
        <v>0</v>
      </c>
      <c r="J178" s="739">
        <f>'А П 3'!J629:N629</f>
        <v>0</v>
      </c>
      <c r="K178" s="739">
        <f>'А П 3'!K629:O629</f>
        <v>0</v>
      </c>
      <c r="L178" s="739">
        <f>'А П 3'!L629:P629</f>
        <v>0</v>
      </c>
      <c r="M178" s="739"/>
      <c r="N178" s="739"/>
      <c r="O178" s="739"/>
      <c r="P178" s="739"/>
      <c r="Q178" s="739"/>
      <c r="R178" s="739"/>
      <c r="S178" s="739"/>
    </row>
    <row r="179" spans="1:19" ht="26.25" hidden="1" customHeight="1" x14ac:dyDescent="0.3">
      <c r="A179" s="732">
        <f>'А П 3'!A630:E630</f>
        <v>0</v>
      </c>
      <c r="B179" s="733">
        <f>'А П 3'!B630:F630</f>
        <v>0</v>
      </c>
      <c r="C179" s="732">
        <f>'А П 3'!C630:G630</f>
        <v>0</v>
      </c>
      <c r="D179" s="732">
        <f>'А П 3'!D630:H630</f>
        <v>0</v>
      </c>
      <c r="E179" s="732">
        <f>'А П 3'!E630:I630</f>
        <v>0</v>
      </c>
      <c r="F179" s="743" t="str">
        <f>'А П 3'!F630:J630</f>
        <v>Средства бюджета Московской области</v>
      </c>
      <c r="G179" s="738">
        <f>'А П 3'!G630:K630</f>
        <v>34141.370000000003</v>
      </c>
      <c r="H179" s="739">
        <f>'А П 3'!H630:L630</f>
        <v>34141.370000000003</v>
      </c>
      <c r="I179" s="739">
        <f>'А П 3'!I630:M630</f>
        <v>0</v>
      </c>
      <c r="J179" s="739">
        <f>'А П 3'!J630:N630</f>
        <v>0</v>
      </c>
      <c r="K179" s="739">
        <f>'А П 3'!K630:O630</f>
        <v>0</v>
      </c>
      <c r="L179" s="739">
        <f>'А П 3'!L630:P630</f>
        <v>0</v>
      </c>
      <c r="M179" s="739"/>
      <c r="N179" s="739"/>
      <c r="O179" s="739"/>
      <c r="P179" s="739"/>
      <c r="Q179" s="739"/>
      <c r="R179" s="739"/>
      <c r="S179" s="739"/>
    </row>
    <row r="180" spans="1:19" ht="26.25" hidden="1" customHeight="1" x14ac:dyDescent="0.3">
      <c r="A180" s="732">
        <f>'А П 3'!A631:E631</f>
        <v>0</v>
      </c>
      <c r="B180" s="733">
        <f>'А П 3'!B631:F631</f>
        <v>0</v>
      </c>
      <c r="C180" s="732">
        <f>'А П 3'!C631:G631</f>
        <v>0</v>
      </c>
      <c r="D180" s="732">
        <f>'А П 3'!D631:H631</f>
        <v>0</v>
      </c>
      <c r="E180" s="732">
        <f>'А П 3'!E631:I631</f>
        <v>0</v>
      </c>
      <c r="F180" s="743" t="str">
        <f>'А П 3'!F631:J631</f>
        <v>Средства бюджетов муниципальных образований Московской области</v>
      </c>
      <c r="G180" s="738">
        <f>'А П 3'!G631:K631</f>
        <v>3793.49</v>
      </c>
      <c r="H180" s="739">
        <f>'А П 3'!H631:L631</f>
        <v>3793.49</v>
      </c>
      <c r="I180" s="739">
        <f>'А П 3'!I631:M631</f>
        <v>0</v>
      </c>
      <c r="J180" s="739">
        <f>'А П 3'!J631:N631</f>
        <v>0</v>
      </c>
      <c r="K180" s="739">
        <f>'А П 3'!K631:O631</f>
        <v>0</v>
      </c>
      <c r="L180" s="739">
        <f>'А П 3'!L631:P631</f>
        <v>0</v>
      </c>
      <c r="M180" s="739"/>
      <c r="N180" s="739"/>
      <c r="O180" s="739"/>
      <c r="P180" s="739"/>
      <c r="Q180" s="739"/>
      <c r="R180" s="739"/>
      <c r="S180" s="739"/>
    </row>
    <row r="181" spans="1:19" ht="26.25" hidden="1" customHeight="1" x14ac:dyDescent="0.3">
      <c r="A181" s="732">
        <f>'А П 3'!A632:E632</f>
        <v>0</v>
      </c>
      <c r="B181" s="733" t="str">
        <f>'А П 3'!B632:F632</f>
        <v>Капитальный ремонт тепловых сетей и сетей ГВС от ТК 20а до ТК 189 с заменой вводов в ж.д. по ул. Красовского № 13 протяженностью 111 метров. Г.п. Монино (погашение кредиторской задолженности в сумме 9419,79 тыс. руб.)</v>
      </c>
      <c r="C181" s="732">
        <f>'А П 3'!C632:G632</f>
        <v>0</v>
      </c>
      <c r="D181" s="732">
        <f>'А П 3'!D632:H632</f>
        <v>0</v>
      </c>
      <c r="E181" s="732">
        <f>'А П 3'!E632:I632</f>
        <v>0</v>
      </c>
      <c r="F181" s="743" t="str">
        <f>'А П 3'!F632:J632</f>
        <v>Итого</v>
      </c>
      <c r="G181" s="738">
        <f>'А П 3'!G632:K632</f>
        <v>10732.75</v>
      </c>
      <c r="H181" s="739">
        <f>'А П 3'!H632:L632</f>
        <v>10732.75</v>
      </c>
      <c r="I181" s="739">
        <f>'А П 3'!I632:M632</f>
        <v>0</v>
      </c>
      <c r="J181" s="739">
        <f>'А П 3'!J632:N632</f>
        <v>0</v>
      </c>
      <c r="K181" s="739">
        <f>'А П 3'!K632:O632</f>
        <v>0</v>
      </c>
      <c r="L181" s="739">
        <f>'А П 3'!L632:P632</f>
        <v>0</v>
      </c>
      <c r="M181" s="739"/>
      <c r="N181" s="739"/>
      <c r="O181" s="739"/>
      <c r="P181" s="739"/>
      <c r="Q181" s="739"/>
      <c r="R181" s="739"/>
      <c r="S181" s="739"/>
    </row>
    <row r="182" spans="1:19" ht="26.25" hidden="1" customHeight="1" x14ac:dyDescent="0.3">
      <c r="A182" s="732">
        <f>'А П 3'!A633:E633</f>
        <v>0</v>
      </c>
      <c r="B182" s="733">
        <f>'А П 3'!B633:F633</f>
        <v>0</v>
      </c>
      <c r="C182" s="732">
        <f>'А П 3'!C633:G633</f>
        <v>0</v>
      </c>
      <c r="D182" s="732">
        <f>'А П 3'!D633:H633</f>
        <v>0</v>
      </c>
      <c r="E182" s="732">
        <f>'А П 3'!E633:I633</f>
        <v>0</v>
      </c>
      <c r="F182" s="743" t="str">
        <f>'А П 3'!F633:J633</f>
        <v>Средства бюджета Московской области</v>
      </c>
      <c r="G182" s="738">
        <f>'А П 3'!G633:K633</f>
        <v>9419.7900000000009</v>
      </c>
      <c r="H182" s="739">
        <f>'А П 3'!H633:L633</f>
        <v>9419.7900000000009</v>
      </c>
      <c r="I182" s="739">
        <f>'А П 3'!I633:M633</f>
        <v>0</v>
      </c>
      <c r="J182" s="739">
        <f>'А П 3'!J633:N633</f>
        <v>0</v>
      </c>
      <c r="K182" s="739">
        <f>'А П 3'!K633:O633</f>
        <v>0</v>
      </c>
      <c r="L182" s="739">
        <f>'А П 3'!L633:P633</f>
        <v>0</v>
      </c>
      <c r="M182" s="739"/>
      <c r="N182" s="739"/>
      <c r="O182" s="739"/>
      <c r="P182" s="739"/>
      <c r="Q182" s="739"/>
      <c r="R182" s="739"/>
      <c r="S182" s="739"/>
    </row>
    <row r="183" spans="1:19" ht="26.25" hidden="1" customHeight="1" x14ac:dyDescent="0.3">
      <c r="A183" s="732">
        <f>'А П 3'!A634:E634</f>
        <v>0</v>
      </c>
      <c r="B183" s="733">
        <f>'А П 3'!B634:F634</f>
        <v>0</v>
      </c>
      <c r="C183" s="732">
        <f>'А П 3'!C634:G634</f>
        <v>0</v>
      </c>
      <c r="D183" s="732">
        <f>'А П 3'!D634:H634</f>
        <v>0</v>
      </c>
      <c r="E183" s="732">
        <f>'А П 3'!E634:I634</f>
        <v>0</v>
      </c>
      <c r="F183" s="743" t="str">
        <f>'А П 3'!F634:J634</f>
        <v>Средства бюджетов муниципальных образований Московской области</v>
      </c>
      <c r="G183" s="738">
        <f>'А П 3'!G634:K634</f>
        <v>0</v>
      </c>
      <c r="H183" s="739">
        <f>'А П 3'!H634:L634</f>
        <v>0</v>
      </c>
      <c r="I183" s="739">
        <f>'А П 3'!I634:M634</f>
        <v>0</v>
      </c>
      <c r="J183" s="739">
        <f>'А П 3'!J634:N634</f>
        <v>0</v>
      </c>
      <c r="K183" s="739">
        <f>'А П 3'!K634:O634</f>
        <v>0</v>
      </c>
      <c r="L183" s="739">
        <f>'А П 3'!L634:P634</f>
        <v>0</v>
      </c>
      <c r="M183" s="739"/>
      <c r="N183" s="739"/>
      <c r="O183" s="739"/>
      <c r="P183" s="739"/>
      <c r="Q183" s="739"/>
      <c r="R183" s="739"/>
      <c r="S183" s="739"/>
    </row>
    <row r="184" spans="1:19" ht="26.25" hidden="1" customHeight="1" x14ac:dyDescent="0.3">
      <c r="A184" s="732">
        <f>'А П 3'!A635:E635</f>
        <v>0</v>
      </c>
      <c r="B184" s="733" t="str">
        <f>'А П 3'!B635:F635</f>
        <v>Капитальный ремонт станции обезжелезивания по адресу: городское поселение Монино, военный городок № 21/1   (перенос инженерия)</v>
      </c>
      <c r="C184" s="732">
        <f>'А П 3'!C635:G635</f>
        <v>0</v>
      </c>
      <c r="D184" s="732">
        <f>'А П 3'!D635:H635</f>
        <v>0</v>
      </c>
      <c r="E184" s="732">
        <f>'А П 3'!E635:I635</f>
        <v>0</v>
      </c>
      <c r="F184" s="743" t="str">
        <f>'А П 3'!F635:J635</f>
        <v>Итого</v>
      </c>
      <c r="G184" s="738">
        <f>'А П 3'!G635:K635</f>
        <v>10086.280000000001</v>
      </c>
      <c r="H184" s="739">
        <f>'А П 3'!H635:L635</f>
        <v>10086.280000000001</v>
      </c>
      <c r="I184" s="739">
        <f>'А П 3'!I635:M635</f>
        <v>0</v>
      </c>
      <c r="J184" s="739">
        <f>'А П 3'!J635:N635</f>
        <v>0</v>
      </c>
      <c r="K184" s="739">
        <f>'А П 3'!K635:O635</f>
        <v>0</v>
      </c>
      <c r="L184" s="739">
        <f>'А П 3'!L635:P635</f>
        <v>0</v>
      </c>
      <c r="M184" s="739"/>
      <c r="N184" s="739"/>
      <c r="O184" s="739"/>
      <c r="P184" s="739"/>
      <c r="Q184" s="739"/>
      <c r="R184" s="739"/>
      <c r="S184" s="739"/>
    </row>
    <row r="185" spans="1:19" ht="26.25" hidden="1" customHeight="1" x14ac:dyDescent="0.3">
      <c r="A185" s="732">
        <f>'А П 3'!A636:E636</f>
        <v>0</v>
      </c>
      <c r="B185" s="733">
        <f>'А П 3'!B636:F636</f>
        <v>0</v>
      </c>
      <c r="C185" s="732">
        <f>'А П 3'!C636:G636</f>
        <v>0</v>
      </c>
      <c r="D185" s="732">
        <f>'А П 3'!D636:H636</f>
        <v>0</v>
      </c>
      <c r="E185" s="732">
        <f>'А П 3'!E636:I636</f>
        <v>0</v>
      </c>
      <c r="F185" s="743" t="str">
        <f>'А П 3'!F636:J636</f>
        <v>Средства бюджета Московской области</v>
      </c>
      <c r="G185" s="738">
        <f>'А П 3'!G636:K636</f>
        <v>9581.9699999999993</v>
      </c>
      <c r="H185" s="739">
        <f>'А П 3'!H636:L636</f>
        <v>9581.9699999999993</v>
      </c>
      <c r="I185" s="739">
        <f>'А П 3'!I636:M636</f>
        <v>0</v>
      </c>
      <c r="J185" s="739">
        <f>'А П 3'!J636:N636</f>
        <v>0</v>
      </c>
      <c r="K185" s="739">
        <f>'А П 3'!K636:O636</f>
        <v>0</v>
      </c>
      <c r="L185" s="739">
        <f>'А П 3'!L636:P636</f>
        <v>0</v>
      </c>
      <c r="M185" s="739"/>
      <c r="N185" s="739"/>
      <c r="O185" s="739"/>
      <c r="P185" s="739"/>
      <c r="Q185" s="739"/>
      <c r="R185" s="739"/>
      <c r="S185" s="739"/>
    </row>
    <row r="186" spans="1:19" ht="26.25" hidden="1" customHeight="1" x14ac:dyDescent="0.3">
      <c r="A186" s="732">
        <f>'А П 3'!A637:E637</f>
        <v>0</v>
      </c>
      <c r="B186" s="733">
        <f>'А П 3'!B637:F637</f>
        <v>0</v>
      </c>
      <c r="C186" s="732">
        <f>'А П 3'!C637:G637</f>
        <v>0</v>
      </c>
      <c r="D186" s="732">
        <f>'А П 3'!D637:H637</f>
        <v>0</v>
      </c>
      <c r="E186" s="732">
        <f>'А П 3'!E637:I637</f>
        <v>0</v>
      </c>
      <c r="F186" s="743" t="str">
        <f>'А П 3'!F637:J637</f>
        <v>Средства бюджетов муниципальных образований Московской области</v>
      </c>
      <c r="G186" s="738">
        <f>'А П 3'!G637:K637</f>
        <v>504.31</v>
      </c>
      <c r="H186" s="739">
        <f>'А П 3'!H637:L637</f>
        <v>504.31</v>
      </c>
      <c r="I186" s="739">
        <f>'А П 3'!I637:M637</f>
        <v>0</v>
      </c>
      <c r="J186" s="739">
        <f>'А П 3'!J637:N637</f>
        <v>0</v>
      </c>
      <c r="K186" s="739">
        <f>'А П 3'!K637:O637</f>
        <v>0</v>
      </c>
      <c r="L186" s="739">
        <f>'А П 3'!L637:P637</f>
        <v>0</v>
      </c>
      <c r="M186" s="739"/>
      <c r="N186" s="739"/>
      <c r="O186" s="739"/>
      <c r="P186" s="739"/>
      <c r="Q186" s="739"/>
      <c r="R186" s="739"/>
      <c r="S186" s="739"/>
    </row>
    <row r="187" spans="1:19" ht="26.25" hidden="1" customHeight="1" x14ac:dyDescent="0.3">
      <c r="A187" s="732">
        <f>'А П 3'!A638:E638</f>
        <v>0</v>
      </c>
      <c r="B187" s="733" t="str">
        <f>'А П 3'!B638:F638</f>
        <v>Благоустройство и установка детских площадок г.п. Монино, ул. Баранова, площадь Ленина; ул. Баранова, напротив д. 7, 9; ул. Генерала Дементьева, двор домов 5, 7; ул. Генерала Дементьева, д.10; ул. Генерала Дементьева, д.12; ул. Дружбы, двор домов 1, 8; ул. Маршала Красовского, д.10,12; ул. Маслова, д. 5; ул. Фалалеева, д.1; ул. Фалалеева, д.3;
ул. Южная, двор домов 3а, 5. (оплата кредиторской  задолженности)</v>
      </c>
      <c r="C187" s="732">
        <f>'А П 3'!C638:G638</f>
        <v>0</v>
      </c>
      <c r="D187" s="732">
        <f>'А П 3'!D638:H638</f>
        <v>0</v>
      </c>
      <c r="E187" s="732">
        <f>'А П 3'!E638:I638</f>
        <v>0</v>
      </c>
      <c r="F187" s="743" t="str">
        <f>'А П 3'!F638:J638</f>
        <v>Итого</v>
      </c>
      <c r="G187" s="738">
        <f>'А П 3'!G638:K638</f>
        <v>0</v>
      </c>
      <c r="H187" s="739">
        <f>'А П 3'!H638:L638</f>
        <v>0</v>
      </c>
      <c r="I187" s="739">
        <f>'А П 3'!I638:M638</f>
        <v>0</v>
      </c>
      <c r="J187" s="739">
        <f>'А П 3'!J638:N638</f>
        <v>0</v>
      </c>
      <c r="K187" s="739">
        <f>'А П 3'!K638:O638</f>
        <v>0</v>
      </c>
      <c r="L187" s="739">
        <f>'А П 3'!L638:P638</f>
        <v>0</v>
      </c>
      <c r="M187" s="739"/>
      <c r="N187" s="739"/>
      <c r="O187" s="739"/>
      <c r="P187" s="739"/>
      <c r="Q187" s="739"/>
      <c r="R187" s="739"/>
      <c r="S187" s="739"/>
    </row>
    <row r="188" spans="1:19" ht="26.25" hidden="1" customHeight="1" x14ac:dyDescent="0.3">
      <c r="A188" s="732">
        <f>'А П 3'!A639:E639</f>
        <v>0</v>
      </c>
      <c r="B188" s="733">
        <f>'А П 3'!B639:F639</f>
        <v>0</v>
      </c>
      <c r="C188" s="732">
        <f>'А П 3'!C639:G639</f>
        <v>0</v>
      </c>
      <c r="D188" s="732">
        <f>'А П 3'!D639:H639</f>
        <v>0</v>
      </c>
      <c r="E188" s="732">
        <f>'А П 3'!E639:I639</f>
        <v>0</v>
      </c>
      <c r="F188" s="743" t="str">
        <f>'А П 3'!F639:J639</f>
        <v>Средства бюджета Московской области</v>
      </c>
      <c r="G188" s="738">
        <f>'А П 3'!G639:K639</f>
        <v>0</v>
      </c>
      <c r="H188" s="739">
        <f>'А П 3'!H639:L639</f>
        <v>0</v>
      </c>
      <c r="I188" s="739">
        <f>'А П 3'!I639:M639</f>
        <v>0</v>
      </c>
      <c r="J188" s="739">
        <f>'А П 3'!J639:N639</f>
        <v>0</v>
      </c>
      <c r="K188" s="739">
        <f>'А П 3'!K639:O639</f>
        <v>0</v>
      </c>
      <c r="L188" s="739">
        <f>'А П 3'!L639:P639</f>
        <v>0</v>
      </c>
      <c r="M188" s="739"/>
      <c r="N188" s="739"/>
      <c r="O188" s="739"/>
      <c r="P188" s="739"/>
      <c r="Q188" s="739"/>
      <c r="R188" s="739"/>
      <c r="S188" s="739"/>
    </row>
    <row r="189" spans="1:19" ht="26.25" hidden="1" customHeight="1" x14ac:dyDescent="0.3">
      <c r="A189" s="732">
        <f>'А П 3'!A640:E640</f>
        <v>0</v>
      </c>
      <c r="B189" s="733">
        <f>'А П 3'!B640:F640</f>
        <v>0</v>
      </c>
      <c r="C189" s="732">
        <f>'А П 3'!C640:G640</f>
        <v>0</v>
      </c>
      <c r="D189" s="732">
        <f>'А П 3'!D640:H640</f>
        <v>0</v>
      </c>
      <c r="E189" s="732">
        <f>'А П 3'!E640:I640</f>
        <v>0</v>
      </c>
      <c r="F189" s="743" t="str">
        <f>'А П 3'!F640:J640</f>
        <v>Средства бюджетов муниципальных образований Московской области</v>
      </c>
      <c r="G189" s="738">
        <f>'А П 3'!G640:K640</f>
        <v>0</v>
      </c>
      <c r="H189" s="739">
        <f>'А П 3'!H640:L640</f>
        <v>0</v>
      </c>
      <c r="I189" s="739">
        <f>'А П 3'!I640:M640</f>
        <v>0</v>
      </c>
      <c r="J189" s="739">
        <f>'А П 3'!J640:N640</f>
        <v>0</v>
      </c>
      <c r="K189" s="739">
        <f>'А П 3'!K640:O640</f>
        <v>0</v>
      </c>
      <c r="L189" s="739">
        <f>'А П 3'!L640:P640</f>
        <v>0</v>
      </c>
      <c r="M189" s="739"/>
      <c r="N189" s="739"/>
      <c r="O189" s="739"/>
      <c r="P189" s="739"/>
      <c r="Q189" s="739"/>
      <c r="R189" s="739"/>
      <c r="S189" s="739"/>
    </row>
    <row r="190" spans="1:19" s="750" customFormat="1" ht="26.25" customHeight="1" x14ac:dyDescent="0.3">
      <c r="A190" s="745">
        <f>'А П 3'!A641:E641</f>
        <v>0</v>
      </c>
      <c r="B190" s="746" t="str">
        <f>'А П 3'!B641:F641</f>
        <v>городское поселение Щелково</v>
      </c>
      <c r="C190" s="745">
        <f>'А П 3'!C641:G641</f>
        <v>0</v>
      </c>
      <c r="D190" s="745">
        <f>'А П 3'!D641:H641</f>
        <v>0</v>
      </c>
      <c r="E190" s="745">
        <f>'А П 3'!E641:I641</f>
        <v>0</v>
      </c>
      <c r="F190" s="747" t="str">
        <f>'А П 3'!F641:J641</f>
        <v>Итого</v>
      </c>
      <c r="G190" s="748">
        <f>'А П 3'!G641:K641</f>
        <v>41320.839999999997</v>
      </c>
      <c r="H190" s="749">
        <f>'А П 3'!H641:L641</f>
        <v>41320.839999999997</v>
      </c>
      <c r="I190" s="749">
        <f>'А П 3'!I641:M641</f>
        <v>0</v>
      </c>
      <c r="J190" s="749">
        <f>'А П 3'!J641:N641</f>
        <v>0</v>
      </c>
      <c r="K190" s="749">
        <f>'А П 3'!K641:O641</f>
        <v>0</v>
      </c>
      <c r="L190" s="749">
        <f>'А П 3'!L641:P641</f>
        <v>0</v>
      </c>
      <c r="M190" s="749"/>
      <c r="N190" s="749"/>
      <c r="O190" s="749"/>
      <c r="P190" s="749"/>
      <c r="Q190" s="749"/>
      <c r="R190" s="749"/>
      <c r="S190" s="749"/>
    </row>
    <row r="191" spans="1:19" ht="26.25" customHeight="1" x14ac:dyDescent="0.3">
      <c r="A191" s="732">
        <f>'А П 3'!A642:E642</f>
        <v>0</v>
      </c>
      <c r="B191" s="733"/>
      <c r="C191" s="732">
        <f>'А П 3'!C642:G642</f>
        <v>0</v>
      </c>
      <c r="D191" s="732">
        <f>'А П 3'!D642:H642</f>
        <v>0</v>
      </c>
      <c r="E191" s="732">
        <f>'А П 3'!E642:I642</f>
        <v>0</v>
      </c>
      <c r="F191" s="743" t="str">
        <f>'А П 3'!F642:J642</f>
        <v>Средства бюджета Московской области</v>
      </c>
      <c r="G191" s="738">
        <f>'А П 3'!G642:K642</f>
        <v>41320.839999999997</v>
      </c>
      <c r="H191" s="739">
        <f>'А П 3'!H642:L642</f>
        <v>41320.839999999997</v>
      </c>
      <c r="I191" s="739">
        <f>'А П 3'!I642:M642</f>
        <v>0</v>
      </c>
      <c r="J191" s="739">
        <f>'А П 3'!J642:N642</f>
        <v>0</v>
      </c>
      <c r="K191" s="739">
        <f>'А П 3'!K642:O642</f>
        <v>0</v>
      </c>
      <c r="L191" s="739">
        <f>'А П 3'!L642:P642</f>
        <v>0</v>
      </c>
      <c r="M191" s="739"/>
      <c r="N191" s="739"/>
      <c r="O191" s="739"/>
      <c r="P191" s="739"/>
      <c r="Q191" s="739"/>
      <c r="R191" s="739"/>
      <c r="S191" s="739"/>
    </row>
    <row r="192" spans="1:19" ht="26.25" customHeight="1" x14ac:dyDescent="0.3">
      <c r="A192" s="732">
        <f>'А П 3'!A643:E643</f>
        <v>0</v>
      </c>
      <c r="B192" s="733"/>
      <c r="C192" s="732">
        <f>'А П 3'!C643:G643</f>
        <v>0</v>
      </c>
      <c r="D192" s="732">
        <f>'А П 3'!D643:H643</f>
        <v>0</v>
      </c>
      <c r="E192" s="732">
        <f>'А П 3'!E643:I643</f>
        <v>0</v>
      </c>
      <c r="F192" s="743" t="str">
        <f>'А П 3'!F643:J643</f>
        <v>Средства бюджетов муниципальных образований Московской области</v>
      </c>
      <c r="G192" s="738">
        <f>'А П 3'!G643:K643</f>
        <v>0</v>
      </c>
      <c r="H192" s="739">
        <f>'А П 3'!H643:L643</f>
        <v>0</v>
      </c>
      <c r="I192" s="739">
        <f>'А П 3'!I643:M643</f>
        <v>0</v>
      </c>
      <c r="J192" s="739">
        <f>'А П 3'!J643:N643</f>
        <v>0</v>
      </c>
      <c r="K192" s="739">
        <f>'А П 3'!K643:O643</f>
        <v>0</v>
      </c>
      <c r="L192" s="739">
        <f>'А П 3'!L643:P643</f>
        <v>0</v>
      </c>
      <c r="M192" s="739"/>
      <c r="N192" s="739"/>
      <c r="O192" s="739"/>
      <c r="P192" s="739"/>
      <c r="Q192" s="739"/>
      <c r="R192" s="739"/>
      <c r="S192" s="739"/>
    </row>
    <row r="193" spans="1:19" ht="26.25" hidden="1" customHeight="1" x14ac:dyDescent="0.3">
      <c r="A193" s="732">
        <f>'А П 3'!A644:E644</f>
        <v>0</v>
      </c>
      <c r="B193" s="733" t="str">
        <f>'А П 3'!B644:F644</f>
        <v>Капитальный ремонт самотечного канализационного коллектора от Щёлково-4, Щёлковское шоссе, КК-1901 до Щёлково-3, ул. Гагарина диаметром 800 мм протяженностью 600 п.м.  г.п. Щёлково Щелково 3-4 (НОВЫЙ)</v>
      </c>
      <c r="C193" s="732">
        <f>'А П 3'!C644:G644</f>
        <v>0</v>
      </c>
      <c r="D193" s="732">
        <f>'А П 3'!D644:H644</f>
        <v>0</v>
      </c>
      <c r="E193" s="732">
        <f>'А П 3'!E644:I644</f>
        <v>0</v>
      </c>
      <c r="F193" s="743" t="str">
        <f>'А П 3'!F644:J644</f>
        <v>Итого</v>
      </c>
      <c r="G193" s="738">
        <f>'А П 3'!G644:K644</f>
        <v>41320.839999999997</v>
      </c>
      <c r="H193" s="739">
        <f>'А П 3'!H644:L644</f>
        <v>41320.839999999997</v>
      </c>
      <c r="I193" s="739">
        <f>'А П 3'!I644:M644</f>
        <v>0</v>
      </c>
      <c r="J193" s="739">
        <f>'А П 3'!J644:N644</f>
        <v>0</v>
      </c>
      <c r="K193" s="739">
        <f>'А П 3'!K644:O644</f>
        <v>0</v>
      </c>
      <c r="L193" s="739">
        <f>'А П 3'!L644:P644</f>
        <v>0</v>
      </c>
      <c r="M193" s="739"/>
      <c r="N193" s="739"/>
      <c r="O193" s="739"/>
      <c r="P193" s="739"/>
      <c r="Q193" s="739"/>
      <c r="R193" s="739"/>
      <c r="S193" s="739"/>
    </row>
    <row r="194" spans="1:19" ht="26.25" hidden="1" customHeight="1" x14ac:dyDescent="0.3">
      <c r="A194" s="732">
        <f>'А П 3'!A645:E645</f>
        <v>0</v>
      </c>
      <c r="B194" s="733">
        <f>'А П 3'!B645:F645</f>
        <v>0</v>
      </c>
      <c r="C194" s="732">
        <f>'А П 3'!C645:G645</f>
        <v>0</v>
      </c>
      <c r="D194" s="732">
        <f>'А П 3'!D645:H645</f>
        <v>0</v>
      </c>
      <c r="E194" s="732">
        <f>'А П 3'!E645:I645</f>
        <v>0</v>
      </c>
      <c r="F194" s="743" t="str">
        <f>'А П 3'!F645:J645</f>
        <v>Средства бюджета Московской области</v>
      </c>
      <c r="G194" s="738">
        <f>'А П 3'!G645:K645</f>
        <v>41320.839999999997</v>
      </c>
      <c r="H194" s="739">
        <f>'А П 3'!H645:L645</f>
        <v>41320.839999999997</v>
      </c>
      <c r="I194" s="739">
        <f>'А П 3'!I645:M645</f>
        <v>0</v>
      </c>
      <c r="J194" s="739">
        <f>'А П 3'!J645:N645</f>
        <v>0</v>
      </c>
      <c r="K194" s="739">
        <f>'А П 3'!K645:O645</f>
        <v>0</v>
      </c>
      <c r="L194" s="739">
        <f>'А П 3'!L645:P645</f>
        <v>0</v>
      </c>
      <c r="M194" s="739"/>
      <c r="N194" s="739"/>
      <c r="O194" s="739"/>
      <c r="P194" s="739"/>
      <c r="Q194" s="739"/>
      <c r="R194" s="739"/>
      <c r="S194" s="739"/>
    </row>
    <row r="195" spans="1:19" ht="26.25" hidden="1" customHeight="1" x14ac:dyDescent="0.3">
      <c r="A195" s="732">
        <f>'А П 3'!A646:E646</f>
        <v>0</v>
      </c>
      <c r="B195" s="733">
        <f>'А П 3'!B646:F646</f>
        <v>0</v>
      </c>
      <c r="C195" s="732">
        <f>'А П 3'!C646:G646</f>
        <v>0</v>
      </c>
      <c r="D195" s="732">
        <f>'А П 3'!D646:H646</f>
        <v>0</v>
      </c>
      <c r="E195" s="732">
        <f>'А П 3'!E646:I646</f>
        <v>0</v>
      </c>
      <c r="F195" s="743" t="str">
        <f>'А П 3'!F646:J646</f>
        <v>Средства бюджетов муниципальных образований Московской области</v>
      </c>
      <c r="G195" s="738">
        <f>'А П 3'!G646:K646</f>
        <v>0</v>
      </c>
      <c r="H195" s="739">
        <f>'А П 3'!H646:L646</f>
        <v>0</v>
      </c>
      <c r="I195" s="739">
        <f>'А П 3'!I646:M646</f>
        <v>0</v>
      </c>
      <c r="J195" s="739">
        <f>'А П 3'!J646:N646</f>
        <v>0</v>
      </c>
      <c r="K195" s="739">
        <f>'А П 3'!K646:O646</f>
        <v>0</v>
      </c>
      <c r="L195" s="739">
        <f>'А П 3'!L646:P646</f>
        <v>0</v>
      </c>
      <c r="M195" s="739"/>
      <c r="N195" s="739"/>
      <c r="O195" s="739"/>
      <c r="P195" s="739"/>
      <c r="Q195" s="739"/>
      <c r="R195" s="739"/>
      <c r="S195" s="739"/>
    </row>
    <row r="196" spans="1:19" s="750" customFormat="1" ht="26.25" customHeight="1" x14ac:dyDescent="0.3">
      <c r="A196" s="745">
        <f>'А П 3'!A647:E647</f>
        <v>0</v>
      </c>
      <c r="B196" s="746" t="str">
        <f>'А П 3'!B647:F647</f>
        <v xml:space="preserve">городской округ Звездный городок </v>
      </c>
      <c r="C196" s="745">
        <f>'А П 3'!C647:G647</f>
        <v>0</v>
      </c>
      <c r="D196" s="745">
        <f>'А П 3'!D647:H647</f>
        <v>0</v>
      </c>
      <c r="E196" s="745">
        <f>'А П 3'!E647:I647</f>
        <v>0</v>
      </c>
      <c r="F196" s="747" t="str">
        <f>'А П 3'!F647:J647</f>
        <v>Итого</v>
      </c>
      <c r="G196" s="748">
        <f>'А П 3'!G647:K647</f>
        <v>170000</v>
      </c>
      <c r="H196" s="749">
        <f>'А П 3'!H647:L647</f>
        <v>100000</v>
      </c>
      <c r="I196" s="749">
        <f>'А П 3'!I647:M647</f>
        <v>70000</v>
      </c>
      <c r="J196" s="749">
        <f>'А П 3'!J647:N647</f>
        <v>0</v>
      </c>
      <c r="K196" s="749">
        <f>'А П 3'!K647:O647</f>
        <v>0</v>
      </c>
      <c r="L196" s="749">
        <f>'А П 3'!L647:P647</f>
        <v>0</v>
      </c>
      <c r="M196" s="749"/>
      <c r="N196" s="749"/>
      <c r="O196" s="749"/>
      <c r="P196" s="749"/>
      <c r="Q196" s="749"/>
      <c r="R196" s="749"/>
      <c r="S196" s="749"/>
    </row>
    <row r="197" spans="1:19" ht="26.25" customHeight="1" x14ac:dyDescent="0.3">
      <c r="A197" s="732">
        <f>'А П 3'!A648:E648</f>
        <v>0</v>
      </c>
      <c r="B197" s="733"/>
      <c r="C197" s="732">
        <f>'А П 3'!C648:G648</f>
        <v>0</v>
      </c>
      <c r="D197" s="732">
        <f>'А П 3'!D648:H648</f>
        <v>0</v>
      </c>
      <c r="E197" s="732">
        <f>'А П 3'!E648:I648</f>
        <v>0</v>
      </c>
      <c r="F197" s="743" t="str">
        <f>'А П 3'!F648:J648</f>
        <v>Средства бюджета Московской области</v>
      </c>
      <c r="G197" s="738">
        <f>'А П 3'!G648:K648</f>
        <v>161500</v>
      </c>
      <c r="H197" s="739">
        <f>'А П 3'!H648:L648</f>
        <v>95000</v>
      </c>
      <c r="I197" s="739">
        <f>'А П 3'!I648:M648</f>
        <v>66500</v>
      </c>
      <c r="J197" s="739">
        <f>'А П 3'!J648:N648</f>
        <v>0</v>
      </c>
      <c r="K197" s="739">
        <f>'А П 3'!K648:O648</f>
        <v>0</v>
      </c>
      <c r="L197" s="739">
        <f>'А П 3'!L648:P648</f>
        <v>0</v>
      </c>
      <c r="M197" s="739"/>
      <c r="N197" s="739"/>
      <c r="O197" s="739"/>
      <c r="P197" s="739"/>
      <c r="Q197" s="739"/>
      <c r="R197" s="739"/>
      <c r="S197" s="739"/>
    </row>
    <row r="198" spans="1:19" ht="26.25" customHeight="1" x14ac:dyDescent="0.3">
      <c r="A198" s="732">
        <f>'А П 3'!A649:E649</f>
        <v>0</v>
      </c>
      <c r="B198" s="733"/>
      <c r="C198" s="732">
        <f>'А П 3'!C649:G649</f>
        <v>0</v>
      </c>
      <c r="D198" s="732">
        <f>'А П 3'!D649:H649</f>
        <v>0</v>
      </c>
      <c r="E198" s="732">
        <f>'А П 3'!E649:I649</f>
        <v>0</v>
      </c>
      <c r="F198" s="743" t="str">
        <f>'А П 3'!F649:J649</f>
        <v>Средства бюджетов муниципальных образований Московской области</v>
      </c>
      <c r="G198" s="738">
        <f>'А П 3'!G649:K649</f>
        <v>8500</v>
      </c>
      <c r="H198" s="739">
        <f>'А П 3'!H649:L649</f>
        <v>5000</v>
      </c>
      <c r="I198" s="739">
        <f>'А П 3'!I649:M649</f>
        <v>3500</v>
      </c>
      <c r="J198" s="739">
        <f>'А П 3'!J649:N649</f>
        <v>0</v>
      </c>
      <c r="K198" s="739">
        <f>'А П 3'!K649:O649</f>
        <v>0</v>
      </c>
      <c r="L198" s="739">
        <f>'А П 3'!L649:P649</f>
        <v>0</v>
      </c>
      <c r="M198" s="739"/>
      <c r="N198" s="739"/>
      <c r="O198" s="739"/>
      <c r="P198" s="739"/>
      <c r="Q198" s="739"/>
      <c r="R198" s="739"/>
      <c r="S198" s="739"/>
    </row>
    <row r="199" spans="1:19" ht="26.25" hidden="1" customHeight="1" x14ac:dyDescent="0.3">
      <c r="A199" s="732">
        <f>'А П 3'!A650:E650</f>
        <v>0</v>
      </c>
      <c r="B199" s="733" t="str">
        <f>'А П 3'!B650:F650</f>
        <v>Капитальный ремонт теплотрассы</v>
      </c>
      <c r="C199" s="732">
        <f>'А П 3'!C650:G650</f>
        <v>0</v>
      </c>
      <c r="D199" s="732">
        <f>'А П 3'!D650:H650</f>
        <v>0</v>
      </c>
      <c r="E199" s="732">
        <f>'А П 3'!E650:I650</f>
        <v>0</v>
      </c>
      <c r="F199" s="743" t="str">
        <f>'А П 3'!F650:J650</f>
        <v>Итого</v>
      </c>
      <c r="G199" s="738">
        <f>'А П 3'!G650:K650</f>
        <v>170000</v>
      </c>
      <c r="H199" s="739">
        <f>'А П 3'!H650:L650</f>
        <v>100000</v>
      </c>
      <c r="I199" s="739">
        <f>'А П 3'!I650:M650</f>
        <v>70000</v>
      </c>
      <c r="J199" s="739">
        <f>'А П 3'!J650:N650</f>
        <v>0</v>
      </c>
      <c r="K199" s="739">
        <f>'А П 3'!K650:O650</f>
        <v>0</v>
      </c>
      <c r="L199" s="739">
        <f>'А П 3'!L650:P650</f>
        <v>0</v>
      </c>
      <c r="M199" s="739"/>
      <c r="N199" s="739"/>
      <c r="O199" s="739"/>
      <c r="P199" s="739"/>
      <c r="Q199" s="739"/>
      <c r="R199" s="739"/>
      <c r="S199" s="739"/>
    </row>
    <row r="200" spans="1:19" ht="26.25" hidden="1" customHeight="1" x14ac:dyDescent="0.3">
      <c r="A200" s="732">
        <f>'А П 3'!A651:E651</f>
        <v>0</v>
      </c>
      <c r="B200" s="733">
        <f>'А П 3'!B651:F651</f>
        <v>0</v>
      </c>
      <c r="C200" s="732">
        <f>'А П 3'!C651:G651</f>
        <v>0</v>
      </c>
      <c r="D200" s="732">
        <f>'А П 3'!D651:H651</f>
        <v>0</v>
      </c>
      <c r="E200" s="732">
        <f>'А П 3'!E651:I651</f>
        <v>0</v>
      </c>
      <c r="F200" s="743" t="str">
        <f>'А П 3'!F651:J651</f>
        <v>Средства бюджета Московской области</v>
      </c>
      <c r="G200" s="738">
        <f>'А П 3'!G651:K651</f>
        <v>161500</v>
      </c>
      <c r="H200" s="739">
        <f>'А П 3'!H651:L651</f>
        <v>95000</v>
      </c>
      <c r="I200" s="739">
        <f>'А П 3'!I651:M651</f>
        <v>66500</v>
      </c>
      <c r="J200" s="739">
        <f>'А П 3'!J651:N651</f>
        <v>0</v>
      </c>
      <c r="K200" s="739">
        <f>'А П 3'!K651:O651</f>
        <v>0</v>
      </c>
      <c r="L200" s="739">
        <f>'А П 3'!L651:P651</f>
        <v>0</v>
      </c>
      <c r="M200" s="739"/>
      <c r="N200" s="739"/>
      <c r="O200" s="739"/>
      <c r="P200" s="739"/>
      <c r="Q200" s="739"/>
      <c r="R200" s="739"/>
      <c r="S200" s="739"/>
    </row>
    <row r="201" spans="1:19" ht="26.25" hidden="1" customHeight="1" x14ac:dyDescent="0.3">
      <c r="A201" s="732">
        <f>'А П 3'!A652:E652</f>
        <v>0</v>
      </c>
      <c r="B201" s="733">
        <f>'А П 3'!B652:F652</f>
        <v>0</v>
      </c>
      <c r="C201" s="732">
        <f>'А П 3'!C652:G652</f>
        <v>0</v>
      </c>
      <c r="D201" s="732">
        <f>'А П 3'!D652:H652</f>
        <v>0</v>
      </c>
      <c r="E201" s="732">
        <f>'А П 3'!E652:I652</f>
        <v>0</v>
      </c>
      <c r="F201" s="743" t="str">
        <f>'А П 3'!F652:J652</f>
        <v>Средства бюджетов муниципальных образований Московской области</v>
      </c>
      <c r="G201" s="738">
        <f>'А П 3'!G652:K652</f>
        <v>8500</v>
      </c>
      <c r="H201" s="739">
        <f>'А П 3'!H652:L652</f>
        <v>5000</v>
      </c>
      <c r="I201" s="739">
        <f>'А П 3'!I652:M652</f>
        <v>3500</v>
      </c>
      <c r="J201" s="739">
        <f>'А П 3'!J652:N652</f>
        <v>0</v>
      </c>
      <c r="K201" s="739">
        <f>'А П 3'!K652:O652</f>
        <v>0</v>
      </c>
      <c r="L201" s="739">
        <f>'А П 3'!L652:P652</f>
        <v>0</v>
      </c>
      <c r="M201" s="739"/>
      <c r="N201" s="739"/>
      <c r="O201" s="739"/>
      <c r="P201" s="739"/>
      <c r="Q201" s="739"/>
      <c r="R201" s="739"/>
      <c r="S201" s="739"/>
    </row>
    <row r="202" spans="1:19" s="750" customFormat="1" ht="26.25" customHeight="1" x14ac:dyDescent="0.3">
      <c r="A202" s="745" t="str">
        <f>'А П 3'!A653:E653</f>
        <v>3.1.1.6</v>
      </c>
      <c r="B202" s="746" t="str">
        <f>'А П 3'!B653:F653</f>
        <v>Городской округ Балашиха</v>
      </c>
      <c r="C202" s="745">
        <f>'А П 3'!C653:G653</f>
        <v>0</v>
      </c>
      <c r="D202" s="745">
        <f>'А П 3'!D653:H653</f>
        <v>0</v>
      </c>
      <c r="E202" s="745">
        <f>'А П 3'!E653:I653</f>
        <v>0</v>
      </c>
      <c r="F202" s="747" t="str">
        <f>'А П 3'!F653:J653</f>
        <v>Итого</v>
      </c>
      <c r="G202" s="748">
        <f>'А П 3'!G653:K653</f>
        <v>620201.36</v>
      </c>
      <c r="H202" s="749">
        <f>'А П 3'!H653:L653</f>
        <v>109401.28</v>
      </c>
      <c r="I202" s="749">
        <f>'А П 3'!I653:M653</f>
        <v>204220.79999999999</v>
      </c>
      <c r="J202" s="749">
        <f>'А П 3'!J653:N653</f>
        <v>306579.28000000003</v>
      </c>
      <c r="K202" s="749">
        <f>'А П 3'!K653:O653</f>
        <v>0</v>
      </c>
      <c r="L202" s="749">
        <f>'А П 3'!L653:P653</f>
        <v>0</v>
      </c>
      <c r="M202" s="749"/>
      <c r="N202" s="749"/>
      <c r="O202" s="749"/>
      <c r="P202" s="749"/>
      <c r="Q202" s="749"/>
      <c r="R202" s="749"/>
      <c r="S202" s="749"/>
    </row>
    <row r="203" spans="1:19" ht="26.25" customHeight="1" x14ac:dyDescent="0.3">
      <c r="A203" s="732">
        <f>'А П 3'!A654:E654</f>
        <v>0</v>
      </c>
      <c r="B203" s="733"/>
      <c r="C203" s="732">
        <f>'А П 3'!C654:G654</f>
        <v>0</v>
      </c>
      <c r="D203" s="732">
        <f>'А П 3'!D654:H654</f>
        <v>0</v>
      </c>
      <c r="E203" s="732">
        <f>'А П 3'!E654:I654</f>
        <v>0</v>
      </c>
      <c r="F203" s="743" t="str">
        <f>'А П 3'!F654:J654</f>
        <v>Средства бюджета Московской области</v>
      </c>
      <c r="G203" s="738">
        <f>'А П 3'!G654:K654</f>
        <v>560580.21</v>
      </c>
      <c r="H203" s="739">
        <f>'А П 3'!H654:L654</f>
        <v>100860.49</v>
      </c>
      <c r="I203" s="739">
        <f>'А П 3'!I654:M654</f>
        <v>183798.72</v>
      </c>
      <c r="J203" s="739">
        <f>'А П 3'!J654:N654</f>
        <v>275921</v>
      </c>
      <c r="K203" s="739">
        <f>'А П 3'!K654:O654</f>
        <v>0</v>
      </c>
      <c r="L203" s="739">
        <f>'А П 3'!L654:P654</f>
        <v>0</v>
      </c>
      <c r="M203" s="739"/>
      <c r="N203" s="739"/>
      <c r="O203" s="739"/>
      <c r="P203" s="739"/>
      <c r="Q203" s="739"/>
      <c r="R203" s="739"/>
      <c r="S203" s="739"/>
    </row>
    <row r="204" spans="1:19" ht="26.25" customHeight="1" x14ac:dyDescent="0.3">
      <c r="A204" s="732">
        <f>'А П 3'!A655:E655</f>
        <v>0</v>
      </c>
      <c r="B204" s="733"/>
      <c r="C204" s="732">
        <f>'А П 3'!C655:G655</f>
        <v>0</v>
      </c>
      <c r="D204" s="732">
        <f>'А П 3'!D655:H655</f>
        <v>0</v>
      </c>
      <c r="E204" s="732">
        <f>'А П 3'!E655:I655</f>
        <v>0</v>
      </c>
      <c r="F204" s="743" t="str">
        <f>'А П 3'!F655:J655</f>
        <v>Средства бюджетов муниципальных образований Московской области</v>
      </c>
      <c r="G204" s="738">
        <f>'А П 3'!G655:K655</f>
        <v>59621.15</v>
      </c>
      <c r="H204" s="739">
        <f>'А П 3'!H655:L655</f>
        <v>8540.7900000000009</v>
      </c>
      <c r="I204" s="739">
        <f>'А П 3'!I655:M655</f>
        <v>20422.080000000002</v>
      </c>
      <c r="J204" s="739">
        <f>'А П 3'!J655:N655</f>
        <v>30658.28</v>
      </c>
      <c r="K204" s="739">
        <f>'А П 3'!K655:O655</f>
        <v>0</v>
      </c>
      <c r="L204" s="739">
        <f>'А П 3'!L655:P655</f>
        <v>0</v>
      </c>
      <c r="M204" s="739"/>
      <c r="N204" s="739"/>
      <c r="O204" s="739"/>
      <c r="P204" s="739"/>
      <c r="Q204" s="739"/>
      <c r="R204" s="739"/>
      <c r="S204" s="739"/>
    </row>
    <row r="205" spans="1:19" ht="26.25" hidden="1" customHeight="1" x14ac:dyDescent="0.3">
      <c r="A205" s="732" t="str">
        <f>'А П 3'!A656:E656</f>
        <v>1</v>
      </c>
      <c r="B205" s="733" t="str">
        <f>'А П 3'!B656:F656</f>
        <v>Капитальный ремонт котельной № 25 в мкр. Заря г.о. Балашиха (НОВЫЕ РАБОТЫ)</v>
      </c>
      <c r="C205" s="732">
        <f>'А П 3'!C656:G656</f>
        <v>0</v>
      </c>
      <c r="D205" s="732">
        <f>'А П 3'!D656:H656</f>
        <v>0</v>
      </c>
      <c r="E205" s="732">
        <f>'А П 3'!E656:I656</f>
        <v>0</v>
      </c>
      <c r="F205" s="743" t="str">
        <f>'А П 3'!F656:J656</f>
        <v>Итого</v>
      </c>
      <c r="G205" s="738">
        <f>'А П 3'!G656:K656</f>
        <v>21255.01</v>
      </c>
      <c r="H205" s="739">
        <f>'А П 3'!H656:L656</f>
        <v>21255.01</v>
      </c>
      <c r="I205" s="739">
        <f>'А П 3'!I656:M656</f>
        <v>0</v>
      </c>
      <c r="J205" s="739">
        <f>'А П 3'!J656:N656</f>
        <v>0</v>
      </c>
      <c r="K205" s="739">
        <f>'А П 3'!K656:O656</f>
        <v>0</v>
      </c>
      <c r="L205" s="739">
        <f>'А П 3'!L656:P656</f>
        <v>0</v>
      </c>
      <c r="M205" s="739"/>
      <c r="N205" s="739"/>
      <c r="O205" s="739"/>
      <c r="P205" s="739"/>
      <c r="Q205" s="739"/>
      <c r="R205" s="739"/>
      <c r="S205" s="739"/>
    </row>
    <row r="206" spans="1:19" ht="26.25" hidden="1" customHeight="1" x14ac:dyDescent="0.3">
      <c r="A206" s="732">
        <f>'А П 3'!A657:E657</f>
        <v>0</v>
      </c>
      <c r="B206" s="733">
        <f>'А П 3'!B657:F657</f>
        <v>0</v>
      </c>
      <c r="C206" s="732">
        <f>'А П 3'!C657:G657</f>
        <v>0</v>
      </c>
      <c r="D206" s="732">
        <f>'А П 3'!D657:H657</f>
        <v>0</v>
      </c>
      <c r="E206" s="732">
        <f>'А П 3'!E657:I657</f>
        <v>0</v>
      </c>
      <c r="F206" s="743" t="str">
        <f>'А П 3'!F657:J657</f>
        <v>Средства бюджета Московской области</v>
      </c>
      <c r="G206" s="738">
        <f>'А П 3'!G657:K657</f>
        <v>19129.509999999998</v>
      </c>
      <c r="H206" s="739">
        <f>'А П 3'!H657:L657</f>
        <v>19129.509999999998</v>
      </c>
      <c r="I206" s="739">
        <f>'А П 3'!I657:M657</f>
        <v>0</v>
      </c>
      <c r="J206" s="739">
        <f>'А П 3'!J657:N657</f>
        <v>0</v>
      </c>
      <c r="K206" s="739">
        <f>'А П 3'!K657:O657</f>
        <v>0</v>
      </c>
      <c r="L206" s="739">
        <f>'А П 3'!L657:P657</f>
        <v>0</v>
      </c>
      <c r="M206" s="739"/>
      <c r="N206" s="739"/>
      <c r="O206" s="739"/>
      <c r="P206" s="739"/>
      <c r="Q206" s="739"/>
      <c r="R206" s="739"/>
      <c r="S206" s="739"/>
    </row>
    <row r="207" spans="1:19" ht="26.25" hidden="1" customHeight="1" x14ac:dyDescent="0.3">
      <c r="A207" s="732">
        <f>'А П 3'!A658:E658</f>
        <v>0</v>
      </c>
      <c r="B207" s="733">
        <f>'А П 3'!B658:F658</f>
        <v>0</v>
      </c>
      <c r="C207" s="732">
        <f>'А П 3'!C658:G658</f>
        <v>0</v>
      </c>
      <c r="D207" s="732">
        <f>'А П 3'!D658:H658</f>
        <v>0</v>
      </c>
      <c r="E207" s="732">
        <f>'А П 3'!E658:I658</f>
        <v>0</v>
      </c>
      <c r="F207" s="743" t="str">
        <f>'А П 3'!F658:J658</f>
        <v>Средства бюджетов муниципальных образований Московской области</v>
      </c>
      <c r="G207" s="738">
        <f>'А П 3'!G658:K658</f>
        <v>2125.5</v>
      </c>
      <c r="H207" s="739">
        <f>'А П 3'!H658:L658</f>
        <v>2125.5</v>
      </c>
      <c r="I207" s="739">
        <f>'А П 3'!I658:M658</f>
        <v>0</v>
      </c>
      <c r="J207" s="739">
        <f>'А П 3'!J658:N658</f>
        <v>0</v>
      </c>
      <c r="K207" s="739">
        <f>'А П 3'!K658:O658</f>
        <v>0</v>
      </c>
      <c r="L207" s="739">
        <f>'А П 3'!L658:P658</f>
        <v>0</v>
      </c>
      <c r="M207" s="739"/>
      <c r="N207" s="739"/>
      <c r="O207" s="739"/>
      <c r="P207" s="739"/>
      <c r="Q207" s="739"/>
      <c r="R207" s="739"/>
      <c r="S207" s="739"/>
    </row>
    <row r="208" spans="1:19" ht="26.25" hidden="1" customHeight="1" x14ac:dyDescent="0.3">
      <c r="A208" s="732" t="str">
        <f>'А П 3'!A659:E659</f>
        <v>2</v>
      </c>
      <c r="B208" s="733" t="str">
        <f>'А П 3'!B659:F659</f>
        <v>Капитальный ремонт котельной № 27 в мкр. Заря г.о. Балашиха  (НОВЫЕ РАБОТЫ)</v>
      </c>
      <c r="C208" s="732">
        <f>'А П 3'!C659:G659</f>
        <v>0</v>
      </c>
      <c r="D208" s="732">
        <f>'А П 3'!D659:H659</f>
        <v>0</v>
      </c>
      <c r="E208" s="732">
        <f>'А П 3'!E659:I659</f>
        <v>0</v>
      </c>
      <c r="F208" s="743" t="str">
        <f>'А П 3'!F659:J659</f>
        <v>Итого</v>
      </c>
      <c r="G208" s="738">
        <f>'А П 3'!G659:K659</f>
        <v>25270.67</v>
      </c>
      <c r="H208" s="739">
        <f>'А П 3'!H659:L659</f>
        <v>25270.67</v>
      </c>
      <c r="I208" s="739">
        <f>'А П 3'!I659:M659</f>
        <v>0</v>
      </c>
      <c r="J208" s="739">
        <f>'А П 3'!J659:N659</f>
        <v>0</v>
      </c>
      <c r="K208" s="739">
        <f>'А П 3'!K659:O659</f>
        <v>0</v>
      </c>
      <c r="L208" s="739">
        <f>'А П 3'!L659:P659</f>
        <v>0</v>
      </c>
      <c r="M208" s="739"/>
      <c r="N208" s="739"/>
      <c r="O208" s="739"/>
      <c r="P208" s="739"/>
      <c r="Q208" s="739"/>
      <c r="R208" s="739"/>
      <c r="S208" s="739"/>
    </row>
    <row r="209" spans="1:19" ht="26.25" hidden="1" customHeight="1" x14ac:dyDescent="0.3">
      <c r="A209" s="732">
        <f>'А П 3'!A660:E660</f>
        <v>0</v>
      </c>
      <c r="B209" s="733">
        <f>'А П 3'!B660:F660</f>
        <v>0</v>
      </c>
      <c r="C209" s="732">
        <f>'А П 3'!C660:G660</f>
        <v>0</v>
      </c>
      <c r="D209" s="732">
        <f>'А П 3'!D660:H660</f>
        <v>0</v>
      </c>
      <c r="E209" s="732">
        <f>'А П 3'!E660:I660</f>
        <v>0</v>
      </c>
      <c r="F209" s="743" t="str">
        <f>'А П 3'!F660:J660</f>
        <v>Средства бюджета Московской области</v>
      </c>
      <c r="G209" s="738">
        <f>'А П 3'!G660:K660</f>
        <v>22855.38</v>
      </c>
      <c r="H209" s="739">
        <f>'А П 3'!H660:L660</f>
        <v>22855.38</v>
      </c>
      <c r="I209" s="739">
        <f>'А П 3'!I660:M660</f>
        <v>0</v>
      </c>
      <c r="J209" s="739">
        <f>'А П 3'!J660:N660</f>
        <v>0</v>
      </c>
      <c r="K209" s="739">
        <f>'А П 3'!K660:O660</f>
        <v>0</v>
      </c>
      <c r="L209" s="739">
        <f>'А П 3'!L660:P660</f>
        <v>0</v>
      </c>
      <c r="M209" s="739"/>
      <c r="N209" s="739"/>
      <c r="O209" s="739"/>
      <c r="P209" s="739"/>
      <c r="Q209" s="739"/>
      <c r="R209" s="739"/>
      <c r="S209" s="739"/>
    </row>
    <row r="210" spans="1:19" ht="26.25" hidden="1" customHeight="1" x14ac:dyDescent="0.3">
      <c r="A210" s="732">
        <f>'А П 3'!A661:E661</f>
        <v>0</v>
      </c>
      <c r="B210" s="733">
        <f>'А П 3'!B661:F661</f>
        <v>0</v>
      </c>
      <c r="C210" s="732">
        <f>'А П 3'!C661:G661</f>
        <v>0</v>
      </c>
      <c r="D210" s="732">
        <f>'А П 3'!D661:H661</f>
        <v>0</v>
      </c>
      <c r="E210" s="732">
        <f>'А П 3'!E661:I661</f>
        <v>0</v>
      </c>
      <c r="F210" s="743" t="str">
        <f>'А П 3'!F661:J661</f>
        <v>Средства бюджетов муниципальных образований Московской области</v>
      </c>
      <c r="G210" s="738">
        <f>'А П 3'!G661:K661</f>
        <v>2415.29</v>
      </c>
      <c r="H210" s="739">
        <f>'А П 3'!H661:L661</f>
        <v>2415.29</v>
      </c>
      <c r="I210" s="739">
        <f>'А П 3'!I661:M661</f>
        <v>0</v>
      </c>
      <c r="J210" s="739">
        <f>'А П 3'!J661:N661</f>
        <v>0</v>
      </c>
      <c r="K210" s="739">
        <f>'А П 3'!K661:O661</f>
        <v>0</v>
      </c>
      <c r="L210" s="739">
        <f>'А П 3'!L661:P661</f>
        <v>0</v>
      </c>
      <c r="M210" s="739"/>
      <c r="N210" s="739"/>
      <c r="O210" s="739"/>
      <c r="P210" s="739"/>
      <c r="Q210" s="739"/>
      <c r="R210" s="739"/>
      <c r="S210" s="739"/>
    </row>
    <row r="211" spans="1:19" ht="26.25" hidden="1" customHeight="1" x14ac:dyDescent="0.3">
      <c r="A211" s="732" t="str">
        <f>'А П 3'!A662:E662</f>
        <v>3</v>
      </c>
      <c r="B211" s="733" t="str">
        <f>'А П 3'!B662:F662</f>
        <v>Капитальный ремонт наружной водопроводных сетей  мкр. Северный Балашиха г.о.</v>
      </c>
      <c r="C211" s="732">
        <f>'А П 3'!C662:G662</f>
        <v>0</v>
      </c>
      <c r="D211" s="732">
        <f>'А П 3'!D662:H662</f>
        <v>0</v>
      </c>
      <c r="E211" s="732">
        <f>'А П 3'!E662:I662</f>
        <v>0</v>
      </c>
      <c r="F211" s="743" t="str">
        <f>'А П 3'!F662:J662</f>
        <v>Итого</v>
      </c>
      <c r="G211" s="738">
        <f>'А П 3'!G662:K662</f>
        <v>40000</v>
      </c>
      <c r="H211" s="739">
        <f>'А П 3'!H662:L662</f>
        <v>40000</v>
      </c>
      <c r="I211" s="739">
        <f>'А П 3'!I662:M662</f>
        <v>0</v>
      </c>
      <c r="J211" s="739">
        <f>'А П 3'!J662:N662</f>
        <v>0</v>
      </c>
      <c r="K211" s="739">
        <f>'А П 3'!K662:O662</f>
        <v>0</v>
      </c>
      <c r="L211" s="739">
        <f>'А П 3'!L662:P662</f>
        <v>0</v>
      </c>
      <c r="M211" s="739"/>
      <c r="N211" s="739"/>
      <c r="O211" s="739"/>
      <c r="P211" s="739"/>
      <c r="Q211" s="739"/>
      <c r="R211" s="739"/>
      <c r="S211" s="739"/>
    </row>
    <row r="212" spans="1:19" ht="26.25" hidden="1" customHeight="1" x14ac:dyDescent="0.3">
      <c r="A212" s="732">
        <f>'А П 3'!A663:E663</f>
        <v>0</v>
      </c>
      <c r="B212" s="733">
        <f>'А П 3'!B663:F663</f>
        <v>0</v>
      </c>
      <c r="C212" s="732">
        <f>'А П 3'!C663:G663</f>
        <v>0</v>
      </c>
      <c r="D212" s="732">
        <f>'А П 3'!D663:H663</f>
        <v>0</v>
      </c>
      <c r="E212" s="732">
        <f>'А П 3'!E663:I663</f>
        <v>0</v>
      </c>
      <c r="F212" s="743" t="str">
        <f>'А П 3'!F663:J663</f>
        <v>Средства бюджета Московской области</v>
      </c>
      <c r="G212" s="738">
        <f>'А П 3'!G663:K663</f>
        <v>36000</v>
      </c>
      <c r="H212" s="739">
        <f>'А П 3'!H663:L663</f>
        <v>36000</v>
      </c>
      <c r="I212" s="739">
        <f>'А П 3'!I663:M663</f>
        <v>0</v>
      </c>
      <c r="J212" s="739">
        <f>'А П 3'!J663:N663</f>
        <v>0</v>
      </c>
      <c r="K212" s="739">
        <f>'А П 3'!K663:O663</f>
        <v>0</v>
      </c>
      <c r="L212" s="739">
        <f>'А П 3'!L663:P663</f>
        <v>0</v>
      </c>
      <c r="M212" s="739"/>
      <c r="N212" s="739"/>
      <c r="O212" s="739"/>
      <c r="P212" s="739"/>
      <c r="Q212" s="739"/>
      <c r="R212" s="739"/>
      <c r="S212" s="739"/>
    </row>
    <row r="213" spans="1:19" ht="26.25" hidden="1" customHeight="1" x14ac:dyDescent="0.3">
      <c r="A213" s="732">
        <f>'А П 3'!A664:E664</f>
        <v>0</v>
      </c>
      <c r="B213" s="733">
        <f>'А П 3'!B664:F664</f>
        <v>0</v>
      </c>
      <c r="C213" s="732">
        <f>'А П 3'!C664:G664</f>
        <v>0</v>
      </c>
      <c r="D213" s="732">
        <f>'А П 3'!D664:H664</f>
        <v>0</v>
      </c>
      <c r="E213" s="732">
        <f>'А П 3'!E664:I664</f>
        <v>0</v>
      </c>
      <c r="F213" s="743" t="str">
        <f>'А П 3'!F664:J664</f>
        <v>Средства бюджетов муниципальных образований Московской области</v>
      </c>
      <c r="G213" s="738">
        <f>'А П 3'!G664:K664</f>
        <v>4000</v>
      </c>
      <c r="H213" s="739">
        <f>'А П 3'!H664:L664</f>
        <v>4000</v>
      </c>
      <c r="I213" s="739">
        <f>'А П 3'!I664:M664</f>
        <v>0</v>
      </c>
      <c r="J213" s="739">
        <f>'А П 3'!J664:N664</f>
        <v>0</v>
      </c>
      <c r="K213" s="739">
        <f>'А П 3'!K664:O664</f>
        <v>0</v>
      </c>
      <c r="L213" s="739">
        <f>'А П 3'!L664:P664</f>
        <v>0</v>
      </c>
      <c r="M213" s="739"/>
      <c r="N213" s="739"/>
      <c r="O213" s="739"/>
      <c r="P213" s="739"/>
      <c r="Q213" s="739"/>
      <c r="R213" s="739"/>
      <c r="S213" s="739"/>
    </row>
    <row r="214" spans="1:19" ht="26.25" hidden="1" customHeight="1" x14ac:dyDescent="0.3">
      <c r="A214" s="732" t="str">
        <f>'А П 3'!A665:E665</f>
        <v>4</v>
      </c>
      <c r="B214" s="733" t="str">
        <f>'А П 3'!B665:F665</f>
        <v>Капитальный ремонт  ВЗУ по адресу: городской округ Балашиха,   мкр.Северный (ПЕРЕНОС ИЗ СТРОЙКИ) (погашение кредиторской задолженности в сумме 3401,32 тыс.руб.)</v>
      </c>
      <c r="C214" s="732">
        <f>'А П 3'!C665:G665</f>
        <v>0</v>
      </c>
      <c r="D214" s="732">
        <f>'А П 3'!D665:H665</f>
        <v>0</v>
      </c>
      <c r="E214" s="732">
        <f>'А П 3'!E665:I665</f>
        <v>0</v>
      </c>
      <c r="F214" s="743" t="str">
        <f>'А П 3'!F665:J665</f>
        <v>Итого</v>
      </c>
      <c r="G214" s="738">
        <f>'А П 3'!G665:K665</f>
        <v>3401.32</v>
      </c>
      <c r="H214" s="739">
        <f>'А П 3'!H665:L665</f>
        <v>3401.32</v>
      </c>
      <c r="I214" s="739">
        <f>'А П 3'!I665:M665</f>
        <v>0</v>
      </c>
      <c r="J214" s="739">
        <f>'А П 3'!J665:N665</f>
        <v>0</v>
      </c>
      <c r="K214" s="739">
        <f>'А П 3'!K665:O665</f>
        <v>0</v>
      </c>
      <c r="L214" s="739">
        <f>'А П 3'!L665:P665</f>
        <v>0</v>
      </c>
      <c r="M214" s="739"/>
      <c r="N214" s="739"/>
      <c r="O214" s="739"/>
      <c r="P214" s="739"/>
      <c r="Q214" s="739"/>
      <c r="R214" s="739"/>
      <c r="S214" s="739"/>
    </row>
    <row r="215" spans="1:19" ht="26.25" hidden="1" customHeight="1" x14ac:dyDescent="0.3">
      <c r="A215" s="732">
        <f>'А П 3'!A666:E666</f>
        <v>0</v>
      </c>
      <c r="B215" s="733">
        <f>'А П 3'!B666:F666</f>
        <v>0</v>
      </c>
      <c r="C215" s="732">
        <f>'А П 3'!C666:G666</f>
        <v>0</v>
      </c>
      <c r="D215" s="732">
        <f>'А П 3'!D666:H666</f>
        <v>0</v>
      </c>
      <c r="E215" s="732">
        <f>'А П 3'!E666:I666</f>
        <v>0</v>
      </c>
      <c r="F215" s="743" t="str">
        <f>'А П 3'!F666:J666</f>
        <v>Средства бюджета Московской области</v>
      </c>
      <c r="G215" s="738">
        <f>'А П 3'!G666:K666</f>
        <v>3401.32</v>
      </c>
      <c r="H215" s="739">
        <f>'А П 3'!H666:L666</f>
        <v>3401.32</v>
      </c>
      <c r="I215" s="739">
        <f>'А П 3'!I666:M666</f>
        <v>0</v>
      </c>
      <c r="J215" s="739">
        <f>'А П 3'!J666:N666</f>
        <v>0</v>
      </c>
      <c r="K215" s="739">
        <f>'А П 3'!K666:O666</f>
        <v>0</v>
      </c>
      <c r="L215" s="739">
        <f>'А П 3'!L666:P666</f>
        <v>0</v>
      </c>
      <c r="M215" s="739"/>
      <c r="N215" s="739"/>
      <c r="O215" s="739"/>
      <c r="P215" s="739"/>
      <c r="Q215" s="739"/>
      <c r="R215" s="739"/>
      <c r="S215" s="739"/>
    </row>
    <row r="216" spans="1:19" ht="26.25" hidden="1" customHeight="1" x14ac:dyDescent="0.3">
      <c r="A216" s="732">
        <f>'А П 3'!A667:E667</f>
        <v>0</v>
      </c>
      <c r="B216" s="733">
        <f>'А П 3'!B667:F667</f>
        <v>0</v>
      </c>
      <c r="C216" s="732">
        <f>'А П 3'!C667:G667</f>
        <v>0</v>
      </c>
      <c r="D216" s="732">
        <f>'А П 3'!D667:H667</f>
        <v>0</v>
      </c>
      <c r="E216" s="732">
        <f>'А П 3'!E667:I667</f>
        <v>0</v>
      </c>
      <c r="F216" s="743" t="str">
        <f>'А П 3'!F667:J667</f>
        <v>Средства бюджетов муниципальных образований Московской области</v>
      </c>
      <c r="G216" s="738">
        <f>'А П 3'!G667:K667</f>
        <v>0</v>
      </c>
      <c r="H216" s="739">
        <f>'А П 3'!H667:L667</f>
        <v>0</v>
      </c>
      <c r="I216" s="739">
        <f>'А П 3'!I667:M667</f>
        <v>0</v>
      </c>
      <c r="J216" s="739">
        <f>'А П 3'!J667:N667</f>
        <v>0</v>
      </c>
      <c r="K216" s="739">
        <f>'А П 3'!K667:O667</f>
        <v>0</v>
      </c>
      <c r="L216" s="739">
        <f>'А П 3'!L667:P667</f>
        <v>0</v>
      </c>
      <c r="M216" s="739"/>
      <c r="N216" s="739"/>
      <c r="O216" s="739"/>
      <c r="P216" s="739"/>
      <c r="Q216" s="739"/>
      <c r="R216" s="739"/>
      <c r="S216" s="739"/>
    </row>
    <row r="217" spans="1:19" ht="26.25" hidden="1" customHeight="1" x14ac:dyDescent="0.3">
      <c r="A217" s="732" t="str">
        <f>'А П 3'!A668:E668</f>
        <v>5</v>
      </c>
      <c r="B217" s="733" t="str">
        <f>'А П 3'!B668:F668</f>
        <v>Приобретение, монтаж и ввод в эксплуатацию станции водоочистки на водозаборном узле военный городок № 417 по адресу: городской округ Балашиха,   мкр.Северный (ПЕРЕНОС ИЗ СТРОЙКИ) (погашение кредиторской задолженности в сумме 13208,85 тыс.руб.)</v>
      </c>
      <c r="C217" s="732">
        <f>'А П 3'!C668:G668</f>
        <v>0</v>
      </c>
      <c r="D217" s="732">
        <f>'А П 3'!D668:H668</f>
        <v>0</v>
      </c>
      <c r="E217" s="732">
        <f>'А П 3'!E668:I668</f>
        <v>0</v>
      </c>
      <c r="F217" s="743" t="str">
        <f>'А П 3'!F668:J668</f>
        <v>Итого</v>
      </c>
      <c r="G217" s="738">
        <f>'А П 3'!G668:K668</f>
        <v>13208.85</v>
      </c>
      <c r="H217" s="739">
        <f>'А П 3'!H668:L668</f>
        <v>13208.85</v>
      </c>
      <c r="I217" s="739">
        <f>'А П 3'!I668:M668</f>
        <v>0</v>
      </c>
      <c r="J217" s="739">
        <f>'А П 3'!J668:N668</f>
        <v>0</v>
      </c>
      <c r="K217" s="739">
        <f>'А П 3'!K668:O668</f>
        <v>0</v>
      </c>
      <c r="L217" s="739">
        <f>'А П 3'!L668:P668</f>
        <v>0</v>
      </c>
      <c r="M217" s="739"/>
      <c r="N217" s="739"/>
      <c r="O217" s="739"/>
      <c r="P217" s="739"/>
      <c r="Q217" s="739"/>
      <c r="R217" s="739"/>
      <c r="S217" s="739"/>
    </row>
    <row r="218" spans="1:19" ht="26.25" hidden="1" customHeight="1" x14ac:dyDescent="0.3">
      <c r="A218" s="732">
        <f>'А П 3'!A669:E669</f>
        <v>0</v>
      </c>
      <c r="B218" s="733">
        <f>'А П 3'!B669:F669</f>
        <v>0</v>
      </c>
      <c r="C218" s="732">
        <f>'А П 3'!C669:G669</f>
        <v>0</v>
      </c>
      <c r="D218" s="732">
        <f>'А П 3'!D669:H669</f>
        <v>0</v>
      </c>
      <c r="E218" s="732">
        <f>'А П 3'!E669:I669</f>
        <v>0</v>
      </c>
      <c r="F218" s="743" t="str">
        <f>'А П 3'!F669:J669</f>
        <v>Средства бюджета Московской области</v>
      </c>
      <c r="G218" s="738">
        <f>'А П 3'!G669:K669</f>
        <v>13208.85</v>
      </c>
      <c r="H218" s="739">
        <f>'А П 3'!H669:L669</f>
        <v>13208.85</v>
      </c>
      <c r="I218" s="739">
        <f>'А П 3'!I669:M669</f>
        <v>0</v>
      </c>
      <c r="J218" s="739">
        <f>'А П 3'!J669:N669</f>
        <v>0</v>
      </c>
      <c r="K218" s="739">
        <f>'А П 3'!K669:O669</f>
        <v>0</v>
      </c>
      <c r="L218" s="739">
        <f>'А П 3'!L669:P669</f>
        <v>0</v>
      </c>
      <c r="M218" s="739"/>
      <c r="N218" s="739"/>
      <c r="O218" s="739"/>
      <c r="P218" s="739"/>
      <c r="Q218" s="739"/>
      <c r="R218" s="739"/>
      <c r="S218" s="739"/>
    </row>
    <row r="219" spans="1:19" ht="26.25" hidden="1" customHeight="1" x14ac:dyDescent="0.3">
      <c r="A219" s="732">
        <f>'А П 3'!A670:E670</f>
        <v>0</v>
      </c>
      <c r="B219" s="733">
        <f>'А П 3'!B670:F670</f>
        <v>0</v>
      </c>
      <c r="C219" s="732">
        <f>'А П 3'!C670:G670</f>
        <v>0</v>
      </c>
      <c r="D219" s="732">
        <f>'А П 3'!D670:H670</f>
        <v>0</v>
      </c>
      <c r="E219" s="732">
        <f>'А П 3'!E670:I670</f>
        <v>0</v>
      </c>
      <c r="F219" s="743" t="str">
        <f>'А П 3'!F670:J670</f>
        <v>Средства бюджетов муниципальных образований Московской области</v>
      </c>
      <c r="G219" s="738">
        <f>'А П 3'!G670:K670</f>
        <v>0</v>
      </c>
      <c r="H219" s="739">
        <f>'А П 3'!H670:L670</f>
        <v>0</v>
      </c>
      <c r="I219" s="739">
        <f>'А П 3'!I670:M670</f>
        <v>0</v>
      </c>
      <c r="J219" s="739">
        <f>'А П 3'!J670:N670</f>
        <v>0</v>
      </c>
      <c r="K219" s="739">
        <f>'А П 3'!K670:O670</f>
        <v>0</v>
      </c>
      <c r="L219" s="739">
        <f>'А П 3'!L670:P670</f>
        <v>0</v>
      </c>
      <c r="M219" s="739"/>
      <c r="N219" s="739"/>
      <c r="O219" s="739"/>
      <c r="P219" s="739"/>
      <c r="Q219" s="739"/>
      <c r="R219" s="739"/>
      <c r="S219" s="739"/>
    </row>
    <row r="220" spans="1:19" ht="26.25" hidden="1" customHeight="1" x14ac:dyDescent="0.3">
      <c r="A220" s="732" t="str">
        <f>'А П 3'!A671:E671</f>
        <v>6</v>
      </c>
      <c r="B220" s="733" t="str">
        <f>'А П 3'!B671:F671</f>
        <v>Капитальный ремонт КНС № 1  по адресу: городской округ Балашиха,   мкр.Северный  г.о. Балашиха (ПЕРЕНОС ИЗ СТРОЙКИ) (погашение кредиторской задолженности в сумме 4426,11 тыс.руб.)</v>
      </c>
      <c r="C220" s="732">
        <f>'А П 3'!C671:G671</f>
        <v>0</v>
      </c>
      <c r="D220" s="732">
        <f>'А П 3'!D671:H671</f>
        <v>0</v>
      </c>
      <c r="E220" s="732">
        <f>'А П 3'!E671:I671</f>
        <v>0</v>
      </c>
      <c r="F220" s="743" t="str">
        <f>'А П 3'!F671:J671</f>
        <v>Итого</v>
      </c>
      <c r="G220" s="738">
        <f>'А П 3'!G671:K671</f>
        <v>4426.1099999999997</v>
      </c>
      <c r="H220" s="739">
        <f>'А П 3'!H671:L671</f>
        <v>4426.1099999999997</v>
      </c>
      <c r="I220" s="739">
        <f>'А П 3'!I671:M671</f>
        <v>0</v>
      </c>
      <c r="J220" s="739">
        <f>'А П 3'!J671:N671</f>
        <v>0</v>
      </c>
      <c r="K220" s="739">
        <f>'А П 3'!K671:O671</f>
        <v>0</v>
      </c>
      <c r="L220" s="739">
        <f>'А П 3'!L671:P671</f>
        <v>0</v>
      </c>
      <c r="M220" s="739"/>
      <c r="N220" s="739"/>
      <c r="O220" s="739"/>
      <c r="P220" s="739"/>
      <c r="Q220" s="739"/>
      <c r="R220" s="739"/>
      <c r="S220" s="739"/>
    </row>
    <row r="221" spans="1:19" ht="26.25" hidden="1" customHeight="1" x14ac:dyDescent="0.3">
      <c r="A221" s="732">
        <f>'А П 3'!A672:E672</f>
        <v>0</v>
      </c>
      <c r="B221" s="733">
        <f>'А П 3'!B672:F672</f>
        <v>0</v>
      </c>
      <c r="C221" s="732">
        <f>'А П 3'!C672:G672</f>
        <v>0</v>
      </c>
      <c r="D221" s="732">
        <f>'А П 3'!D672:H672</f>
        <v>0</v>
      </c>
      <c r="E221" s="732">
        <f>'А П 3'!E672:I672</f>
        <v>0</v>
      </c>
      <c r="F221" s="743" t="str">
        <f>'А П 3'!F672:J672</f>
        <v>Средства бюджета Московской области</v>
      </c>
      <c r="G221" s="738">
        <f>'А П 3'!G672:K672</f>
        <v>4426.1099999999997</v>
      </c>
      <c r="H221" s="739">
        <f>'А П 3'!H672:L672</f>
        <v>4426.1099999999997</v>
      </c>
      <c r="I221" s="739">
        <f>'А П 3'!I672:M672</f>
        <v>0</v>
      </c>
      <c r="J221" s="739">
        <f>'А П 3'!J672:N672</f>
        <v>0</v>
      </c>
      <c r="K221" s="739">
        <f>'А П 3'!K672:O672</f>
        <v>0</v>
      </c>
      <c r="L221" s="739">
        <f>'А П 3'!L672:P672</f>
        <v>0</v>
      </c>
      <c r="M221" s="739"/>
      <c r="N221" s="739"/>
      <c r="O221" s="739"/>
      <c r="P221" s="739"/>
      <c r="Q221" s="739"/>
      <c r="R221" s="739"/>
      <c r="S221" s="739"/>
    </row>
    <row r="222" spans="1:19" ht="26.25" hidden="1" customHeight="1" x14ac:dyDescent="0.3">
      <c r="A222" s="732">
        <f>'А П 3'!A673:E673</f>
        <v>0</v>
      </c>
      <c r="B222" s="733">
        <f>'А П 3'!B673:F673</f>
        <v>0</v>
      </c>
      <c r="C222" s="732">
        <f>'А П 3'!C673:G673</f>
        <v>0</v>
      </c>
      <c r="D222" s="732">
        <f>'А П 3'!D673:H673</f>
        <v>0</v>
      </c>
      <c r="E222" s="732">
        <f>'А П 3'!E673:I673</f>
        <v>0</v>
      </c>
      <c r="F222" s="743" t="str">
        <f>'А П 3'!F673:J673</f>
        <v>Средства бюджетов муниципальных образований Московской области</v>
      </c>
      <c r="G222" s="738">
        <f>'А П 3'!G673:K673</f>
        <v>0</v>
      </c>
      <c r="H222" s="739">
        <f>'А П 3'!H673:L673</f>
        <v>0</v>
      </c>
      <c r="I222" s="739">
        <f>'А П 3'!I673:M673</f>
        <v>0</v>
      </c>
      <c r="J222" s="739">
        <f>'А П 3'!J673:N673</f>
        <v>0</v>
      </c>
      <c r="K222" s="739">
        <f>'А П 3'!K673:O673</f>
        <v>0</v>
      </c>
      <c r="L222" s="739">
        <f>'А П 3'!L673:P673</f>
        <v>0</v>
      </c>
      <c r="M222" s="739"/>
      <c r="N222" s="739"/>
      <c r="O222" s="739"/>
      <c r="P222" s="739"/>
      <c r="Q222" s="739"/>
      <c r="R222" s="739"/>
      <c r="S222" s="739"/>
    </row>
    <row r="223" spans="1:19" ht="26.25" hidden="1" customHeight="1" x14ac:dyDescent="0.3">
      <c r="A223" s="732" t="str">
        <f>'А П 3'!A674:E674</f>
        <v>7</v>
      </c>
      <c r="B223" s="733" t="str">
        <f>'А П 3'!B674:F674</f>
        <v>Капитальный ремонт КНС № 2 по адресу: городской округ Балашиха,   мкр.Северный  г.о. Балашиха (ПЕРЕНОС ИЗ СТРОЙКИ) (погашение кредиторской задолженности в сумме 1839,31 тыс.руб.)</v>
      </c>
      <c r="C223" s="732">
        <f>'А П 3'!C674:G674</f>
        <v>0</v>
      </c>
      <c r="D223" s="732">
        <f>'А П 3'!D674:H674</f>
        <v>0</v>
      </c>
      <c r="E223" s="732">
        <f>'А П 3'!E674:I674</f>
        <v>0</v>
      </c>
      <c r="F223" s="743" t="str">
        <f>'А П 3'!F674:J674</f>
        <v>Итого</v>
      </c>
      <c r="G223" s="738">
        <f>'А П 3'!G674:K674</f>
        <v>1839.32</v>
      </c>
      <c r="H223" s="739">
        <f>'А П 3'!H674:L674</f>
        <v>1839.32</v>
      </c>
      <c r="I223" s="739">
        <f>'А П 3'!I674:M674</f>
        <v>0</v>
      </c>
      <c r="J223" s="739">
        <f>'А П 3'!J674:N674</f>
        <v>0</v>
      </c>
      <c r="K223" s="739">
        <f>'А П 3'!K674:O674</f>
        <v>0</v>
      </c>
      <c r="L223" s="739">
        <f>'А П 3'!L674:P674</f>
        <v>0</v>
      </c>
      <c r="M223" s="739"/>
      <c r="N223" s="739"/>
      <c r="O223" s="739"/>
      <c r="P223" s="739"/>
      <c r="Q223" s="739"/>
      <c r="R223" s="739"/>
      <c r="S223" s="739"/>
    </row>
    <row r="224" spans="1:19" ht="26.25" hidden="1" customHeight="1" x14ac:dyDescent="0.3">
      <c r="A224" s="732">
        <f>'А П 3'!A675:E675</f>
        <v>0</v>
      </c>
      <c r="B224" s="733">
        <f>'А П 3'!B675:F675</f>
        <v>0</v>
      </c>
      <c r="C224" s="732">
        <f>'А П 3'!C675:G675</f>
        <v>0</v>
      </c>
      <c r="D224" s="732">
        <f>'А П 3'!D675:H675</f>
        <v>0</v>
      </c>
      <c r="E224" s="732">
        <f>'А П 3'!E675:I675</f>
        <v>0</v>
      </c>
      <c r="F224" s="743" t="str">
        <f>'А П 3'!F675:J675</f>
        <v>Средства бюджета Московской области</v>
      </c>
      <c r="G224" s="738">
        <f>'А П 3'!G675:K675</f>
        <v>1839.32</v>
      </c>
      <c r="H224" s="739">
        <f>'А П 3'!H675:L675</f>
        <v>1839.32</v>
      </c>
      <c r="I224" s="739">
        <f>'А П 3'!I675:M675</f>
        <v>0</v>
      </c>
      <c r="J224" s="739">
        <f>'А П 3'!J675:N675</f>
        <v>0</v>
      </c>
      <c r="K224" s="739">
        <f>'А П 3'!K675:O675</f>
        <v>0</v>
      </c>
      <c r="L224" s="739">
        <f>'А П 3'!L675:P675</f>
        <v>0</v>
      </c>
      <c r="M224" s="739"/>
      <c r="N224" s="739"/>
      <c r="O224" s="739"/>
      <c r="P224" s="739"/>
      <c r="Q224" s="739"/>
      <c r="R224" s="739"/>
      <c r="S224" s="739"/>
    </row>
    <row r="225" spans="1:19" ht="26.25" hidden="1" customHeight="1" x14ac:dyDescent="0.3">
      <c r="A225" s="732">
        <f>'А П 3'!A676:E676</f>
        <v>0</v>
      </c>
      <c r="B225" s="733">
        <f>'А П 3'!B676:F676</f>
        <v>0</v>
      </c>
      <c r="C225" s="732">
        <f>'А П 3'!C676:G676</f>
        <v>0</v>
      </c>
      <c r="D225" s="732">
        <f>'А П 3'!D676:H676</f>
        <v>0</v>
      </c>
      <c r="E225" s="732">
        <f>'А П 3'!E676:I676</f>
        <v>0</v>
      </c>
      <c r="F225" s="743" t="str">
        <f>'А П 3'!F676:J676</f>
        <v>Средства бюджетов муниципальных образований Московской области</v>
      </c>
      <c r="G225" s="738">
        <f>'А П 3'!G676:K676</f>
        <v>0</v>
      </c>
      <c r="H225" s="739">
        <f>'А П 3'!H676:L676</f>
        <v>0</v>
      </c>
      <c r="I225" s="739">
        <f>'А П 3'!I676:M676</f>
        <v>0</v>
      </c>
      <c r="J225" s="739">
        <f>'А П 3'!J676:N676</f>
        <v>0</v>
      </c>
      <c r="K225" s="739">
        <f>'А П 3'!K676:O676</f>
        <v>0</v>
      </c>
      <c r="L225" s="739">
        <f>'А П 3'!L676:P676</f>
        <v>0</v>
      </c>
      <c r="M225" s="739"/>
      <c r="N225" s="739"/>
      <c r="O225" s="739"/>
      <c r="P225" s="739"/>
      <c r="Q225" s="739"/>
      <c r="R225" s="739"/>
      <c r="S225" s="739"/>
    </row>
    <row r="226" spans="1:19" ht="26.25" hidden="1" customHeight="1" x14ac:dyDescent="0.3">
      <c r="A226" s="732" t="str">
        <f>'А П 3'!A677:E677</f>
        <v>8</v>
      </c>
      <c r="B226" s="733" t="str">
        <f>'А П 3'!B677:F677</f>
        <v>Капитальный ремонт сетей теплоснабжения мкр. Северный</v>
      </c>
      <c r="C226" s="732">
        <f>'А П 3'!C677:G677</f>
        <v>0</v>
      </c>
      <c r="D226" s="732">
        <f>'А П 3'!D677:H677</f>
        <v>0</v>
      </c>
      <c r="E226" s="732">
        <f>'А П 3'!E677:I677</f>
        <v>0</v>
      </c>
      <c r="F226" s="743" t="str">
        <f>'А П 3'!F677:J677</f>
        <v>Итого</v>
      </c>
      <c r="G226" s="738">
        <f>'А П 3'!G677:K677</f>
        <v>165000.07999999999</v>
      </c>
      <c r="H226" s="739">
        <f>'А П 3'!H677:L677</f>
        <v>0</v>
      </c>
      <c r="I226" s="739">
        <f>'А П 3'!I677:M677</f>
        <v>66000</v>
      </c>
      <c r="J226" s="739">
        <f>'А П 3'!J677:N677</f>
        <v>99000</v>
      </c>
      <c r="K226" s="739">
        <f>'А П 3'!K677:O677</f>
        <v>0</v>
      </c>
      <c r="L226" s="739">
        <f>'А П 3'!L677:P677</f>
        <v>0</v>
      </c>
      <c r="M226" s="739"/>
      <c r="N226" s="739"/>
      <c r="O226" s="739"/>
      <c r="P226" s="739"/>
      <c r="Q226" s="739"/>
      <c r="R226" s="739"/>
      <c r="S226" s="739"/>
    </row>
    <row r="227" spans="1:19" ht="26.25" hidden="1" customHeight="1" x14ac:dyDescent="0.3">
      <c r="A227" s="732">
        <f>'А П 3'!A678:E678</f>
        <v>0</v>
      </c>
      <c r="B227" s="733">
        <f>'А П 3'!B678:F678</f>
        <v>0</v>
      </c>
      <c r="C227" s="732">
        <f>'А П 3'!C678:G678</f>
        <v>0</v>
      </c>
      <c r="D227" s="732">
        <f>'А П 3'!D678:H678</f>
        <v>0</v>
      </c>
      <c r="E227" s="732">
        <f>'А П 3'!E678:I678</f>
        <v>0</v>
      </c>
      <c r="F227" s="743" t="str">
        <f>'А П 3'!F678:J678</f>
        <v>Средства бюджета Московской области</v>
      </c>
      <c r="G227" s="738">
        <f>'А П 3'!G678:K678</f>
        <v>148500</v>
      </c>
      <c r="H227" s="739">
        <f>'А П 3'!H678:L678</f>
        <v>0</v>
      </c>
      <c r="I227" s="739">
        <f>'А П 3'!I678:M678</f>
        <v>59400</v>
      </c>
      <c r="J227" s="739">
        <f>'А П 3'!J678:N678</f>
        <v>89100</v>
      </c>
      <c r="K227" s="739">
        <f>'А П 3'!K678:O678</f>
        <v>0</v>
      </c>
      <c r="L227" s="739">
        <f>'А П 3'!L678:P678</f>
        <v>0</v>
      </c>
      <c r="M227" s="739"/>
      <c r="N227" s="739"/>
      <c r="O227" s="739"/>
      <c r="P227" s="739"/>
      <c r="Q227" s="739"/>
      <c r="R227" s="739"/>
      <c r="S227" s="739"/>
    </row>
    <row r="228" spans="1:19" ht="26.25" hidden="1" customHeight="1" x14ac:dyDescent="0.3">
      <c r="A228" s="732">
        <f>'А П 3'!A679:E679</f>
        <v>0</v>
      </c>
      <c r="B228" s="733">
        <f>'А П 3'!B679:F679</f>
        <v>0</v>
      </c>
      <c r="C228" s="732">
        <f>'А П 3'!C679:G679</f>
        <v>0</v>
      </c>
      <c r="D228" s="732">
        <f>'А П 3'!D679:H679</f>
        <v>0</v>
      </c>
      <c r="E228" s="732">
        <f>'А П 3'!E679:I679</f>
        <v>0</v>
      </c>
      <c r="F228" s="743" t="str">
        <f>'А П 3'!F679:J679</f>
        <v>Средства бюджетов муниципальных образований Московской области</v>
      </c>
      <c r="G228" s="738">
        <f>'А П 3'!G679:K679</f>
        <v>16500.080000000002</v>
      </c>
      <c r="H228" s="739">
        <f>'А П 3'!H679:L679</f>
        <v>0</v>
      </c>
      <c r="I228" s="739">
        <f>'А П 3'!I679:M679</f>
        <v>6600</v>
      </c>
      <c r="J228" s="739">
        <f>'А П 3'!J679:N679</f>
        <v>9900.08</v>
      </c>
      <c r="K228" s="739">
        <f>'А П 3'!K679:O679</f>
        <v>0</v>
      </c>
      <c r="L228" s="739">
        <f>'А П 3'!L679:P679</f>
        <v>0</v>
      </c>
      <c r="M228" s="739"/>
      <c r="N228" s="739"/>
      <c r="O228" s="739"/>
      <c r="P228" s="739"/>
      <c r="Q228" s="739"/>
      <c r="R228" s="739"/>
      <c r="S228" s="739"/>
    </row>
    <row r="229" spans="1:19" ht="26.25" hidden="1" customHeight="1" x14ac:dyDescent="0.3">
      <c r="A229" s="732" t="str">
        <f>'А П 3'!A680:E680</f>
        <v>9</v>
      </c>
      <c r="B229" s="733" t="str">
        <f>'А П 3'!B680:F680</f>
        <v>Капитальный ремонт сетей теплоснабжения мкр. Заря</v>
      </c>
      <c r="C229" s="732">
        <f>'А П 3'!C680:G680</f>
        <v>0</v>
      </c>
      <c r="D229" s="732">
        <f>'А П 3'!D680:H680</f>
        <v>0</v>
      </c>
      <c r="E229" s="732">
        <f>'А П 3'!E680:I680</f>
        <v>0</v>
      </c>
      <c r="F229" s="743" t="str">
        <f>'А П 3'!F680:J680</f>
        <v>Итого</v>
      </c>
      <c r="G229" s="738">
        <f>'А П 3'!G680:K680</f>
        <v>345800</v>
      </c>
      <c r="H229" s="739">
        <f>'А П 3'!H680:L680</f>
        <v>0</v>
      </c>
      <c r="I229" s="739">
        <f>'А П 3'!I680:M680</f>
        <v>138220.79999999999</v>
      </c>
      <c r="J229" s="739">
        <f>'А П 3'!J680:N680</f>
        <v>207579.2</v>
      </c>
      <c r="K229" s="739">
        <f>'А П 3'!K680:O680</f>
        <v>0</v>
      </c>
      <c r="L229" s="739">
        <f>'А П 3'!L680:P680</f>
        <v>0</v>
      </c>
      <c r="M229" s="739"/>
      <c r="N229" s="739"/>
      <c r="O229" s="739"/>
      <c r="P229" s="739"/>
      <c r="Q229" s="739"/>
      <c r="R229" s="739"/>
      <c r="S229" s="739"/>
    </row>
    <row r="230" spans="1:19" ht="26.25" hidden="1" customHeight="1" x14ac:dyDescent="0.3">
      <c r="A230" s="732">
        <f>'А П 3'!A681:E681</f>
        <v>0</v>
      </c>
      <c r="B230" s="733">
        <f>'А П 3'!B681:F681</f>
        <v>0</v>
      </c>
      <c r="C230" s="732">
        <f>'А П 3'!C681:G681</f>
        <v>0</v>
      </c>
      <c r="D230" s="732">
        <f>'А П 3'!D681:H681</f>
        <v>0</v>
      </c>
      <c r="E230" s="732">
        <f>'А П 3'!E681:I681</f>
        <v>0</v>
      </c>
      <c r="F230" s="743" t="str">
        <f>'А П 3'!F681:J681</f>
        <v>Средства бюджета Московской области</v>
      </c>
      <c r="G230" s="738">
        <f>'А П 3'!G681:K681</f>
        <v>311219.71999999997</v>
      </c>
      <c r="H230" s="739">
        <f>'А П 3'!H681:L681</f>
        <v>0</v>
      </c>
      <c r="I230" s="739">
        <f>'А П 3'!I681:M681</f>
        <v>124398.72</v>
      </c>
      <c r="J230" s="739">
        <f>'А П 3'!J681:N681</f>
        <v>186821</v>
      </c>
      <c r="K230" s="739">
        <f>'А П 3'!K681:O681</f>
        <v>0</v>
      </c>
      <c r="L230" s="739">
        <f>'А П 3'!L681:P681</f>
        <v>0</v>
      </c>
      <c r="M230" s="739"/>
      <c r="N230" s="739"/>
      <c r="O230" s="739"/>
      <c r="P230" s="739"/>
      <c r="Q230" s="739"/>
      <c r="R230" s="739"/>
      <c r="S230" s="739"/>
    </row>
    <row r="231" spans="1:19" ht="26.25" hidden="1" customHeight="1" x14ac:dyDescent="0.3">
      <c r="A231" s="732">
        <f>'А П 3'!A682:E682</f>
        <v>0</v>
      </c>
      <c r="B231" s="733">
        <f>'А П 3'!B682:F682</f>
        <v>0</v>
      </c>
      <c r="C231" s="732">
        <f>'А П 3'!C682:G682</f>
        <v>0</v>
      </c>
      <c r="D231" s="732">
        <f>'А П 3'!D682:H682</f>
        <v>0</v>
      </c>
      <c r="E231" s="732">
        <f>'А П 3'!E682:I682</f>
        <v>0</v>
      </c>
      <c r="F231" s="743" t="str">
        <f>'А П 3'!F682:J682</f>
        <v>Средства бюджетов муниципальных образований Московской области</v>
      </c>
      <c r="G231" s="738">
        <f>'А П 3'!G682:K682</f>
        <v>34580.28</v>
      </c>
      <c r="H231" s="739">
        <f>'А П 3'!H682:L682</f>
        <v>0</v>
      </c>
      <c r="I231" s="739">
        <f>'А П 3'!I682:M682</f>
        <v>13822.08</v>
      </c>
      <c r="J231" s="739">
        <f>'А П 3'!J682:N682</f>
        <v>20758.2</v>
      </c>
      <c r="K231" s="739">
        <f>'А П 3'!K682:O682</f>
        <v>0</v>
      </c>
      <c r="L231" s="739">
        <f>'А П 3'!L682:P682</f>
        <v>0</v>
      </c>
      <c r="M231" s="739"/>
      <c r="N231" s="739"/>
      <c r="O231" s="739"/>
      <c r="P231" s="739"/>
      <c r="Q231" s="739"/>
      <c r="R231" s="739"/>
      <c r="S231" s="739"/>
    </row>
    <row r="232" spans="1:19" s="750" customFormat="1" ht="26.25" customHeight="1" x14ac:dyDescent="0.3">
      <c r="A232" s="745" t="str">
        <f>'А П 3'!A683:E683</f>
        <v>3.1.1.7</v>
      </c>
      <c r="B232" s="746" t="str">
        <f>'А П 3'!B683:F683</f>
        <v>Городской округ Краснознаменск</v>
      </c>
      <c r="C232" s="745">
        <f>'А П 3'!C683:G683</f>
        <v>0</v>
      </c>
      <c r="D232" s="745">
        <f>'А П 3'!D683:H683</f>
        <v>0</v>
      </c>
      <c r="E232" s="745">
        <f>'А П 3'!E683:I683</f>
        <v>0</v>
      </c>
      <c r="F232" s="747" t="str">
        <f>'А П 3'!F683:J683</f>
        <v>Итого</v>
      </c>
      <c r="G232" s="748">
        <f>'А П 3'!G683:K683</f>
        <v>31812.87</v>
      </c>
      <c r="H232" s="749">
        <f>'А П 3'!H683:L683</f>
        <v>31812.87</v>
      </c>
      <c r="I232" s="749">
        <f>'А П 3'!I683:M683</f>
        <v>0</v>
      </c>
      <c r="J232" s="749">
        <f>'А П 3'!J683:N683</f>
        <v>0</v>
      </c>
      <c r="K232" s="749">
        <f>'А П 3'!K683:O683</f>
        <v>0</v>
      </c>
      <c r="L232" s="749">
        <f>'А П 3'!L683:P683</f>
        <v>0</v>
      </c>
      <c r="M232" s="749"/>
      <c r="N232" s="749"/>
      <c r="O232" s="749"/>
      <c r="P232" s="749"/>
      <c r="Q232" s="749"/>
      <c r="R232" s="749"/>
      <c r="S232" s="749"/>
    </row>
    <row r="233" spans="1:19" ht="26.25" customHeight="1" x14ac:dyDescent="0.3">
      <c r="A233" s="732">
        <f>'А П 3'!A684:E684</f>
        <v>0</v>
      </c>
      <c r="B233" s="733"/>
      <c r="C233" s="732">
        <f>'А П 3'!C684:G684</f>
        <v>0</v>
      </c>
      <c r="D233" s="732">
        <f>'А П 3'!D684:H684</f>
        <v>0</v>
      </c>
      <c r="E233" s="732">
        <f>'А П 3'!E684:I684</f>
        <v>0</v>
      </c>
      <c r="F233" s="743" t="str">
        <f>'А П 3'!F684:J684</f>
        <v>Средства бюджета Московской области</v>
      </c>
      <c r="G233" s="738">
        <f>'А П 3'!G684:K684</f>
        <v>30222.23</v>
      </c>
      <c r="H233" s="739">
        <f>'А П 3'!H684:L684</f>
        <v>30222.23</v>
      </c>
      <c r="I233" s="739">
        <f>'А П 3'!I684:M684</f>
        <v>0</v>
      </c>
      <c r="J233" s="739">
        <f>'А П 3'!J684:N684</f>
        <v>0</v>
      </c>
      <c r="K233" s="739">
        <f>'А П 3'!K684:O684</f>
        <v>0</v>
      </c>
      <c r="L233" s="739">
        <f>'А П 3'!L684:P684</f>
        <v>0</v>
      </c>
      <c r="M233" s="739"/>
      <c r="N233" s="739"/>
      <c r="O233" s="739"/>
      <c r="P233" s="739"/>
      <c r="Q233" s="739"/>
      <c r="R233" s="739"/>
      <c r="S233" s="739"/>
    </row>
    <row r="234" spans="1:19" ht="26.25" customHeight="1" x14ac:dyDescent="0.3">
      <c r="A234" s="732">
        <f>'А П 3'!A685:E685</f>
        <v>0</v>
      </c>
      <c r="B234" s="733"/>
      <c r="C234" s="732">
        <f>'А П 3'!C685:G685</f>
        <v>0</v>
      </c>
      <c r="D234" s="732">
        <f>'А П 3'!D685:H685</f>
        <v>0</v>
      </c>
      <c r="E234" s="732">
        <f>'А П 3'!E685:I685</f>
        <v>0</v>
      </c>
      <c r="F234" s="743" t="str">
        <f>'А П 3'!F685:J685</f>
        <v>Средства бюджетов муниципальных образований Московской области</v>
      </c>
      <c r="G234" s="738">
        <f>'А П 3'!G685:K685</f>
        <v>1590.64</v>
      </c>
      <c r="H234" s="739">
        <f>'А П 3'!H685:L685</f>
        <v>1590.64</v>
      </c>
      <c r="I234" s="739">
        <f>'А П 3'!I685:M685</f>
        <v>0</v>
      </c>
      <c r="J234" s="739">
        <f>'А П 3'!J685:N685</f>
        <v>0</v>
      </c>
      <c r="K234" s="739">
        <f>'А П 3'!K685:O685</f>
        <v>0</v>
      </c>
      <c r="L234" s="739">
        <f>'А П 3'!L685:P685</f>
        <v>0</v>
      </c>
      <c r="M234" s="739"/>
      <c r="N234" s="739"/>
      <c r="O234" s="739"/>
      <c r="P234" s="739"/>
      <c r="Q234" s="739"/>
      <c r="R234" s="739"/>
      <c r="S234" s="739"/>
    </row>
    <row r="235" spans="1:19" ht="26.25" hidden="1" customHeight="1" x14ac:dyDescent="0.3">
      <c r="A235" s="732">
        <f>'А П 3'!A686:E686</f>
        <v>0</v>
      </c>
      <c r="B235" s="733" t="str">
        <f>'А П 3'!B686:F686</f>
        <v xml:space="preserve">Капитальный ремонт ЦТП-15 г.о. Краснознаменск </v>
      </c>
      <c r="C235" s="732">
        <f>'А П 3'!C686:G686</f>
        <v>0</v>
      </c>
      <c r="D235" s="732">
        <f>'А П 3'!D686:H686</f>
        <v>0</v>
      </c>
      <c r="E235" s="732">
        <f>'А П 3'!E686:I686</f>
        <v>0</v>
      </c>
      <c r="F235" s="743" t="str">
        <f>'А П 3'!F686:J686</f>
        <v>Итого</v>
      </c>
      <c r="G235" s="738">
        <f>'А П 3'!G686:K686</f>
        <v>14165.51</v>
      </c>
      <c r="H235" s="739">
        <f>'А П 3'!H686:L686</f>
        <v>14165.51</v>
      </c>
      <c r="I235" s="739">
        <f>'А П 3'!I686:M686</f>
        <v>0</v>
      </c>
      <c r="J235" s="739">
        <f>'А П 3'!J686:N686</f>
        <v>0</v>
      </c>
      <c r="K235" s="739">
        <f>'А П 3'!K686:O686</f>
        <v>0</v>
      </c>
      <c r="L235" s="739">
        <f>'А П 3'!L686:P686</f>
        <v>0</v>
      </c>
      <c r="M235" s="739"/>
      <c r="N235" s="739"/>
      <c r="O235" s="739"/>
      <c r="P235" s="739"/>
      <c r="Q235" s="739"/>
      <c r="R235" s="739"/>
      <c r="S235" s="739"/>
    </row>
    <row r="236" spans="1:19" ht="26.25" hidden="1" customHeight="1" x14ac:dyDescent="0.3">
      <c r="A236" s="732">
        <f>'А П 3'!A687:E687</f>
        <v>0</v>
      </c>
      <c r="B236" s="733">
        <f>'А П 3'!B687:F687</f>
        <v>0</v>
      </c>
      <c r="C236" s="732">
        <f>'А П 3'!C687:G687</f>
        <v>0</v>
      </c>
      <c r="D236" s="732">
        <f>'А П 3'!D687:H687</f>
        <v>0</v>
      </c>
      <c r="E236" s="732">
        <f>'А П 3'!E687:I687</f>
        <v>0</v>
      </c>
      <c r="F236" s="743" t="str">
        <f>'А П 3'!F687:J687</f>
        <v>Средства бюджета Московской области</v>
      </c>
      <c r="G236" s="738">
        <f>'А П 3'!G687:K687</f>
        <v>13457.23</v>
      </c>
      <c r="H236" s="739">
        <f>'А П 3'!H687:L687</f>
        <v>13457.23</v>
      </c>
      <c r="I236" s="739">
        <f>'А П 3'!I687:M687</f>
        <v>0</v>
      </c>
      <c r="J236" s="739">
        <f>'А П 3'!J687:N687</f>
        <v>0</v>
      </c>
      <c r="K236" s="739">
        <f>'А П 3'!K687:O687</f>
        <v>0</v>
      </c>
      <c r="L236" s="739">
        <f>'А П 3'!L687:P687</f>
        <v>0</v>
      </c>
      <c r="M236" s="739"/>
      <c r="N236" s="739"/>
      <c r="O236" s="739"/>
      <c r="P236" s="739"/>
      <c r="Q236" s="739"/>
      <c r="R236" s="739"/>
      <c r="S236" s="739"/>
    </row>
    <row r="237" spans="1:19" ht="26.25" hidden="1" customHeight="1" x14ac:dyDescent="0.3">
      <c r="A237" s="732">
        <f>'А П 3'!A688:E688</f>
        <v>0</v>
      </c>
      <c r="B237" s="733">
        <f>'А П 3'!B688:F688</f>
        <v>0</v>
      </c>
      <c r="C237" s="732">
        <f>'А П 3'!C688:G688</f>
        <v>0</v>
      </c>
      <c r="D237" s="732">
        <f>'А П 3'!D688:H688</f>
        <v>0</v>
      </c>
      <c r="E237" s="732">
        <f>'А П 3'!E688:I688</f>
        <v>0</v>
      </c>
      <c r="F237" s="743" t="str">
        <f>'А П 3'!F688:J688</f>
        <v>Средства бюджетов муниципальных образований Московской области</v>
      </c>
      <c r="G237" s="738">
        <f>'А П 3'!G688:K688</f>
        <v>708.28</v>
      </c>
      <c r="H237" s="739">
        <f>'А П 3'!H688:L688</f>
        <v>708.28</v>
      </c>
      <c r="I237" s="739">
        <f>'А П 3'!I688:M688</f>
        <v>0</v>
      </c>
      <c r="J237" s="739">
        <f>'А П 3'!J688:N688</f>
        <v>0</v>
      </c>
      <c r="K237" s="739">
        <f>'А П 3'!K688:O688</f>
        <v>0</v>
      </c>
      <c r="L237" s="739">
        <f>'А П 3'!L688:P688</f>
        <v>0</v>
      </c>
      <c r="M237" s="739"/>
      <c r="N237" s="739"/>
      <c r="O237" s="739"/>
      <c r="P237" s="739"/>
      <c r="Q237" s="739"/>
      <c r="R237" s="739"/>
      <c r="S237" s="739"/>
    </row>
    <row r="238" spans="1:19" ht="26.25" hidden="1" customHeight="1" x14ac:dyDescent="0.3">
      <c r="A238" s="732">
        <f>'А П 3'!A689:E689</f>
        <v>0</v>
      </c>
      <c r="B238" s="733" t="str">
        <f>'А П 3'!B689:F689</f>
        <v xml:space="preserve">Капитальный ремонт наружных сетей ливневой канализации г.о.Краснознаменск </v>
      </c>
      <c r="C238" s="732">
        <f>'А П 3'!C689:G689</f>
        <v>0</v>
      </c>
      <c r="D238" s="732">
        <f>'А П 3'!D689:H689</f>
        <v>0</v>
      </c>
      <c r="E238" s="732">
        <f>'А П 3'!E689:I689</f>
        <v>0</v>
      </c>
      <c r="F238" s="743" t="str">
        <f>'А П 3'!F689:J689</f>
        <v>Итого</v>
      </c>
      <c r="G238" s="738">
        <f>'А П 3'!G689:K689</f>
        <v>2984.09</v>
      </c>
      <c r="H238" s="739">
        <f>'А П 3'!H689:L689</f>
        <v>2984.09</v>
      </c>
      <c r="I238" s="739">
        <f>'А П 3'!I689:M689</f>
        <v>0</v>
      </c>
      <c r="J238" s="739">
        <f>'А П 3'!J689:N689</f>
        <v>0</v>
      </c>
      <c r="K238" s="739">
        <f>'А П 3'!K689:O689</f>
        <v>0</v>
      </c>
      <c r="L238" s="739">
        <f>'А П 3'!L689:P689</f>
        <v>0</v>
      </c>
      <c r="M238" s="739"/>
      <c r="N238" s="739"/>
      <c r="O238" s="739"/>
      <c r="P238" s="739"/>
      <c r="Q238" s="739"/>
      <c r="R238" s="739"/>
      <c r="S238" s="739"/>
    </row>
    <row r="239" spans="1:19" ht="26.25" hidden="1" customHeight="1" x14ac:dyDescent="0.3">
      <c r="A239" s="732">
        <f>'А П 3'!A690:E690</f>
        <v>0</v>
      </c>
      <c r="B239" s="733">
        <f>'А П 3'!B690:F690</f>
        <v>0</v>
      </c>
      <c r="C239" s="732">
        <f>'А П 3'!C690:G690</f>
        <v>0</v>
      </c>
      <c r="D239" s="732">
        <f>'А П 3'!D690:H690</f>
        <v>0</v>
      </c>
      <c r="E239" s="732">
        <f>'А П 3'!E690:I690</f>
        <v>0</v>
      </c>
      <c r="F239" s="743" t="str">
        <f>'А П 3'!F690:J690</f>
        <v>Средства бюджета Московской области</v>
      </c>
      <c r="G239" s="738">
        <f>'А П 3'!G690:K690</f>
        <v>2834.89</v>
      </c>
      <c r="H239" s="739">
        <f>'А П 3'!H690:L690</f>
        <v>2834.89</v>
      </c>
      <c r="I239" s="739">
        <f>'А П 3'!I690:M690</f>
        <v>0</v>
      </c>
      <c r="J239" s="739">
        <f>'А П 3'!J690:N690</f>
        <v>0</v>
      </c>
      <c r="K239" s="739">
        <f>'А П 3'!K690:O690</f>
        <v>0</v>
      </c>
      <c r="L239" s="739">
        <f>'А П 3'!L690:P690</f>
        <v>0</v>
      </c>
      <c r="M239" s="739"/>
      <c r="N239" s="739"/>
      <c r="O239" s="739"/>
      <c r="P239" s="739"/>
      <c r="Q239" s="739"/>
      <c r="R239" s="739"/>
      <c r="S239" s="739"/>
    </row>
    <row r="240" spans="1:19" ht="26.25" hidden="1" customHeight="1" x14ac:dyDescent="0.3">
      <c r="A240" s="732">
        <f>'А П 3'!A691:E691</f>
        <v>0</v>
      </c>
      <c r="B240" s="733">
        <f>'А П 3'!B691:F691</f>
        <v>0</v>
      </c>
      <c r="C240" s="732">
        <f>'А П 3'!C691:G691</f>
        <v>0</v>
      </c>
      <c r="D240" s="732">
        <f>'А П 3'!D691:H691</f>
        <v>0</v>
      </c>
      <c r="E240" s="732">
        <f>'А П 3'!E691:I691</f>
        <v>0</v>
      </c>
      <c r="F240" s="743" t="str">
        <f>'А П 3'!F691:J691</f>
        <v>Средства бюджетов муниципальных образований Московской области</v>
      </c>
      <c r="G240" s="738">
        <f>'А П 3'!G691:K691</f>
        <v>149.19999999999999</v>
      </c>
      <c r="H240" s="739">
        <f>'А П 3'!H691:L691</f>
        <v>149.19999999999999</v>
      </c>
      <c r="I240" s="739">
        <f>'А П 3'!I691:M691</f>
        <v>0</v>
      </c>
      <c r="J240" s="739">
        <f>'А П 3'!J691:N691</f>
        <v>0</v>
      </c>
      <c r="K240" s="739">
        <f>'А П 3'!K691:O691</f>
        <v>0</v>
      </c>
      <c r="L240" s="739">
        <f>'А П 3'!L691:P691</f>
        <v>0</v>
      </c>
      <c r="M240" s="739"/>
      <c r="N240" s="739"/>
      <c r="O240" s="739"/>
      <c r="P240" s="739"/>
      <c r="Q240" s="739"/>
      <c r="R240" s="739"/>
      <c r="S240" s="739"/>
    </row>
    <row r="241" spans="1:19" ht="26.25" hidden="1" customHeight="1" x14ac:dyDescent="0.3">
      <c r="A241" s="732">
        <f>'А П 3'!A692:E692</f>
        <v>0</v>
      </c>
      <c r="B241" s="733" t="str">
        <f>'А П 3'!B692:F692</f>
        <v xml:space="preserve">Капитальный ремонт наружных сетей хозбытовой канализации г.о.Краснознаменск </v>
      </c>
      <c r="C241" s="732">
        <f>'А П 3'!C692:G692</f>
        <v>0</v>
      </c>
      <c r="D241" s="732">
        <f>'А П 3'!D692:H692</f>
        <v>0</v>
      </c>
      <c r="E241" s="732">
        <f>'А П 3'!E692:I692</f>
        <v>0</v>
      </c>
      <c r="F241" s="743" t="str">
        <f>'А П 3'!F692:J692</f>
        <v>Итого</v>
      </c>
      <c r="G241" s="738">
        <f>'А П 3'!G692:K692</f>
        <v>816.56</v>
      </c>
      <c r="H241" s="739">
        <f>'А П 3'!H692:L692</f>
        <v>816.56</v>
      </c>
      <c r="I241" s="739">
        <f>'А П 3'!I692:M692</f>
        <v>0</v>
      </c>
      <c r="J241" s="739">
        <f>'А П 3'!J692:N692</f>
        <v>0</v>
      </c>
      <c r="K241" s="739">
        <f>'А П 3'!K692:O692</f>
        <v>0</v>
      </c>
      <c r="L241" s="739">
        <f>'А П 3'!L692:P692</f>
        <v>0</v>
      </c>
      <c r="M241" s="739"/>
      <c r="N241" s="739"/>
      <c r="O241" s="739"/>
      <c r="P241" s="739"/>
      <c r="Q241" s="739"/>
      <c r="R241" s="739"/>
      <c r="S241" s="739"/>
    </row>
    <row r="242" spans="1:19" ht="26.25" hidden="1" customHeight="1" x14ac:dyDescent="0.3">
      <c r="A242" s="732">
        <f>'А П 3'!A693:E693</f>
        <v>0</v>
      </c>
      <c r="B242" s="733">
        <f>'А П 3'!B693:F693</f>
        <v>0</v>
      </c>
      <c r="C242" s="732">
        <f>'А П 3'!C693:G693</f>
        <v>0</v>
      </c>
      <c r="D242" s="732">
        <f>'А П 3'!D693:H693</f>
        <v>0</v>
      </c>
      <c r="E242" s="732">
        <f>'А П 3'!E693:I693</f>
        <v>0</v>
      </c>
      <c r="F242" s="743" t="str">
        <f>'А П 3'!F693:J693</f>
        <v>Средства бюджета Московской области</v>
      </c>
      <c r="G242" s="738">
        <f>'А П 3'!G693:K693</f>
        <v>775.73</v>
      </c>
      <c r="H242" s="739">
        <f>'А П 3'!H693:L693</f>
        <v>775.73</v>
      </c>
      <c r="I242" s="739">
        <f>'А П 3'!I693:M693</f>
        <v>0</v>
      </c>
      <c r="J242" s="739">
        <f>'А П 3'!J693:N693</f>
        <v>0</v>
      </c>
      <c r="K242" s="739">
        <f>'А П 3'!K693:O693</f>
        <v>0</v>
      </c>
      <c r="L242" s="739">
        <f>'А П 3'!L693:P693</f>
        <v>0</v>
      </c>
      <c r="M242" s="739"/>
      <c r="N242" s="739"/>
      <c r="O242" s="739"/>
      <c r="P242" s="739"/>
      <c r="Q242" s="739"/>
      <c r="R242" s="739"/>
      <c r="S242" s="739"/>
    </row>
    <row r="243" spans="1:19" ht="26.25" hidden="1" customHeight="1" x14ac:dyDescent="0.3">
      <c r="A243" s="732">
        <f>'А П 3'!A694:E694</f>
        <v>0</v>
      </c>
      <c r="B243" s="733">
        <f>'А П 3'!B694:F694</f>
        <v>0</v>
      </c>
      <c r="C243" s="732">
        <f>'А П 3'!C694:G694</f>
        <v>0</v>
      </c>
      <c r="D243" s="732">
        <f>'А П 3'!D694:H694</f>
        <v>0</v>
      </c>
      <c r="E243" s="732">
        <f>'А П 3'!E694:I694</f>
        <v>0</v>
      </c>
      <c r="F243" s="743" t="str">
        <f>'А П 3'!F694:J694</f>
        <v>Средства бюджетов муниципальных образований Московской области</v>
      </c>
      <c r="G243" s="738">
        <f>'А П 3'!G694:K694</f>
        <v>40.83</v>
      </c>
      <c r="H243" s="739">
        <f>'А П 3'!H694:L694</f>
        <v>40.83</v>
      </c>
      <c r="I243" s="739">
        <f>'А П 3'!I694:M694</f>
        <v>0</v>
      </c>
      <c r="J243" s="739">
        <f>'А П 3'!J694:N694</f>
        <v>0</v>
      </c>
      <c r="K243" s="739">
        <f>'А П 3'!K694:O694</f>
        <v>0</v>
      </c>
      <c r="L243" s="739">
        <f>'А П 3'!L694:P694</f>
        <v>0</v>
      </c>
      <c r="M243" s="739"/>
      <c r="N243" s="739"/>
      <c r="O243" s="739"/>
      <c r="P243" s="739"/>
      <c r="Q243" s="739"/>
      <c r="R243" s="739"/>
      <c r="S243" s="739"/>
    </row>
    <row r="244" spans="1:19" ht="26.25" hidden="1" customHeight="1" x14ac:dyDescent="0.3">
      <c r="A244" s="732">
        <f>'А П 3'!A695:E695</f>
        <v>0</v>
      </c>
      <c r="B244" s="733" t="str">
        <f>'А П 3'!B695:F695</f>
        <v xml:space="preserve"> Капитальный ремонт наружных сетей водопровода г.о.Краснознаменск </v>
      </c>
      <c r="C244" s="732">
        <f>'А П 3'!C695:G695</f>
        <v>0</v>
      </c>
      <c r="D244" s="732">
        <f>'А П 3'!D695:H695</f>
        <v>0</v>
      </c>
      <c r="E244" s="732">
        <f>'А П 3'!E695:I695</f>
        <v>0</v>
      </c>
      <c r="F244" s="743" t="str">
        <f>'А П 3'!F695:J695</f>
        <v>Итого</v>
      </c>
      <c r="G244" s="738">
        <f>'А П 3'!G695:K695</f>
        <v>560.02</v>
      </c>
      <c r="H244" s="739">
        <f>'А П 3'!H695:L695</f>
        <v>560.02</v>
      </c>
      <c r="I244" s="739">
        <f>'А П 3'!I695:M695</f>
        <v>0</v>
      </c>
      <c r="J244" s="739">
        <f>'А П 3'!J695:N695</f>
        <v>0</v>
      </c>
      <c r="K244" s="739">
        <f>'А П 3'!K695:O695</f>
        <v>0</v>
      </c>
      <c r="L244" s="739">
        <f>'А П 3'!L695:P695</f>
        <v>0</v>
      </c>
      <c r="M244" s="739"/>
      <c r="N244" s="739"/>
      <c r="O244" s="739"/>
      <c r="P244" s="739"/>
      <c r="Q244" s="739"/>
      <c r="R244" s="739"/>
      <c r="S244" s="739"/>
    </row>
    <row r="245" spans="1:19" ht="26.25" hidden="1" customHeight="1" x14ac:dyDescent="0.3">
      <c r="A245" s="732">
        <f>'А П 3'!A696:E696</f>
        <v>0</v>
      </c>
      <c r="B245" s="733">
        <f>'А П 3'!B696:F696</f>
        <v>0</v>
      </c>
      <c r="C245" s="732">
        <f>'А П 3'!C696:G696</f>
        <v>0</v>
      </c>
      <c r="D245" s="732">
        <f>'А П 3'!D696:H696</f>
        <v>0</v>
      </c>
      <c r="E245" s="732">
        <f>'А П 3'!E696:I696</f>
        <v>0</v>
      </c>
      <c r="F245" s="743" t="str">
        <f>'А П 3'!F696:J696</f>
        <v>Средства бюджета Московской области</v>
      </c>
      <c r="G245" s="738">
        <f>'А П 3'!G696:K696</f>
        <v>532.02</v>
      </c>
      <c r="H245" s="739">
        <f>'А П 3'!H696:L696</f>
        <v>532.02</v>
      </c>
      <c r="I245" s="739">
        <f>'А П 3'!I696:M696</f>
        <v>0</v>
      </c>
      <c r="J245" s="739">
        <f>'А П 3'!J696:N696</f>
        <v>0</v>
      </c>
      <c r="K245" s="739">
        <f>'А П 3'!K696:O696</f>
        <v>0</v>
      </c>
      <c r="L245" s="739">
        <f>'А П 3'!L696:P696</f>
        <v>0</v>
      </c>
      <c r="M245" s="739"/>
      <c r="N245" s="739"/>
      <c r="O245" s="739"/>
      <c r="P245" s="739"/>
      <c r="Q245" s="739"/>
      <c r="R245" s="739"/>
      <c r="S245" s="739"/>
    </row>
    <row r="246" spans="1:19" ht="26.25" hidden="1" customHeight="1" x14ac:dyDescent="0.3">
      <c r="A246" s="732">
        <f>'А П 3'!A697:E697</f>
        <v>0</v>
      </c>
      <c r="B246" s="733">
        <f>'А П 3'!B697:F697</f>
        <v>0</v>
      </c>
      <c r="C246" s="732">
        <f>'А П 3'!C697:G697</f>
        <v>0</v>
      </c>
      <c r="D246" s="732">
        <f>'А П 3'!D697:H697</f>
        <v>0</v>
      </c>
      <c r="E246" s="732">
        <f>'А П 3'!E697:I697</f>
        <v>0</v>
      </c>
      <c r="F246" s="743" t="str">
        <f>'А П 3'!F697:J697</f>
        <v>Средства бюджетов муниципальных образований Московской области</v>
      </c>
      <c r="G246" s="738">
        <f>'А П 3'!G697:K697</f>
        <v>28</v>
      </c>
      <c r="H246" s="739">
        <f>'А П 3'!H697:L697</f>
        <v>28</v>
      </c>
      <c r="I246" s="739">
        <f>'А П 3'!I697:M697</f>
        <v>0</v>
      </c>
      <c r="J246" s="739">
        <f>'А П 3'!J697:N697</f>
        <v>0</v>
      </c>
      <c r="K246" s="739">
        <f>'А П 3'!K697:O697</f>
        <v>0</v>
      </c>
      <c r="L246" s="739">
        <f>'А П 3'!L697:P697</f>
        <v>0</v>
      </c>
      <c r="M246" s="739"/>
      <c r="N246" s="739"/>
      <c r="O246" s="739"/>
      <c r="P246" s="739"/>
      <c r="Q246" s="739"/>
      <c r="R246" s="739"/>
      <c r="S246" s="739"/>
    </row>
    <row r="247" spans="1:19" ht="26.25" hidden="1" customHeight="1" x14ac:dyDescent="0.3">
      <c r="A247" s="732">
        <f>'А П 3'!A698:E698</f>
        <v>0</v>
      </c>
      <c r="B247" s="733" t="str">
        <f>'А П 3'!B698:F698</f>
        <v xml:space="preserve">Капитальный ремонт КНС-105-бис г.о.Краснознаменск </v>
      </c>
      <c r="C247" s="732">
        <f>'А П 3'!C698:G698</f>
        <v>0</v>
      </c>
      <c r="D247" s="732">
        <f>'А П 3'!D698:H698</f>
        <v>0</v>
      </c>
      <c r="E247" s="732">
        <f>'А П 3'!E698:I698</f>
        <v>0</v>
      </c>
      <c r="F247" s="743" t="str">
        <f>'А П 3'!F698:J698</f>
        <v>Итого</v>
      </c>
      <c r="G247" s="738">
        <f>'А П 3'!G698:K698</f>
        <v>10881.69</v>
      </c>
      <c r="H247" s="739">
        <f>'А П 3'!H698:L698</f>
        <v>10881.69</v>
      </c>
      <c r="I247" s="739">
        <f>'А П 3'!I698:M698</f>
        <v>0</v>
      </c>
      <c r="J247" s="739">
        <f>'А П 3'!J698:N698</f>
        <v>0</v>
      </c>
      <c r="K247" s="739">
        <f>'А П 3'!K698:O698</f>
        <v>0</v>
      </c>
      <c r="L247" s="739">
        <f>'А П 3'!L698:P698</f>
        <v>0</v>
      </c>
      <c r="M247" s="739"/>
      <c r="N247" s="739"/>
      <c r="O247" s="739"/>
      <c r="P247" s="739"/>
      <c r="Q247" s="739"/>
      <c r="R247" s="739"/>
      <c r="S247" s="739"/>
    </row>
    <row r="248" spans="1:19" ht="26.25" hidden="1" customHeight="1" x14ac:dyDescent="0.3">
      <c r="A248" s="732">
        <f>'А П 3'!A699:E699</f>
        <v>0</v>
      </c>
      <c r="B248" s="733">
        <f>'А П 3'!B699:F699</f>
        <v>0</v>
      </c>
      <c r="C248" s="732">
        <f>'А П 3'!C699:G699</f>
        <v>0</v>
      </c>
      <c r="D248" s="732">
        <f>'А П 3'!D699:H699</f>
        <v>0</v>
      </c>
      <c r="E248" s="732">
        <f>'А П 3'!E699:I699</f>
        <v>0</v>
      </c>
      <c r="F248" s="743" t="str">
        <f>'А П 3'!F699:J699</f>
        <v>Средства бюджета Московской области</v>
      </c>
      <c r="G248" s="738">
        <f>'А П 3'!G699:K699</f>
        <v>10337.61</v>
      </c>
      <c r="H248" s="739">
        <f>'А П 3'!H699:L699</f>
        <v>10337.61</v>
      </c>
      <c r="I248" s="739">
        <f>'А П 3'!I699:M699</f>
        <v>0</v>
      </c>
      <c r="J248" s="739">
        <f>'А П 3'!J699:N699</f>
        <v>0</v>
      </c>
      <c r="K248" s="739">
        <f>'А П 3'!K699:O699</f>
        <v>0</v>
      </c>
      <c r="L248" s="739">
        <f>'А П 3'!L699:P699</f>
        <v>0</v>
      </c>
      <c r="M248" s="739"/>
      <c r="N248" s="739"/>
      <c r="O248" s="739"/>
      <c r="P248" s="739"/>
      <c r="Q248" s="739"/>
      <c r="R248" s="739"/>
      <c r="S248" s="739"/>
    </row>
    <row r="249" spans="1:19" ht="26.25" hidden="1" customHeight="1" x14ac:dyDescent="0.3">
      <c r="A249" s="732">
        <f>'А П 3'!A700:E700</f>
        <v>0</v>
      </c>
      <c r="B249" s="733">
        <f>'А П 3'!B700:F700</f>
        <v>0</v>
      </c>
      <c r="C249" s="732">
        <f>'А П 3'!C700:G700</f>
        <v>0</v>
      </c>
      <c r="D249" s="732">
        <f>'А П 3'!D700:H700</f>
        <v>0</v>
      </c>
      <c r="E249" s="732">
        <f>'А П 3'!E700:I700</f>
        <v>0</v>
      </c>
      <c r="F249" s="743" t="str">
        <f>'А П 3'!F700:J700</f>
        <v>Средства бюджетов муниципальных образований Московской области</v>
      </c>
      <c r="G249" s="738">
        <f>'А П 3'!G700:K700</f>
        <v>544.08000000000004</v>
      </c>
      <c r="H249" s="739">
        <f>'А П 3'!H700:L700</f>
        <v>544.08000000000004</v>
      </c>
      <c r="I249" s="739">
        <f>'А П 3'!I700:M700</f>
        <v>0</v>
      </c>
      <c r="J249" s="739">
        <f>'А П 3'!J700:N700</f>
        <v>0</v>
      </c>
      <c r="K249" s="739">
        <f>'А П 3'!K700:O700</f>
        <v>0</v>
      </c>
      <c r="L249" s="739">
        <f>'А П 3'!L700:P700</f>
        <v>0</v>
      </c>
      <c r="M249" s="739"/>
      <c r="N249" s="739"/>
      <c r="O249" s="739"/>
      <c r="P249" s="739"/>
      <c r="Q249" s="739"/>
      <c r="R249" s="739"/>
      <c r="S249" s="739"/>
    </row>
    <row r="250" spans="1:19" ht="26.25" hidden="1" customHeight="1" x14ac:dyDescent="0.3">
      <c r="A250" s="732">
        <f>'А П 3'!A701:E701</f>
        <v>0</v>
      </c>
      <c r="B250" s="733" t="str">
        <f>'А П 3'!B701:F701</f>
        <v xml:space="preserve"> Капитальный ремонт ВНС 3-го подъема в здании ЦТП-15 г.о.Краснознаменск </v>
      </c>
      <c r="C250" s="732">
        <f>'А П 3'!C701:G701</f>
        <v>0</v>
      </c>
      <c r="D250" s="732">
        <f>'А П 3'!D701:H701</f>
        <v>0</v>
      </c>
      <c r="E250" s="732">
        <f>'А П 3'!E701:I701</f>
        <v>0</v>
      </c>
      <c r="F250" s="743" t="str">
        <f>'А П 3'!F701:J701</f>
        <v>Итого</v>
      </c>
      <c r="G250" s="738">
        <f>'А П 3'!G701:K701</f>
        <v>2405</v>
      </c>
      <c r="H250" s="739">
        <f>'А П 3'!H701:L701</f>
        <v>2405</v>
      </c>
      <c r="I250" s="739">
        <f>'А П 3'!I701:M701</f>
        <v>0</v>
      </c>
      <c r="J250" s="739">
        <f>'А П 3'!J701:N701</f>
        <v>0</v>
      </c>
      <c r="K250" s="739">
        <f>'А П 3'!K701:O701</f>
        <v>0</v>
      </c>
      <c r="L250" s="739">
        <f>'А П 3'!L701:P701</f>
        <v>0</v>
      </c>
      <c r="M250" s="739"/>
      <c r="N250" s="739"/>
      <c r="O250" s="739"/>
      <c r="P250" s="739"/>
      <c r="Q250" s="739"/>
      <c r="R250" s="739"/>
      <c r="S250" s="739"/>
    </row>
    <row r="251" spans="1:19" ht="26.25" hidden="1" customHeight="1" x14ac:dyDescent="0.3">
      <c r="A251" s="732">
        <f>'А П 3'!A702:E702</f>
        <v>0</v>
      </c>
      <c r="B251" s="733">
        <f>'А П 3'!B702:F702</f>
        <v>0</v>
      </c>
      <c r="C251" s="732">
        <f>'А П 3'!C702:G702</f>
        <v>0</v>
      </c>
      <c r="D251" s="732">
        <f>'А П 3'!D702:H702</f>
        <v>0</v>
      </c>
      <c r="E251" s="732">
        <f>'А П 3'!E702:I702</f>
        <v>0</v>
      </c>
      <c r="F251" s="743" t="str">
        <f>'А П 3'!F702:J702</f>
        <v>Средства бюджета Московской области</v>
      </c>
      <c r="G251" s="738">
        <f>'А П 3'!G702:K702</f>
        <v>2284.75</v>
      </c>
      <c r="H251" s="739">
        <f>'А П 3'!H702:L702</f>
        <v>2284.75</v>
      </c>
      <c r="I251" s="739">
        <f>'А П 3'!I702:M702</f>
        <v>0</v>
      </c>
      <c r="J251" s="739">
        <f>'А П 3'!J702:N702</f>
        <v>0</v>
      </c>
      <c r="K251" s="739">
        <f>'А П 3'!K702:O702</f>
        <v>0</v>
      </c>
      <c r="L251" s="739">
        <f>'А П 3'!L702:P702</f>
        <v>0</v>
      </c>
      <c r="M251" s="739"/>
      <c r="N251" s="739"/>
      <c r="O251" s="739"/>
      <c r="P251" s="739"/>
      <c r="Q251" s="739"/>
      <c r="R251" s="739"/>
      <c r="S251" s="739"/>
    </row>
    <row r="252" spans="1:19" ht="26.25" hidden="1" customHeight="1" x14ac:dyDescent="0.3">
      <c r="A252" s="732">
        <f>'А П 3'!A703:E703</f>
        <v>0</v>
      </c>
      <c r="B252" s="733">
        <f>'А П 3'!B703:F703</f>
        <v>0</v>
      </c>
      <c r="C252" s="732">
        <f>'А П 3'!C703:G703</f>
        <v>0</v>
      </c>
      <c r="D252" s="732">
        <f>'А П 3'!D703:H703</f>
        <v>0</v>
      </c>
      <c r="E252" s="732">
        <f>'А П 3'!E703:I703</f>
        <v>0</v>
      </c>
      <c r="F252" s="743" t="str">
        <f>'А П 3'!F703:J703</f>
        <v>Средства бюджетов муниципальных образований Московской области</v>
      </c>
      <c r="G252" s="738">
        <f>'А П 3'!G703:K703</f>
        <v>120.25</v>
      </c>
      <c r="H252" s="739">
        <f>'А П 3'!H703:L703</f>
        <v>120.25</v>
      </c>
      <c r="I252" s="739">
        <f>'А П 3'!I703:M703</f>
        <v>0</v>
      </c>
      <c r="J252" s="739">
        <f>'А П 3'!J703:N703</f>
        <v>0</v>
      </c>
      <c r="K252" s="739">
        <f>'А П 3'!K703:O703</f>
        <v>0</v>
      </c>
      <c r="L252" s="739">
        <f>'А П 3'!L703:P703</f>
        <v>0</v>
      </c>
      <c r="M252" s="739"/>
      <c r="N252" s="739"/>
      <c r="O252" s="739"/>
      <c r="P252" s="739"/>
      <c r="Q252" s="739"/>
      <c r="R252" s="739"/>
      <c r="S252" s="739"/>
    </row>
    <row r="253" spans="1:19" s="750" customFormat="1" ht="26.25" customHeight="1" x14ac:dyDescent="0.3">
      <c r="A253" s="745" t="str">
        <f>'А П 3'!A704:E704</f>
        <v>3.1.1.8</v>
      </c>
      <c r="B253" s="746" t="str">
        <f>'А П 3'!B704:F704</f>
        <v>городское поселение Некрасовский Дмитровского муниципального района</v>
      </c>
      <c r="C253" s="745">
        <f>'А П 3'!C704:G704</f>
        <v>0</v>
      </c>
      <c r="D253" s="745">
        <f>'А П 3'!D704:H704</f>
        <v>0</v>
      </c>
      <c r="E253" s="745">
        <f>'А П 3'!E704:I704</f>
        <v>0</v>
      </c>
      <c r="F253" s="747" t="str">
        <f>'А П 3'!F704:J704</f>
        <v>Итого</v>
      </c>
      <c r="G253" s="748">
        <f>'А П 3'!G704:K704</f>
        <v>6685.42</v>
      </c>
      <c r="H253" s="749">
        <f>'А П 3'!H704:L704</f>
        <v>6685.42</v>
      </c>
      <c r="I253" s="749">
        <f>'А П 3'!I704:M704</f>
        <v>0</v>
      </c>
      <c r="J253" s="749">
        <f>'А П 3'!J704:N704</f>
        <v>0</v>
      </c>
      <c r="K253" s="749">
        <f>'А П 3'!K704:O704</f>
        <v>0</v>
      </c>
      <c r="L253" s="749">
        <f>'А П 3'!L704:P704</f>
        <v>0</v>
      </c>
      <c r="M253" s="749"/>
      <c r="N253" s="749"/>
      <c r="O253" s="749"/>
      <c r="P253" s="749"/>
      <c r="Q253" s="749"/>
      <c r="R253" s="749"/>
      <c r="S253" s="749"/>
    </row>
    <row r="254" spans="1:19" ht="26.25" customHeight="1" x14ac:dyDescent="0.3">
      <c r="A254" s="732">
        <f>'А П 3'!A705:E705</f>
        <v>0</v>
      </c>
      <c r="B254" s="733"/>
      <c r="C254" s="732">
        <f>'А П 3'!C705:G705</f>
        <v>0</v>
      </c>
      <c r="D254" s="732">
        <f>'А П 3'!D705:H705</f>
        <v>0</v>
      </c>
      <c r="E254" s="732">
        <f>'А П 3'!E705:I705</f>
        <v>0</v>
      </c>
      <c r="F254" s="743" t="str">
        <f>'А П 3'!F705:J705</f>
        <v>Средства бюджета Московской области</v>
      </c>
      <c r="G254" s="738">
        <f>'А П 3'!G705:K705</f>
        <v>6351.15</v>
      </c>
      <c r="H254" s="739">
        <f>'А П 3'!H705:L705</f>
        <v>6351.15</v>
      </c>
      <c r="I254" s="739">
        <f>'А П 3'!I705:M705</f>
        <v>0</v>
      </c>
      <c r="J254" s="739">
        <f>'А П 3'!J705:N705</f>
        <v>0</v>
      </c>
      <c r="K254" s="739">
        <f>'А П 3'!K705:O705</f>
        <v>0</v>
      </c>
      <c r="L254" s="739">
        <f>'А П 3'!L705:P705</f>
        <v>0</v>
      </c>
      <c r="M254" s="739"/>
      <c r="N254" s="739"/>
      <c r="O254" s="739"/>
      <c r="P254" s="739"/>
      <c r="Q254" s="739"/>
      <c r="R254" s="739"/>
      <c r="S254" s="739"/>
    </row>
    <row r="255" spans="1:19" ht="26.25" customHeight="1" x14ac:dyDescent="0.3">
      <c r="A255" s="732">
        <f>'А П 3'!A706:E706</f>
        <v>0</v>
      </c>
      <c r="B255" s="733"/>
      <c r="C255" s="732">
        <f>'А П 3'!C706:G706</f>
        <v>0</v>
      </c>
      <c r="D255" s="732">
        <f>'А П 3'!D706:H706</f>
        <v>0</v>
      </c>
      <c r="E255" s="732">
        <f>'А П 3'!E706:I706</f>
        <v>0</v>
      </c>
      <c r="F255" s="743" t="str">
        <f>'А П 3'!F706:J706</f>
        <v>Средства бюджетов муниципальных образований Московской области</v>
      </c>
      <c r="G255" s="738">
        <f>'А П 3'!G706:K706</f>
        <v>334.27</v>
      </c>
      <c r="H255" s="739">
        <f>'А П 3'!H706:L706</f>
        <v>334.27</v>
      </c>
      <c r="I255" s="739">
        <f>'А П 3'!I706:M706</f>
        <v>0</v>
      </c>
      <c r="J255" s="739">
        <f>'А П 3'!J706:N706</f>
        <v>0</v>
      </c>
      <c r="K255" s="739">
        <f>'А П 3'!K706:O706</f>
        <v>0</v>
      </c>
      <c r="L255" s="739">
        <f>'А П 3'!L706:P706</f>
        <v>0</v>
      </c>
      <c r="M255" s="739"/>
      <c r="N255" s="739"/>
      <c r="O255" s="739"/>
      <c r="P255" s="739"/>
      <c r="Q255" s="739"/>
      <c r="R255" s="739"/>
      <c r="S255" s="739"/>
    </row>
    <row r="256" spans="1:19" ht="26.25" hidden="1" customHeight="1" x14ac:dyDescent="0.3">
      <c r="A256" s="732">
        <f>'А П 3'!A707:E707</f>
        <v>0</v>
      </c>
      <c r="B256" s="733" t="str">
        <f>'А П 3'!B707:F707</f>
        <v xml:space="preserve">Приобритение оборудования для  котельной № 17 в/г 3 27 г.п. Некрасовский мкр. Некрасовский Дмитровский м.р. </v>
      </c>
      <c r="C256" s="732">
        <f>'А П 3'!C707:G707</f>
        <v>0</v>
      </c>
      <c r="D256" s="732">
        <f>'А П 3'!D707:H707</f>
        <v>0</v>
      </c>
      <c r="E256" s="732">
        <f>'А П 3'!E707:I707</f>
        <v>0</v>
      </c>
      <c r="F256" s="743" t="str">
        <f>'А П 3'!F707:J707</f>
        <v>Итого</v>
      </c>
      <c r="G256" s="738">
        <f>'А П 3'!G707:K707</f>
        <v>6685.42</v>
      </c>
      <c r="H256" s="739">
        <f>'А П 3'!H707:L707</f>
        <v>6685.42</v>
      </c>
      <c r="I256" s="739">
        <f>'А П 3'!I707:M707</f>
        <v>0</v>
      </c>
      <c r="J256" s="739">
        <f>'А П 3'!J707:N707</f>
        <v>0</v>
      </c>
      <c r="K256" s="739">
        <f>'А П 3'!K707:O707</f>
        <v>0</v>
      </c>
      <c r="L256" s="739">
        <f>'А П 3'!L707:P707</f>
        <v>0</v>
      </c>
      <c r="M256" s="739"/>
      <c r="N256" s="739"/>
      <c r="O256" s="739"/>
      <c r="P256" s="739"/>
      <c r="Q256" s="739"/>
      <c r="R256" s="739"/>
      <c r="S256" s="739"/>
    </row>
    <row r="257" spans="1:19" ht="26.25" hidden="1" customHeight="1" x14ac:dyDescent="0.3">
      <c r="A257" s="732">
        <f>'А П 3'!A708:E708</f>
        <v>0</v>
      </c>
      <c r="B257" s="733">
        <f>'А П 3'!B708:F708</f>
        <v>0</v>
      </c>
      <c r="C257" s="732">
        <f>'А П 3'!C708:G708</f>
        <v>0</v>
      </c>
      <c r="D257" s="732">
        <f>'А П 3'!D708:H708</f>
        <v>0</v>
      </c>
      <c r="E257" s="732">
        <f>'А П 3'!E708:I708</f>
        <v>0</v>
      </c>
      <c r="F257" s="743" t="str">
        <f>'А П 3'!F708:J708</f>
        <v>Средства бюджета Московской области</v>
      </c>
      <c r="G257" s="738">
        <f>'А П 3'!G708:K708</f>
        <v>6351.15</v>
      </c>
      <c r="H257" s="739">
        <f>'А П 3'!H708:L708</f>
        <v>6351.15</v>
      </c>
      <c r="I257" s="739">
        <f>'А П 3'!I708:M708</f>
        <v>0</v>
      </c>
      <c r="J257" s="739">
        <f>'А П 3'!J708:N708</f>
        <v>0</v>
      </c>
      <c r="K257" s="739">
        <f>'А П 3'!K708:O708</f>
        <v>0</v>
      </c>
      <c r="L257" s="739">
        <f>'А П 3'!L708:P708</f>
        <v>0</v>
      </c>
      <c r="M257" s="739"/>
      <c r="N257" s="739"/>
      <c r="O257" s="739"/>
      <c r="P257" s="739"/>
      <c r="Q257" s="739"/>
      <c r="R257" s="739"/>
      <c r="S257" s="739"/>
    </row>
    <row r="258" spans="1:19" ht="26.25" hidden="1" customHeight="1" x14ac:dyDescent="0.3">
      <c r="A258" s="732">
        <f>'А П 3'!A709:E709</f>
        <v>0</v>
      </c>
      <c r="B258" s="733">
        <f>'А П 3'!B709:F709</f>
        <v>0</v>
      </c>
      <c r="C258" s="732">
        <f>'А П 3'!C709:G709</f>
        <v>0</v>
      </c>
      <c r="D258" s="732">
        <f>'А П 3'!D709:H709</f>
        <v>0</v>
      </c>
      <c r="E258" s="732">
        <f>'А П 3'!E709:I709</f>
        <v>0</v>
      </c>
      <c r="F258" s="743" t="str">
        <f>'А П 3'!F709:J709</f>
        <v>Средства бюджетов муниципальных образований Московской области</v>
      </c>
      <c r="G258" s="738">
        <f>'А П 3'!G709:K709</f>
        <v>334.27</v>
      </c>
      <c r="H258" s="739">
        <f>'А П 3'!H709:L709</f>
        <v>334.27</v>
      </c>
      <c r="I258" s="739">
        <f>'А П 3'!I709:M709</f>
        <v>0</v>
      </c>
      <c r="J258" s="739">
        <f>'А П 3'!J709:N709</f>
        <v>0</v>
      </c>
      <c r="K258" s="739">
        <f>'А П 3'!K709:O709</f>
        <v>0</v>
      </c>
      <c r="L258" s="739">
        <f>'А П 3'!L709:P709</f>
        <v>0</v>
      </c>
      <c r="M258" s="739"/>
      <c r="N258" s="739"/>
      <c r="O258" s="739"/>
      <c r="P258" s="739"/>
      <c r="Q258" s="739"/>
      <c r="R258" s="739"/>
      <c r="S258" s="739"/>
    </row>
    <row r="259" spans="1:19" s="750" customFormat="1" ht="26.25" customHeight="1" x14ac:dyDescent="0.3">
      <c r="A259" s="745" t="str">
        <f>'А П 3'!A710:E710</f>
        <v>3.1.1.10</v>
      </c>
      <c r="B259" s="746" t="str">
        <f>'А П 3'!B710:F710</f>
        <v>городской округ Чехов</v>
      </c>
      <c r="C259" s="745">
        <f>'А П 3'!C710:G710</f>
        <v>0</v>
      </c>
      <c r="D259" s="745">
        <f>'А П 3'!D710:H710</f>
        <v>0</v>
      </c>
      <c r="E259" s="745">
        <f>'А П 3'!E710:I710</f>
        <v>0</v>
      </c>
      <c r="F259" s="747" t="str">
        <f>'А П 3'!F710:J710</f>
        <v>Итого</v>
      </c>
      <c r="G259" s="748">
        <f>'А П 3'!G710:K710</f>
        <v>14951.33</v>
      </c>
      <c r="H259" s="749">
        <f>'А П 3'!H710:L710</f>
        <v>14951.33</v>
      </c>
      <c r="I259" s="749">
        <f>'А П 3'!I710:M710</f>
        <v>0</v>
      </c>
      <c r="J259" s="749">
        <f>'А П 3'!J710:N710</f>
        <v>0</v>
      </c>
      <c r="K259" s="749">
        <f>'А П 3'!K710:O710</f>
        <v>0</v>
      </c>
      <c r="L259" s="749">
        <f>'А П 3'!L710:P710</f>
        <v>0</v>
      </c>
      <c r="M259" s="749"/>
      <c r="N259" s="749"/>
      <c r="O259" s="749"/>
      <c r="P259" s="749"/>
      <c r="Q259" s="749"/>
      <c r="R259" s="749"/>
      <c r="S259" s="749"/>
    </row>
    <row r="260" spans="1:19" ht="26.25" customHeight="1" x14ac:dyDescent="0.3">
      <c r="A260" s="732">
        <f>'А П 3'!A711:E711</f>
        <v>0</v>
      </c>
      <c r="B260" s="733"/>
      <c r="C260" s="732">
        <f>'А П 3'!C711:G711</f>
        <v>0</v>
      </c>
      <c r="D260" s="732">
        <f>'А П 3'!D711:H711</f>
        <v>0</v>
      </c>
      <c r="E260" s="732">
        <f>'А П 3'!E711:I711</f>
        <v>0</v>
      </c>
      <c r="F260" s="743" t="str">
        <f>'А П 3'!F711:J711</f>
        <v>Средства бюджета Московской области</v>
      </c>
      <c r="G260" s="738">
        <f>'А П 3'!G711:K711</f>
        <v>14203.76</v>
      </c>
      <c r="H260" s="739">
        <f>'А П 3'!H711:L711</f>
        <v>14203.76</v>
      </c>
      <c r="I260" s="739">
        <f>'А П 3'!I711:M711</f>
        <v>0</v>
      </c>
      <c r="J260" s="739">
        <f>'А П 3'!J711:N711</f>
        <v>0</v>
      </c>
      <c r="K260" s="739">
        <f>'А П 3'!K711:O711</f>
        <v>0</v>
      </c>
      <c r="L260" s="739">
        <f>'А П 3'!L711:P711</f>
        <v>0</v>
      </c>
      <c r="M260" s="739"/>
      <c r="N260" s="739"/>
      <c r="O260" s="739"/>
      <c r="P260" s="739"/>
      <c r="Q260" s="739"/>
      <c r="R260" s="739"/>
      <c r="S260" s="739"/>
    </row>
    <row r="261" spans="1:19" ht="26.25" customHeight="1" x14ac:dyDescent="0.3">
      <c r="A261" s="732">
        <f>'А П 3'!A712:E712</f>
        <v>0</v>
      </c>
      <c r="B261" s="733"/>
      <c r="C261" s="732">
        <f>'А П 3'!C712:G712</f>
        <v>0</v>
      </c>
      <c r="D261" s="732">
        <f>'А П 3'!D712:H712</f>
        <v>0</v>
      </c>
      <c r="E261" s="732">
        <f>'А П 3'!E712:I712</f>
        <v>0</v>
      </c>
      <c r="F261" s="743" t="str">
        <f>'А П 3'!F712:J712</f>
        <v>Средства бюджетов муниципальных образований Московской области</v>
      </c>
      <c r="G261" s="738">
        <f>'А П 3'!G712:K712</f>
        <v>747.57</v>
      </c>
      <c r="H261" s="739">
        <f>'А П 3'!H712:L712</f>
        <v>747.57</v>
      </c>
      <c r="I261" s="739">
        <f>'А П 3'!I712:M712</f>
        <v>0</v>
      </c>
      <c r="J261" s="739">
        <f>'А П 3'!J712:N712</f>
        <v>0</v>
      </c>
      <c r="K261" s="739">
        <f>'А П 3'!K712:O712</f>
        <v>0</v>
      </c>
      <c r="L261" s="739">
        <f>'А П 3'!L712:P712</f>
        <v>0</v>
      </c>
      <c r="M261" s="739"/>
      <c r="N261" s="739"/>
      <c r="O261" s="739"/>
      <c r="P261" s="739"/>
      <c r="Q261" s="739"/>
      <c r="R261" s="739"/>
      <c r="S261" s="739"/>
    </row>
    <row r="262" spans="1:19" ht="26.25" hidden="1" customHeight="1" x14ac:dyDescent="0.3">
      <c r="A262" s="732">
        <f>'А П 3'!A713:E713</f>
        <v>0</v>
      </c>
      <c r="B262" s="733" t="str">
        <f>'А П 3'!B713:F713</f>
        <v>Капитальный ремонт котельной № 6 (допработы) военный городок № 18, п. Чернецкое, г. Чехов -7, ул. Победы г.о. Чехов</v>
      </c>
      <c r="C262" s="732">
        <f>'А П 3'!C713:G713</f>
        <v>0</v>
      </c>
      <c r="D262" s="732">
        <f>'А П 3'!D713:H713</f>
        <v>0</v>
      </c>
      <c r="E262" s="732">
        <f>'А П 3'!E713:I713</f>
        <v>0</v>
      </c>
      <c r="F262" s="743" t="str">
        <f>'А П 3'!F713:J713</f>
        <v>Итого</v>
      </c>
      <c r="G262" s="738">
        <f>'А П 3'!G713:K713</f>
        <v>3209.91</v>
      </c>
      <c r="H262" s="739">
        <f>'А П 3'!H713:L713</f>
        <v>3209.91</v>
      </c>
      <c r="I262" s="739">
        <f>'А П 3'!I713:M713</f>
        <v>0</v>
      </c>
      <c r="J262" s="739">
        <f>'А П 3'!J713:N713</f>
        <v>0</v>
      </c>
      <c r="K262" s="739">
        <f>'А П 3'!K713:O713</f>
        <v>0</v>
      </c>
      <c r="L262" s="739">
        <f>'А П 3'!L713:P713</f>
        <v>0</v>
      </c>
      <c r="M262" s="739"/>
      <c r="N262" s="739"/>
      <c r="O262" s="739"/>
      <c r="P262" s="739"/>
      <c r="Q262" s="739"/>
      <c r="R262" s="739"/>
      <c r="S262" s="739"/>
    </row>
    <row r="263" spans="1:19" ht="26.25" hidden="1" customHeight="1" x14ac:dyDescent="0.3">
      <c r="A263" s="732">
        <f>'А П 3'!A714:E714</f>
        <v>0</v>
      </c>
      <c r="B263" s="733">
        <f>'А П 3'!B714:F714</f>
        <v>0</v>
      </c>
      <c r="C263" s="732">
        <f>'А П 3'!C714:G714</f>
        <v>0</v>
      </c>
      <c r="D263" s="732">
        <f>'А П 3'!D714:H714</f>
        <v>0</v>
      </c>
      <c r="E263" s="732">
        <f>'А П 3'!E714:I714</f>
        <v>0</v>
      </c>
      <c r="F263" s="743" t="str">
        <f>'А П 3'!F714:J714</f>
        <v>Средства бюджета Московской области</v>
      </c>
      <c r="G263" s="738">
        <f>'А П 3'!G714:K714</f>
        <v>3049.41</v>
      </c>
      <c r="H263" s="739">
        <f>'А П 3'!H714:L714</f>
        <v>3049.41</v>
      </c>
      <c r="I263" s="739">
        <f>'А П 3'!I714:M714</f>
        <v>0</v>
      </c>
      <c r="J263" s="739">
        <f>'А П 3'!J714:N714</f>
        <v>0</v>
      </c>
      <c r="K263" s="739">
        <f>'А П 3'!K714:O714</f>
        <v>0</v>
      </c>
      <c r="L263" s="739">
        <f>'А П 3'!L714:P714</f>
        <v>0</v>
      </c>
      <c r="M263" s="739"/>
      <c r="N263" s="739"/>
      <c r="O263" s="739"/>
      <c r="P263" s="739"/>
      <c r="Q263" s="739"/>
      <c r="R263" s="739"/>
      <c r="S263" s="739"/>
    </row>
    <row r="264" spans="1:19" ht="26.25" hidden="1" customHeight="1" x14ac:dyDescent="0.3">
      <c r="A264" s="732">
        <f>'А П 3'!A715:E715</f>
        <v>0</v>
      </c>
      <c r="B264" s="733">
        <f>'А П 3'!B715:F715</f>
        <v>0</v>
      </c>
      <c r="C264" s="732">
        <f>'А П 3'!C715:G715</f>
        <v>0</v>
      </c>
      <c r="D264" s="732">
        <f>'А П 3'!D715:H715</f>
        <v>0</v>
      </c>
      <c r="E264" s="732">
        <f>'А П 3'!E715:I715</f>
        <v>0</v>
      </c>
      <c r="F264" s="743" t="str">
        <f>'А П 3'!F715:J715</f>
        <v>Средства бюджетов муниципальных образований Московской области</v>
      </c>
      <c r="G264" s="738">
        <f>'А П 3'!G715:K715</f>
        <v>160.5</v>
      </c>
      <c r="H264" s="739">
        <f>'А П 3'!H715:L715</f>
        <v>160.5</v>
      </c>
      <c r="I264" s="739">
        <f>'А П 3'!I715:M715</f>
        <v>0</v>
      </c>
      <c r="J264" s="739">
        <f>'А П 3'!J715:N715</f>
        <v>0</v>
      </c>
      <c r="K264" s="739">
        <f>'А П 3'!K715:O715</f>
        <v>0</v>
      </c>
      <c r="L264" s="739">
        <f>'А П 3'!L715:P715</f>
        <v>0</v>
      </c>
      <c r="M264" s="739"/>
      <c r="N264" s="739"/>
      <c r="O264" s="739"/>
      <c r="P264" s="739"/>
      <c r="Q264" s="739"/>
      <c r="R264" s="739"/>
      <c r="S264" s="739"/>
    </row>
    <row r="265" spans="1:19" ht="26.25" hidden="1" customHeight="1" x14ac:dyDescent="0.3">
      <c r="A265" s="732">
        <f>'А П 3'!A716:E716</f>
        <v>0</v>
      </c>
      <c r="B265" s="733" t="str">
        <f>'А П 3'!B716:F716</f>
        <v>Капитальный ремонт котельной № 6 Чеховский м.р. п. Чернецкое (в том числе погашение кредиторской задолженности органов местного самоуправления муниципального образования за работы, выполненные в 2016 г. -  1999,77604 тыс. руб.)</v>
      </c>
      <c r="C265" s="732">
        <f>'А П 3'!C716:G716</f>
        <v>0</v>
      </c>
      <c r="D265" s="732">
        <f>'А П 3'!D716:H716</f>
        <v>0</v>
      </c>
      <c r="E265" s="732">
        <f>'А П 3'!E716:I716</f>
        <v>0</v>
      </c>
      <c r="F265" s="743" t="str">
        <f>'А П 3'!F716:J716</f>
        <v>Итого</v>
      </c>
      <c r="G265" s="738">
        <f>'А П 3'!G716:K716</f>
        <v>11741.42</v>
      </c>
      <c r="H265" s="739">
        <f>'А П 3'!H716:L716</f>
        <v>11741.42</v>
      </c>
      <c r="I265" s="739">
        <f>'А П 3'!I716:M716</f>
        <v>0</v>
      </c>
      <c r="J265" s="739">
        <f>'А П 3'!J716:N716</f>
        <v>0</v>
      </c>
      <c r="K265" s="739">
        <f>'А П 3'!K716:O716</f>
        <v>0</v>
      </c>
      <c r="L265" s="739">
        <f>'А П 3'!L716:P716</f>
        <v>0</v>
      </c>
      <c r="M265" s="739"/>
      <c r="N265" s="739"/>
      <c r="O265" s="739"/>
      <c r="P265" s="739"/>
      <c r="Q265" s="739"/>
      <c r="R265" s="739"/>
      <c r="S265" s="739"/>
    </row>
    <row r="266" spans="1:19" ht="26.25" hidden="1" customHeight="1" x14ac:dyDescent="0.3">
      <c r="A266" s="732">
        <f>'А П 3'!A717:E717</f>
        <v>0</v>
      </c>
      <c r="B266" s="733">
        <f>'А П 3'!B717:F717</f>
        <v>0</v>
      </c>
      <c r="C266" s="732">
        <f>'А П 3'!C717:G717</f>
        <v>0</v>
      </c>
      <c r="D266" s="732">
        <f>'А П 3'!D717:H717</f>
        <v>0</v>
      </c>
      <c r="E266" s="732">
        <f>'А П 3'!E717:I717</f>
        <v>0</v>
      </c>
      <c r="F266" s="743" t="str">
        <f>'А П 3'!F717:J717</f>
        <v>Средства бюджета Московской области</v>
      </c>
      <c r="G266" s="738">
        <f>'А П 3'!G717:K717</f>
        <v>11154.35</v>
      </c>
      <c r="H266" s="739">
        <f>'А П 3'!H717:L717</f>
        <v>11154.35</v>
      </c>
      <c r="I266" s="739">
        <f>'А П 3'!I717:M717</f>
        <v>0</v>
      </c>
      <c r="J266" s="739">
        <f>'А П 3'!J717:N717</f>
        <v>0</v>
      </c>
      <c r="K266" s="739">
        <f>'А П 3'!K717:O717</f>
        <v>0</v>
      </c>
      <c r="L266" s="739">
        <f>'А П 3'!L717:P717</f>
        <v>0</v>
      </c>
      <c r="M266" s="739"/>
      <c r="N266" s="739"/>
      <c r="O266" s="739"/>
      <c r="P266" s="739"/>
      <c r="Q266" s="739"/>
      <c r="R266" s="739"/>
      <c r="S266" s="739"/>
    </row>
    <row r="267" spans="1:19" ht="26.25" hidden="1" customHeight="1" x14ac:dyDescent="0.3">
      <c r="A267" s="732">
        <f>'А П 3'!A718:E718</f>
        <v>0</v>
      </c>
      <c r="B267" s="733">
        <f>'А П 3'!B718:F718</f>
        <v>0</v>
      </c>
      <c r="C267" s="732">
        <f>'А П 3'!C718:G718</f>
        <v>0</v>
      </c>
      <c r="D267" s="732">
        <f>'А П 3'!D718:H718</f>
        <v>0</v>
      </c>
      <c r="E267" s="732">
        <f>'А П 3'!E718:I718</f>
        <v>0</v>
      </c>
      <c r="F267" s="743" t="str">
        <f>'А П 3'!F718:J718</f>
        <v>Средства бюджетов муниципальных образований Московской области</v>
      </c>
      <c r="G267" s="738">
        <f>'А П 3'!G718:K718</f>
        <v>587.07000000000005</v>
      </c>
      <c r="H267" s="739">
        <f>'А П 3'!H718:L718</f>
        <v>587.07000000000005</v>
      </c>
      <c r="I267" s="739">
        <f>'А П 3'!I718:M718</f>
        <v>0</v>
      </c>
      <c r="J267" s="739">
        <f>'А П 3'!J718:N718</f>
        <v>0</v>
      </c>
      <c r="K267" s="739">
        <f>'А П 3'!K718:O718</f>
        <v>0</v>
      </c>
      <c r="L267" s="739">
        <f>'А П 3'!L718:P718</f>
        <v>0</v>
      </c>
      <c r="M267" s="739"/>
      <c r="N267" s="739"/>
      <c r="O267" s="739"/>
      <c r="P267" s="739"/>
      <c r="Q267" s="739"/>
      <c r="R267" s="739"/>
      <c r="S267" s="739"/>
    </row>
    <row r="268" spans="1:19" s="750" customFormat="1" ht="26.25" customHeight="1" x14ac:dyDescent="0.3">
      <c r="A268" s="745" t="str">
        <f>'А П 3'!A719:E719</f>
        <v>1.2.1.5</v>
      </c>
      <c r="B268" s="746" t="str">
        <f>'А П 3'!B719:F719</f>
        <v>городской округ Красногорск</v>
      </c>
      <c r="C268" s="745">
        <f>'А П 3'!C719:G719</f>
        <v>0</v>
      </c>
      <c r="D268" s="745">
        <f>'А П 3'!D719:H719</f>
        <v>0</v>
      </c>
      <c r="E268" s="745">
        <f>'А П 3'!E719:I719</f>
        <v>0</v>
      </c>
      <c r="F268" s="747" t="str">
        <f>'А П 3'!F719:J719</f>
        <v>Итого</v>
      </c>
      <c r="G268" s="748">
        <f>'А П 3'!G719:K719</f>
        <v>0</v>
      </c>
      <c r="H268" s="749">
        <f>'А П 3'!H719:L719</f>
        <v>0</v>
      </c>
      <c r="I268" s="749">
        <f>'А П 3'!I719:M719</f>
        <v>0</v>
      </c>
      <c r="J268" s="749">
        <f>'А П 3'!J719:N719</f>
        <v>0</v>
      </c>
      <c r="K268" s="749">
        <f>'А П 3'!K719:O719</f>
        <v>0</v>
      </c>
      <c r="L268" s="749">
        <f>'А П 3'!L719:P719</f>
        <v>0</v>
      </c>
      <c r="M268" s="749"/>
      <c r="N268" s="749"/>
      <c r="O268" s="749"/>
      <c r="P268" s="749"/>
      <c r="Q268" s="749"/>
      <c r="R268" s="749"/>
      <c r="S268" s="749"/>
    </row>
    <row r="269" spans="1:19" ht="26.25" customHeight="1" x14ac:dyDescent="0.3">
      <c r="A269" s="732">
        <f>'А П 3'!A720:E720</f>
        <v>0</v>
      </c>
      <c r="B269" s="733"/>
      <c r="C269" s="732">
        <f>'А П 3'!C720:G720</f>
        <v>0</v>
      </c>
      <c r="D269" s="732">
        <f>'А П 3'!D720:H720</f>
        <v>0</v>
      </c>
      <c r="E269" s="732">
        <f>'А П 3'!E720:I720</f>
        <v>0</v>
      </c>
      <c r="F269" s="743" t="str">
        <f>'А П 3'!F720:J720</f>
        <v>Средства бюджета Московской области</v>
      </c>
      <c r="G269" s="738">
        <f>'А П 3'!G720:K720</f>
        <v>0</v>
      </c>
      <c r="H269" s="739">
        <f>'А П 3'!H720:L720</f>
        <v>0</v>
      </c>
      <c r="I269" s="739">
        <f>'А П 3'!I720:M720</f>
        <v>0</v>
      </c>
      <c r="J269" s="739">
        <f>'А П 3'!J720:N720</f>
        <v>0</v>
      </c>
      <c r="K269" s="739">
        <f>'А П 3'!K720:O720</f>
        <v>0</v>
      </c>
      <c r="L269" s="739">
        <f>'А П 3'!L720:P720</f>
        <v>0</v>
      </c>
      <c r="M269" s="739"/>
      <c r="N269" s="739"/>
      <c r="O269" s="739"/>
      <c r="P269" s="739"/>
      <c r="Q269" s="739"/>
      <c r="R269" s="739"/>
      <c r="S269" s="739"/>
    </row>
    <row r="270" spans="1:19" ht="26.25" customHeight="1" x14ac:dyDescent="0.3">
      <c r="A270" s="732">
        <f>'А П 3'!A721:E721</f>
        <v>0</v>
      </c>
      <c r="B270" s="733"/>
      <c r="C270" s="732">
        <f>'А П 3'!C721:G721</f>
        <v>0</v>
      </c>
      <c r="D270" s="732">
        <f>'А П 3'!D721:H721</f>
        <v>0</v>
      </c>
      <c r="E270" s="732">
        <f>'А П 3'!E721:I721</f>
        <v>0</v>
      </c>
      <c r="F270" s="743" t="str">
        <f>'А П 3'!F721:J721</f>
        <v>Средства бюджетов муниципальных образований Московской области</v>
      </c>
      <c r="G270" s="738">
        <f>'А П 3'!G721:K721</f>
        <v>0</v>
      </c>
      <c r="H270" s="739">
        <f>'А П 3'!H721:L721</f>
        <v>0</v>
      </c>
      <c r="I270" s="739">
        <f>'А П 3'!I721:M721</f>
        <v>0</v>
      </c>
      <c r="J270" s="739">
        <f>'А П 3'!J721:N721</f>
        <v>0</v>
      </c>
      <c r="K270" s="739">
        <f>'А П 3'!K721:O721</f>
        <v>0</v>
      </c>
      <c r="L270" s="739">
        <f>'А П 3'!L721:P721</f>
        <v>0</v>
      </c>
      <c r="M270" s="739"/>
      <c r="N270" s="739"/>
      <c r="O270" s="739"/>
      <c r="P270" s="739"/>
      <c r="Q270" s="739"/>
      <c r="R270" s="739"/>
      <c r="S270" s="739"/>
    </row>
    <row r="271" spans="1:19" ht="26.25" hidden="1" customHeight="1" x14ac:dyDescent="0.3">
      <c r="A271" s="732">
        <f>'А П 3'!A722:E722</f>
        <v>0</v>
      </c>
      <c r="B271" s="733" t="str">
        <f>'А П 3'!B722:F722</f>
        <v xml:space="preserve">Капитальный ремонт сетей ХВС п. Архангельское </v>
      </c>
      <c r="C271" s="732">
        <f>'А П 3'!C722:G722</f>
        <v>0</v>
      </c>
      <c r="D271" s="732">
        <f>'А П 3'!D722:H722</f>
        <v>0</v>
      </c>
      <c r="E271" s="732">
        <f>'А П 3'!E722:I722</f>
        <v>0</v>
      </c>
      <c r="F271" s="743" t="str">
        <f>'А П 3'!F722:J722</f>
        <v>Итого</v>
      </c>
      <c r="G271" s="738">
        <f>'А П 3'!G722:K722</f>
        <v>0</v>
      </c>
      <c r="H271" s="739">
        <f>'А П 3'!H722:L722</f>
        <v>0</v>
      </c>
      <c r="I271" s="739">
        <f>'А П 3'!I722:M722</f>
        <v>0</v>
      </c>
      <c r="J271" s="739">
        <f>'А П 3'!J722:N722</f>
        <v>0</v>
      </c>
      <c r="K271" s="739">
        <f>'А П 3'!K722:O722</f>
        <v>0</v>
      </c>
      <c r="L271" s="739">
        <f>'А П 3'!L722:P722</f>
        <v>0</v>
      </c>
      <c r="M271" s="739"/>
      <c r="N271" s="739"/>
      <c r="O271" s="739"/>
      <c r="P271" s="739"/>
      <c r="Q271" s="739"/>
      <c r="R271" s="739"/>
      <c r="S271" s="739"/>
    </row>
    <row r="272" spans="1:19" ht="26.25" hidden="1" customHeight="1" x14ac:dyDescent="0.3">
      <c r="A272" s="732">
        <f>'А П 3'!A723:E723</f>
        <v>0</v>
      </c>
      <c r="B272" s="733">
        <f>'А П 3'!B723:F723</f>
        <v>0</v>
      </c>
      <c r="C272" s="732">
        <f>'А П 3'!C723:G723</f>
        <v>0</v>
      </c>
      <c r="D272" s="732">
        <f>'А П 3'!D723:H723</f>
        <v>0</v>
      </c>
      <c r="E272" s="732">
        <f>'А П 3'!E723:I723</f>
        <v>0</v>
      </c>
      <c r="F272" s="743" t="str">
        <f>'А П 3'!F723:J723</f>
        <v>Средства бюджета Московской области</v>
      </c>
      <c r="G272" s="738">
        <f>'А П 3'!G723:K723</f>
        <v>0</v>
      </c>
      <c r="H272" s="739">
        <f>'А П 3'!H723:L723</f>
        <v>0</v>
      </c>
      <c r="I272" s="739">
        <f>'А П 3'!I723:M723</f>
        <v>0</v>
      </c>
      <c r="J272" s="739">
        <f>'А П 3'!J723:N723</f>
        <v>0</v>
      </c>
      <c r="K272" s="739">
        <f>'А П 3'!K723:O723</f>
        <v>0</v>
      </c>
      <c r="L272" s="739">
        <f>'А П 3'!L723:P723</f>
        <v>0</v>
      </c>
      <c r="M272" s="739"/>
      <c r="N272" s="739"/>
      <c r="O272" s="739"/>
      <c r="P272" s="739"/>
      <c r="Q272" s="739"/>
      <c r="R272" s="739"/>
      <c r="S272" s="739"/>
    </row>
    <row r="273" spans="1:19" ht="26.25" hidden="1" customHeight="1" x14ac:dyDescent="0.3">
      <c r="A273" s="732">
        <f>'А П 3'!A724:E724</f>
        <v>0</v>
      </c>
      <c r="B273" s="733">
        <f>'А П 3'!B724:F724</f>
        <v>0</v>
      </c>
      <c r="C273" s="732">
        <f>'А П 3'!C724:G724</f>
        <v>0</v>
      </c>
      <c r="D273" s="732">
        <f>'А П 3'!D724:H724</f>
        <v>0</v>
      </c>
      <c r="E273" s="732">
        <f>'А П 3'!E724:I724</f>
        <v>0</v>
      </c>
      <c r="F273" s="743" t="str">
        <f>'А П 3'!F724:J724</f>
        <v>Средства бюджетов муниципальных образований Московской области</v>
      </c>
      <c r="G273" s="738">
        <f>'А П 3'!G724:K724</f>
        <v>0</v>
      </c>
      <c r="H273" s="739">
        <f>'А П 3'!H724:L724</f>
        <v>0</v>
      </c>
      <c r="I273" s="739">
        <f>'А П 3'!I724:M724</f>
        <v>0</v>
      </c>
      <c r="J273" s="739">
        <f>'А П 3'!J724:N724</f>
        <v>0</v>
      </c>
      <c r="K273" s="739">
        <f>'А П 3'!K724:O724</f>
        <v>0</v>
      </c>
      <c r="L273" s="739">
        <f>'А П 3'!L724:P724</f>
        <v>0</v>
      </c>
      <c r="M273" s="739"/>
      <c r="N273" s="739"/>
      <c r="O273" s="739"/>
      <c r="P273" s="739"/>
      <c r="Q273" s="739"/>
      <c r="R273" s="739"/>
      <c r="S273" s="739"/>
    </row>
    <row r="274" spans="1:19" s="750" customFormat="1" ht="26.25" customHeight="1" x14ac:dyDescent="0.3">
      <c r="A274" s="745" t="str">
        <f>'А П 3'!A725:E725</f>
        <v>1.2.1.8</v>
      </c>
      <c r="B274" s="746" t="str">
        <f>'А П 3'!B725:F725</f>
        <v>Одинцовский муниципальный район</v>
      </c>
      <c r="C274" s="745">
        <f>'А П 3'!C725:G725</f>
        <v>0</v>
      </c>
      <c r="D274" s="745">
        <f>'А П 3'!D725:H725</f>
        <v>0</v>
      </c>
      <c r="E274" s="745">
        <f>'А П 3'!E725:I725</f>
        <v>0</v>
      </c>
      <c r="F274" s="747" t="str">
        <f>'А П 3'!F725:J725</f>
        <v>Итого</v>
      </c>
      <c r="G274" s="748">
        <f>'А П 3'!G725:K725</f>
        <v>4535.76</v>
      </c>
      <c r="H274" s="749">
        <f>'А П 3'!H725:L725</f>
        <v>4535.76</v>
      </c>
      <c r="I274" s="749">
        <f>'А П 3'!I725:M725</f>
        <v>0</v>
      </c>
      <c r="J274" s="749">
        <f>'А П 3'!J725:N725</f>
        <v>0</v>
      </c>
      <c r="K274" s="749">
        <f>'А П 3'!K725:O725</f>
        <v>0</v>
      </c>
      <c r="L274" s="749">
        <f>'А П 3'!L725:P725</f>
        <v>0</v>
      </c>
      <c r="M274" s="749"/>
      <c r="N274" s="749"/>
      <c r="O274" s="749"/>
      <c r="P274" s="749"/>
      <c r="Q274" s="749"/>
      <c r="R274" s="749"/>
      <c r="S274" s="749"/>
    </row>
    <row r="275" spans="1:19" ht="26.25" customHeight="1" x14ac:dyDescent="0.3">
      <c r="A275" s="732">
        <f>'А П 3'!A726:E726</f>
        <v>0</v>
      </c>
      <c r="B275" s="733"/>
      <c r="C275" s="732">
        <f>'А П 3'!C726:G726</f>
        <v>0</v>
      </c>
      <c r="D275" s="732">
        <f>'А П 3'!D726:H726</f>
        <v>0</v>
      </c>
      <c r="E275" s="732">
        <f>'А П 3'!E726:I726</f>
        <v>0</v>
      </c>
      <c r="F275" s="743" t="str">
        <f>'А П 3'!F726:J726</f>
        <v>Средства бюджета Московской области</v>
      </c>
      <c r="G275" s="738">
        <f>'А П 3'!G726:K726</f>
        <v>4535.76</v>
      </c>
      <c r="H275" s="739">
        <f>'А П 3'!H726:L726</f>
        <v>4535.76</v>
      </c>
      <c r="I275" s="739">
        <f>'А П 3'!I726:M726</f>
        <v>0</v>
      </c>
      <c r="J275" s="739">
        <f>'А П 3'!J726:N726</f>
        <v>0</v>
      </c>
      <c r="K275" s="739">
        <f>'А П 3'!K726:O726</f>
        <v>0</v>
      </c>
      <c r="L275" s="739">
        <f>'А П 3'!L726:P726</f>
        <v>0</v>
      </c>
      <c r="M275" s="739"/>
      <c r="N275" s="739"/>
      <c r="O275" s="739"/>
      <c r="P275" s="739"/>
      <c r="Q275" s="739"/>
      <c r="R275" s="739"/>
      <c r="S275" s="739"/>
    </row>
    <row r="276" spans="1:19" ht="26.25" customHeight="1" x14ac:dyDescent="0.3">
      <c r="A276" s="732">
        <f>'А П 3'!A727:E727</f>
        <v>0</v>
      </c>
      <c r="B276" s="733"/>
      <c r="C276" s="732">
        <f>'А П 3'!C727:G727</f>
        <v>0</v>
      </c>
      <c r="D276" s="732">
        <f>'А П 3'!D727:H727</f>
        <v>0</v>
      </c>
      <c r="E276" s="732">
        <f>'А П 3'!E727:I727</f>
        <v>0</v>
      </c>
      <c r="F276" s="743" t="str">
        <f>'А П 3'!F727:J727</f>
        <v>Средства бюджетов муниципальных образований Московской области</v>
      </c>
      <c r="G276" s="738">
        <f>'А П 3'!G727:K727</f>
        <v>0</v>
      </c>
      <c r="H276" s="739">
        <f>'А П 3'!H727:L727</f>
        <v>0</v>
      </c>
      <c r="I276" s="739">
        <f>'А П 3'!I727:M727</f>
        <v>0</v>
      </c>
      <c r="J276" s="739">
        <f>'А П 3'!J727:N727</f>
        <v>0</v>
      </c>
      <c r="K276" s="739">
        <f>'А П 3'!K727:O727</f>
        <v>0</v>
      </c>
      <c r="L276" s="739">
        <f>'А П 3'!L727:P727</f>
        <v>0</v>
      </c>
      <c r="M276" s="739"/>
      <c r="N276" s="739"/>
      <c r="O276" s="739"/>
      <c r="P276" s="739"/>
      <c r="Q276" s="739"/>
      <c r="R276" s="739"/>
      <c r="S276" s="739"/>
    </row>
    <row r="277" spans="1:19" ht="26.25" hidden="1" customHeight="1" x14ac:dyDescent="0.3">
      <c r="A277" s="732">
        <f>'А П 3'!A728:E728</f>
        <v>0</v>
      </c>
      <c r="B277" s="733" t="str">
        <f>'А П 3'!B728:F728</f>
        <v>Капитальный ремонт канализационных сетей п. Новый городк Кубинка -7  Одинцовский м.р. (погашение кредиторской задолженности в сумме 4535,75 т.р.)</v>
      </c>
      <c r="C277" s="732">
        <f>'А П 3'!C728:G728</f>
        <v>0</v>
      </c>
      <c r="D277" s="732">
        <f>'А П 3'!D728:H728</f>
        <v>0</v>
      </c>
      <c r="E277" s="732">
        <f>'А П 3'!E728:I728</f>
        <v>0</v>
      </c>
      <c r="F277" s="743" t="str">
        <f>'А П 3'!F728:J728</f>
        <v>Итого</v>
      </c>
      <c r="G277" s="738">
        <f>'А П 3'!G728:K728</f>
        <v>4535.76</v>
      </c>
      <c r="H277" s="739">
        <f>'А П 3'!H728:L728</f>
        <v>4535.76</v>
      </c>
      <c r="I277" s="739">
        <f>'А П 3'!I728:M728</f>
        <v>0</v>
      </c>
      <c r="J277" s="739">
        <f>'А П 3'!J728:N728</f>
        <v>0</v>
      </c>
      <c r="K277" s="739">
        <f>'А П 3'!K728:O728</f>
        <v>0</v>
      </c>
      <c r="L277" s="739">
        <f>'А П 3'!L728:P728</f>
        <v>0</v>
      </c>
      <c r="M277" s="739"/>
      <c r="N277" s="739"/>
      <c r="O277" s="739"/>
      <c r="P277" s="739"/>
      <c r="Q277" s="739"/>
      <c r="R277" s="739"/>
      <c r="S277" s="739"/>
    </row>
    <row r="278" spans="1:19" ht="26.25" hidden="1" customHeight="1" x14ac:dyDescent="0.3">
      <c r="A278" s="732">
        <f>'А П 3'!A729:E729</f>
        <v>0</v>
      </c>
      <c r="B278" s="733">
        <f>'А П 3'!B729:F729</f>
        <v>0</v>
      </c>
      <c r="C278" s="732">
        <f>'А П 3'!C729:G729</f>
        <v>0</v>
      </c>
      <c r="D278" s="732">
        <f>'А П 3'!D729:H729</f>
        <v>0</v>
      </c>
      <c r="E278" s="732">
        <f>'А П 3'!E729:I729</f>
        <v>0</v>
      </c>
      <c r="F278" s="743" t="str">
        <f>'А П 3'!F729:J729</f>
        <v>Средства бюджета Московской области</v>
      </c>
      <c r="G278" s="738">
        <f>'А П 3'!G729:K729</f>
        <v>4535.76</v>
      </c>
      <c r="H278" s="739">
        <f>'А П 3'!H729:L729</f>
        <v>4535.76</v>
      </c>
      <c r="I278" s="739">
        <f>'А П 3'!I729:M729</f>
        <v>0</v>
      </c>
      <c r="J278" s="739">
        <f>'А П 3'!J729:N729</f>
        <v>0</v>
      </c>
      <c r="K278" s="739">
        <f>'А П 3'!K729:O729</f>
        <v>0</v>
      </c>
      <c r="L278" s="739">
        <f>'А П 3'!L729:P729</f>
        <v>0</v>
      </c>
      <c r="M278" s="739"/>
      <c r="N278" s="739"/>
      <c r="O278" s="739"/>
      <c r="P278" s="739"/>
      <c r="Q278" s="739"/>
      <c r="R278" s="739"/>
      <c r="S278" s="739"/>
    </row>
    <row r="279" spans="1:19" ht="26.25" hidden="1" customHeight="1" x14ac:dyDescent="0.3">
      <c r="A279" s="732">
        <f>'А П 3'!A730:E730</f>
        <v>0</v>
      </c>
      <c r="B279" s="733">
        <f>'А П 3'!B730:F730</f>
        <v>0</v>
      </c>
      <c r="C279" s="732">
        <f>'А П 3'!C730:G730</f>
        <v>0</v>
      </c>
      <c r="D279" s="732">
        <f>'А П 3'!D730:H730</f>
        <v>0</v>
      </c>
      <c r="E279" s="732">
        <f>'А П 3'!E730:I730</f>
        <v>0</v>
      </c>
      <c r="F279" s="743" t="str">
        <f>'А П 3'!F730:J730</f>
        <v>Средства бюджетов муниципальных образований Московской области</v>
      </c>
      <c r="G279" s="738">
        <f>'А П 3'!G730:K730</f>
        <v>0</v>
      </c>
      <c r="H279" s="739">
        <f>'А П 3'!H730:L730</f>
        <v>0</v>
      </c>
      <c r="I279" s="739">
        <f>'А П 3'!I730:M730</f>
        <v>0</v>
      </c>
      <c r="J279" s="739">
        <f>'А П 3'!J730:N730</f>
        <v>0</v>
      </c>
      <c r="K279" s="739">
        <f>'А П 3'!K730:O730</f>
        <v>0</v>
      </c>
      <c r="L279" s="739">
        <f>'А П 3'!L730:P730</f>
        <v>0</v>
      </c>
      <c r="M279" s="739"/>
      <c r="N279" s="739"/>
      <c r="O279" s="739"/>
      <c r="P279" s="739"/>
      <c r="Q279" s="739"/>
      <c r="R279" s="739"/>
      <c r="S279" s="739"/>
    </row>
    <row r="280" spans="1:19" s="750" customFormat="1" ht="26.25" customHeight="1" x14ac:dyDescent="0.3">
      <c r="A280" s="745" t="str">
        <f>'А П 3'!A731:E731</f>
        <v>1.2.1.22</v>
      </c>
      <c r="B280" s="746" t="str">
        <f>'А П 3'!B731:F731</f>
        <v>Сергиево-Посадский муниципальный район</v>
      </c>
      <c r="C280" s="745">
        <f>'А П 3'!C731:G731</f>
        <v>0</v>
      </c>
      <c r="D280" s="745">
        <f>'А П 3'!D731:H731</f>
        <v>0</v>
      </c>
      <c r="E280" s="745">
        <f>'А П 3'!E731:I731</f>
        <v>0</v>
      </c>
      <c r="F280" s="747" t="str">
        <f>'А П 3'!F731:J731</f>
        <v>Итого</v>
      </c>
      <c r="G280" s="748">
        <f>'А П 3'!G731:K731</f>
        <v>2662.17</v>
      </c>
      <c r="H280" s="749">
        <f>'А П 3'!H731:L731</f>
        <v>2662.17</v>
      </c>
      <c r="I280" s="749">
        <f>'А П 3'!I731:M731</f>
        <v>0</v>
      </c>
      <c r="J280" s="749">
        <f>'А П 3'!J731:N731</f>
        <v>0</v>
      </c>
      <c r="K280" s="749">
        <f>'А П 3'!K731:O731</f>
        <v>0</v>
      </c>
      <c r="L280" s="749">
        <f>'А П 3'!L731:P731</f>
        <v>0</v>
      </c>
      <c r="M280" s="749"/>
      <c r="N280" s="749"/>
      <c r="O280" s="749"/>
      <c r="P280" s="749"/>
      <c r="Q280" s="749"/>
      <c r="R280" s="749"/>
      <c r="S280" s="749"/>
    </row>
    <row r="281" spans="1:19" ht="26.25" customHeight="1" x14ac:dyDescent="0.3">
      <c r="A281" s="732">
        <f>'А П 3'!A732:E732</f>
        <v>0</v>
      </c>
      <c r="B281" s="733"/>
      <c r="C281" s="732">
        <f>'А П 3'!C732:G732</f>
        <v>0</v>
      </c>
      <c r="D281" s="732">
        <f>'А П 3'!D732:H732</f>
        <v>0</v>
      </c>
      <c r="E281" s="732">
        <f>'А П 3'!E732:I732</f>
        <v>0</v>
      </c>
      <c r="F281" s="743" t="str">
        <f>'А П 3'!F732:J732</f>
        <v>Средства бюджета Московской области</v>
      </c>
      <c r="G281" s="738">
        <f>'А П 3'!G732:K732</f>
        <v>2529.06</v>
      </c>
      <c r="H281" s="739">
        <f>'А П 3'!H732:L732</f>
        <v>2529.06</v>
      </c>
      <c r="I281" s="739">
        <f>'А П 3'!I732:M732</f>
        <v>0</v>
      </c>
      <c r="J281" s="739">
        <f>'А П 3'!J732:N732</f>
        <v>0</v>
      </c>
      <c r="K281" s="739">
        <f>'А П 3'!K732:O732</f>
        <v>0</v>
      </c>
      <c r="L281" s="739">
        <f>'А П 3'!L732:P732</f>
        <v>0</v>
      </c>
      <c r="M281" s="739"/>
      <c r="N281" s="739"/>
      <c r="O281" s="739"/>
      <c r="P281" s="739"/>
      <c r="Q281" s="739"/>
      <c r="R281" s="739"/>
      <c r="S281" s="739"/>
    </row>
    <row r="282" spans="1:19" ht="26.25" customHeight="1" x14ac:dyDescent="0.3">
      <c r="A282" s="732">
        <f>'А П 3'!A733:E733</f>
        <v>0</v>
      </c>
      <c r="B282" s="733"/>
      <c r="C282" s="732">
        <f>'А П 3'!C733:G733</f>
        <v>0</v>
      </c>
      <c r="D282" s="732">
        <f>'А П 3'!D733:H733</f>
        <v>0</v>
      </c>
      <c r="E282" s="732">
        <f>'А П 3'!E733:I733</f>
        <v>0</v>
      </c>
      <c r="F282" s="743" t="str">
        <f>'А П 3'!F733:J733</f>
        <v>Средства бюджетов муниципальных образований Московской области</v>
      </c>
      <c r="G282" s="738">
        <f>'А П 3'!G733:K733</f>
        <v>133.11000000000001</v>
      </c>
      <c r="H282" s="739">
        <f>'А П 3'!H733:L733</f>
        <v>133.11000000000001</v>
      </c>
      <c r="I282" s="739">
        <f>'А П 3'!I733:M733</f>
        <v>0</v>
      </c>
      <c r="J282" s="739">
        <f>'А П 3'!J733:N733</f>
        <v>0</v>
      </c>
      <c r="K282" s="739">
        <f>'А П 3'!K733:O733</f>
        <v>0</v>
      </c>
      <c r="L282" s="739">
        <f>'А П 3'!L733:P733</f>
        <v>0</v>
      </c>
      <c r="M282" s="739"/>
      <c r="N282" s="739"/>
      <c r="O282" s="739"/>
      <c r="P282" s="739"/>
      <c r="Q282" s="739"/>
      <c r="R282" s="739"/>
      <c r="S282" s="739"/>
    </row>
    <row r="283" spans="1:19" ht="26.25" hidden="1" customHeight="1" x14ac:dyDescent="0.3">
      <c r="A283" s="732">
        <f>'А П 3'!A734:E734</f>
        <v>0</v>
      </c>
      <c r="B283" s="733" t="str">
        <f>'А П 3'!B734:F734</f>
        <v>Капитальный ремонт тепловых сетей в Сергиево-Посадском м.р., с.п. Шеметовское, н.п. Башенка, в/г № 210 (НОВЫЙ ОБЪЕКТ)</v>
      </c>
      <c r="C283" s="732">
        <f>'А П 3'!C734:G734</f>
        <v>0</v>
      </c>
      <c r="D283" s="732">
        <f>'А П 3'!D734:H734</f>
        <v>0</v>
      </c>
      <c r="E283" s="732">
        <f>'А П 3'!E734:I734</f>
        <v>0</v>
      </c>
      <c r="F283" s="743" t="str">
        <f>'А П 3'!F734:J734</f>
        <v>Итого</v>
      </c>
      <c r="G283" s="738">
        <f>'А П 3'!G734:K734</f>
        <v>2662.17</v>
      </c>
      <c r="H283" s="739">
        <f>'А П 3'!H734:L734</f>
        <v>2662.17</v>
      </c>
      <c r="I283" s="739">
        <f>'А П 3'!I734:M734</f>
        <v>0</v>
      </c>
      <c r="J283" s="739">
        <f>'А П 3'!J734:N734</f>
        <v>0</v>
      </c>
      <c r="K283" s="739">
        <f>'А П 3'!K734:O734</f>
        <v>0</v>
      </c>
      <c r="L283" s="739">
        <f>'А П 3'!L734:P734</f>
        <v>0</v>
      </c>
      <c r="M283" s="739"/>
      <c r="N283" s="739"/>
      <c r="O283" s="739"/>
      <c r="P283" s="739"/>
      <c r="Q283" s="739"/>
      <c r="R283" s="739"/>
      <c r="S283" s="739"/>
    </row>
    <row r="284" spans="1:19" ht="26.25" hidden="1" customHeight="1" x14ac:dyDescent="0.3">
      <c r="A284" s="732">
        <f>'А П 3'!A735:E735</f>
        <v>0</v>
      </c>
      <c r="B284" s="733">
        <f>'А П 3'!B735:F735</f>
        <v>0</v>
      </c>
      <c r="C284" s="732">
        <f>'А П 3'!C735:G735</f>
        <v>0</v>
      </c>
      <c r="D284" s="732">
        <f>'А П 3'!D735:H735</f>
        <v>0</v>
      </c>
      <c r="E284" s="732">
        <f>'А П 3'!E735:I735</f>
        <v>0</v>
      </c>
      <c r="F284" s="743" t="str">
        <f>'А П 3'!F735:J735</f>
        <v>Средства бюджета Московской области</v>
      </c>
      <c r="G284" s="738">
        <f>'А П 3'!G735:K735</f>
        <v>2529.06</v>
      </c>
      <c r="H284" s="739">
        <f>'А П 3'!H735:L735</f>
        <v>2529.06</v>
      </c>
      <c r="I284" s="739">
        <f>'А П 3'!I735:M735</f>
        <v>0</v>
      </c>
      <c r="J284" s="739">
        <f>'А П 3'!J735:N735</f>
        <v>0</v>
      </c>
      <c r="K284" s="739">
        <f>'А П 3'!K735:O735</f>
        <v>0</v>
      </c>
      <c r="L284" s="739">
        <f>'А П 3'!L735:P735</f>
        <v>0</v>
      </c>
      <c r="M284" s="739"/>
      <c r="N284" s="739"/>
      <c r="O284" s="739"/>
      <c r="P284" s="739"/>
      <c r="Q284" s="739"/>
      <c r="R284" s="739"/>
      <c r="S284" s="739"/>
    </row>
    <row r="285" spans="1:19" ht="26.25" hidden="1" customHeight="1" x14ac:dyDescent="0.3">
      <c r="A285" s="732">
        <f>'А П 3'!A736:E736</f>
        <v>0</v>
      </c>
      <c r="B285" s="733">
        <f>'А П 3'!B736:F736</f>
        <v>0</v>
      </c>
      <c r="C285" s="732">
        <f>'А П 3'!C736:G736</f>
        <v>0</v>
      </c>
      <c r="D285" s="732">
        <f>'А П 3'!D736:H736</f>
        <v>0</v>
      </c>
      <c r="E285" s="732">
        <f>'А П 3'!E736:I736</f>
        <v>0</v>
      </c>
      <c r="F285" s="743" t="str">
        <f>'А П 3'!F736:J736</f>
        <v>Средства бюджетов муниципальных образований Московской области</v>
      </c>
      <c r="G285" s="738">
        <f>'А П 3'!G736:K736</f>
        <v>133.11000000000001</v>
      </c>
      <c r="H285" s="739">
        <f>'А П 3'!H736:L736</f>
        <v>133.11000000000001</v>
      </c>
      <c r="I285" s="739">
        <f>'А П 3'!I736:M736</f>
        <v>0</v>
      </c>
      <c r="J285" s="739">
        <f>'А П 3'!J736:N736</f>
        <v>0</v>
      </c>
      <c r="K285" s="739">
        <f>'А П 3'!K736:O736</f>
        <v>0</v>
      </c>
      <c r="L285" s="739">
        <f>'А П 3'!L736:P736</f>
        <v>0</v>
      </c>
      <c r="M285" s="739"/>
      <c r="N285" s="739"/>
      <c r="O285" s="739"/>
      <c r="P285" s="739"/>
      <c r="Q285" s="739"/>
      <c r="R285" s="739"/>
      <c r="S285" s="739"/>
    </row>
    <row r="286" spans="1:19" ht="26.25" customHeight="1" x14ac:dyDescent="0.3">
      <c r="A286" s="732">
        <f>'А П 3'!A743:E743</f>
        <v>0</v>
      </c>
      <c r="B286" s="733" t="str">
        <f>'А П 3'!B743:F743</f>
        <v>Нераспределенный остаток</v>
      </c>
      <c r="C286" s="732">
        <f>'А П 3'!C743:G743</f>
        <v>0</v>
      </c>
      <c r="D286" s="732">
        <f>'А П 3'!D743:H743</f>
        <v>0</v>
      </c>
      <c r="E286" s="732">
        <f>'А П 3'!E743:I743</f>
        <v>0</v>
      </c>
      <c r="F286" s="743" t="str">
        <f>'А П 3'!F743:J743</f>
        <v>Средства бюджета Московской области</v>
      </c>
      <c r="G286" s="738">
        <f>'А П 3'!G743:K743</f>
        <v>2.8</v>
      </c>
      <c r="H286" s="739">
        <f>'А П 3'!H743:L743</f>
        <v>1.27</v>
      </c>
      <c r="I286" s="739">
        <f>'А П 3'!I743:M743</f>
        <v>1.53</v>
      </c>
      <c r="J286" s="739">
        <f>'А П 3'!J743:N743</f>
        <v>0</v>
      </c>
      <c r="K286" s="739">
        <f>'А П 3'!K743:O743</f>
        <v>0</v>
      </c>
      <c r="L286" s="739">
        <f>'А П 3'!L743:P743</f>
        <v>0</v>
      </c>
      <c r="M286" s="739"/>
      <c r="N286" s="739"/>
      <c r="O286" s="739"/>
      <c r="P286" s="739"/>
      <c r="Q286" s="739"/>
      <c r="R286" s="739"/>
      <c r="S286" s="739"/>
    </row>
    <row r="287" spans="1:19" s="779" customFormat="1" ht="26.25" customHeight="1" x14ac:dyDescent="0.3">
      <c r="A287" s="782" t="str">
        <f>'А П 3'!A744:E744</f>
        <v>3.1.2</v>
      </c>
      <c r="B287" s="2514" t="str">
        <f>'А П 3'!B744:F744</f>
        <v>Министерство культуры Московской области</v>
      </c>
      <c r="C287" s="782">
        <f>'А П 3'!C744:G744</f>
        <v>0</v>
      </c>
      <c r="D287" s="782">
        <f>'А П 3'!D744:H744</f>
        <v>0</v>
      </c>
      <c r="E287" s="782">
        <f>'А П 3'!E744:I744</f>
        <v>0</v>
      </c>
      <c r="F287" s="783" t="str">
        <f>'А П 3'!F744:J744</f>
        <v>Итого</v>
      </c>
      <c r="G287" s="784">
        <f>'А П 3'!G744:K744</f>
        <v>924263.84</v>
      </c>
      <c r="H287" s="785">
        <f>'А П 3'!H744:L744</f>
        <v>405624.68</v>
      </c>
      <c r="I287" s="785">
        <f>'А П 3'!I744:M744</f>
        <v>299413.87</v>
      </c>
      <c r="J287" s="785">
        <f>'А П 3'!J744:N744</f>
        <v>219225.29</v>
      </c>
      <c r="K287" s="785">
        <f>'А П 3'!K744:O744</f>
        <v>0</v>
      </c>
      <c r="L287" s="785">
        <f>'А П 3'!L744:P744</f>
        <v>0</v>
      </c>
      <c r="M287" s="778"/>
      <c r="N287" s="778"/>
      <c r="O287" s="778"/>
      <c r="P287" s="778"/>
      <c r="Q287" s="778"/>
      <c r="R287" s="778"/>
      <c r="S287" s="778"/>
    </row>
    <row r="288" spans="1:19" ht="26.25" customHeight="1" x14ac:dyDescent="0.3">
      <c r="A288" s="789"/>
      <c r="B288" s="2515"/>
      <c r="C288" s="789">
        <f>'А П 3'!C745:G745</f>
        <v>0</v>
      </c>
      <c r="D288" s="789">
        <f>'А П 3'!D745:H745</f>
        <v>0</v>
      </c>
      <c r="E288" s="789">
        <f>'А П 3'!E745:I745</f>
        <v>0</v>
      </c>
      <c r="F288" s="790" t="str">
        <f>'А П 3'!F745:J745</f>
        <v>Средства бюджета Московской области</v>
      </c>
      <c r="G288" s="791">
        <f>'А П 3'!G745:K745</f>
        <v>859576</v>
      </c>
      <c r="H288" s="792">
        <f>'А П 3'!H745:L745</f>
        <v>369717</v>
      </c>
      <c r="I288" s="792">
        <f>'А П 3'!I745:M745</f>
        <v>281595</v>
      </c>
      <c r="J288" s="792">
        <f>'А П 3'!J745:N745</f>
        <v>208264</v>
      </c>
      <c r="K288" s="792">
        <f>'А П 3'!K745:O745</f>
        <v>0</v>
      </c>
      <c r="L288" s="792">
        <f>'А П 3'!L745:P745</f>
        <v>0</v>
      </c>
      <c r="M288" s="739"/>
      <c r="N288" s="739"/>
      <c r="O288" s="739"/>
      <c r="P288" s="739"/>
      <c r="Q288" s="739"/>
      <c r="R288" s="739"/>
      <c r="S288" s="739"/>
    </row>
    <row r="289" spans="1:19" ht="26.25" customHeight="1" x14ac:dyDescent="0.3">
      <c r="A289" s="789"/>
      <c r="B289" s="2516"/>
      <c r="C289" s="789">
        <f>'А П 3'!C746:G746</f>
        <v>0</v>
      </c>
      <c r="D289" s="789">
        <f>'А П 3'!D746:H746</f>
        <v>0</v>
      </c>
      <c r="E289" s="789">
        <f>'А П 3'!E746:I746</f>
        <v>0</v>
      </c>
      <c r="F289" s="790" t="str">
        <f>'А П 3'!F746:J746</f>
        <v>Средства бюджетов муниципальных образований Московской области</v>
      </c>
      <c r="G289" s="791">
        <f>'А П 3'!G746:K746</f>
        <v>64687.839999999997</v>
      </c>
      <c r="H289" s="792">
        <f>'А П 3'!H746:L746</f>
        <v>35907.68</v>
      </c>
      <c r="I289" s="792">
        <f>'А П 3'!I746:M746</f>
        <v>17818.87</v>
      </c>
      <c r="J289" s="792">
        <f>'А П 3'!J746:N746</f>
        <v>10961.29</v>
      </c>
      <c r="K289" s="792">
        <f>'А П 3'!K746:O746</f>
        <v>0</v>
      </c>
      <c r="L289" s="792">
        <f>'А П 3'!L746:P746</f>
        <v>0</v>
      </c>
      <c r="M289" s="739"/>
      <c r="N289" s="739"/>
      <c r="O289" s="739"/>
      <c r="P289" s="739"/>
      <c r="Q289" s="739"/>
      <c r="R289" s="739"/>
      <c r="S289" s="739"/>
    </row>
    <row r="290" spans="1:19" s="750" customFormat="1" ht="26.25" customHeight="1" x14ac:dyDescent="0.3">
      <c r="A290" s="745" t="str">
        <f>'А П 3'!A747:E747</f>
        <v>3.1.2.1</v>
      </c>
      <c r="B290" s="746" t="str">
        <f>'А П 3'!B747:F747</f>
        <v>ЗАТО городской округ Власиха</v>
      </c>
      <c r="C290" s="745">
        <f>'А П 3'!C747:G747</f>
        <v>0</v>
      </c>
      <c r="D290" s="745">
        <f>'А П 3'!D747:H747</f>
        <v>0</v>
      </c>
      <c r="E290" s="745">
        <f>'А П 3'!E747:I747</f>
        <v>0</v>
      </c>
      <c r="F290" s="747" t="str">
        <f>'А П 3'!F747:J747</f>
        <v>Итого</v>
      </c>
      <c r="G290" s="748">
        <f>'А П 3'!G747:K747</f>
        <v>70644.289999999994</v>
      </c>
      <c r="H290" s="749">
        <f>'А П 3'!H747:L747</f>
        <v>70644.289999999994</v>
      </c>
      <c r="I290" s="749">
        <f>'А П 3'!I747:M747</f>
        <v>0</v>
      </c>
      <c r="J290" s="749">
        <f>'А П 3'!J747:N747</f>
        <v>0</v>
      </c>
      <c r="K290" s="749">
        <f>'А П 3'!K747:O747</f>
        <v>0</v>
      </c>
      <c r="L290" s="749">
        <f>'А П 3'!L747:P747</f>
        <v>0</v>
      </c>
      <c r="M290" s="749"/>
      <c r="N290" s="749"/>
      <c r="O290" s="749"/>
      <c r="P290" s="749"/>
      <c r="Q290" s="749"/>
      <c r="R290" s="749"/>
      <c r="S290" s="749"/>
    </row>
    <row r="291" spans="1:19" ht="26.25" customHeight="1" x14ac:dyDescent="0.3">
      <c r="A291" s="732"/>
      <c r="B291" s="733"/>
      <c r="C291" s="732">
        <f>'А П 3'!C748:G748</f>
        <v>0</v>
      </c>
      <c r="D291" s="732">
        <f>'А П 3'!D748:H748</f>
        <v>0</v>
      </c>
      <c r="E291" s="732">
        <f>'А П 3'!E748:I748</f>
        <v>0</v>
      </c>
      <c r="F291" s="743" t="str">
        <f>'А П 3'!F748:J748</f>
        <v>Средства бюджета Московской области</v>
      </c>
      <c r="G291" s="738">
        <f>'А П 3'!G748:K748</f>
        <v>67112</v>
      </c>
      <c r="H291" s="739">
        <f>'А П 3'!H748:L748</f>
        <v>67112</v>
      </c>
      <c r="I291" s="739">
        <f>'А П 3'!I748:M748</f>
        <v>0</v>
      </c>
      <c r="J291" s="739">
        <f>'А П 3'!J748:N748</f>
        <v>0</v>
      </c>
      <c r="K291" s="739">
        <f>'А П 3'!K748:O748</f>
        <v>0</v>
      </c>
      <c r="L291" s="739">
        <f>'А П 3'!L748:P748</f>
        <v>0</v>
      </c>
      <c r="M291" s="739"/>
      <c r="N291" s="739"/>
      <c r="O291" s="739"/>
      <c r="P291" s="739"/>
      <c r="Q291" s="739"/>
      <c r="R291" s="739"/>
      <c r="S291" s="739"/>
    </row>
    <row r="292" spans="1:19" ht="26.25" customHeight="1" x14ac:dyDescent="0.3">
      <c r="A292" s="732"/>
      <c r="B292" s="733"/>
      <c r="C292" s="732">
        <f>'А П 3'!C749:G749</f>
        <v>0</v>
      </c>
      <c r="D292" s="732">
        <f>'А П 3'!D749:H749</f>
        <v>0</v>
      </c>
      <c r="E292" s="732">
        <f>'А П 3'!E749:I749</f>
        <v>0</v>
      </c>
      <c r="F292" s="743" t="str">
        <f>'А П 3'!F749:J749</f>
        <v>Средства бюджетов муниципальных образований Московской области</v>
      </c>
      <c r="G292" s="738">
        <f>'А П 3'!G749:K749</f>
        <v>3532.29</v>
      </c>
      <c r="H292" s="739">
        <f>'А П 3'!H749:L749</f>
        <v>3532.29</v>
      </c>
      <c r="I292" s="739">
        <f>'А П 3'!I749:M749</f>
        <v>0</v>
      </c>
      <c r="J292" s="739">
        <f>'А П 3'!J749:N749</f>
        <v>0</v>
      </c>
      <c r="K292" s="739">
        <f>'А П 3'!K749:O749</f>
        <v>0</v>
      </c>
      <c r="L292" s="739">
        <f>'А П 3'!L749:P749</f>
        <v>0</v>
      </c>
      <c r="M292" s="739"/>
      <c r="N292" s="739"/>
      <c r="O292" s="739"/>
      <c r="P292" s="739"/>
      <c r="Q292" s="739"/>
      <c r="R292" s="739"/>
      <c r="S292" s="739"/>
    </row>
    <row r="293" spans="1:19" ht="26.25" hidden="1" customHeight="1" x14ac:dyDescent="0.3">
      <c r="A293" s="732">
        <f>'А П 3'!A750:E750</f>
        <v>0</v>
      </c>
      <c r="B293" s="733" t="str">
        <f>'А П 3'!B750:F750</f>
        <v xml:space="preserve">Капитальный ремонт здания МУК «Дворец культуры» городского округа Власиха Московской области, п. Власиха, ул. Маршала Жукова, д. 9, военный городок             № 22/1 (г.Одинцово-10)
</v>
      </c>
      <c r="C293" s="732">
        <f>'А П 3'!C750:G750</f>
        <v>0</v>
      </c>
      <c r="D293" s="732">
        <f>'А П 3'!D750:H750</f>
        <v>0</v>
      </c>
      <c r="E293" s="732">
        <f>'А П 3'!E750:I750</f>
        <v>0</v>
      </c>
      <c r="F293" s="743" t="str">
        <f>'А П 3'!F750:J750</f>
        <v>Итого</v>
      </c>
      <c r="G293" s="738">
        <f>'А П 3'!G750:K750</f>
        <v>70644.289999999994</v>
      </c>
      <c r="H293" s="739">
        <f>'А П 3'!H750:L750</f>
        <v>70644.289999999994</v>
      </c>
      <c r="I293" s="739">
        <f>'А П 3'!I750:M750</f>
        <v>0</v>
      </c>
      <c r="J293" s="739">
        <f>'А П 3'!J750:N750</f>
        <v>0</v>
      </c>
      <c r="K293" s="739">
        <f>'А П 3'!K750:O750</f>
        <v>0</v>
      </c>
      <c r="L293" s="739">
        <f>'А П 3'!L750:P750</f>
        <v>0</v>
      </c>
      <c r="M293" s="739"/>
      <c r="N293" s="739"/>
      <c r="O293" s="739"/>
      <c r="P293" s="739"/>
      <c r="Q293" s="739"/>
      <c r="R293" s="739"/>
      <c r="S293" s="739"/>
    </row>
    <row r="294" spans="1:19" ht="26.25" hidden="1" customHeight="1" x14ac:dyDescent="0.3">
      <c r="A294" s="732">
        <f>'А П 3'!A751:E751</f>
        <v>0</v>
      </c>
      <c r="B294" s="733">
        <f>'А П 3'!B751:F751</f>
        <v>0</v>
      </c>
      <c r="C294" s="732">
        <f>'А П 3'!C751:G751</f>
        <v>0</v>
      </c>
      <c r="D294" s="732">
        <f>'А П 3'!D751:H751</f>
        <v>0</v>
      </c>
      <c r="E294" s="732">
        <f>'А П 3'!E751:I751</f>
        <v>0</v>
      </c>
      <c r="F294" s="743" t="str">
        <f>'А П 3'!F751:J751</f>
        <v>Средства бюджета Московской области</v>
      </c>
      <c r="G294" s="738">
        <f>'А П 3'!G751:K751</f>
        <v>67112</v>
      </c>
      <c r="H294" s="739">
        <f>'А П 3'!H751:L751</f>
        <v>67112</v>
      </c>
      <c r="I294" s="739">
        <f>'А П 3'!I751:M751</f>
        <v>0</v>
      </c>
      <c r="J294" s="739">
        <f>'А П 3'!J751:N751</f>
        <v>0</v>
      </c>
      <c r="K294" s="739">
        <f>'А П 3'!K751:O751</f>
        <v>0</v>
      </c>
      <c r="L294" s="739">
        <f>'А П 3'!L751:P751</f>
        <v>0</v>
      </c>
      <c r="M294" s="739"/>
      <c r="N294" s="739"/>
      <c r="O294" s="739"/>
      <c r="P294" s="739"/>
      <c r="Q294" s="739"/>
      <c r="R294" s="739"/>
      <c r="S294" s="739"/>
    </row>
    <row r="295" spans="1:19" ht="26.25" hidden="1" customHeight="1" x14ac:dyDescent="0.3">
      <c r="A295" s="732">
        <f>'А П 3'!A752:E752</f>
        <v>0</v>
      </c>
      <c r="B295" s="733">
        <f>'А П 3'!B752:F752</f>
        <v>0</v>
      </c>
      <c r="C295" s="732">
        <f>'А П 3'!C752:G752</f>
        <v>0</v>
      </c>
      <c r="D295" s="732">
        <f>'А П 3'!D752:H752</f>
        <v>0</v>
      </c>
      <c r="E295" s="732">
        <f>'А П 3'!E752:I752</f>
        <v>0</v>
      </c>
      <c r="F295" s="743" t="str">
        <f>'А П 3'!F752:J752</f>
        <v>Средства бюджетов муниципальных образований Московской области</v>
      </c>
      <c r="G295" s="738">
        <f>'А П 3'!G752:K752</f>
        <v>3532.29</v>
      </c>
      <c r="H295" s="739">
        <f>'А П 3'!H752:L752</f>
        <v>3532.29</v>
      </c>
      <c r="I295" s="739">
        <f>'А П 3'!I752:M752</f>
        <v>0</v>
      </c>
      <c r="J295" s="739">
        <f>'А П 3'!J752:N752</f>
        <v>0</v>
      </c>
      <c r="K295" s="739">
        <f>'А П 3'!K752:O752</f>
        <v>0</v>
      </c>
      <c r="L295" s="739">
        <f>'А П 3'!L752:P752</f>
        <v>0</v>
      </c>
      <c r="M295" s="739"/>
      <c r="N295" s="739"/>
      <c r="O295" s="739"/>
      <c r="P295" s="739"/>
      <c r="Q295" s="739"/>
      <c r="R295" s="739"/>
      <c r="S295" s="739"/>
    </row>
    <row r="296" spans="1:19" s="750" customFormat="1" ht="26.25" customHeight="1" x14ac:dyDescent="0.3">
      <c r="A296" s="745" t="str">
        <f>'А П 3'!A753:E753</f>
        <v>3.1.2.2</v>
      </c>
      <c r="B296" s="746" t="str">
        <f>'А П 3'!B753:F753</f>
        <v>ЗАТО городской округ Восход</v>
      </c>
      <c r="C296" s="745">
        <f>'А П 3'!C753:G753</f>
        <v>0</v>
      </c>
      <c r="D296" s="745">
        <f>'А П 3'!D753:H753</f>
        <v>0</v>
      </c>
      <c r="E296" s="745">
        <f>'А П 3'!E753:I753</f>
        <v>0</v>
      </c>
      <c r="F296" s="747" t="str">
        <f>'А П 3'!F753:J753</f>
        <v>Итого</v>
      </c>
      <c r="G296" s="748">
        <f>'А П 3'!G753:K753</f>
        <v>37637.699999999997</v>
      </c>
      <c r="H296" s="749">
        <f>'А П 3'!H753:L753</f>
        <v>37637.699999999997</v>
      </c>
      <c r="I296" s="749">
        <f>'А П 3'!I753:M753</f>
        <v>0</v>
      </c>
      <c r="J296" s="749">
        <f>'А П 3'!J753:N753</f>
        <v>0</v>
      </c>
      <c r="K296" s="749">
        <f>'А П 3'!K753:O753</f>
        <v>0</v>
      </c>
      <c r="L296" s="749">
        <f>'А П 3'!L753:P753</f>
        <v>0</v>
      </c>
      <c r="M296" s="749"/>
      <c r="N296" s="749"/>
      <c r="O296" s="749"/>
      <c r="P296" s="749"/>
      <c r="Q296" s="749"/>
      <c r="R296" s="749"/>
      <c r="S296" s="749"/>
    </row>
    <row r="297" spans="1:19" ht="26.25" customHeight="1" x14ac:dyDescent="0.3">
      <c r="A297" s="732"/>
      <c r="B297" s="733"/>
      <c r="C297" s="732">
        <f>'А П 3'!C754:G754</f>
        <v>0</v>
      </c>
      <c r="D297" s="732">
        <f>'А П 3'!D754:H754</f>
        <v>0</v>
      </c>
      <c r="E297" s="732">
        <f>'А П 3'!E754:I754</f>
        <v>0</v>
      </c>
      <c r="F297" s="743" t="str">
        <f>'А П 3'!F754:J754</f>
        <v>Средства бюджета Московской области</v>
      </c>
      <c r="G297" s="738">
        <f>'А П 3'!G754:K754</f>
        <v>35756</v>
      </c>
      <c r="H297" s="739">
        <f>'А П 3'!H754:L754</f>
        <v>35756</v>
      </c>
      <c r="I297" s="739">
        <f>'А П 3'!I754:M754</f>
        <v>0</v>
      </c>
      <c r="J297" s="739">
        <f>'А П 3'!J754:N754</f>
        <v>0</v>
      </c>
      <c r="K297" s="739">
        <f>'А П 3'!K754:O754</f>
        <v>0</v>
      </c>
      <c r="L297" s="739">
        <f>'А П 3'!L754:P754</f>
        <v>0</v>
      </c>
      <c r="M297" s="739"/>
      <c r="N297" s="739"/>
      <c r="O297" s="739"/>
      <c r="P297" s="739"/>
      <c r="Q297" s="739"/>
      <c r="R297" s="739"/>
      <c r="S297" s="739"/>
    </row>
    <row r="298" spans="1:19" ht="26.25" customHeight="1" x14ac:dyDescent="0.3">
      <c r="A298" s="732"/>
      <c r="B298" s="733"/>
      <c r="C298" s="732">
        <f>'А П 3'!C755:G755</f>
        <v>0</v>
      </c>
      <c r="D298" s="732">
        <f>'А П 3'!D755:H755</f>
        <v>0</v>
      </c>
      <c r="E298" s="732">
        <f>'А П 3'!E755:I755</f>
        <v>0</v>
      </c>
      <c r="F298" s="743" t="str">
        <f>'А П 3'!F755:J755</f>
        <v>Средства бюджетов муниципальных образований Московской области</v>
      </c>
      <c r="G298" s="738">
        <f>'А П 3'!G755:K755</f>
        <v>1881.7</v>
      </c>
      <c r="H298" s="739">
        <f>'А П 3'!H755:L755</f>
        <v>1881.7</v>
      </c>
      <c r="I298" s="739">
        <f>'А П 3'!I755:M755</f>
        <v>0</v>
      </c>
      <c r="J298" s="739">
        <f>'А П 3'!J755:N755</f>
        <v>0</v>
      </c>
      <c r="K298" s="739">
        <f>'А П 3'!K755:O755</f>
        <v>0</v>
      </c>
      <c r="L298" s="739">
        <f>'А П 3'!L755:P755</f>
        <v>0</v>
      </c>
      <c r="M298" s="739"/>
      <c r="N298" s="739"/>
      <c r="O298" s="739"/>
      <c r="P298" s="739"/>
      <c r="Q298" s="739"/>
      <c r="R298" s="739"/>
      <c r="S298" s="739"/>
    </row>
    <row r="299" spans="1:19" s="750" customFormat="1" ht="26.25" hidden="1" customHeight="1" x14ac:dyDescent="0.3">
      <c r="A299" s="745">
        <f>'А П 3'!A756:E756</f>
        <v>0</v>
      </c>
      <c r="B299" s="746" t="str">
        <f>'А П 3'!B756:F756</f>
        <v>Капитальный ремонт здания  муниципального казенного учреждения культуры «Культурно-досуговый центр» Городской округ Восход</v>
      </c>
      <c r="C299" s="745">
        <f>'А П 3'!C756:G756</f>
        <v>0</v>
      </c>
      <c r="D299" s="745">
        <f>'А П 3'!D756:H756</f>
        <v>0</v>
      </c>
      <c r="E299" s="745">
        <f>'А П 3'!E756:I756</f>
        <v>0</v>
      </c>
      <c r="F299" s="747" t="str">
        <f>'А П 3'!F756:J756</f>
        <v>Итого</v>
      </c>
      <c r="G299" s="748">
        <f>'А П 3'!G756:K756</f>
        <v>37637.699999999997</v>
      </c>
      <c r="H299" s="749">
        <f>'А П 3'!H756:L756</f>
        <v>37637.699999999997</v>
      </c>
      <c r="I299" s="749">
        <f>'А П 3'!I756:M756</f>
        <v>0</v>
      </c>
      <c r="J299" s="749">
        <f>'А П 3'!J756:N756</f>
        <v>0</v>
      </c>
      <c r="K299" s="749">
        <f>'А П 3'!K756:O756</f>
        <v>0</v>
      </c>
      <c r="L299" s="749">
        <f>'А П 3'!L756:P756</f>
        <v>0</v>
      </c>
      <c r="M299" s="749"/>
      <c r="N299" s="749"/>
      <c r="O299" s="749"/>
      <c r="P299" s="749"/>
      <c r="Q299" s="749"/>
      <c r="R299" s="749"/>
      <c r="S299" s="749"/>
    </row>
    <row r="300" spans="1:19" s="750" customFormat="1" ht="26.25" hidden="1" customHeight="1" x14ac:dyDescent="0.3">
      <c r="A300" s="745">
        <f>'А П 3'!A757:E757</f>
        <v>0</v>
      </c>
      <c r="B300" s="746">
        <f>'А П 3'!B757:F757</f>
        <v>0</v>
      </c>
      <c r="C300" s="745">
        <f>'А П 3'!C757:G757</f>
        <v>0</v>
      </c>
      <c r="D300" s="745">
        <f>'А П 3'!D757:H757</f>
        <v>0</v>
      </c>
      <c r="E300" s="745">
        <f>'А П 3'!E757:I757</f>
        <v>0</v>
      </c>
      <c r="F300" s="747" t="str">
        <f>'А П 3'!F757:J757</f>
        <v>Средства бюджета Московской области</v>
      </c>
      <c r="G300" s="748">
        <f>'А П 3'!G757:K757</f>
        <v>35756</v>
      </c>
      <c r="H300" s="749">
        <f>'А П 3'!H757:L757</f>
        <v>35756</v>
      </c>
      <c r="I300" s="749">
        <f>'А П 3'!I757:M757</f>
        <v>0</v>
      </c>
      <c r="J300" s="749">
        <f>'А П 3'!J757:N757</f>
        <v>0</v>
      </c>
      <c r="K300" s="749">
        <f>'А П 3'!K757:O757</f>
        <v>0</v>
      </c>
      <c r="L300" s="749">
        <f>'А П 3'!L757:P757</f>
        <v>0</v>
      </c>
      <c r="M300" s="749"/>
      <c r="N300" s="749"/>
      <c r="O300" s="749"/>
      <c r="P300" s="749"/>
      <c r="Q300" s="749"/>
      <c r="R300" s="749"/>
      <c r="S300" s="749"/>
    </row>
    <row r="301" spans="1:19" s="750" customFormat="1" ht="26.25" hidden="1" customHeight="1" x14ac:dyDescent="0.3">
      <c r="A301" s="745">
        <f>'А П 3'!A758:E758</f>
        <v>0</v>
      </c>
      <c r="B301" s="746">
        <f>'А П 3'!B758:F758</f>
        <v>0</v>
      </c>
      <c r="C301" s="745">
        <f>'А П 3'!C758:G758</f>
        <v>0</v>
      </c>
      <c r="D301" s="745">
        <f>'А П 3'!D758:H758</f>
        <v>0</v>
      </c>
      <c r="E301" s="745">
        <f>'А П 3'!E758:I758</f>
        <v>0</v>
      </c>
      <c r="F301" s="747" t="str">
        <f>'А П 3'!F758:J758</f>
        <v>Средства бюджетов муниципальных образований Московской области</v>
      </c>
      <c r="G301" s="748">
        <f>'А П 3'!G758:K758</f>
        <v>1881.7</v>
      </c>
      <c r="H301" s="749">
        <f>'А П 3'!H758:L758</f>
        <v>1881.7</v>
      </c>
      <c r="I301" s="749">
        <f>'А П 3'!I758:M758</f>
        <v>0</v>
      </c>
      <c r="J301" s="749">
        <f>'А П 3'!J758:N758</f>
        <v>0</v>
      </c>
      <c r="K301" s="749">
        <f>'А П 3'!K758:O758</f>
        <v>0</v>
      </c>
      <c r="L301" s="749">
        <f>'А П 3'!L758:P758</f>
        <v>0</v>
      </c>
      <c r="M301" s="749"/>
      <c r="N301" s="749"/>
      <c r="O301" s="749"/>
      <c r="P301" s="749"/>
      <c r="Q301" s="749"/>
      <c r="R301" s="749"/>
      <c r="S301" s="749"/>
    </row>
    <row r="302" spans="1:19" s="750" customFormat="1" ht="26.25" customHeight="1" x14ac:dyDescent="0.3">
      <c r="A302" s="745" t="str">
        <f>'А П 3'!A759:E759</f>
        <v>3.1.2.3</v>
      </c>
      <c r="B302" s="746" t="str">
        <f>'А П 3'!B759:F759</f>
        <v>Городское поселение  Монино Щелковского муниципального района</v>
      </c>
      <c r="C302" s="745">
        <f>'А П 3'!C759:G759</f>
        <v>0</v>
      </c>
      <c r="D302" s="745">
        <f>'А П 3'!D759:H759</f>
        <v>0</v>
      </c>
      <c r="E302" s="745">
        <f>'А П 3'!E759:I759</f>
        <v>0</v>
      </c>
      <c r="F302" s="747" t="str">
        <f>'А П 3'!F759:J759</f>
        <v>Итого</v>
      </c>
      <c r="G302" s="748">
        <f>'А П 3'!G759:K759</f>
        <v>102695</v>
      </c>
      <c r="H302" s="749">
        <f>'А П 3'!H759:L759</f>
        <v>102695</v>
      </c>
      <c r="I302" s="749">
        <f>'А П 3'!I759:M759</f>
        <v>0</v>
      </c>
      <c r="J302" s="749">
        <f>'А П 3'!J759:N759</f>
        <v>0</v>
      </c>
      <c r="K302" s="749">
        <f>'А П 3'!K759:O759</f>
        <v>0</v>
      </c>
      <c r="L302" s="749">
        <f>'А П 3'!L759:P759</f>
        <v>0</v>
      </c>
      <c r="M302" s="749"/>
      <c r="N302" s="749"/>
      <c r="O302" s="749"/>
      <c r="P302" s="749"/>
      <c r="Q302" s="749"/>
      <c r="R302" s="749"/>
      <c r="S302" s="749"/>
    </row>
    <row r="303" spans="1:19" ht="26.25" customHeight="1" x14ac:dyDescent="0.3">
      <c r="A303" s="732"/>
      <c r="B303" s="733"/>
      <c r="C303" s="732">
        <f>'А П 3'!C760:G760</f>
        <v>0</v>
      </c>
      <c r="D303" s="732">
        <f>'А П 3'!D760:H760</f>
        <v>0</v>
      </c>
      <c r="E303" s="732">
        <f>'А П 3'!E760:I760</f>
        <v>0</v>
      </c>
      <c r="F303" s="743" t="str">
        <f>'А П 3'!F760:J760</f>
        <v>Средства бюджета Московской области</v>
      </c>
      <c r="G303" s="738">
        <f>'А П 3'!G760:K760</f>
        <v>97560</v>
      </c>
      <c r="H303" s="739">
        <f>'А П 3'!H760:L760</f>
        <v>97560</v>
      </c>
      <c r="I303" s="739">
        <f>'А П 3'!I760:M760</f>
        <v>0</v>
      </c>
      <c r="J303" s="739">
        <f>'А П 3'!J760:N760</f>
        <v>0</v>
      </c>
      <c r="K303" s="739">
        <f>'А П 3'!K760:O760</f>
        <v>0</v>
      </c>
      <c r="L303" s="739">
        <f>'А П 3'!L760:P760</f>
        <v>0</v>
      </c>
      <c r="M303" s="739"/>
      <c r="N303" s="739"/>
      <c r="O303" s="739"/>
      <c r="P303" s="739"/>
      <c r="Q303" s="739"/>
      <c r="R303" s="739"/>
      <c r="S303" s="739"/>
    </row>
    <row r="304" spans="1:19" ht="26.25" customHeight="1" x14ac:dyDescent="0.3">
      <c r="A304" s="732"/>
      <c r="B304" s="733"/>
      <c r="C304" s="732">
        <f>'А П 3'!C761:G761</f>
        <v>0</v>
      </c>
      <c r="D304" s="732">
        <f>'А П 3'!D761:H761</f>
        <v>0</v>
      </c>
      <c r="E304" s="732">
        <f>'А П 3'!E761:I761</f>
        <v>0</v>
      </c>
      <c r="F304" s="743" t="str">
        <f>'А П 3'!F761:J761</f>
        <v>Средства бюджетов муниципальных образований Московской области</v>
      </c>
      <c r="G304" s="738">
        <f>'А П 3'!G761:K761</f>
        <v>5135</v>
      </c>
      <c r="H304" s="739">
        <f>'А П 3'!H761:L761</f>
        <v>5135</v>
      </c>
      <c r="I304" s="739">
        <f>'А П 3'!I761:M761</f>
        <v>0</v>
      </c>
      <c r="J304" s="739">
        <f>'А П 3'!J761:N761</f>
        <v>0</v>
      </c>
      <c r="K304" s="739">
        <f>'А П 3'!K761:O761</f>
        <v>0</v>
      </c>
      <c r="L304" s="739">
        <f>'А П 3'!L761:P761</f>
        <v>0</v>
      </c>
      <c r="M304" s="739"/>
      <c r="N304" s="739"/>
      <c r="O304" s="739"/>
      <c r="P304" s="739"/>
      <c r="Q304" s="739"/>
      <c r="R304" s="739"/>
      <c r="S304" s="739"/>
    </row>
    <row r="305" spans="1:19" ht="26.25" hidden="1" customHeight="1" x14ac:dyDescent="0.3">
      <c r="A305" s="732">
        <f>'А П 3'!A762:E762</f>
        <v>0</v>
      </c>
      <c r="B305" s="733" t="str">
        <f>'А П 3'!B762:F762</f>
        <v xml:space="preserve">Капитальный ремонт здания МБУ городского поселения Монино «Культурно-досуговый центр «Дом офицеров», г.п. Монино,ул. Авиационная, д. 2а, военный городок № 21/1
</v>
      </c>
      <c r="C305" s="732">
        <f>'А П 3'!C762:G762</f>
        <v>0</v>
      </c>
      <c r="D305" s="732">
        <f>'А П 3'!D762:H762</f>
        <v>0</v>
      </c>
      <c r="E305" s="732">
        <f>'А П 3'!E762:I762</f>
        <v>0</v>
      </c>
      <c r="F305" s="743" t="str">
        <f>'А П 3'!F762:J762</f>
        <v>Итого</v>
      </c>
      <c r="G305" s="738">
        <f>'А П 3'!G762:K762</f>
        <v>102695</v>
      </c>
      <c r="H305" s="739">
        <f>'А П 3'!H762:L762</f>
        <v>102695</v>
      </c>
      <c r="I305" s="739">
        <f>'А П 3'!I762:M762</f>
        <v>0</v>
      </c>
      <c r="J305" s="739">
        <f>'А П 3'!J762:N762</f>
        <v>0</v>
      </c>
      <c r="K305" s="739">
        <f>'А П 3'!K762:O762</f>
        <v>0</v>
      </c>
      <c r="L305" s="739">
        <f>'А П 3'!L762:P762</f>
        <v>0</v>
      </c>
      <c r="M305" s="739"/>
      <c r="N305" s="739"/>
      <c r="O305" s="739"/>
      <c r="P305" s="739"/>
      <c r="Q305" s="739"/>
      <c r="R305" s="739"/>
      <c r="S305" s="739"/>
    </row>
    <row r="306" spans="1:19" ht="26.25" hidden="1" customHeight="1" x14ac:dyDescent="0.3">
      <c r="A306" s="732">
        <f>'А П 3'!A763:E763</f>
        <v>0</v>
      </c>
      <c r="B306" s="733">
        <f>'А П 3'!B763:F763</f>
        <v>0</v>
      </c>
      <c r="C306" s="732">
        <f>'А П 3'!C763:G763</f>
        <v>0</v>
      </c>
      <c r="D306" s="732">
        <f>'А П 3'!D763:H763</f>
        <v>0</v>
      </c>
      <c r="E306" s="732">
        <f>'А П 3'!E763:I763</f>
        <v>0</v>
      </c>
      <c r="F306" s="743" t="str">
        <f>'А П 3'!F763:J763</f>
        <v>Средства бюджета Московской области</v>
      </c>
      <c r="G306" s="738">
        <f>'А П 3'!G763:K763</f>
        <v>97560</v>
      </c>
      <c r="H306" s="739">
        <f>'А П 3'!H763:L763</f>
        <v>97560</v>
      </c>
      <c r="I306" s="739">
        <f>'А П 3'!I763:M763</f>
        <v>0</v>
      </c>
      <c r="J306" s="739">
        <f>'А П 3'!J763:N763</f>
        <v>0</v>
      </c>
      <c r="K306" s="739">
        <f>'А П 3'!K763:O763</f>
        <v>0</v>
      </c>
      <c r="L306" s="739">
        <f>'А П 3'!L763:P763</f>
        <v>0</v>
      </c>
      <c r="M306" s="739"/>
      <c r="N306" s="739"/>
      <c r="O306" s="739"/>
      <c r="P306" s="739"/>
      <c r="Q306" s="739"/>
      <c r="R306" s="739"/>
      <c r="S306" s="739"/>
    </row>
    <row r="307" spans="1:19" ht="26.25" hidden="1" customHeight="1" x14ac:dyDescent="0.3">
      <c r="A307" s="732">
        <f>'А П 3'!A764:E764</f>
        <v>0</v>
      </c>
      <c r="B307" s="733">
        <f>'А П 3'!B764:F764</f>
        <v>0</v>
      </c>
      <c r="C307" s="732">
        <f>'А П 3'!C764:G764</f>
        <v>0</v>
      </c>
      <c r="D307" s="732">
        <f>'А П 3'!D764:H764</f>
        <v>0</v>
      </c>
      <c r="E307" s="732">
        <f>'А П 3'!E764:I764</f>
        <v>0</v>
      </c>
      <c r="F307" s="743" t="str">
        <f>'А П 3'!F764:J764</f>
        <v>Средства бюджетов муниципальных образований Московской области</v>
      </c>
      <c r="G307" s="738">
        <f>'А П 3'!G764:K764</f>
        <v>5135</v>
      </c>
      <c r="H307" s="739">
        <f>'А П 3'!H764:L764</f>
        <v>5135</v>
      </c>
      <c r="I307" s="739">
        <f>'А П 3'!I764:M764</f>
        <v>0</v>
      </c>
      <c r="J307" s="739">
        <f>'А П 3'!J764:N764</f>
        <v>0</v>
      </c>
      <c r="K307" s="739">
        <f>'А П 3'!K764:O764</f>
        <v>0</v>
      </c>
      <c r="L307" s="739">
        <f>'А П 3'!L764:P764</f>
        <v>0</v>
      </c>
      <c r="M307" s="739"/>
      <c r="N307" s="739"/>
      <c r="O307" s="739"/>
      <c r="P307" s="739"/>
      <c r="Q307" s="739"/>
      <c r="R307" s="739"/>
      <c r="S307" s="739"/>
    </row>
    <row r="308" spans="1:19" s="750" customFormat="1" ht="26.25" customHeight="1" x14ac:dyDescent="0.3">
      <c r="A308" s="745" t="str">
        <f>'А П 3'!A765:E765</f>
        <v>3.1.2.4</v>
      </c>
      <c r="B308" s="746" t="str">
        <f>'А П 3'!B765:F765</f>
        <v>Городской округ Краснознаменск</v>
      </c>
      <c r="C308" s="745">
        <f>'А П 3'!C765:G765</f>
        <v>0</v>
      </c>
      <c r="D308" s="745">
        <f>'А П 3'!D765:H765</f>
        <v>0</v>
      </c>
      <c r="E308" s="745">
        <f>'А П 3'!E765:I765</f>
        <v>0</v>
      </c>
      <c r="F308" s="747" t="str">
        <f>'А П 3'!F765:J765</f>
        <v>Итого</v>
      </c>
      <c r="G308" s="748">
        <f>'А П 3'!G765:K765</f>
        <v>105700.2</v>
      </c>
      <c r="H308" s="749">
        <f>'А П 3'!H765:L765</f>
        <v>105700.2</v>
      </c>
      <c r="I308" s="749">
        <f>'А П 3'!I765:M765</f>
        <v>0</v>
      </c>
      <c r="J308" s="749">
        <f>'А П 3'!J765:N765</f>
        <v>0</v>
      </c>
      <c r="K308" s="749">
        <f>'А П 3'!K765:O765</f>
        <v>0</v>
      </c>
      <c r="L308" s="749">
        <f>'А П 3'!L765:P765</f>
        <v>0</v>
      </c>
      <c r="M308" s="749"/>
      <c r="N308" s="749"/>
      <c r="O308" s="749"/>
      <c r="P308" s="749"/>
      <c r="Q308" s="749"/>
      <c r="R308" s="749"/>
      <c r="S308" s="749"/>
    </row>
    <row r="309" spans="1:19" ht="26.25" customHeight="1" x14ac:dyDescent="0.3">
      <c r="A309" s="732"/>
      <c r="B309" s="733"/>
      <c r="C309" s="732">
        <f>'А П 3'!C766:G766</f>
        <v>0</v>
      </c>
      <c r="D309" s="732">
        <f>'А П 3'!D766:H766</f>
        <v>0</v>
      </c>
      <c r="E309" s="732">
        <f>'А П 3'!E766:I766</f>
        <v>0</v>
      </c>
      <c r="F309" s="743" t="str">
        <f>'А П 3'!F766:J766</f>
        <v>Средства бюджета Московской области</v>
      </c>
      <c r="G309" s="738">
        <f>'А П 3'!G766:K766</f>
        <v>100415</v>
      </c>
      <c r="H309" s="739">
        <f>'А П 3'!H766:L766</f>
        <v>100415</v>
      </c>
      <c r="I309" s="739">
        <f>'А П 3'!I766:M766</f>
        <v>0</v>
      </c>
      <c r="J309" s="739">
        <f>'А П 3'!J766:N766</f>
        <v>0</v>
      </c>
      <c r="K309" s="739">
        <f>'А П 3'!K766:O766</f>
        <v>0</v>
      </c>
      <c r="L309" s="739">
        <f>'А П 3'!L766:P766</f>
        <v>0</v>
      </c>
      <c r="M309" s="739"/>
      <c r="N309" s="739"/>
      <c r="O309" s="739"/>
      <c r="P309" s="739"/>
      <c r="Q309" s="739"/>
      <c r="R309" s="739"/>
      <c r="S309" s="739"/>
    </row>
    <row r="310" spans="1:19" ht="26.25" customHeight="1" x14ac:dyDescent="0.3">
      <c r="A310" s="732"/>
      <c r="B310" s="733"/>
      <c r="C310" s="732">
        <f>'А П 3'!C767:G767</f>
        <v>0</v>
      </c>
      <c r="D310" s="732">
        <f>'А П 3'!D767:H767</f>
        <v>0</v>
      </c>
      <c r="E310" s="732">
        <f>'А П 3'!E767:I767</f>
        <v>0</v>
      </c>
      <c r="F310" s="743" t="str">
        <f>'А П 3'!F767:J767</f>
        <v>Средства бюджетов муниципальных образований Московской области</v>
      </c>
      <c r="G310" s="738">
        <f>'А П 3'!G767:K767</f>
        <v>5285.2</v>
      </c>
      <c r="H310" s="739">
        <f>'А П 3'!H767:L767</f>
        <v>5285.2</v>
      </c>
      <c r="I310" s="739">
        <f>'А П 3'!I767:M767</f>
        <v>0</v>
      </c>
      <c r="J310" s="739">
        <f>'А П 3'!J767:N767</f>
        <v>0</v>
      </c>
      <c r="K310" s="739">
        <f>'А П 3'!K767:O767</f>
        <v>0</v>
      </c>
      <c r="L310" s="739">
        <f>'А П 3'!L767:P767</f>
        <v>0</v>
      </c>
      <c r="M310" s="739"/>
      <c r="N310" s="739"/>
      <c r="O310" s="739"/>
      <c r="P310" s="739"/>
      <c r="Q310" s="739"/>
      <c r="R310" s="739"/>
      <c r="S310" s="739"/>
    </row>
    <row r="311" spans="1:19" ht="26.25" hidden="1" customHeight="1" x14ac:dyDescent="0.3">
      <c r="A311" s="732">
        <f>'А П 3'!A768:E768</f>
        <v>0</v>
      </c>
      <c r="B311" s="733" t="str">
        <f>'А П 3'!B768:F768</f>
        <v>Капитальный ремонт здания МБУК «Дом офицеров», Московская область, г. Краснознаменск, ул. Молодёжная, д. 2</v>
      </c>
      <c r="C311" s="732">
        <f>'А П 3'!C768:G768</f>
        <v>0</v>
      </c>
      <c r="D311" s="732">
        <f>'А П 3'!D768:H768</f>
        <v>0</v>
      </c>
      <c r="E311" s="732">
        <f>'А П 3'!E768:I768</f>
        <v>0</v>
      </c>
      <c r="F311" s="743" t="str">
        <f>'А П 3'!F768:J768</f>
        <v>Итого</v>
      </c>
      <c r="G311" s="738">
        <f>'А П 3'!G768:K768</f>
        <v>105700.2</v>
      </c>
      <c r="H311" s="739">
        <f>'А П 3'!H768:L768</f>
        <v>105700.2</v>
      </c>
      <c r="I311" s="739">
        <f>'А П 3'!I768:M768</f>
        <v>0</v>
      </c>
      <c r="J311" s="739">
        <f>'А П 3'!J768:N768</f>
        <v>0</v>
      </c>
      <c r="K311" s="739">
        <f>'А П 3'!K768:O768</f>
        <v>0</v>
      </c>
      <c r="L311" s="739">
        <f>'А П 3'!L768:P768</f>
        <v>0</v>
      </c>
      <c r="M311" s="739"/>
      <c r="N311" s="739"/>
      <c r="O311" s="739"/>
      <c r="P311" s="739"/>
      <c r="Q311" s="739"/>
      <c r="R311" s="739"/>
      <c r="S311" s="739"/>
    </row>
    <row r="312" spans="1:19" ht="26.25" hidden="1" customHeight="1" x14ac:dyDescent="0.3">
      <c r="A312" s="732">
        <f>'А П 3'!A769:E769</f>
        <v>0</v>
      </c>
      <c r="B312" s="733">
        <f>'А П 3'!B769:F769</f>
        <v>0</v>
      </c>
      <c r="C312" s="732">
        <f>'А П 3'!C769:G769</f>
        <v>0</v>
      </c>
      <c r="D312" s="732">
        <f>'А П 3'!D769:H769</f>
        <v>0</v>
      </c>
      <c r="E312" s="732">
        <f>'А П 3'!E769:I769</f>
        <v>0</v>
      </c>
      <c r="F312" s="743" t="str">
        <f>'А П 3'!F769:J769</f>
        <v>Средства бюджета Московской области</v>
      </c>
      <c r="G312" s="738">
        <f>'А П 3'!G769:K769</f>
        <v>100415</v>
      </c>
      <c r="H312" s="739">
        <f>'А П 3'!H769:L769</f>
        <v>100415</v>
      </c>
      <c r="I312" s="739">
        <f>'А П 3'!I769:M769</f>
        <v>0</v>
      </c>
      <c r="J312" s="739">
        <f>'А П 3'!J769:N769</f>
        <v>0</v>
      </c>
      <c r="K312" s="739">
        <f>'А П 3'!K769:O769</f>
        <v>0</v>
      </c>
      <c r="L312" s="739">
        <f>'А П 3'!L769:P769</f>
        <v>0</v>
      </c>
      <c r="M312" s="739"/>
      <c r="N312" s="739"/>
      <c r="O312" s="739"/>
      <c r="P312" s="739"/>
      <c r="Q312" s="739"/>
      <c r="R312" s="739"/>
      <c r="S312" s="739"/>
    </row>
    <row r="313" spans="1:19" ht="26.25" hidden="1" customHeight="1" x14ac:dyDescent="0.3">
      <c r="A313" s="732">
        <f>'А П 3'!A770:E770</f>
        <v>0</v>
      </c>
      <c r="B313" s="733">
        <f>'А П 3'!B770:F770</f>
        <v>0</v>
      </c>
      <c r="C313" s="732">
        <f>'А П 3'!C770:G770</f>
        <v>0</v>
      </c>
      <c r="D313" s="732">
        <f>'А П 3'!D770:H770</f>
        <v>0</v>
      </c>
      <c r="E313" s="732">
        <f>'А П 3'!E770:I770</f>
        <v>0</v>
      </c>
      <c r="F313" s="743" t="str">
        <f>'А П 3'!F770:J770</f>
        <v>Средства бюджетов муниципальных образований Московской области</v>
      </c>
      <c r="G313" s="738">
        <f>'А П 3'!G770:K770</f>
        <v>5285.2</v>
      </c>
      <c r="H313" s="739">
        <f>'А П 3'!H770:L770</f>
        <v>5285.2</v>
      </c>
      <c r="I313" s="739">
        <f>'А П 3'!I770:M770</f>
        <v>0</v>
      </c>
      <c r="J313" s="739">
        <f>'А П 3'!J770:N770</f>
        <v>0</v>
      </c>
      <c r="K313" s="739">
        <f>'А П 3'!K770:O770</f>
        <v>0</v>
      </c>
      <c r="L313" s="739">
        <f>'А П 3'!L770:P770</f>
        <v>0</v>
      </c>
      <c r="M313" s="739"/>
      <c r="N313" s="739"/>
      <c r="O313" s="739"/>
      <c r="P313" s="739"/>
      <c r="Q313" s="739"/>
      <c r="R313" s="739"/>
      <c r="S313" s="739"/>
    </row>
    <row r="314" spans="1:19" s="750" customFormat="1" ht="26.25" customHeight="1" x14ac:dyDescent="0.3">
      <c r="A314" s="745" t="str">
        <f>'А П 3'!A771:E771</f>
        <v>3.1.2.5</v>
      </c>
      <c r="B314" s="746" t="str">
        <f>'А П 3'!B771:F771</f>
        <v>городской округ Электросталь</v>
      </c>
      <c r="C314" s="745">
        <f>'А П 3'!C771:G771</f>
        <v>0</v>
      </c>
      <c r="D314" s="745">
        <f>'А П 3'!D771:H771</f>
        <v>0</v>
      </c>
      <c r="E314" s="745">
        <f>'А П 3'!E771:I771</f>
        <v>0</v>
      </c>
      <c r="F314" s="747" t="str">
        <f>'А П 3'!F771:J771</f>
        <v>Итого</v>
      </c>
      <c r="G314" s="748">
        <f>'А П 3'!G771:K771</f>
        <v>72498.490000000005</v>
      </c>
      <c r="H314" s="749">
        <f>'А П 3'!H771:L771</f>
        <v>72498.490000000005</v>
      </c>
      <c r="I314" s="749">
        <f>'А П 3'!I771:M771</f>
        <v>0</v>
      </c>
      <c r="J314" s="749">
        <f>'А П 3'!J771:N771</f>
        <v>0</v>
      </c>
      <c r="K314" s="749">
        <f>'А П 3'!K771:O771</f>
        <v>0</v>
      </c>
      <c r="L314" s="749">
        <f>'А П 3'!L771:P771</f>
        <v>0</v>
      </c>
      <c r="M314" s="749"/>
      <c r="N314" s="749"/>
      <c r="O314" s="749"/>
      <c r="P314" s="749"/>
      <c r="Q314" s="749"/>
      <c r="R314" s="749"/>
      <c r="S314" s="749"/>
    </row>
    <row r="315" spans="1:19" ht="26.25" customHeight="1" x14ac:dyDescent="0.3">
      <c r="A315" s="732"/>
      <c r="B315" s="733"/>
      <c r="C315" s="732">
        <f>'А П 3'!C772:G772</f>
        <v>0</v>
      </c>
      <c r="D315" s="732">
        <f>'А П 3'!D772:H772</f>
        <v>0</v>
      </c>
      <c r="E315" s="732">
        <f>'А П 3'!E772:I772</f>
        <v>0</v>
      </c>
      <c r="F315" s="743" t="str">
        <f>'А П 3'!F772:J772</f>
        <v>Средства бюджета Московской области</v>
      </c>
      <c r="G315" s="738">
        <f>'А П 3'!G772:K772</f>
        <v>68874</v>
      </c>
      <c r="H315" s="739">
        <f>'А П 3'!H772:L772</f>
        <v>68874</v>
      </c>
      <c r="I315" s="739">
        <f>'А П 3'!I772:M772</f>
        <v>0</v>
      </c>
      <c r="J315" s="739">
        <f>'А П 3'!J772:N772</f>
        <v>0</v>
      </c>
      <c r="K315" s="739">
        <f>'А П 3'!K772:O772</f>
        <v>0</v>
      </c>
      <c r="L315" s="739">
        <f>'А П 3'!L772:P772</f>
        <v>0</v>
      </c>
      <c r="M315" s="739"/>
      <c r="N315" s="739"/>
      <c r="O315" s="739"/>
      <c r="P315" s="739"/>
      <c r="Q315" s="739"/>
      <c r="R315" s="739"/>
      <c r="S315" s="739"/>
    </row>
    <row r="316" spans="1:19" ht="26.25" customHeight="1" x14ac:dyDescent="0.3">
      <c r="A316" s="732"/>
      <c r="B316" s="733"/>
      <c r="C316" s="732">
        <f>'А П 3'!C773:G773</f>
        <v>0</v>
      </c>
      <c r="D316" s="732">
        <f>'А П 3'!D773:H773</f>
        <v>0</v>
      </c>
      <c r="E316" s="732">
        <f>'А П 3'!E773:I773</f>
        <v>0</v>
      </c>
      <c r="F316" s="743" t="str">
        <f>'А П 3'!F773:J773</f>
        <v>Средства бюджетов муниципальных образований Московской области</v>
      </c>
      <c r="G316" s="738">
        <f>'А П 3'!G773:K773</f>
        <v>3624.49</v>
      </c>
      <c r="H316" s="739">
        <f>'А П 3'!H773:L773</f>
        <v>3624.49</v>
      </c>
      <c r="I316" s="739">
        <f>'А П 3'!I773:M773</f>
        <v>0</v>
      </c>
      <c r="J316" s="739">
        <f>'А П 3'!J773:N773</f>
        <v>0</v>
      </c>
      <c r="K316" s="739">
        <f>'А П 3'!K773:O773</f>
        <v>0</v>
      </c>
      <c r="L316" s="739">
        <f>'А П 3'!L773:P773</f>
        <v>0</v>
      </c>
      <c r="M316" s="739"/>
      <c r="N316" s="739"/>
      <c r="O316" s="739"/>
      <c r="P316" s="739"/>
      <c r="Q316" s="739"/>
      <c r="R316" s="739"/>
      <c r="S316" s="739"/>
    </row>
    <row r="317" spans="1:19" ht="26.25" hidden="1" customHeight="1" x14ac:dyDescent="0.3">
      <c r="A317" s="732">
        <f>'А П 3'!A774:E774</f>
        <v>0</v>
      </c>
      <c r="B317" s="733" t="str">
        <f>'А П 3'!B774:F774</f>
        <v xml:space="preserve">Капитальный ремонт здания Дома культуры «Всеволодово» ф-л МБУК «СДК «Елизаветино» по адресу: с. Всеволодово, военный городок Ногинск-5
</v>
      </c>
      <c r="C317" s="732">
        <f>'А П 3'!C774:G774</f>
        <v>0</v>
      </c>
      <c r="D317" s="732">
        <f>'А П 3'!D774:H774</f>
        <v>0</v>
      </c>
      <c r="E317" s="732">
        <f>'А П 3'!E774:I774</f>
        <v>0</v>
      </c>
      <c r="F317" s="743" t="str">
        <f>'А П 3'!F774:J774</f>
        <v>Итого</v>
      </c>
      <c r="G317" s="738">
        <f>'А П 3'!G774:K774</f>
        <v>72498.490000000005</v>
      </c>
      <c r="H317" s="739">
        <f>'А П 3'!H774:L774</f>
        <v>72498.490000000005</v>
      </c>
      <c r="I317" s="739">
        <f>'А П 3'!I774:M774</f>
        <v>0</v>
      </c>
      <c r="J317" s="739">
        <f>'А П 3'!J774:N774</f>
        <v>0</v>
      </c>
      <c r="K317" s="739">
        <f>'А П 3'!K774:O774</f>
        <v>0</v>
      </c>
      <c r="L317" s="739">
        <f>'А П 3'!L774:P774</f>
        <v>0</v>
      </c>
      <c r="M317" s="739"/>
      <c r="N317" s="739"/>
      <c r="O317" s="739"/>
      <c r="P317" s="739"/>
      <c r="Q317" s="739"/>
      <c r="R317" s="739"/>
      <c r="S317" s="739"/>
    </row>
    <row r="318" spans="1:19" ht="26.25" hidden="1" customHeight="1" x14ac:dyDescent="0.3">
      <c r="A318" s="732">
        <f>'А П 3'!A775:E775</f>
        <v>0</v>
      </c>
      <c r="B318" s="733">
        <f>'А П 3'!B775:F775</f>
        <v>0</v>
      </c>
      <c r="C318" s="732">
        <f>'А П 3'!C775:G775</f>
        <v>0</v>
      </c>
      <c r="D318" s="732">
        <f>'А П 3'!D775:H775</f>
        <v>0</v>
      </c>
      <c r="E318" s="732">
        <f>'А П 3'!E775:I775</f>
        <v>0</v>
      </c>
      <c r="F318" s="743" t="str">
        <f>'А П 3'!F775:J775</f>
        <v>Средства бюджета Московской области</v>
      </c>
      <c r="G318" s="738">
        <f>'А П 3'!G775:K775</f>
        <v>68874</v>
      </c>
      <c r="H318" s="739">
        <f>'А П 3'!H775:L775</f>
        <v>68874</v>
      </c>
      <c r="I318" s="739">
        <f>'А П 3'!I775:M775</f>
        <v>0</v>
      </c>
      <c r="J318" s="739">
        <f>'А П 3'!J775:N775</f>
        <v>0</v>
      </c>
      <c r="K318" s="739">
        <f>'А П 3'!K775:O775</f>
        <v>0</v>
      </c>
      <c r="L318" s="739">
        <f>'А П 3'!L775:P775</f>
        <v>0</v>
      </c>
      <c r="M318" s="739"/>
      <c r="N318" s="739"/>
      <c r="O318" s="739"/>
      <c r="P318" s="739"/>
      <c r="Q318" s="739"/>
      <c r="R318" s="739"/>
      <c r="S318" s="739"/>
    </row>
    <row r="319" spans="1:19" ht="26.25" hidden="1" customHeight="1" x14ac:dyDescent="0.3">
      <c r="A319" s="732">
        <f>'А П 3'!A776:E776</f>
        <v>0</v>
      </c>
      <c r="B319" s="733">
        <f>'А П 3'!B776:F776</f>
        <v>0</v>
      </c>
      <c r="C319" s="732">
        <f>'А П 3'!C776:G776</f>
        <v>0</v>
      </c>
      <c r="D319" s="732">
        <f>'А П 3'!D776:H776</f>
        <v>0</v>
      </c>
      <c r="E319" s="732">
        <f>'А П 3'!E776:I776</f>
        <v>0</v>
      </c>
      <c r="F319" s="743" t="str">
        <f>'А П 3'!F776:J776</f>
        <v>Средства бюджетов муниципальных образований Московской области</v>
      </c>
      <c r="G319" s="738">
        <f>'А П 3'!G776:K776</f>
        <v>3624.49</v>
      </c>
      <c r="H319" s="739">
        <f>'А П 3'!H776:L776</f>
        <v>3624.49</v>
      </c>
      <c r="I319" s="739">
        <f>'А П 3'!I776:M776</f>
        <v>0</v>
      </c>
      <c r="J319" s="739">
        <f>'А П 3'!J776:N776</f>
        <v>0</v>
      </c>
      <c r="K319" s="739">
        <f>'А П 3'!K776:O776</f>
        <v>0</v>
      </c>
      <c r="L319" s="739">
        <f>'А П 3'!L776:P776</f>
        <v>0</v>
      </c>
      <c r="M319" s="739"/>
      <c r="N319" s="739"/>
      <c r="O319" s="739"/>
      <c r="P319" s="739"/>
      <c r="Q319" s="739"/>
      <c r="R319" s="739"/>
      <c r="S319" s="739"/>
    </row>
    <row r="320" spans="1:19" s="750" customFormat="1" ht="26.25" customHeight="1" x14ac:dyDescent="0.3">
      <c r="A320" s="745" t="str">
        <f>'А П 3'!A777:E777</f>
        <v>3.1.2.6</v>
      </c>
      <c r="B320" s="746" t="str">
        <f>'А П 3'!B777:F777</f>
        <v>Дмитровский муниципальный район</v>
      </c>
      <c r="C320" s="745">
        <f>'А П 3'!C777:G777</f>
        <v>0</v>
      </c>
      <c r="D320" s="745">
        <f>'А П 3'!D777:H777</f>
        <v>0</v>
      </c>
      <c r="E320" s="745">
        <f>'А П 3'!E777:I777</f>
        <v>0</v>
      </c>
      <c r="F320" s="747" t="str">
        <f>'А П 3'!F777:J777</f>
        <v>Итого</v>
      </c>
      <c r="G320" s="748">
        <f>'А П 3'!G777:K777</f>
        <v>120643.41</v>
      </c>
      <c r="H320" s="749">
        <f>'А П 3'!H777:L777</f>
        <v>1737</v>
      </c>
      <c r="I320" s="749">
        <f>'А П 3'!I777:M777</f>
        <v>55746.77</v>
      </c>
      <c r="J320" s="749">
        <f>'А П 3'!J777:N777</f>
        <v>63159.64</v>
      </c>
      <c r="K320" s="749">
        <f>'А П 3'!K777:O777</f>
        <v>0</v>
      </c>
      <c r="L320" s="749">
        <f>'А П 3'!L777:P777</f>
        <v>0</v>
      </c>
      <c r="M320" s="749"/>
      <c r="N320" s="749"/>
      <c r="O320" s="749"/>
      <c r="P320" s="749"/>
      <c r="Q320" s="749"/>
      <c r="R320" s="749"/>
      <c r="S320" s="749"/>
    </row>
    <row r="321" spans="1:19" ht="26.25" customHeight="1" x14ac:dyDescent="0.3">
      <c r="A321" s="732"/>
      <c r="B321" s="733"/>
      <c r="C321" s="732">
        <f>'А П 3'!C778:G778</f>
        <v>0</v>
      </c>
      <c r="D321" s="732">
        <f>'А П 3'!D778:H778</f>
        <v>0</v>
      </c>
      <c r="E321" s="732">
        <f>'А П 3'!E778:I778</f>
        <v>0</v>
      </c>
      <c r="F321" s="743" t="str">
        <f>'А П 3'!F778:J778</f>
        <v>Средства бюджета Московской области</v>
      </c>
      <c r="G321" s="738">
        <f>'А П 3'!G778:K778</f>
        <v>112961.64</v>
      </c>
      <c r="H321" s="739">
        <f>'А П 3'!H778:L778</f>
        <v>0</v>
      </c>
      <c r="I321" s="739">
        <f>'А П 3'!I778:M778</f>
        <v>52960</v>
      </c>
      <c r="J321" s="739">
        <f>'А П 3'!J778:N778</f>
        <v>60001.64</v>
      </c>
      <c r="K321" s="739">
        <f>'А П 3'!K778:O778</f>
        <v>0</v>
      </c>
      <c r="L321" s="739">
        <f>'А П 3'!L778:P778</f>
        <v>0</v>
      </c>
      <c r="M321" s="739"/>
      <c r="N321" s="739"/>
      <c r="O321" s="739"/>
      <c r="P321" s="739"/>
      <c r="Q321" s="739"/>
      <c r="R321" s="739"/>
      <c r="S321" s="739"/>
    </row>
    <row r="322" spans="1:19" ht="26.25" customHeight="1" x14ac:dyDescent="0.3">
      <c r="A322" s="732"/>
      <c r="B322" s="733"/>
      <c r="C322" s="732">
        <f>'А П 3'!C779:G779</f>
        <v>0</v>
      </c>
      <c r="D322" s="732">
        <f>'А П 3'!D779:H779</f>
        <v>0</v>
      </c>
      <c r="E322" s="732">
        <f>'А П 3'!E779:I779</f>
        <v>0</v>
      </c>
      <c r="F322" s="743" t="str">
        <f>'А П 3'!F779:J779</f>
        <v>Средства бюджетов муниципальных образований Московской области</v>
      </c>
      <c r="G322" s="738">
        <f>'А П 3'!G779:K779</f>
        <v>7681.77</v>
      </c>
      <c r="H322" s="739">
        <f>'А П 3'!H779:L779</f>
        <v>1737</v>
      </c>
      <c r="I322" s="739">
        <f>'А П 3'!I779:M779</f>
        <v>2786.77</v>
      </c>
      <c r="J322" s="739">
        <f>'А П 3'!J779:N779</f>
        <v>3158</v>
      </c>
      <c r="K322" s="739">
        <f>'А П 3'!K779:O779</f>
        <v>0</v>
      </c>
      <c r="L322" s="739">
        <f>'А П 3'!L779:P779</f>
        <v>0</v>
      </c>
      <c r="M322" s="739"/>
      <c r="N322" s="739"/>
      <c r="O322" s="739"/>
      <c r="P322" s="739"/>
      <c r="Q322" s="739"/>
      <c r="R322" s="739"/>
      <c r="S322" s="739"/>
    </row>
    <row r="323" spans="1:19" ht="26.25" hidden="1" customHeight="1" x14ac:dyDescent="0.3">
      <c r="A323" s="732">
        <f>'А П 3'!A780:E780</f>
        <v>0</v>
      </c>
      <c r="B323" s="733" t="str">
        <f>'А П 3'!B780:F780</f>
        <v>Капитальный ремонт здания Дома культуры "Бригантина" Муниципального бюджетного учреждения  «Культурно - досуговый центр» сельского поселения Габовское Дмитровского муниципального района Московской области, Московская область, Дмитровский р-н, пос. Горки - 25</v>
      </c>
      <c r="C323" s="732">
        <f>'А П 3'!C780:G780</f>
        <v>0</v>
      </c>
      <c r="D323" s="732">
        <f>'А П 3'!D780:H780</f>
        <v>0</v>
      </c>
      <c r="E323" s="732">
        <f>'А П 3'!E780:I780</f>
        <v>0</v>
      </c>
      <c r="F323" s="743" t="str">
        <f>'А П 3'!F780:J780</f>
        <v>Итого</v>
      </c>
      <c r="G323" s="738">
        <f>'А П 3'!G780:K780</f>
        <v>99633.48</v>
      </c>
      <c r="H323" s="739">
        <f>'А П 3'!H780:L780</f>
        <v>1737</v>
      </c>
      <c r="I323" s="739">
        <f>'А П 3'!I780:M780</f>
        <v>34736.839999999997</v>
      </c>
      <c r="J323" s="739">
        <f>'А П 3'!J780:N780</f>
        <v>63159.64</v>
      </c>
      <c r="K323" s="739">
        <f>'А П 3'!K780:O780</f>
        <v>0</v>
      </c>
      <c r="L323" s="739">
        <f>'А П 3'!L780:P780</f>
        <v>0</v>
      </c>
      <c r="M323" s="739"/>
      <c r="N323" s="739"/>
      <c r="O323" s="739"/>
      <c r="P323" s="739"/>
      <c r="Q323" s="739"/>
      <c r="R323" s="739"/>
      <c r="S323" s="739"/>
    </row>
    <row r="324" spans="1:19" ht="26.25" hidden="1" customHeight="1" x14ac:dyDescent="0.3">
      <c r="A324" s="732">
        <f>'А П 3'!A781:E781</f>
        <v>0</v>
      </c>
      <c r="B324" s="733">
        <f>'А П 3'!B781:F781</f>
        <v>0</v>
      </c>
      <c r="C324" s="732">
        <f>'А П 3'!C781:G781</f>
        <v>0</v>
      </c>
      <c r="D324" s="732">
        <f>'А П 3'!D781:H781</f>
        <v>0</v>
      </c>
      <c r="E324" s="732">
        <f>'А П 3'!E781:I781</f>
        <v>0</v>
      </c>
      <c r="F324" s="743" t="str">
        <f>'А П 3'!F781:J781</f>
        <v>Средства бюджета Московской области</v>
      </c>
      <c r="G324" s="738">
        <f>'А П 3'!G781:K781</f>
        <v>93001.64</v>
      </c>
      <c r="H324" s="739">
        <f>'А П 3'!H781:L781</f>
        <v>0</v>
      </c>
      <c r="I324" s="739">
        <f>'А П 3'!I781:M781</f>
        <v>33000</v>
      </c>
      <c r="J324" s="739">
        <f>'А П 3'!J781:N781</f>
        <v>60001.64</v>
      </c>
      <c r="K324" s="739">
        <f>'А П 3'!K781:O781</f>
        <v>0</v>
      </c>
      <c r="L324" s="739">
        <f>'А П 3'!L781:P781</f>
        <v>0</v>
      </c>
      <c r="M324" s="739"/>
      <c r="N324" s="739"/>
      <c r="O324" s="739"/>
      <c r="P324" s="739"/>
      <c r="Q324" s="739"/>
      <c r="R324" s="739"/>
      <c r="S324" s="739"/>
    </row>
    <row r="325" spans="1:19" ht="26.25" hidden="1" customHeight="1" x14ac:dyDescent="0.3">
      <c r="A325" s="732">
        <f>'А П 3'!A782:E782</f>
        <v>0</v>
      </c>
      <c r="B325" s="733">
        <f>'А П 3'!B782:F782</f>
        <v>0</v>
      </c>
      <c r="C325" s="732">
        <f>'А П 3'!C782:G782</f>
        <v>0</v>
      </c>
      <c r="D325" s="732">
        <f>'А П 3'!D782:H782</f>
        <v>0</v>
      </c>
      <c r="E325" s="732">
        <f>'А П 3'!E782:I782</f>
        <v>0</v>
      </c>
      <c r="F325" s="743" t="str">
        <f>'А П 3'!F782:J782</f>
        <v>Средства бюджетов муниципальных образований Московской области</v>
      </c>
      <c r="G325" s="738">
        <f>'А П 3'!G782:K782</f>
        <v>6631.84</v>
      </c>
      <c r="H325" s="739">
        <f>'А П 3'!H782:L782</f>
        <v>1737</v>
      </c>
      <c r="I325" s="739">
        <f>'А П 3'!I782:M782</f>
        <v>1736.84</v>
      </c>
      <c r="J325" s="739">
        <f>'А П 3'!J782:N782</f>
        <v>3158</v>
      </c>
      <c r="K325" s="739">
        <f>'А П 3'!K782:O782</f>
        <v>0</v>
      </c>
      <c r="L325" s="739">
        <f>'А П 3'!L782:P782</f>
        <v>0</v>
      </c>
      <c r="M325" s="739"/>
      <c r="N325" s="739"/>
      <c r="O325" s="739"/>
      <c r="P325" s="739"/>
      <c r="Q325" s="739"/>
      <c r="R325" s="739"/>
      <c r="S325" s="739"/>
    </row>
    <row r="326" spans="1:19" s="750" customFormat="1" ht="26.25" customHeight="1" x14ac:dyDescent="0.3">
      <c r="A326" s="745">
        <f>'А П 3'!A783:E783</f>
        <v>0</v>
      </c>
      <c r="B326" s="746" t="str">
        <f>'А П 3'!B783:F783</f>
        <v>г.п. Некрасовский Дмитровский муниципальный район</v>
      </c>
      <c r="C326" s="745">
        <f>'А П 3'!C783:G783</f>
        <v>0</v>
      </c>
      <c r="D326" s="745">
        <f>'А П 3'!D783:H783</f>
        <v>0</v>
      </c>
      <c r="E326" s="745">
        <f>'А П 3'!E783:I783</f>
        <v>0</v>
      </c>
      <c r="F326" s="747" t="str">
        <f>'А П 3'!F783:J783</f>
        <v>Итого</v>
      </c>
      <c r="G326" s="748">
        <f>'А П 3'!G783:K783</f>
        <v>21009.93</v>
      </c>
      <c r="H326" s="749">
        <f>'А П 3'!H783:L783</f>
        <v>0</v>
      </c>
      <c r="I326" s="749">
        <f>'А П 3'!I783:M783</f>
        <v>21009.93</v>
      </c>
      <c r="J326" s="749">
        <f>'А П 3'!J783:N783</f>
        <v>0</v>
      </c>
      <c r="K326" s="749">
        <f>'А П 3'!K783:O783</f>
        <v>0</v>
      </c>
      <c r="L326" s="749">
        <f>'А П 3'!L783:P783</f>
        <v>0</v>
      </c>
      <c r="M326" s="749"/>
      <c r="N326" s="749"/>
      <c r="O326" s="749"/>
      <c r="P326" s="749"/>
      <c r="Q326" s="749"/>
      <c r="R326" s="749"/>
      <c r="S326" s="749"/>
    </row>
    <row r="327" spans="1:19" ht="26.25" customHeight="1" x14ac:dyDescent="0.3">
      <c r="A327" s="732"/>
      <c r="B327" s="733"/>
      <c r="C327" s="732">
        <f>'А П 3'!C784:G784</f>
        <v>0</v>
      </c>
      <c r="D327" s="732">
        <f>'А П 3'!D784:H784</f>
        <v>0</v>
      </c>
      <c r="E327" s="732">
        <f>'А П 3'!E784:I784</f>
        <v>0</v>
      </c>
      <c r="F327" s="743" t="str">
        <f>'А П 3'!F784:J784</f>
        <v>Средства бюджета Московской области</v>
      </c>
      <c r="G327" s="738">
        <f>'А П 3'!G784:K784</f>
        <v>19960</v>
      </c>
      <c r="H327" s="739">
        <f>'А П 3'!H784:L784</f>
        <v>0</v>
      </c>
      <c r="I327" s="739">
        <f>'А П 3'!I784:M784</f>
        <v>19960</v>
      </c>
      <c r="J327" s="739">
        <f>'А П 3'!J784:N784</f>
        <v>0</v>
      </c>
      <c r="K327" s="739">
        <f>'А П 3'!K784:O784</f>
        <v>0</v>
      </c>
      <c r="L327" s="739">
        <f>'А П 3'!L784:P784</f>
        <v>0</v>
      </c>
      <c r="M327" s="739"/>
      <c r="N327" s="739"/>
      <c r="O327" s="739"/>
      <c r="P327" s="739"/>
      <c r="Q327" s="739"/>
      <c r="R327" s="739"/>
      <c r="S327" s="739"/>
    </row>
    <row r="328" spans="1:19" ht="26.25" customHeight="1" x14ac:dyDescent="0.3">
      <c r="A328" s="732"/>
      <c r="B328" s="733"/>
      <c r="C328" s="732">
        <f>'А П 3'!C785:G785</f>
        <v>0</v>
      </c>
      <c r="D328" s="732">
        <f>'А П 3'!D785:H785</f>
        <v>0</v>
      </c>
      <c r="E328" s="732">
        <f>'А П 3'!E785:I785</f>
        <v>0</v>
      </c>
      <c r="F328" s="743" t="str">
        <f>'А П 3'!F785:J785</f>
        <v>Средства бюджетов муниципальных образований Московской области</v>
      </c>
      <c r="G328" s="738">
        <f>'А П 3'!G785:K785</f>
        <v>1049.93</v>
      </c>
      <c r="H328" s="739">
        <f>'А П 3'!H785:L785</f>
        <v>0</v>
      </c>
      <c r="I328" s="739">
        <f>'А П 3'!I785:M785</f>
        <v>1049.93</v>
      </c>
      <c r="J328" s="739">
        <f>'А П 3'!J785:N785</f>
        <v>0</v>
      </c>
      <c r="K328" s="739">
        <f>'А П 3'!K785:O785</f>
        <v>0</v>
      </c>
      <c r="L328" s="739">
        <f>'А П 3'!L785:P785</f>
        <v>0</v>
      </c>
      <c r="M328" s="739"/>
      <c r="N328" s="739"/>
      <c r="O328" s="739"/>
      <c r="P328" s="739"/>
      <c r="Q328" s="739"/>
      <c r="R328" s="739"/>
      <c r="S328" s="739"/>
    </row>
    <row r="329" spans="1:19" ht="26.25" hidden="1" customHeight="1" x14ac:dyDescent="0.3">
      <c r="A329" s="732">
        <f>'А П 3'!A786:E786</f>
        <v>0</v>
      </c>
      <c r="B329" s="733" t="str">
        <f>'А П 3'!B786:F786</f>
        <v>Капремонт ДК в п. Некрасовский мкр Трудовая Дмитровский м.р.</v>
      </c>
      <c r="C329" s="732">
        <f>'А П 3'!C786:G786</f>
        <v>0</v>
      </c>
      <c r="D329" s="732">
        <f>'А П 3'!D786:H786</f>
        <v>0</v>
      </c>
      <c r="E329" s="732">
        <f>'А П 3'!E786:I786</f>
        <v>0</v>
      </c>
      <c r="F329" s="743" t="str">
        <f>'А П 3'!F786:J786</f>
        <v>Итого</v>
      </c>
      <c r="G329" s="738">
        <f>'А П 3'!G786:K786</f>
        <v>21009.93</v>
      </c>
      <c r="H329" s="739">
        <f>'А П 3'!H786:L786</f>
        <v>0</v>
      </c>
      <c r="I329" s="739">
        <f>'А П 3'!I786:M786</f>
        <v>21009.93</v>
      </c>
      <c r="J329" s="739">
        <f>'А П 3'!J786:N786</f>
        <v>0</v>
      </c>
      <c r="K329" s="739">
        <f>'А П 3'!K786:O786</f>
        <v>0</v>
      </c>
      <c r="L329" s="739">
        <f>'А П 3'!L786:P786</f>
        <v>0</v>
      </c>
      <c r="M329" s="739"/>
      <c r="N329" s="739"/>
      <c r="O329" s="739"/>
      <c r="P329" s="739"/>
      <c r="Q329" s="739"/>
      <c r="R329" s="739"/>
      <c r="S329" s="739"/>
    </row>
    <row r="330" spans="1:19" ht="26.25" hidden="1" customHeight="1" x14ac:dyDescent="0.3">
      <c r="A330" s="732">
        <f>'А П 3'!A787:E787</f>
        <v>0</v>
      </c>
      <c r="B330" s="733">
        <f>'А П 3'!B787:F787</f>
        <v>0</v>
      </c>
      <c r="C330" s="732">
        <f>'А П 3'!C787:G787</f>
        <v>0</v>
      </c>
      <c r="D330" s="732">
        <f>'А П 3'!D787:H787</f>
        <v>0</v>
      </c>
      <c r="E330" s="732">
        <f>'А П 3'!E787:I787</f>
        <v>0</v>
      </c>
      <c r="F330" s="743" t="str">
        <f>'А П 3'!F787:J787</f>
        <v>Средства бюджета Московской области</v>
      </c>
      <c r="G330" s="738">
        <f>'А П 3'!G787:K787</f>
        <v>19960</v>
      </c>
      <c r="H330" s="739">
        <f>'А П 3'!H787:L787</f>
        <v>0</v>
      </c>
      <c r="I330" s="739">
        <f>'А П 3'!I787:M787</f>
        <v>19960</v>
      </c>
      <c r="J330" s="739">
        <f>'А П 3'!J787:N787</f>
        <v>0</v>
      </c>
      <c r="K330" s="739">
        <f>'А П 3'!K787:O787</f>
        <v>0</v>
      </c>
      <c r="L330" s="739">
        <f>'А П 3'!L787:P787</f>
        <v>0</v>
      </c>
      <c r="M330" s="739"/>
      <c r="N330" s="739"/>
      <c r="O330" s="739"/>
      <c r="P330" s="739"/>
      <c r="Q330" s="739"/>
      <c r="R330" s="739"/>
      <c r="S330" s="739"/>
    </row>
    <row r="331" spans="1:19" ht="26.25" hidden="1" customHeight="1" x14ac:dyDescent="0.3">
      <c r="A331" s="732">
        <f>'А П 3'!A788:E788</f>
        <v>0</v>
      </c>
      <c r="B331" s="733">
        <f>'А П 3'!B788:F788</f>
        <v>0</v>
      </c>
      <c r="C331" s="732">
        <f>'А П 3'!C788:G788</f>
        <v>0</v>
      </c>
      <c r="D331" s="732">
        <f>'А П 3'!D788:H788</f>
        <v>0</v>
      </c>
      <c r="E331" s="732">
        <f>'А П 3'!E788:I788</f>
        <v>0</v>
      </c>
      <c r="F331" s="743" t="str">
        <f>'А П 3'!F788:J788</f>
        <v>Средства бюджетов муниципальных образований Московской области</v>
      </c>
      <c r="G331" s="738">
        <f>'А П 3'!G788:K788</f>
        <v>1049.93</v>
      </c>
      <c r="H331" s="739">
        <f>'А П 3'!H788:L788</f>
        <v>0</v>
      </c>
      <c r="I331" s="739">
        <f>'А П 3'!I788:M788</f>
        <v>1049.93</v>
      </c>
      <c r="J331" s="739">
        <f>'А П 3'!J788:N788</f>
        <v>0</v>
      </c>
      <c r="K331" s="739">
        <f>'А П 3'!K788:O788</f>
        <v>0</v>
      </c>
      <c r="L331" s="739">
        <f>'А П 3'!L788:P788</f>
        <v>0</v>
      </c>
      <c r="M331" s="739"/>
      <c r="N331" s="739"/>
      <c r="O331" s="739"/>
      <c r="P331" s="739"/>
      <c r="Q331" s="739"/>
      <c r="R331" s="739"/>
      <c r="S331" s="739"/>
    </row>
    <row r="332" spans="1:19" s="750" customFormat="1" ht="26.25" customHeight="1" x14ac:dyDescent="0.3">
      <c r="A332" s="745" t="str">
        <f>'А П 3'!A789:E789</f>
        <v>3.1.2.7</v>
      </c>
      <c r="B332" s="746" t="str">
        <f>'А П 3'!B789:F789</f>
        <v>городской округ Ступино</v>
      </c>
      <c r="C332" s="745">
        <f>'А П 3'!C789:G789</f>
        <v>0</v>
      </c>
      <c r="D332" s="745">
        <f>'А П 3'!D789:H789</f>
        <v>0</v>
      </c>
      <c r="E332" s="745">
        <f>'А П 3'!E789:I789</f>
        <v>0</v>
      </c>
      <c r="F332" s="747" t="str">
        <f>'А П 3'!F789:J789</f>
        <v>Итого</v>
      </c>
      <c r="G332" s="748">
        <f>'А П 3'!G789:K789</f>
        <v>12323.7</v>
      </c>
      <c r="H332" s="749">
        <f>'А П 3'!H789:L789</f>
        <v>587</v>
      </c>
      <c r="I332" s="749">
        <f>'А П 3'!I789:M789</f>
        <v>11736.7</v>
      </c>
      <c r="J332" s="749">
        <f>'А П 3'!J789:N789</f>
        <v>0</v>
      </c>
      <c r="K332" s="749">
        <f>'А П 3'!K789:O789</f>
        <v>0</v>
      </c>
      <c r="L332" s="749">
        <f>'А П 3'!L789:P789</f>
        <v>0</v>
      </c>
      <c r="M332" s="749"/>
      <c r="N332" s="749"/>
      <c r="O332" s="749"/>
      <c r="P332" s="749"/>
      <c r="Q332" s="749"/>
      <c r="R332" s="749"/>
      <c r="S332" s="749"/>
    </row>
    <row r="333" spans="1:19" ht="26.25" customHeight="1" x14ac:dyDescent="0.3">
      <c r="A333" s="732"/>
      <c r="B333" s="733"/>
      <c r="C333" s="732">
        <f>'А П 3'!C790:G790</f>
        <v>0</v>
      </c>
      <c r="D333" s="732">
        <f>'А П 3'!D790:H790</f>
        <v>0</v>
      </c>
      <c r="E333" s="732">
        <f>'А П 3'!E790:I790</f>
        <v>0</v>
      </c>
      <c r="F333" s="743" t="str">
        <f>'А П 3'!F790:J790</f>
        <v>Средства бюджета Московской области</v>
      </c>
      <c r="G333" s="738">
        <f>'А П 3'!G790:K790</f>
        <v>11149.9</v>
      </c>
      <c r="H333" s="739">
        <f>'А П 3'!H790:L790</f>
        <v>0</v>
      </c>
      <c r="I333" s="739">
        <f>'А П 3'!I790:M790</f>
        <v>11149.9</v>
      </c>
      <c r="J333" s="739">
        <f>'А П 3'!J790:N790</f>
        <v>0</v>
      </c>
      <c r="K333" s="739">
        <f>'А П 3'!K790:O790</f>
        <v>0</v>
      </c>
      <c r="L333" s="739">
        <f>'А П 3'!L790:P790</f>
        <v>0</v>
      </c>
      <c r="M333" s="739"/>
      <c r="N333" s="739"/>
      <c r="O333" s="739"/>
      <c r="P333" s="739"/>
      <c r="Q333" s="739"/>
      <c r="R333" s="739"/>
      <c r="S333" s="739"/>
    </row>
    <row r="334" spans="1:19" ht="26.25" customHeight="1" x14ac:dyDescent="0.3">
      <c r="A334" s="732"/>
      <c r="B334" s="733"/>
      <c r="C334" s="732">
        <f>'А П 3'!C791:G791</f>
        <v>0</v>
      </c>
      <c r="D334" s="732">
        <f>'А П 3'!D791:H791</f>
        <v>0</v>
      </c>
      <c r="E334" s="732">
        <f>'А П 3'!E791:I791</f>
        <v>0</v>
      </c>
      <c r="F334" s="743" t="str">
        <f>'А П 3'!F791:J791</f>
        <v>Средства бюджетов муниципальных образований Московской области</v>
      </c>
      <c r="G334" s="738">
        <f>'А П 3'!G791:K791</f>
        <v>1173.8</v>
      </c>
      <c r="H334" s="739">
        <f>'А П 3'!H791:L791</f>
        <v>587</v>
      </c>
      <c r="I334" s="739">
        <f>'А П 3'!I791:M791</f>
        <v>586.79999999999995</v>
      </c>
      <c r="J334" s="739">
        <f>'А П 3'!J791:N791</f>
        <v>0</v>
      </c>
      <c r="K334" s="739">
        <f>'А П 3'!K791:O791</f>
        <v>0</v>
      </c>
      <c r="L334" s="739">
        <f>'А П 3'!L791:P791</f>
        <v>0</v>
      </c>
      <c r="M334" s="739"/>
      <c r="N334" s="739"/>
      <c r="O334" s="739"/>
      <c r="P334" s="739"/>
      <c r="Q334" s="739"/>
      <c r="R334" s="739"/>
      <c r="S334" s="739"/>
    </row>
    <row r="335" spans="1:19" ht="26.25" hidden="1" customHeight="1" x14ac:dyDescent="0.3">
      <c r="A335" s="732">
        <f>'А П 3'!A792:E792</f>
        <v>0</v>
      </c>
      <c r="B335" s="733" t="str">
        <f>'А П 3'!B792:F792</f>
        <v xml:space="preserve">Капитальный ремонт здания МАОУ ДОД "Мещеринская ДМШ", с. Мещерино – 1 г.о. Ступино </v>
      </c>
      <c r="C335" s="732">
        <f>'А П 3'!C792:G792</f>
        <v>0</v>
      </c>
      <c r="D335" s="732">
        <f>'А П 3'!D792:H792</f>
        <v>0</v>
      </c>
      <c r="E335" s="732">
        <f>'А П 3'!E792:I792</f>
        <v>0</v>
      </c>
      <c r="F335" s="743" t="str">
        <f>'А П 3'!F792:J792</f>
        <v>Итого</v>
      </c>
      <c r="G335" s="738">
        <f>'А П 3'!G792:K792</f>
        <v>12323.7</v>
      </c>
      <c r="H335" s="739">
        <f>'А П 3'!H792:L792</f>
        <v>587</v>
      </c>
      <c r="I335" s="739">
        <f>'А П 3'!I792:M792</f>
        <v>11736.7</v>
      </c>
      <c r="J335" s="739">
        <f>'А П 3'!J792:N792</f>
        <v>0</v>
      </c>
      <c r="K335" s="739">
        <f>'А П 3'!K792:O792</f>
        <v>0</v>
      </c>
      <c r="L335" s="739">
        <f>'А П 3'!L792:P792</f>
        <v>0</v>
      </c>
      <c r="M335" s="739"/>
      <c r="N335" s="739"/>
      <c r="O335" s="739"/>
      <c r="P335" s="739"/>
      <c r="Q335" s="739"/>
      <c r="R335" s="739"/>
      <c r="S335" s="739"/>
    </row>
    <row r="336" spans="1:19" ht="26.25" hidden="1" customHeight="1" x14ac:dyDescent="0.3">
      <c r="A336" s="732">
        <f>'А П 3'!A793:E793</f>
        <v>0</v>
      </c>
      <c r="B336" s="733">
        <f>'А П 3'!B793:F793</f>
        <v>0</v>
      </c>
      <c r="C336" s="732">
        <f>'А П 3'!C793:G793</f>
        <v>0</v>
      </c>
      <c r="D336" s="732">
        <f>'А П 3'!D793:H793</f>
        <v>0</v>
      </c>
      <c r="E336" s="732">
        <f>'А П 3'!E793:I793</f>
        <v>0</v>
      </c>
      <c r="F336" s="743" t="str">
        <f>'А П 3'!F793:J793</f>
        <v>Средства бюджета Московской области</v>
      </c>
      <c r="G336" s="738">
        <f>'А П 3'!G793:K793</f>
        <v>11149.9</v>
      </c>
      <c r="H336" s="739">
        <f>'А П 3'!H793:L793</f>
        <v>0</v>
      </c>
      <c r="I336" s="739">
        <f>'А П 3'!I793:M793</f>
        <v>11149.9</v>
      </c>
      <c r="J336" s="739">
        <f>'А П 3'!J793:N793</f>
        <v>0</v>
      </c>
      <c r="K336" s="739">
        <f>'А П 3'!K793:O793</f>
        <v>0</v>
      </c>
      <c r="L336" s="739">
        <f>'А П 3'!L793:P793</f>
        <v>0</v>
      </c>
      <c r="M336" s="739"/>
      <c r="N336" s="739"/>
      <c r="O336" s="739"/>
      <c r="P336" s="739"/>
      <c r="Q336" s="739"/>
      <c r="R336" s="739"/>
      <c r="S336" s="739"/>
    </row>
    <row r="337" spans="1:19" ht="26.25" hidden="1" customHeight="1" x14ac:dyDescent="0.3">
      <c r="A337" s="732">
        <f>'А П 3'!A794:E794</f>
        <v>0</v>
      </c>
      <c r="B337" s="733">
        <f>'А П 3'!B794:F794</f>
        <v>0</v>
      </c>
      <c r="C337" s="732">
        <f>'А П 3'!C794:G794</f>
        <v>0</v>
      </c>
      <c r="D337" s="732">
        <f>'А П 3'!D794:H794</f>
        <v>0</v>
      </c>
      <c r="E337" s="732">
        <f>'А П 3'!E794:I794</f>
        <v>0</v>
      </c>
      <c r="F337" s="743" t="str">
        <f>'А П 3'!F794:J794</f>
        <v>Средства бюджетов муниципальных образований Московской области</v>
      </c>
      <c r="G337" s="738">
        <f>'А П 3'!G794:K794</f>
        <v>1173.8</v>
      </c>
      <c r="H337" s="739">
        <f>'А П 3'!H794:L794</f>
        <v>587</v>
      </c>
      <c r="I337" s="739">
        <f>'А П 3'!I794:M794</f>
        <v>586.79999999999995</v>
      </c>
      <c r="J337" s="739">
        <f>'А П 3'!J794:N794</f>
        <v>0</v>
      </c>
      <c r="K337" s="739">
        <f>'А П 3'!K794:O794</f>
        <v>0</v>
      </c>
      <c r="L337" s="739">
        <f>'А П 3'!L794:P794</f>
        <v>0</v>
      </c>
      <c r="M337" s="739"/>
      <c r="N337" s="739"/>
      <c r="O337" s="739"/>
      <c r="P337" s="739"/>
      <c r="Q337" s="739"/>
      <c r="R337" s="739"/>
      <c r="S337" s="739"/>
    </row>
    <row r="338" spans="1:19" s="750" customFormat="1" ht="26.25" customHeight="1" x14ac:dyDescent="0.3">
      <c r="A338" s="745" t="str">
        <f>'А П 3'!A795:E795</f>
        <v>3.1.2.8</v>
      </c>
      <c r="B338" s="746" t="str">
        <f>'А П 3'!B795:F795</f>
        <v>городской округ Балашиха</v>
      </c>
      <c r="C338" s="745">
        <f>'А П 3'!C795:G795</f>
        <v>0</v>
      </c>
      <c r="D338" s="745">
        <f>'А П 3'!D795:H795</f>
        <v>0</v>
      </c>
      <c r="E338" s="745">
        <f>'А П 3'!E795:I795</f>
        <v>0</v>
      </c>
      <c r="F338" s="747" t="str">
        <f>'А П 3'!F795:J795</f>
        <v>Итого</v>
      </c>
      <c r="G338" s="748">
        <f>'А П 3'!G795:K795</f>
        <v>69520.2</v>
      </c>
      <c r="H338" s="749">
        <f>'А П 3'!H795:L795</f>
        <v>2149</v>
      </c>
      <c r="I338" s="749">
        <f>'А П 3'!I795:M795</f>
        <v>44128.4</v>
      </c>
      <c r="J338" s="749">
        <f>'А П 3'!J795:N795</f>
        <v>23242.799999999999</v>
      </c>
      <c r="K338" s="749">
        <f>'А П 3'!K795:O795</f>
        <v>0</v>
      </c>
      <c r="L338" s="749">
        <f>'А П 3'!L795:P795</f>
        <v>0</v>
      </c>
      <c r="M338" s="749"/>
      <c r="N338" s="749"/>
      <c r="O338" s="749"/>
      <c r="P338" s="749"/>
      <c r="Q338" s="749"/>
      <c r="R338" s="749"/>
      <c r="S338" s="749"/>
    </row>
    <row r="339" spans="1:19" ht="26.25" customHeight="1" x14ac:dyDescent="0.3">
      <c r="A339" s="732"/>
      <c r="B339" s="733"/>
      <c r="C339" s="732">
        <f>'А П 3'!C796:G796</f>
        <v>0</v>
      </c>
      <c r="D339" s="732">
        <f>'А П 3'!D796:H796</f>
        <v>0</v>
      </c>
      <c r="E339" s="732">
        <f>'А П 3'!E796:I796</f>
        <v>0</v>
      </c>
      <c r="F339" s="743" t="str">
        <f>'А П 3'!F796:J796</f>
        <v>Средства бюджета Московской области</v>
      </c>
      <c r="G339" s="738">
        <f>'А П 3'!G796:K796</f>
        <v>62897.760000000002</v>
      </c>
      <c r="H339" s="739">
        <f>'А П 3'!H796:L796</f>
        <v>0</v>
      </c>
      <c r="I339" s="739">
        <f>'А П 3'!I796:M796</f>
        <v>40817.1</v>
      </c>
      <c r="J339" s="739">
        <f>'А П 3'!J796:N796</f>
        <v>22080.66</v>
      </c>
      <c r="K339" s="739">
        <f>'А П 3'!K796:O796</f>
        <v>0</v>
      </c>
      <c r="L339" s="739">
        <f>'А П 3'!L796:P796</f>
        <v>0</v>
      </c>
      <c r="M339" s="739"/>
      <c r="N339" s="739"/>
      <c r="O339" s="739"/>
      <c r="P339" s="739"/>
      <c r="Q339" s="739"/>
      <c r="R339" s="739"/>
      <c r="S339" s="739"/>
    </row>
    <row r="340" spans="1:19" ht="26.25" customHeight="1" x14ac:dyDescent="0.3">
      <c r="A340" s="732"/>
      <c r="B340" s="733"/>
      <c r="C340" s="732">
        <f>'А П 3'!C797:G797</f>
        <v>0</v>
      </c>
      <c r="D340" s="732">
        <f>'А П 3'!D797:H797</f>
        <v>0</v>
      </c>
      <c r="E340" s="732">
        <f>'А П 3'!E797:I797</f>
        <v>0</v>
      </c>
      <c r="F340" s="743" t="str">
        <f>'А П 3'!F797:J797</f>
        <v>Средства бюджетов муниципальных образований Московской области</v>
      </c>
      <c r="G340" s="738">
        <f>'А П 3'!G797:K797</f>
        <v>6622.44</v>
      </c>
      <c r="H340" s="739">
        <f>'А П 3'!H797:L797</f>
        <v>2149</v>
      </c>
      <c r="I340" s="739">
        <f>'А П 3'!I797:M797</f>
        <v>3311.3</v>
      </c>
      <c r="J340" s="739">
        <f>'А П 3'!J797:N797</f>
        <v>1162.1400000000001</v>
      </c>
      <c r="K340" s="739">
        <f>'А П 3'!K797:O797</f>
        <v>0</v>
      </c>
      <c r="L340" s="739">
        <f>'А П 3'!L797:P797</f>
        <v>0</v>
      </c>
      <c r="M340" s="739"/>
      <c r="N340" s="739"/>
      <c r="O340" s="739"/>
      <c r="P340" s="739"/>
      <c r="Q340" s="739"/>
      <c r="R340" s="739"/>
      <c r="S340" s="739"/>
    </row>
    <row r="341" spans="1:19" ht="26.25" hidden="1" customHeight="1" x14ac:dyDescent="0.3">
      <c r="A341" s="732">
        <f>'А П 3'!A798:E798</f>
        <v>0</v>
      </c>
      <c r="B341" s="733" t="str">
        <f>'А П 3'!B798:F798</f>
        <v>Капремонт здания КДЦ "Заря" МБУК "КД" " Заря" мкр. Заря г.о. Балашиха</v>
      </c>
      <c r="C341" s="732">
        <f>'А П 3'!C798:G798</f>
        <v>0</v>
      </c>
      <c r="D341" s="732">
        <f>'А П 3'!D798:H798</f>
        <v>0</v>
      </c>
      <c r="E341" s="732">
        <f>'А П 3'!E798:I798</f>
        <v>0</v>
      </c>
      <c r="F341" s="743" t="str">
        <f>'А П 3'!F798:J798</f>
        <v>Итого</v>
      </c>
      <c r="G341" s="738">
        <f>'А П 3'!G798:K798</f>
        <v>24405.8</v>
      </c>
      <c r="H341" s="739">
        <f>'А П 3'!H798:L798</f>
        <v>0</v>
      </c>
      <c r="I341" s="739">
        <f>'А П 3'!I798:M798</f>
        <v>1163</v>
      </c>
      <c r="J341" s="739">
        <f>'А П 3'!J798:N798</f>
        <v>23242.799999999999</v>
      </c>
      <c r="K341" s="739">
        <f>'А П 3'!K798:O798</f>
        <v>0</v>
      </c>
      <c r="L341" s="739">
        <f>'А П 3'!L798:P798</f>
        <v>0</v>
      </c>
      <c r="M341" s="739"/>
      <c r="N341" s="739"/>
      <c r="O341" s="739"/>
      <c r="P341" s="739"/>
      <c r="Q341" s="739"/>
      <c r="R341" s="739"/>
      <c r="S341" s="739"/>
    </row>
    <row r="342" spans="1:19" ht="26.25" hidden="1" customHeight="1" x14ac:dyDescent="0.3">
      <c r="A342" s="732">
        <f>'А П 3'!A799:E799</f>
        <v>0</v>
      </c>
      <c r="B342" s="733">
        <f>'А П 3'!B799:F799</f>
        <v>0</v>
      </c>
      <c r="C342" s="732">
        <f>'А П 3'!C799:G799</f>
        <v>0</v>
      </c>
      <c r="D342" s="732">
        <f>'А П 3'!D799:H799</f>
        <v>0</v>
      </c>
      <c r="E342" s="732">
        <f>'А П 3'!E799:I799</f>
        <v>0</v>
      </c>
      <c r="F342" s="743" t="str">
        <f>'А П 3'!F799:J799</f>
        <v>Средства бюджета Московской области</v>
      </c>
      <c r="G342" s="738">
        <f>'А П 3'!G799:K799</f>
        <v>22080.66</v>
      </c>
      <c r="H342" s="739">
        <f>'А П 3'!H799:L799</f>
        <v>0</v>
      </c>
      <c r="I342" s="739">
        <f>'А П 3'!I799:M799</f>
        <v>0</v>
      </c>
      <c r="J342" s="739">
        <f>'А П 3'!J799:N799</f>
        <v>22080.66</v>
      </c>
      <c r="K342" s="739">
        <f>'А П 3'!K799:O799</f>
        <v>0</v>
      </c>
      <c r="L342" s="739">
        <f>'А П 3'!L799:P799</f>
        <v>0</v>
      </c>
      <c r="M342" s="739"/>
      <c r="N342" s="739"/>
      <c r="O342" s="739"/>
      <c r="P342" s="739"/>
      <c r="Q342" s="739"/>
      <c r="R342" s="739"/>
      <c r="S342" s="739"/>
    </row>
    <row r="343" spans="1:19" ht="26.25" hidden="1" customHeight="1" x14ac:dyDescent="0.3">
      <c r="A343" s="732">
        <f>'А П 3'!A800:E800</f>
        <v>0</v>
      </c>
      <c r="B343" s="733">
        <f>'А П 3'!B800:F800</f>
        <v>0</v>
      </c>
      <c r="C343" s="732">
        <f>'А П 3'!C800:G800</f>
        <v>0</v>
      </c>
      <c r="D343" s="732">
        <f>'А П 3'!D800:H800</f>
        <v>0</v>
      </c>
      <c r="E343" s="732">
        <f>'А П 3'!E800:I800</f>
        <v>0</v>
      </c>
      <c r="F343" s="743" t="str">
        <f>'А П 3'!F800:J800</f>
        <v>Средства бюджетов муниципальных образований Московской области</v>
      </c>
      <c r="G343" s="738">
        <f>'А П 3'!G800:K800</f>
        <v>2325.14</v>
      </c>
      <c r="H343" s="739">
        <f>'А П 3'!H800:L800</f>
        <v>0</v>
      </c>
      <c r="I343" s="739">
        <f>'А П 3'!I800:M800</f>
        <v>1163</v>
      </c>
      <c r="J343" s="739">
        <f>'А П 3'!J800:N800</f>
        <v>1162.1400000000001</v>
      </c>
      <c r="K343" s="739">
        <f>'А П 3'!K800:O800</f>
        <v>0</v>
      </c>
      <c r="L343" s="739">
        <f>'А П 3'!L800:P800</f>
        <v>0</v>
      </c>
      <c r="M343" s="739"/>
      <c r="N343" s="739"/>
      <c r="O343" s="739"/>
      <c r="P343" s="739"/>
      <c r="Q343" s="739"/>
      <c r="R343" s="739"/>
      <c r="S343" s="739"/>
    </row>
    <row r="344" spans="1:19" ht="26.25" hidden="1" customHeight="1" x14ac:dyDescent="0.3">
      <c r="A344" s="732">
        <f>'А П 3'!A801:E801</f>
        <v>0</v>
      </c>
      <c r="B344" s="733" t="str">
        <f>'А П 3'!B801:F801</f>
        <v>Капремонт здания ДК "Северный" МБУК КДЦ "Заря" мкр. Северный г.о. Балашиха</v>
      </c>
      <c r="C344" s="732">
        <f>'А П 3'!C801:G801</f>
        <v>0</v>
      </c>
      <c r="D344" s="732">
        <f>'А П 3'!D801:H801</f>
        <v>0</v>
      </c>
      <c r="E344" s="732">
        <f>'А П 3'!E801:I801</f>
        <v>0</v>
      </c>
      <c r="F344" s="743" t="str">
        <f>'А П 3'!F801:J801</f>
        <v>Итого</v>
      </c>
      <c r="G344" s="738">
        <f>'А П 3'!G801:K801</f>
        <v>45114.400000000001</v>
      </c>
      <c r="H344" s="739">
        <f>'А П 3'!H801:L801</f>
        <v>2149</v>
      </c>
      <c r="I344" s="739">
        <f>'А П 3'!I801:M801</f>
        <v>42965.4</v>
      </c>
      <c r="J344" s="739">
        <f>'А П 3'!J801:N801</f>
        <v>0</v>
      </c>
      <c r="K344" s="739">
        <f>'А П 3'!K801:O801</f>
        <v>0</v>
      </c>
      <c r="L344" s="739">
        <f>'А П 3'!L801:P801</f>
        <v>0</v>
      </c>
      <c r="M344" s="739"/>
      <c r="N344" s="739"/>
      <c r="O344" s="739"/>
      <c r="P344" s="739"/>
      <c r="Q344" s="739"/>
      <c r="R344" s="739"/>
      <c r="S344" s="739"/>
    </row>
    <row r="345" spans="1:19" ht="26.25" hidden="1" customHeight="1" x14ac:dyDescent="0.3">
      <c r="A345" s="732">
        <f>'А П 3'!A802:E802</f>
        <v>0</v>
      </c>
      <c r="B345" s="733">
        <f>'А П 3'!B802:F802</f>
        <v>0</v>
      </c>
      <c r="C345" s="732">
        <f>'А П 3'!C802:G802</f>
        <v>0</v>
      </c>
      <c r="D345" s="732">
        <f>'А П 3'!D802:H802</f>
        <v>0</v>
      </c>
      <c r="E345" s="732">
        <f>'А П 3'!E802:I802</f>
        <v>0</v>
      </c>
      <c r="F345" s="743" t="str">
        <f>'А П 3'!F802:J802</f>
        <v>Средства бюджета Московской области</v>
      </c>
      <c r="G345" s="738">
        <f>'А П 3'!G802:K802</f>
        <v>40817.1</v>
      </c>
      <c r="H345" s="739">
        <f>'А П 3'!H802:L802</f>
        <v>0</v>
      </c>
      <c r="I345" s="739">
        <f>'А П 3'!I802:M802</f>
        <v>40817.1</v>
      </c>
      <c r="J345" s="739">
        <f>'А П 3'!J802:N802</f>
        <v>0</v>
      </c>
      <c r="K345" s="739">
        <f>'А П 3'!K802:O802</f>
        <v>0</v>
      </c>
      <c r="L345" s="739">
        <f>'А П 3'!L802:P802</f>
        <v>0</v>
      </c>
      <c r="M345" s="739"/>
      <c r="N345" s="739"/>
      <c r="O345" s="739"/>
      <c r="P345" s="739"/>
      <c r="Q345" s="739"/>
      <c r="R345" s="739"/>
      <c r="S345" s="739"/>
    </row>
    <row r="346" spans="1:19" ht="26.25" hidden="1" customHeight="1" x14ac:dyDescent="0.3">
      <c r="A346" s="732">
        <f>'А П 3'!A803:E803</f>
        <v>0</v>
      </c>
      <c r="B346" s="733">
        <f>'А П 3'!B803:F803</f>
        <v>0</v>
      </c>
      <c r="C346" s="732">
        <f>'А П 3'!C803:G803</f>
        <v>0</v>
      </c>
      <c r="D346" s="732">
        <f>'А П 3'!D803:H803</f>
        <v>0</v>
      </c>
      <c r="E346" s="732">
        <f>'А П 3'!E803:I803</f>
        <v>0</v>
      </c>
      <c r="F346" s="743" t="str">
        <f>'А П 3'!F803:J803</f>
        <v>Средства бюджетов муниципальных образований Московской области</v>
      </c>
      <c r="G346" s="738">
        <f>'А П 3'!G803:K803</f>
        <v>4297.3</v>
      </c>
      <c r="H346" s="739">
        <f>'А П 3'!H803:L803</f>
        <v>2149</v>
      </c>
      <c r="I346" s="739">
        <f>'А П 3'!I803:M803</f>
        <v>2148.3000000000002</v>
      </c>
      <c r="J346" s="739">
        <f>'А П 3'!J803:N803</f>
        <v>0</v>
      </c>
      <c r="K346" s="739">
        <f>'А П 3'!K803:O803</f>
        <v>0</v>
      </c>
      <c r="L346" s="739">
        <f>'А П 3'!L803:P803</f>
        <v>0</v>
      </c>
      <c r="M346" s="739"/>
      <c r="N346" s="739"/>
      <c r="O346" s="739"/>
      <c r="P346" s="739"/>
      <c r="Q346" s="739"/>
      <c r="R346" s="739"/>
      <c r="S346" s="739"/>
    </row>
    <row r="347" spans="1:19" s="750" customFormat="1" ht="26.25" customHeight="1" x14ac:dyDescent="0.3">
      <c r="A347" s="745" t="str">
        <f>'А П 3'!A804:E804</f>
        <v>3.1.2.9</v>
      </c>
      <c r="B347" s="746" t="str">
        <f>'А П 3'!B804:F804</f>
        <v>городской округ Домодедово</v>
      </c>
      <c r="C347" s="745">
        <f>'А П 3'!C804:G804</f>
        <v>0</v>
      </c>
      <c r="D347" s="745">
        <f>'А П 3'!D804:H804</f>
        <v>0</v>
      </c>
      <c r="E347" s="745">
        <f>'А П 3'!E804:I804</f>
        <v>0</v>
      </c>
      <c r="F347" s="747" t="str">
        <f>'А П 3'!F804:J804</f>
        <v>Итого</v>
      </c>
      <c r="G347" s="748">
        <f>'А П 3'!G804:K804</f>
        <v>38554.089999999997</v>
      </c>
      <c r="H347" s="749">
        <f>'А П 3'!H804:L804</f>
        <v>0</v>
      </c>
      <c r="I347" s="749">
        <f>'А П 3'!I804:M804</f>
        <v>1836</v>
      </c>
      <c r="J347" s="749">
        <f>'А П 3'!J804:N804</f>
        <v>36718.089999999997</v>
      </c>
      <c r="K347" s="749">
        <f>'А П 3'!K804:O804</f>
        <v>0</v>
      </c>
      <c r="L347" s="749">
        <f>'А П 3'!L804:P804</f>
        <v>0</v>
      </c>
      <c r="M347" s="749"/>
      <c r="N347" s="749"/>
      <c r="O347" s="749"/>
      <c r="P347" s="749"/>
      <c r="Q347" s="749"/>
      <c r="R347" s="749"/>
      <c r="S347" s="749"/>
    </row>
    <row r="348" spans="1:19" ht="26.25" customHeight="1" x14ac:dyDescent="0.3">
      <c r="A348" s="732"/>
      <c r="B348" s="733"/>
      <c r="C348" s="732">
        <f>'А П 3'!C805:G805</f>
        <v>0</v>
      </c>
      <c r="D348" s="732">
        <f>'А П 3'!D805:H805</f>
        <v>0</v>
      </c>
      <c r="E348" s="732">
        <f>'А П 3'!E805:I805</f>
        <v>0</v>
      </c>
      <c r="F348" s="743" t="str">
        <f>'А П 3'!F805:J805</f>
        <v>Средства бюджета Московской области</v>
      </c>
      <c r="G348" s="738">
        <f>'А П 3'!G805:K805</f>
        <v>34882.19</v>
      </c>
      <c r="H348" s="739">
        <f>'А П 3'!H805:L805</f>
        <v>0</v>
      </c>
      <c r="I348" s="739">
        <f>'А П 3'!I805:M805</f>
        <v>0</v>
      </c>
      <c r="J348" s="739">
        <f>'А П 3'!J805:N805</f>
        <v>34882.19</v>
      </c>
      <c r="K348" s="739">
        <f>'А П 3'!K805:O805</f>
        <v>0</v>
      </c>
      <c r="L348" s="739">
        <f>'А П 3'!L805:P805</f>
        <v>0</v>
      </c>
      <c r="M348" s="739"/>
      <c r="N348" s="739"/>
      <c r="O348" s="739"/>
      <c r="P348" s="739"/>
      <c r="Q348" s="739"/>
      <c r="R348" s="739"/>
      <c r="S348" s="739"/>
    </row>
    <row r="349" spans="1:19" ht="26.25" customHeight="1" x14ac:dyDescent="0.3">
      <c r="A349" s="732"/>
      <c r="B349" s="733"/>
      <c r="C349" s="732">
        <f>'А П 3'!C806:G806</f>
        <v>0</v>
      </c>
      <c r="D349" s="732">
        <f>'А П 3'!D806:H806</f>
        <v>0</v>
      </c>
      <c r="E349" s="732">
        <f>'А П 3'!E806:I806</f>
        <v>0</v>
      </c>
      <c r="F349" s="743" t="str">
        <f>'А П 3'!F806:J806</f>
        <v>Средства бюджетов муниципальных образований Московской области</v>
      </c>
      <c r="G349" s="738">
        <f>'А П 3'!G806:K806</f>
        <v>3671.9</v>
      </c>
      <c r="H349" s="739">
        <f>'А П 3'!H806:L806</f>
        <v>0</v>
      </c>
      <c r="I349" s="739">
        <f>'А П 3'!I806:M806</f>
        <v>1836</v>
      </c>
      <c r="J349" s="739">
        <f>'А П 3'!J806:N806</f>
        <v>1835.9</v>
      </c>
      <c r="K349" s="739">
        <f>'А П 3'!K806:O806</f>
        <v>0</v>
      </c>
      <c r="L349" s="739">
        <f>'А П 3'!L806:P806</f>
        <v>0</v>
      </c>
      <c r="M349" s="739"/>
      <c r="N349" s="739"/>
      <c r="O349" s="739"/>
      <c r="P349" s="739"/>
      <c r="Q349" s="739"/>
      <c r="R349" s="739"/>
      <c r="S349" s="739"/>
    </row>
    <row r="350" spans="1:19" ht="26.25" hidden="1" customHeight="1" x14ac:dyDescent="0.3">
      <c r="A350" s="732">
        <f>'А П 3'!A807:E807</f>
        <v>0</v>
      </c>
      <c r="B350" s="733" t="str">
        <f>'А П 3'!B807:F807</f>
        <v>Капитальный ремонт здания филиала Шаховского сельского дома культуры МБУК округа Домодедово "Центр культуры и досуга "Импульс", г.Домодедово, мкр. Белые столбы-2</v>
      </c>
      <c r="C350" s="732">
        <f>'А П 3'!C807:G807</f>
        <v>0</v>
      </c>
      <c r="D350" s="732">
        <f>'А П 3'!D807:H807</f>
        <v>0</v>
      </c>
      <c r="E350" s="732">
        <f>'А П 3'!E807:I807</f>
        <v>0</v>
      </c>
      <c r="F350" s="743" t="str">
        <f>'А П 3'!F807:J807</f>
        <v>Итого</v>
      </c>
      <c r="G350" s="738">
        <f>'А П 3'!G807:K807</f>
        <v>38554.089999999997</v>
      </c>
      <c r="H350" s="739">
        <f>'А П 3'!H807:L807</f>
        <v>0</v>
      </c>
      <c r="I350" s="739">
        <f>'А П 3'!I807:M807</f>
        <v>1836</v>
      </c>
      <c r="J350" s="739">
        <f>'А П 3'!J807:N807</f>
        <v>36718.089999999997</v>
      </c>
      <c r="K350" s="739">
        <f>'А П 3'!K807:O807</f>
        <v>0</v>
      </c>
      <c r="L350" s="739">
        <f>'А П 3'!L807:P807</f>
        <v>0</v>
      </c>
      <c r="M350" s="739"/>
      <c r="N350" s="739"/>
      <c r="O350" s="739"/>
      <c r="P350" s="739"/>
      <c r="Q350" s="739"/>
      <c r="R350" s="739"/>
      <c r="S350" s="739"/>
    </row>
    <row r="351" spans="1:19" ht="26.25" hidden="1" customHeight="1" x14ac:dyDescent="0.3">
      <c r="A351" s="732">
        <f>'А П 3'!A808:E808</f>
        <v>0</v>
      </c>
      <c r="B351" s="733">
        <f>'А П 3'!B808:F808</f>
        <v>0</v>
      </c>
      <c r="C351" s="732">
        <f>'А П 3'!C808:G808</f>
        <v>0</v>
      </c>
      <c r="D351" s="732">
        <f>'А П 3'!D808:H808</f>
        <v>0</v>
      </c>
      <c r="E351" s="732">
        <f>'А П 3'!E808:I808</f>
        <v>0</v>
      </c>
      <c r="F351" s="743" t="str">
        <f>'А П 3'!F808:J808</f>
        <v>Средства бюджета Московской области</v>
      </c>
      <c r="G351" s="738">
        <f>'А П 3'!G808:K808</f>
        <v>34882.19</v>
      </c>
      <c r="H351" s="739">
        <f>'А П 3'!H808:L808</f>
        <v>0</v>
      </c>
      <c r="I351" s="739">
        <f>'А П 3'!I808:M808</f>
        <v>0</v>
      </c>
      <c r="J351" s="739">
        <f>'А П 3'!J808:N808</f>
        <v>34882.19</v>
      </c>
      <c r="K351" s="739">
        <f>'А П 3'!K808:O808</f>
        <v>0</v>
      </c>
      <c r="L351" s="739">
        <f>'А П 3'!L808:P808</f>
        <v>0</v>
      </c>
      <c r="M351" s="739"/>
      <c r="N351" s="739"/>
      <c r="O351" s="739"/>
      <c r="P351" s="739"/>
      <c r="Q351" s="739"/>
      <c r="R351" s="739"/>
      <c r="S351" s="739"/>
    </row>
    <row r="352" spans="1:19" ht="26.25" hidden="1" customHeight="1" x14ac:dyDescent="0.3">
      <c r="A352" s="732">
        <f>'А П 3'!A809:E809</f>
        <v>0</v>
      </c>
      <c r="B352" s="733">
        <f>'А П 3'!B809:F809</f>
        <v>0</v>
      </c>
      <c r="C352" s="732">
        <f>'А П 3'!C809:G809</f>
        <v>0</v>
      </c>
      <c r="D352" s="732">
        <f>'А П 3'!D809:H809</f>
        <v>0</v>
      </c>
      <c r="E352" s="732">
        <f>'А П 3'!E809:I809</f>
        <v>0</v>
      </c>
      <c r="F352" s="743" t="str">
        <f>'А П 3'!F809:J809</f>
        <v>Средства бюджетов муниципальных образований Московской области</v>
      </c>
      <c r="G352" s="738">
        <f>'А П 3'!G809:K809</f>
        <v>3671.9</v>
      </c>
      <c r="H352" s="739">
        <f>'А П 3'!H809:L809</f>
        <v>0</v>
      </c>
      <c r="I352" s="739">
        <f>'А П 3'!I809:M809</f>
        <v>1836</v>
      </c>
      <c r="J352" s="739">
        <f>'А П 3'!J809:N809</f>
        <v>1835.9</v>
      </c>
      <c r="K352" s="739">
        <f>'А П 3'!K809:O809</f>
        <v>0</v>
      </c>
      <c r="L352" s="739">
        <f>'А П 3'!L809:P809</f>
        <v>0</v>
      </c>
      <c r="M352" s="739"/>
      <c r="N352" s="739"/>
      <c r="O352" s="739"/>
      <c r="P352" s="739"/>
      <c r="Q352" s="739"/>
      <c r="R352" s="739"/>
      <c r="S352" s="739"/>
    </row>
    <row r="353" spans="1:19" s="750" customFormat="1" ht="26.25" customHeight="1" x14ac:dyDescent="0.3">
      <c r="A353" s="745" t="str">
        <f>'А П 3'!A810:E810</f>
        <v>3.1.2.10</v>
      </c>
      <c r="B353" s="746" t="str">
        <f>'А П 3'!B810:F810</f>
        <v>Щёлковский муниципальный район</v>
      </c>
      <c r="C353" s="745">
        <f>'А П 3'!C810:G810</f>
        <v>0</v>
      </c>
      <c r="D353" s="745">
        <f>'А П 3'!D810:H810</f>
        <v>0</v>
      </c>
      <c r="E353" s="745">
        <f>'А П 3'!E810:I810</f>
        <v>0</v>
      </c>
      <c r="F353" s="747" t="str">
        <f>'А П 3'!F810:J810</f>
        <v>Итого</v>
      </c>
      <c r="G353" s="748">
        <f>'А П 3'!G810:K810</f>
        <v>141251.32</v>
      </c>
      <c r="H353" s="749">
        <f>'А П 3'!H810:L810</f>
        <v>6726</v>
      </c>
      <c r="I353" s="749">
        <f>'А П 3'!I810:M810</f>
        <v>38421</v>
      </c>
      <c r="J353" s="749">
        <f>'А П 3'!J810:N810</f>
        <v>96104.320000000007</v>
      </c>
      <c r="K353" s="749">
        <f>'А П 3'!K810:O810</f>
        <v>0</v>
      </c>
      <c r="L353" s="749">
        <f>'А П 3'!L810:P810</f>
        <v>0</v>
      </c>
      <c r="M353" s="749"/>
      <c r="N353" s="749"/>
      <c r="O353" s="749"/>
      <c r="P353" s="749"/>
      <c r="Q353" s="749"/>
      <c r="R353" s="749"/>
      <c r="S353" s="749"/>
    </row>
    <row r="354" spans="1:19" ht="26.25" customHeight="1" x14ac:dyDescent="0.3">
      <c r="A354" s="732"/>
      <c r="B354" s="733"/>
      <c r="C354" s="732">
        <f>'А П 3'!C811:G811</f>
        <v>0</v>
      </c>
      <c r="D354" s="732">
        <f>'А П 3'!D811:H811</f>
        <v>0</v>
      </c>
      <c r="E354" s="732">
        <f>'А П 3'!E811:I811</f>
        <v>0</v>
      </c>
      <c r="F354" s="743" t="str">
        <f>'А П 3'!F811:J811</f>
        <v>Средства бюджета Московской области</v>
      </c>
      <c r="G354" s="738">
        <f>'А П 3'!G811:K811</f>
        <v>127799.07</v>
      </c>
      <c r="H354" s="739">
        <f>'А П 3'!H811:L811</f>
        <v>0</v>
      </c>
      <c r="I354" s="739">
        <f>'А П 3'!I811:M811</f>
        <v>36500</v>
      </c>
      <c r="J354" s="739">
        <f>'А П 3'!J811:N811</f>
        <v>91299.07</v>
      </c>
      <c r="K354" s="739">
        <f>'А П 3'!K811:O811</f>
        <v>0</v>
      </c>
      <c r="L354" s="739">
        <f>'А П 3'!L811:P811</f>
        <v>0</v>
      </c>
      <c r="M354" s="739"/>
      <c r="N354" s="739"/>
      <c r="O354" s="739"/>
      <c r="P354" s="739"/>
      <c r="Q354" s="739"/>
      <c r="R354" s="739"/>
      <c r="S354" s="739"/>
    </row>
    <row r="355" spans="1:19" ht="26.25" customHeight="1" x14ac:dyDescent="0.3">
      <c r="A355" s="732"/>
      <c r="B355" s="733"/>
      <c r="C355" s="732">
        <f>'А П 3'!C812:G812</f>
        <v>0</v>
      </c>
      <c r="D355" s="732">
        <f>'А П 3'!D812:H812</f>
        <v>0</v>
      </c>
      <c r="E355" s="732">
        <f>'А П 3'!E812:I812</f>
        <v>0</v>
      </c>
      <c r="F355" s="743" t="str">
        <f>'А П 3'!F812:J812</f>
        <v>Средства бюджетов муниципальных образований Московской области</v>
      </c>
      <c r="G355" s="738">
        <f>'А П 3'!G812:K812</f>
        <v>13452.25</v>
      </c>
      <c r="H355" s="739">
        <f>'А П 3'!H812:L812</f>
        <v>6726</v>
      </c>
      <c r="I355" s="739">
        <f>'А П 3'!I812:M812</f>
        <v>1921</v>
      </c>
      <c r="J355" s="739">
        <f>'А П 3'!J812:N812</f>
        <v>4805.25</v>
      </c>
      <c r="K355" s="739">
        <f>'А П 3'!K812:O812</f>
        <v>0</v>
      </c>
      <c r="L355" s="739">
        <f>'А П 3'!L812:P812</f>
        <v>0</v>
      </c>
      <c r="M355" s="739"/>
      <c r="N355" s="739"/>
      <c r="O355" s="739"/>
      <c r="P355" s="739"/>
      <c r="Q355" s="739"/>
      <c r="R355" s="739"/>
      <c r="S355" s="739"/>
    </row>
    <row r="356" spans="1:19" ht="26.25" hidden="1" customHeight="1" x14ac:dyDescent="0.3">
      <c r="A356" s="732">
        <f>'А П 3'!A813:E813</f>
        <v>0</v>
      </c>
      <c r="B356" s="733" t="str">
        <f>'А П 3'!B813:F813</f>
        <v>Капитальный ремонт здания Муниципального автономного учреждения культуры городского поселения Щёлково "Дворец культуры им. В.П. Чкалова" Щелковский м.р., г. Щёлково, ул.Супруна, д. 3</v>
      </c>
      <c r="C356" s="732">
        <f>'А П 3'!C813:G813</f>
        <v>0</v>
      </c>
      <c r="D356" s="732">
        <f>'А П 3'!D813:H813</f>
        <v>0</v>
      </c>
      <c r="E356" s="732">
        <f>'А П 3'!E813:I813</f>
        <v>0</v>
      </c>
      <c r="F356" s="743" t="str">
        <f>'А П 3'!F813:J813</f>
        <v>Итого</v>
      </c>
      <c r="G356" s="738">
        <f>'А П 3'!G813:K813</f>
        <v>141251.32</v>
      </c>
      <c r="H356" s="739">
        <f>'А П 3'!H813:L813</f>
        <v>6726</v>
      </c>
      <c r="I356" s="739">
        <f>'А П 3'!I813:M813</f>
        <v>38421</v>
      </c>
      <c r="J356" s="739">
        <f>'А П 3'!J813:N813</f>
        <v>96104.320000000007</v>
      </c>
      <c r="K356" s="739">
        <f>'А П 3'!K813:O813</f>
        <v>0</v>
      </c>
      <c r="L356" s="739">
        <f>'А П 3'!L813:P813</f>
        <v>0</v>
      </c>
      <c r="M356" s="739"/>
      <c r="N356" s="739"/>
      <c r="O356" s="739"/>
      <c r="P356" s="739"/>
      <c r="Q356" s="739"/>
      <c r="R356" s="739"/>
      <c r="S356" s="739"/>
    </row>
    <row r="357" spans="1:19" ht="26.25" hidden="1" customHeight="1" x14ac:dyDescent="0.3">
      <c r="A357" s="732">
        <f>'А П 3'!A814:E814</f>
        <v>0</v>
      </c>
      <c r="B357" s="733">
        <f>'А П 3'!B814:F814</f>
        <v>0</v>
      </c>
      <c r="C357" s="732">
        <f>'А П 3'!C814:G814</f>
        <v>0</v>
      </c>
      <c r="D357" s="732">
        <f>'А П 3'!D814:H814</f>
        <v>0</v>
      </c>
      <c r="E357" s="732">
        <f>'А П 3'!E814:I814</f>
        <v>0</v>
      </c>
      <c r="F357" s="743" t="str">
        <f>'А П 3'!F814:J814</f>
        <v>Средства бюджета Московской области</v>
      </c>
      <c r="G357" s="738">
        <f>'А П 3'!G814:K814</f>
        <v>127799.07</v>
      </c>
      <c r="H357" s="739">
        <f>'А П 3'!H814:L814</f>
        <v>0</v>
      </c>
      <c r="I357" s="739">
        <f>'А П 3'!I814:M814</f>
        <v>36500</v>
      </c>
      <c r="J357" s="739">
        <f>'А П 3'!J814:N814</f>
        <v>91299.07</v>
      </c>
      <c r="K357" s="739">
        <f>'А П 3'!K814:O814</f>
        <v>0</v>
      </c>
      <c r="L357" s="739">
        <f>'А П 3'!L814:P814</f>
        <v>0</v>
      </c>
      <c r="M357" s="739"/>
      <c r="N357" s="739"/>
      <c r="O357" s="739"/>
      <c r="P357" s="739"/>
      <c r="Q357" s="739"/>
      <c r="R357" s="739"/>
      <c r="S357" s="739"/>
    </row>
    <row r="358" spans="1:19" ht="26.25" hidden="1" customHeight="1" x14ac:dyDescent="0.3">
      <c r="A358" s="732">
        <f>'А П 3'!A815:E815</f>
        <v>0</v>
      </c>
      <c r="B358" s="733">
        <f>'А П 3'!B815:F815</f>
        <v>0</v>
      </c>
      <c r="C358" s="732">
        <f>'А П 3'!C815:G815</f>
        <v>0</v>
      </c>
      <c r="D358" s="732">
        <f>'А П 3'!D815:H815</f>
        <v>0</v>
      </c>
      <c r="E358" s="732">
        <f>'А П 3'!E815:I815</f>
        <v>0</v>
      </c>
      <c r="F358" s="743" t="str">
        <f>'А П 3'!F815:J815</f>
        <v>Средства бюджетов муниципальных образований Московской области</v>
      </c>
      <c r="G358" s="738">
        <f>'А П 3'!G815:K815</f>
        <v>13452.25</v>
      </c>
      <c r="H358" s="739">
        <f>'А П 3'!H815:L815</f>
        <v>6726</v>
      </c>
      <c r="I358" s="739">
        <f>'А П 3'!I815:M815</f>
        <v>1921</v>
      </c>
      <c r="J358" s="739">
        <f>'А П 3'!J815:N815</f>
        <v>4805.25</v>
      </c>
      <c r="K358" s="739">
        <f>'А П 3'!K815:O815</f>
        <v>0</v>
      </c>
      <c r="L358" s="739">
        <f>'А П 3'!L815:P815</f>
        <v>0</v>
      </c>
      <c r="M358" s="739"/>
      <c r="N358" s="739"/>
      <c r="O358" s="739"/>
      <c r="P358" s="739"/>
      <c r="Q358" s="739"/>
      <c r="R358" s="739"/>
      <c r="S358" s="739"/>
    </row>
    <row r="359" spans="1:19" s="750" customFormat="1" ht="26.25" customHeight="1" x14ac:dyDescent="0.3">
      <c r="A359" s="745" t="str">
        <f>'А П 3'!A816:E816</f>
        <v>3.1.2.11</v>
      </c>
      <c r="B359" s="746" t="str">
        <f>'А П 3'!B816:F816</f>
        <v>Солнечногорский муниципальный район</v>
      </c>
      <c r="C359" s="745">
        <f>'А П 3'!C816:G816</f>
        <v>0</v>
      </c>
      <c r="D359" s="745">
        <f>'А П 3'!D816:H816</f>
        <v>0</v>
      </c>
      <c r="E359" s="745">
        <f>'А П 3'!E816:I816</f>
        <v>0</v>
      </c>
      <c r="F359" s="747" t="str">
        <f>'А П 3'!F816:J816</f>
        <v>Итого</v>
      </c>
      <c r="G359" s="748">
        <f>'А П 3'!G816:K816</f>
        <v>38850</v>
      </c>
      <c r="H359" s="749">
        <f>'А П 3'!H816:L816</f>
        <v>1850</v>
      </c>
      <c r="I359" s="749">
        <f>'А П 3'!I816:M816</f>
        <v>37000</v>
      </c>
      <c r="J359" s="749">
        <f>'А П 3'!J816:N816</f>
        <v>0</v>
      </c>
      <c r="K359" s="749">
        <f>'А П 3'!K816:O816</f>
        <v>0</v>
      </c>
      <c r="L359" s="749">
        <f>'А П 3'!L816:P816</f>
        <v>0</v>
      </c>
      <c r="M359" s="749"/>
      <c r="N359" s="749"/>
      <c r="O359" s="749"/>
      <c r="P359" s="749"/>
      <c r="Q359" s="749"/>
      <c r="R359" s="749"/>
      <c r="S359" s="749"/>
    </row>
    <row r="360" spans="1:19" ht="26.25" customHeight="1" x14ac:dyDescent="0.3">
      <c r="A360" s="732"/>
      <c r="B360" s="733"/>
      <c r="C360" s="732">
        <f>'А П 3'!C817:G817</f>
        <v>0</v>
      </c>
      <c r="D360" s="732">
        <f>'А П 3'!D817:H817</f>
        <v>0</v>
      </c>
      <c r="E360" s="732">
        <f>'А П 3'!E817:I817</f>
        <v>0</v>
      </c>
      <c r="F360" s="743" t="str">
        <f>'А П 3'!F817:J817</f>
        <v>Средства бюджета Московской области</v>
      </c>
      <c r="G360" s="738">
        <f>'А П 3'!G817:K817</f>
        <v>35150</v>
      </c>
      <c r="H360" s="739">
        <f>'А П 3'!H817:L817</f>
        <v>0</v>
      </c>
      <c r="I360" s="739">
        <f>'А П 3'!I817:M817</f>
        <v>35150</v>
      </c>
      <c r="J360" s="739">
        <f>'А П 3'!J817:N817</f>
        <v>0</v>
      </c>
      <c r="K360" s="739">
        <f>'А П 3'!K817:O817</f>
        <v>0</v>
      </c>
      <c r="L360" s="739">
        <f>'А П 3'!L817:P817</f>
        <v>0</v>
      </c>
      <c r="M360" s="739"/>
      <c r="N360" s="739"/>
      <c r="O360" s="739"/>
      <c r="P360" s="739"/>
      <c r="Q360" s="739"/>
      <c r="R360" s="739"/>
      <c r="S360" s="739"/>
    </row>
    <row r="361" spans="1:19" ht="26.25" customHeight="1" x14ac:dyDescent="0.3">
      <c r="A361" s="732"/>
      <c r="B361" s="733"/>
      <c r="C361" s="732">
        <f>'А П 3'!C818:G818</f>
        <v>0</v>
      </c>
      <c r="D361" s="732">
        <f>'А П 3'!D818:H818</f>
        <v>0</v>
      </c>
      <c r="E361" s="732">
        <f>'А П 3'!E818:I818</f>
        <v>0</v>
      </c>
      <c r="F361" s="743" t="str">
        <f>'А П 3'!F818:J818</f>
        <v>Средства бюджетов муниципальных образований Московской области</v>
      </c>
      <c r="G361" s="738">
        <f>'А П 3'!G818:K818</f>
        <v>3700</v>
      </c>
      <c r="H361" s="739">
        <f>'А П 3'!H818:L818</f>
        <v>1850</v>
      </c>
      <c r="I361" s="739">
        <f>'А П 3'!I818:M818</f>
        <v>1850</v>
      </c>
      <c r="J361" s="739">
        <f>'А П 3'!J818:N818</f>
        <v>0</v>
      </c>
      <c r="K361" s="739">
        <f>'А П 3'!K818:O818</f>
        <v>0</v>
      </c>
      <c r="L361" s="739">
        <f>'А П 3'!L818:P818</f>
        <v>0</v>
      </c>
      <c r="M361" s="739"/>
      <c r="N361" s="739"/>
      <c r="O361" s="739"/>
      <c r="P361" s="739"/>
      <c r="Q361" s="739"/>
      <c r="R361" s="739"/>
      <c r="S361" s="739"/>
    </row>
    <row r="362" spans="1:19" ht="26.25" hidden="1" customHeight="1" x14ac:dyDescent="0.3">
      <c r="A362" s="732">
        <f>'А П 3'!A819:E819</f>
        <v>0</v>
      </c>
      <c r="B362" s="733" t="str">
        <f>'А П 3'!B819:F819</f>
        <v>Капитальный ремонт здания Муниципального учреждения культуры "Дом культуры "Выстрел"«Выстрел» г.п.Солнечногорск, г. Солнечногорск, ул. Д.А. Драгунского, д.1</v>
      </c>
      <c r="C362" s="732">
        <f>'А П 3'!C819:G819</f>
        <v>0</v>
      </c>
      <c r="D362" s="732">
        <f>'А П 3'!D819:H819</f>
        <v>0</v>
      </c>
      <c r="E362" s="732">
        <f>'А П 3'!E819:I819</f>
        <v>0</v>
      </c>
      <c r="F362" s="743" t="str">
        <f>'А П 3'!F819:J819</f>
        <v>Итого</v>
      </c>
      <c r="G362" s="738">
        <f>'А П 3'!G819:K819</f>
        <v>38850</v>
      </c>
      <c r="H362" s="739">
        <f>'А П 3'!H819:L819</f>
        <v>1850</v>
      </c>
      <c r="I362" s="739">
        <f>'А П 3'!I819:M819</f>
        <v>37000</v>
      </c>
      <c r="J362" s="739">
        <f>'А П 3'!J819:N819</f>
        <v>0</v>
      </c>
      <c r="K362" s="739">
        <f>'А П 3'!K819:O819</f>
        <v>0</v>
      </c>
      <c r="L362" s="739">
        <f>'А П 3'!L819:P819</f>
        <v>0</v>
      </c>
      <c r="M362" s="739"/>
      <c r="N362" s="739"/>
      <c r="O362" s="739"/>
      <c r="P362" s="739"/>
      <c r="Q362" s="739"/>
      <c r="R362" s="739"/>
      <c r="S362" s="739"/>
    </row>
    <row r="363" spans="1:19" ht="26.25" hidden="1" customHeight="1" x14ac:dyDescent="0.3">
      <c r="A363" s="732">
        <f>'А П 3'!A820:E820</f>
        <v>0</v>
      </c>
      <c r="B363" s="733">
        <f>'А П 3'!B820:F820</f>
        <v>0</v>
      </c>
      <c r="C363" s="732">
        <f>'А П 3'!C820:G820</f>
        <v>0</v>
      </c>
      <c r="D363" s="732">
        <f>'А П 3'!D820:H820</f>
        <v>0</v>
      </c>
      <c r="E363" s="732">
        <f>'А П 3'!E820:I820</f>
        <v>0</v>
      </c>
      <c r="F363" s="743" t="str">
        <f>'А П 3'!F820:J820</f>
        <v>Средства бюджета Московской области</v>
      </c>
      <c r="G363" s="738">
        <f>'А П 3'!G820:K820</f>
        <v>35150</v>
      </c>
      <c r="H363" s="739">
        <f>'А П 3'!H820:L820</f>
        <v>0</v>
      </c>
      <c r="I363" s="739">
        <f>'А П 3'!I820:M820</f>
        <v>35150</v>
      </c>
      <c r="J363" s="739">
        <f>'А П 3'!J820:N820</f>
        <v>0</v>
      </c>
      <c r="K363" s="739">
        <f>'А П 3'!K820:O820</f>
        <v>0</v>
      </c>
      <c r="L363" s="739">
        <f>'А П 3'!L820:P820</f>
        <v>0</v>
      </c>
      <c r="M363" s="739"/>
      <c r="N363" s="739"/>
      <c r="O363" s="739"/>
      <c r="P363" s="739"/>
      <c r="Q363" s="739"/>
      <c r="R363" s="739"/>
      <c r="S363" s="739"/>
    </row>
    <row r="364" spans="1:19" ht="26.25" hidden="1" customHeight="1" x14ac:dyDescent="0.3">
      <c r="A364" s="732">
        <f>'А П 3'!A821:E821</f>
        <v>0</v>
      </c>
      <c r="B364" s="733">
        <f>'А П 3'!B821:F821</f>
        <v>0</v>
      </c>
      <c r="C364" s="732">
        <f>'А П 3'!C821:G821</f>
        <v>0</v>
      </c>
      <c r="D364" s="732">
        <f>'А П 3'!D821:H821</f>
        <v>0</v>
      </c>
      <c r="E364" s="732">
        <f>'А П 3'!E821:I821</f>
        <v>0</v>
      </c>
      <c r="F364" s="743" t="str">
        <f>'А П 3'!F821:J821</f>
        <v>Средства бюджетов муниципальных образований Московской области</v>
      </c>
      <c r="G364" s="738">
        <f>'А П 3'!G821:K821</f>
        <v>3700</v>
      </c>
      <c r="H364" s="739">
        <f>'А П 3'!H821:L821</f>
        <v>1850</v>
      </c>
      <c r="I364" s="739">
        <f>'А П 3'!I821:M821</f>
        <v>1850</v>
      </c>
      <c r="J364" s="739">
        <f>'А П 3'!J821:N821</f>
        <v>0</v>
      </c>
      <c r="K364" s="739">
        <f>'А П 3'!K821:O821</f>
        <v>0</v>
      </c>
      <c r="L364" s="739">
        <f>'А П 3'!L821:P821</f>
        <v>0</v>
      </c>
      <c r="M364" s="739"/>
      <c r="N364" s="739"/>
      <c r="O364" s="739"/>
      <c r="P364" s="739"/>
      <c r="Q364" s="739"/>
      <c r="R364" s="739"/>
      <c r="S364" s="739"/>
    </row>
    <row r="365" spans="1:19" s="750" customFormat="1" ht="26.25" customHeight="1" x14ac:dyDescent="0.3">
      <c r="A365" s="745" t="str">
        <f>'А П 3'!A822:E822</f>
        <v>3.1.2.12</v>
      </c>
      <c r="B365" s="746" t="str">
        <f>'А П 3'!B822:F822</f>
        <v>сельское поселение Никольское Одинцовский муниципальный район</v>
      </c>
      <c r="C365" s="745">
        <f>'А П 3'!C822:G822</f>
        <v>0</v>
      </c>
      <c r="D365" s="745">
        <f>'А П 3'!D822:H822</f>
        <v>0</v>
      </c>
      <c r="E365" s="745">
        <f>'А П 3'!E822:I822</f>
        <v>0</v>
      </c>
      <c r="F365" s="747" t="str">
        <f>'А П 3'!F822:J822</f>
        <v>Итого</v>
      </c>
      <c r="G365" s="748">
        <f>'А П 3'!G822:K822</f>
        <v>71400</v>
      </c>
      <c r="H365" s="749">
        <f>'А П 3'!H822:L822</f>
        <v>3400</v>
      </c>
      <c r="I365" s="749">
        <f>'А П 3'!I822:M822</f>
        <v>68000</v>
      </c>
      <c r="J365" s="749">
        <f>'А П 3'!J822:N822</f>
        <v>0</v>
      </c>
      <c r="K365" s="749">
        <f>'А П 3'!K822:O822</f>
        <v>0</v>
      </c>
      <c r="L365" s="749">
        <f>'А П 3'!L822:P822</f>
        <v>0</v>
      </c>
      <c r="M365" s="749"/>
      <c r="N365" s="749"/>
      <c r="O365" s="749"/>
      <c r="P365" s="749"/>
      <c r="Q365" s="749"/>
      <c r="R365" s="749"/>
      <c r="S365" s="749"/>
    </row>
    <row r="366" spans="1:19" ht="26.25" customHeight="1" x14ac:dyDescent="0.3">
      <c r="A366" s="732"/>
      <c r="B366" s="733"/>
      <c r="C366" s="732">
        <f>'А П 3'!C823:G823</f>
        <v>0</v>
      </c>
      <c r="D366" s="732">
        <f>'А П 3'!D823:H823</f>
        <v>0</v>
      </c>
      <c r="E366" s="732">
        <f>'А П 3'!E823:I823</f>
        <v>0</v>
      </c>
      <c r="F366" s="743" t="str">
        <f>'А П 3'!F823:J823</f>
        <v>Средства бюджета Московской области</v>
      </c>
      <c r="G366" s="738">
        <f>'А П 3'!G823:K823</f>
        <v>64600</v>
      </c>
      <c r="H366" s="739">
        <f>'А П 3'!H823:L823</f>
        <v>0</v>
      </c>
      <c r="I366" s="739">
        <f>'А П 3'!I823:M823</f>
        <v>64600</v>
      </c>
      <c r="J366" s="739">
        <f>'А П 3'!J823:N823</f>
        <v>0</v>
      </c>
      <c r="K366" s="739">
        <f>'А П 3'!K823:O823</f>
        <v>0</v>
      </c>
      <c r="L366" s="739">
        <f>'А П 3'!L823:P823</f>
        <v>0</v>
      </c>
      <c r="M366" s="739"/>
      <c r="N366" s="739"/>
      <c r="O366" s="739"/>
      <c r="P366" s="739"/>
      <c r="Q366" s="739"/>
      <c r="R366" s="739"/>
      <c r="S366" s="739"/>
    </row>
    <row r="367" spans="1:19" ht="26.25" customHeight="1" x14ac:dyDescent="0.3">
      <c r="A367" s="732"/>
      <c r="B367" s="733"/>
      <c r="C367" s="732">
        <f>'А П 3'!C824:G824</f>
        <v>0</v>
      </c>
      <c r="D367" s="732">
        <f>'А П 3'!D824:H824</f>
        <v>0</v>
      </c>
      <c r="E367" s="732">
        <f>'А П 3'!E824:I824</f>
        <v>0</v>
      </c>
      <c r="F367" s="743" t="str">
        <f>'А П 3'!F824:J824</f>
        <v>Средства бюджетов муниципальных образований Московской области</v>
      </c>
      <c r="G367" s="738">
        <f>'А П 3'!G824:K824</f>
        <v>6800</v>
      </c>
      <c r="H367" s="739">
        <f>'А П 3'!H824:L824</f>
        <v>3400</v>
      </c>
      <c r="I367" s="739">
        <f>'А П 3'!I824:M824</f>
        <v>3400</v>
      </c>
      <c r="J367" s="739">
        <f>'А П 3'!J824:N824</f>
        <v>0</v>
      </c>
      <c r="K367" s="739">
        <f>'А П 3'!K824:O824</f>
        <v>0</v>
      </c>
      <c r="L367" s="739">
        <f>'А П 3'!L824:P824</f>
        <v>0</v>
      </c>
      <c r="M367" s="739"/>
      <c r="N367" s="739"/>
      <c r="O367" s="739"/>
      <c r="P367" s="739"/>
      <c r="Q367" s="739"/>
      <c r="R367" s="739"/>
      <c r="S367" s="739"/>
    </row>
    <row r="368" spans="1:19" ht="26.25" hidden="1" customHeight="1" x14ac:dyDescent="0.3">
      <c r="A368" s="732">
        <f>'А П 3'!A825:E825</f>
        <v>0</v>
      </c>
      <c r="B368" s="733" t="str">
        <f>'А П 3'!B825:F825</f>
        <v>Капитальный ремонт здания Дома офицеров Кубинского гарнизона пос.Новый городок сельское поселение Никольское  Одинцовского м.р.</v>
      </c>
      <c r="C368" s="732">
        <f>'А П 3'!C825:G825</f>
        <v>0</v>
      </c>
      <c r="D368" s="732">
        <f>'А П 3'!D825:H825</f>
        <v>0</v>
      </c>
      <c r="E368" s="732">
        <f>'А П 3'!E825:I825</f>
        <v>0</v>
      </c>
      <c r="F368" s="743" t="str">
        <f>'А П 3'!F825:J825</f>
        <v>Итого</v>
      </c>
      <c r="G368" s="738">
        <f>'А П 3'!G825:K825</f>
        <v>71400</v>
      </c>
      <c r="H368" s="739">
        <f>'А П 3'!H825:L825</f>
        <v>3400</v>
      </c>
      <c r="I368" s="739">
        <f>'А П 3'!I825:M825</f>
        <v>68000</v>
      </c>
      <c r="J368" s="739">
        <f>'А П 3'!J825:N825</f>
        <v>0</v>
      </c>
      <c r="K368" s="739">
        <f>'А П 3'!K825:O825</f>
        <v>0</v>
      </c>
      <c r="L368" s="739">
        <f>'А П 3'!L825:P825</f>
        <v>0</v>
      </c>
      <c r="M368" s="739"/>
      <c r="N368" s="739"/>
      <c r="O368" s="739"/>
      <c r="P368" s="739"/>
      <c r="Q368" s="739"/>
      <c r="R368" s="739"/>
      <c r="S368" s="739"/>
    </row>
    <row r="369" spans="1:19" ht="26.25" hidden="1" customHeight="1" x14ac:dyDescent="0.3">
      <c r="A369" s="732">
        <f>'А П 3'!A826:E826</f>
        <v>0</v>
      </c>
      <c r="B369" s="733">
        <f>'А П 3'!B826:F826</f>
        <v>0</v>
      </c>
      <c r="C369" s="732">
        <f>'А П 3'!C826:G826</f>
        <v>0</v>
      </c>
      <c r="D369" s="732">
        <f>'А П 3'!D826:H826</f>
        <v>0</v>
      </c>
      <c r="E369" s="732">
        <f>'А П 3'!E826:I826</f>
        <v>0</v>
      </c>
      <c r="F369" s="743" t="str">
        <f>'А П 3'!F826:J826</f>
        <v>Средства бюджета Московской области</v>
      </c>
      <c r="G369" s="738">
        <f>'А П 3'!G826:K826</f>
        <v>64600</v>
      </c>
      <c r="H369" s="739">
        <f>'А П 3'!H826:L826</f>
        <v>0</v>
      </c>
      <c r="I369" s="739">
        <f>'А П 3'!I826:M826</f>
        <v>64600</v>
      </c>
      <c r="J369" s="739">
        <f>'А П 3'!J826:N826</f>
        <v>0</v>
      </c>
      <c r="K369" s="739">
        <f>'А П 3'!K826:O826</f>
        <v>0</v>
      </c>
      <c r="L369" s="739">
        <f>'А П 3'!L826:P826</f>
        <v>0</v>
      </c>
      <c r="M369" s="739"/>
      <c r="N369" s="739"/>
      <c r="O369" s="739"/>
      <c r="P369" s="739"/>
      <c r="Q369" s="739"/>
      <c r="R369" s="739"/>
      <c r="S369" s="739"/>
    </row>
    <row r="370" spans="1:19" ht="26.25" hidden="1" customHeight="1" x14ac:dyDescent="0.3">
      <c r="A370" s="732">
        <f>'А П 3'!A827:E827</f>
        <v>0</v>
      </c>
      <c r="B370" s="733">
        <f>'А П 3'!B827:F827</f>
        <v>0</v>
      </c>
      <c r="C370" s="732">
        <f>'А П 3'!C827:G827</f>
        <v>0</v>
      </c>
      <c r="D370" s="732">
        <f>'А П 3'!D827:H827</f>
        <v>0</v>
      </c>
      <c r="E370" s="732">
        <f>'А П 3'!E827:I827</f>
        <v>0</v>
      </c>
      <c r="F370" s="743" t="str">
        <f>'А П 3'!F827:J827</f>
        <v>Средства бюджетов муниципальных образований Московской области</v>
      </c>
      <c r="G370" s="738">
        <f>'А П 3'!G827:K827</f>
        <v>6800</v>
      </c>
      <c r="H370" s="739">
        <f>'А П 3'!H827:L827</f>
        <v>3400</v>
      </c>
      <c r="I370" s="739">
        <f>'А П 3'!I827:M827</f>
        <v>3400</v>
      </c>
      <c r="J370" s="739">
        <f>'А П 3'!J827:N827</f>
        <v>0</v>
      </c>
      <c r="K370" s="739">
        <f>'А П 3'!K827:O827</f>
        <v>0</v>
      </c>
      <c r="L370" s="739">
        <f>'А П 3'!L827:P827</f>
        <v>0</v>
      </c>
      <c r="M370" s="739"/>
      <c r="N370" s="739"/>
      <c r="O370" s="739"/>
      <c r="P370" s="739"/>
      <c r="Q370" s="739"/>
      <c r="R370" s="739"/>
      <c r="S370" s="739"/>
    </row>
    <row r="371" spans="1:19" s="750" customFormat="1" ht="26.25" customHeight="1" x14ac:dyDescent="0.3">
      <c r="A371" s="745" t="str">
        <f>'А П 3'!A828:E828</f>
        <v>3.1.2.13</v>
      </c>
      <c r="B371" s="746" t="str">
        <f>'А П 3'!B828:F828</f>
        <v>Ленинский муниципальный район</v>
      </c>
      <c r="C371" s="745">
        <f>'А П 3'!C828:G828</f>
        <v>0</v>
      </c>
      <c r="D371" s="745">
        <f>'А П 3'!D828:H828</f>
        <v>0</v>
      </c>
      <c r="E371" s="745">
        <f>'А П 3'!E828:I828</f>
        <v>0</v>
      </c>
      <c r="F371" s="747" t="str">
        <f>'А П 3'!F828:J828</f>
        <v>Итого</v>
      </c>
      <c r="G371" s="748">
        <f>'А П 3'!G828:K828</f>
        <v>42545</v>
      </c>
      <c r="H371" s="749">
        <f>'А П 3'!H828:L828</f>
        <v>0</v>
      </c>
      <c r="I371" s="749">
        <f>'А П 3'!I828:M828</f>
        <v>42545</v>
      </c>
      <c r="J371" s="749">
        <f>'А П 3'!J828:N828</f>
        <v>0</v>
      </c>
      <c r="K371" s="749">
        <f>'А П 3'!K828:O828</f>
        <v>0</v>
      </c>
      <c r="L371" s="749">
        <f>'А П 3'!L828:P828</f>
        <v>0</v>
      </c>
      <c r="M371" s="749"/>
      <c r="N371" s="749"/>
      <c r="O371" s="749"/>
      <c r="P371" s="749"/>
      <c r="Q371" s="749"/>
      <c r="R371" s="749"/>
      <c r="S371" s="749"/>
    </row>
    <row r="372" spans="1:19" ht="26.25" customHeight="1" x14ac:dyDescent="0.3">
      <c r="A372" s="732"/>
      <c r="B372" s="733"/>
      <c r="C372" s="732">
        <f>'А П 3'!C829:G829</f>
        <v>0</v>
      </c>
      <c r="D372" s="732">
        <f>'А П 3'!D829:H829</f>
        <v>0</v>
      </c>
      <c r="E372" s="732">
        <f>'А П 3'!E829:I829</f>
        <v>0</v>
      </c>
      <c r="F372" s="743" t="str">
        <f>'А П 3'!F829:J829</f>
        <v>Средства бюджета Московской области</v>
      </c>
      <c r="G372" s="738">
        <f>'А П 3'!G829:K829</f>
        <v>40418</v>
      </c>
      <c r="H372" s="739">
        <f>'А П 3'!H829:L829</f>
        <v>0</v>
      </c>
      <c r="I372" s="739">
        <f>'А П 3'!I829:M829</f>
        <v>40418</v>
      </c>
      <c r="J372" s="739">
        <f>'А П 3'!J829:N829</f>
        <v>0</v>
      </c>
      <c r="K372" s="739">
        <f>'А П 3'!K829:O829</f>
        <v>0</v>
      </c>
      <c r="L372" s="739">
        <f>'А П 3'!L829:P829</f>
        <v>0</v>
      </c>
      <c r="M372" s="739"/>
      <c r="N372" s="739"/>
      <c r="O372" s="739"/>
      <c r="P372" s="739"/>
      <c r="Q372" s="739"/>
      <c r="R372" s="739"/>
      <c r="S372" s="739"/>
    </row>
    <row r="373" spans="1:19" ht="26.25" customHeight="1" x14ac:dyDescent="0.3">
      <c r="A373" s="732"/>
      <c r="B373" s="733"/>
      <c r="C373" s="732">
        <f>'А П 3'!C830:G830</f>
        <v>0</v>
      </c>
      <c r="D373" s="732">
        <f>'А П 3'!D830:H830</f>
        <v>0</v>
      </c>
      <c r="E373" s="732">
        <f>'А П 3'!E830:I830</f>
        <v>0</v>
      </c>
      <c r="F373" s="743" t="str">
        <f>'А П 3'!F830:J830</f>
        <v>Средства бюджетов муниципальных образований Московской области</v>
      </c>
      <c r="G373" s="738">
        <f>'А П 3'!G830:K830</f>
        <v>2127</v>
      </c>
      <c r="H373" s="739">
        <f>'А П 3'!H830:L830</f>
        <v>0</v>
      </c>
      <c r="I373" s="739">
        <f>'А П 3'!I830:M830</f>
        <v>2127</v>
      </c>
      <c r="J373" s="739">
        <f>'А П 3'!J830:N830</f>
        <v>0</v>
      </c>
      <c r="K373" s="739">
        <f>'А П 3'!K830:O830</f>
        <v>0</v>
      </c>
      <c r="L373" s="739">
        <f>'А П 3'!L830:P830</f>
        <v>0</v>
      </c>
      <c r="M373" s="739"/>
      <c r="N373" s="739"/>
      <c r="O373" s="739"/>
      <c r="P373" s="739"/>
      <c r="Q373" s="739"/>
      <c r="R373" s="739"/>
      <c r="S373" s="739"/>
    </row>
    <row r="374" spans="1:19" ht="26.25" hidden="1" customHeight="1" x14ac:dyDescent="0.3">
      <c r="A374" s="732">
        <f>'А П 3'!A831:E831</f>
        <v>0</v>
      </c>
      <c r="B374" s="733" t="str">
        <f>'А П 3'!B831:F831</f>
        <v>Капремонт гарнизонного офицерского клуба в п. Петровское г.п. Горки Ленинские Ленинский м.р.</v>
      </c>
      <c r="C374" s="732">
        <f>'А П 3'!C831:G831</f>
        <v>0</v>
      </c>
      <c r="D374" s="732">
        <f>'А П 3'!D831:H831</f>
        <v>0</v>
      </c>
      <c r="E374" s="732">
        <f>'А П 3'!E831:I831</f>
        <v>0</v>
      </c>
      <c r="F374" s="743" t="str">
        <f>'А П 3'!F831:J831</f>
        <v>Итого</v>
      </c>
      <c r="G374" s="738">
        <f>'А П 3'!G831:K831</f>
        <v>42545</v>
      </c>
      <c r="H374" s="739">
        <f>'А П 3'!H831:L831</f>
        <v>0</v>
      </c>
      <c r="I374" s="739">
        <f>'А П 3'!I831:M831</f>
        <v>42545</v>
      </c>
      <c r="J374" s="739">
        <f>'А П 3'!J831:N831</f>
        <v>0</v>
      </c>
      <c r="K374" s="739">
        <f>'А П 3'!K831:O831</f>
        <v>0</v>
      </c>
      <c r="L374" s="739">
        <f>'А П 3'!L831:P831</f>
        <v>0</v>
      </c>
      <c r="M374" s="739"/>
      <c r="N374" s="739"/>
      <c r="O374" s="739"/>
      <c r="P374" s="739"/>
      <c r="Q374" s="739"/>
      <c r="R374" s="739"/>
      <c r="S374" s="739"/>
    </row>
    <row r="375" spans="1:19" ht="26.25" hidden="1" customHeight="1" x14ac:dyDescent="0.3">
      <c r="A375" s="732">
        <f>'А П 3'!A832:E832</f>
        <v>0</v>
      </c>
      <c r="B375" s="733">
        <f>'А П 3'!B832:F832</f>
        <v>0</v>
      </c>
      <c r="C375" s="732">
        <f>'А П 3'!C832:G832</f>
        <v>0</v>
      </c>
      <c r="D375" s="732">
        <f>'А П 3'!D832:H832</f>
        <v>0</v>
      </c>
      <c r="E375" s="732">
        <f>'А П 3'!E832:I832</f>
        <v>0</v>
      </c>
      <c r="F375" s="743" t="str">
        <f>'А П 3'!F832:J832</f>
        <v>Средства бюджета Московской области</v>
      </c>
      <c r="G375" s="738">
        <f>'А П 3'!G832:K832</f>
        <v>40418</v>
      </c>
      <c r="H375" s="739">
        <f>'А П 3'!H832:L832</f>
        <v>0</v>
      </c>
      <c r="I375" s="739">
        <f>'А П 3'!I832:M832</f>
        <v>40418</v>
      </c>
      <c r="J375" s="739">
        <f>'А П 3'!J832:N832</f>
        <v>0</v>
      </c>
      <c r="K375" s="739">
        <f>'А П 3'!K832:O832</f>
        <v>0</v>
      </c>
      <c r="L375" s="739">
        <f>'А П 3'!L832:P832</f>
        <v>0</v>
      </c>
      <c r="M375" s="739"/>
      <c r="N375" s="739"/>
      <c r="O375" s="739"/>
      <c r="P375" s="739"/>
      <c r="Q375" s="739"/>
      <c r="R375" s="739"/>
      <c r="S375" s="739"/>
    </row>
    <row r="376" spans="1:19" ht="26.25" hidden="1" customHeight="1" x14ac:dyDescent="0.3">
      <c r="A376" s="732">
        <f>'А П 3'!A833:E833</f>
        <v>0</v>
      </c>
      <c r="B376" s="733">
        <f>'А П 3'!B833:F833</f>
        <v>0</v>
      </c>
      <c r="C376" s="732">
        <f>'А П 3'!C833:G833</f>
        <v>0</v>
      </c>
      <c r="D376" s="732">
        <f>'А П 3'!D833:H833</f>
        <v>0</v>
      </c>
      <c r="E376" s="732">
        <f>'А П 3'!E833:I833</f>
        <v>0</v>
      </c>
      <c r="F376" s="743" t="str">
        <f>'А П 3'!F833:J833</f>
        <v>Средства бюджетов муниципальных образований Московской области</v>
      </c>
      <c r="G376" s="738">
        <f>'А П 3'!G833:K833</f>
        <v>2127</v>
      </c>
      <c r="H376" s="739">
        <f>'А П 3'!H833:L833</f>
        <v>0</v>
      </c>
      <c r="I376" s="739">
        <f>'А П 3'!I833:M833</f>
        <v>2127</v>
      </c>
      <c r="J376" s="739">
        <f>'А П 3'!J833:N833</f>
        <v>0</v>
      </c>
      <c r="K376" s="739">
        <f>'А П 3'!K833:O833</f>
        <v>0</v>
      </c>
      <c r="L376" s="739">
        <f>'А П 3'!L833:P833</f>
        <v>0</v>
      </c>
      <c r="M376" s="739"/>
      <c r="N376" s="739"/>
      <c r="O376" s="739"/>
      <c r="P376" s="739"/>
      <c r="Q376" s="739"/>
      <c r="R376" s="739"/>
      <c r="S376" s="739"/>
    </row>
    <row r="377" spans="1:19" ht="26.25" hidden="1" customHeight="1" x14ac:dyDescent="0.3">
      <c r="A377" s="732" t="str">
        <f>'А П 3'!A834:E834</f>
        <v>3.1.2.14</v>
      </c>
      <c r="B377" s="733" t="str">
        <f>'А П 3'!B834:F834</f>
        <v>нераспределенный</v>
      </c>
      <c r="C377" s="732">
        <f>'А П 3'!C834:G834</f>
        <v>0</v>
      </c>
      <c r="D377" s="732">
        <f>'А П 3'!D834:H834</f>
        <v>0</v>
      </c>
      <c r="E377" s="732">
        <f>'А П 3'!E834:I834</f>
        <v>0</v>
      </c>
      <c r="F377" s="743">
        <f>'А П 3'!F834:J834</f>
        <v>0</v>
      </c>
      <c r="G377" s="738">
        <f>'А П 3'!G834:K834</f>
        <v>0</v>
      </c>
      <c r="H377" s="739">
        <f>'А П 3'!H834:L834</f>
        <v>0</v>
      </c>
      <c r="I377" s="739">
        <f>'А П 3'!I834:M834</f>
        <v>0</v>
      </c>
      <c r="J377" s="739">
        <f>'А П 3'!J834:N834</f>
        <v>0.44</v>
      </c>
      <c r="K377" s="739">
        <f>'А П 3'!K834:O834</f>
        <v>0</v>
      </c>
      <c r="L377" s="739">
        <f>'А П 3'!L834:P834</f>
        <v>0</v>
      </c>
      <c r="M377" s="739"/>
      <c r="N377" s="739"/>
      <c r="O377" s="739"/>
      <c r="P377" s="739"/>
      <c r="Q377" s="739"/>
      <c r="R377" s="739"/>
      <c r="S377" s="739"/>
    </row>
    <row r="378" spans="1:19" s="786" customFormat="1" ht="31.5" customHeight="1" x14ac:dyDescent="0.3">
      <c r="A378" s="782" t="str">
        <f>'А П 3'!A835:E835</f>
        <v>3.1.3</v>
      </c>
      <c r="B378" s="2514" t="str">
        <f>'А П 3'!B835:F835</f>
        <v>Министерство  образования Московской области</v>
      </c>
      <c r="C378" s="782">
        <f>'А П 3'!C835:G835</f>
        <v>0</v>
      </c>
      <c r="D378" s="782">
        <f>'А П 3'!D835:H835</f>
        <v>0</v>
      </c>
      <c r="E378" s="782">
        <f>'А П 3'!E835:I835</f>
        <v>0</v>
      </c>
      <c r="F378" s="783" t="str">
        <f>'А П 3'!F835:J835</f>
        <v>Итого</v>
      </c>
      <c r="G378" s="784">
        <f>'А П 3'!G835:K835</f>
        <v>661953.81999999995</v>
      </c>
      <c r="H378" s="785">
        <f>'А П 3'!H835:L835</f>
        <v>412600.93</v>
      </c>
      <c r="I378" s="785">
        <f>'А П 3'!I835:M835</f>
        <v>249352.89</v>
      </c>
      <c r="J378" s="785">
        <f>'А П 3'!J835:N835</f>
        <v>0</v>
      </c>
      <c r="K378" s="785">
        <f>'А П 3'!K835:O835</f>
        <v>0</v>
      </c>
      <c r="L378" s="785">
        <f>'А П 3'!L835:P835</f>
        <v>0</v>
      </c>
      <c r="M378" s="785"/>
      <c r="N378" s="785"/>
      <c r="O378" s="785"/>
      <c r="P378" s="785"/>
      <c r="Q378" s="785"/>
      <c r="R378" s="785"/>
      <c r="S378" s="785"/>
    </row>
    <row r="379" spans="1:19" ht="26.25" customHeight="1" x14ac:dyDescent="0.3">
      <c r="A379" s="789"/>
      <c r="B379" s="2515"/>
      <c r="C379" s="789">
        <f>'А П 3'!C836:G836</f>
        <v>0</v>
      </c>
      <c r="D379" s="789">
        <f>'А П 3'!D836:H836</f>
        <v>0</v>
      </c>
      <c r="E379" s="789">
        <f>'А П 3'!E836:I836</f>
        <v>0</v>
      </c>
      <c r="F379" s="790" t="str">
        <f>'А П 3'!F836:J836</f>
        <v>Средства бюджета Московской области</v>
      </c>
      <c r="G379" s="791">
        <f>'А П 3'!G836:K836</f>
        <v>597920</v>
      </c>
      <c r="H379" s="792">
        <f>'А П 3'!H836:L836</f>
        <v>368534</v>
      </c>
      <c r="I379" s="792">
        <f>'А П 3'!I836:M836</f>
        <v>229386</v>
      </c>
      <c r="J379" s="792">
        <f>'А П 3'!J836:N836</f>
        <v>0</v>
      </c>
      <c r="K379" s="792">
        <f>'А П 3'!K836:O836</f>
        <v>0</v>
      </c>
      <c r="L379" s="792">
        <f>'А П 3'!L836:P836</f>
        <v>0</v>
      </c>
      <c r="M379" s="739"/>
      <c r="N379" s="739"/>
      <c r="O379" s="739"/>
      <c r="P379" s="739"/>
      <c r="Q379" s="739"/>
      <c r="R379" s="739"/>
      <c r="S379" s="739"/>
    </row>
    <row r="380" spans="1:19" ht="26.25" customHeight="1" x14ac:dyDescent="0.3">
      <c r="A380" s="789"/>
      <c r="B380" s="2516"/>
      <c r="C380" s="789">
        <f>'А П 3'!C837:G837</f>
        <v>0</v>
      </c>
      <c r="D380" s="789">
        <f>'А П 3'!D837:H837</f>
        <v>0</v>
      </c>
      <c r="E380" s="789">
        <f>'А П 3'!E837:I837</f>
        <v>0</v>
      </c>
      <c r="F380" s="790" t="str">
        <f>'А П 3'!F837:J837</f>
        <v>Средства бюджетов муниципальных образований Московской области</v>
      </c>
      <c r="G380" s="791">
        <f>'А П 3'!G837:K837</f>
        <v>64033.82</v>
      </c>
      <c r="H380" s="792">
        <f>'А П 3'!H837:L837</f>
        <v>44066.93</v>
      </c>
      <c r="I380" s="792">
        <f>'А П 3'!I837:M837</f>
        <v>19966.89</v>
      </c>
      <c r="J380" s="792">
        <f>'А П 3'!J837:N837</f>
        <v>0</v>
      </c>
      <c r="K380" s="792">
        <f>'А П 3'!K837:O837</f>
        <v>0</v>
      </c>
      <c r="L380" s="792">
        <f>'А П 3'!L837:P837</f>
        <v>0</v>
      </c>
      <c r="M380" s="739"/>
      <c r="N380" s="739"/>
      <c r="O380" s="739"/>
      <c r="P380" s="739"/>
      <c r="Q380" s="739"/>
      <c r="R380" s="739"/>
      <c r="S380" s="739"/>
    </row>
    <row r="381" spans="1:19" s="750" customFormat="1" ht="26.25" customHeight="1" x14ac:dyDescent="0.3">
      <c r="A381" s="745" t="str">
        <f>'А П 3'!A838:E838</f>
        <v>3.1.3.1</v>
      </c>
      <c r="B381" s="746" t="str">
        <f>'А П 3'!B838:F838</f>
        <v>городской округ Балашиха</v>
      </c>
      <c r="C381" s="745">
        <f>'А П 3'!C838:G838</f>
        <v>0</v>
      </c>
      <c r="D381" s="745">
        <f>'А П 3'!D838:H838</f>
        <v>0</v>
      </c>
      <c r="E381" s="745">
        <f>'А П 3'!E838:I838</f>
        <v>0</v>
      </c>
      <c r="F381" s="747" t="str">
        <f>'А П 3'!F838:J838</f>
        <v>Итого</v>
      </c>
      <c r="G381" s="748">
        <f>'А П 3'!G838:K838</f>
        <v>157003.35999999999</v>
      </c>
      <c r="H381" s="749">
        <f>'А П 3'!H838:L838</f>
        <v>157003.35999999999</v>
      </c>
      <c r="I381" s="749">
        <f>'А П 3'!I838:M838</f>
        <v>0</v>
      </c>
      <c r="J381" s="749">
        <f>'А П 3'!J838:N838</f>
        <v>0</v>
      </c>
      <c r="K381" s="749">
        <f>'А П 3'!K838:O838</f>
        <v>0</v>
      </c>
      <c r="L381" s="749">
        <f>'А П 3'!L838:P838</f>
        <v>0</v>
      </c>
      <c r="M381" s="749"/>
      <c r="N381" s="749"/>
      <c r="O381" s="749"/>
      <c r="P381" s="749"/>
      <c r="Q381" s="749"/>
      <c r="R381" s="749"/>
      <c r="S381" s="749"/>
    </row>
    <row r="382" spans="1:19" ht="26.25" customHeight="1" x14ac:dyDescent="0.3">
      <c r="A382" s="732"/>
      <c r="B382" s="733"/>
      <c r="C382" s="732">
        <f>'А П 3'!C839:G839</f>
        <v>0</v>
      </c>
      <c r="D382" s="732">
        <f>'А П 3'!D839:H839</f>
        <v>0</v>
      </c>
      <c r="E382" s="732">
        <f>'А П 3'!E839:I839</f>
        <v>0</v>
      </c>
      <c r="F382" s="743" t="str">
        <f>'А П 3'!F839:J839</f>
        <v>Средства бюджета Московской области</v>
      </c>
      <c r="G382" s="738">
        <f>'А П 3'!G839:K839</f>
        <v>133077.6</v>
      </c>
      <c r="H382" s="739">
        <f>'А П 3'!H839:L839</f>
        <v>133077.6</v>
      </c>
      <c r="I382" s="739">
        <f>'А П 3'!I839:M839</f>
        <v>0</v>
      </c>
      <c r="J382" s="739">
        <f>'А П 3'!J839:N839</f>
        <v>0</v>
      </c>
      <c r="K382" s="739">
        <f>'А П 3'!K839:O839</f>
        <v>0</v>
      </c>
      <c r="L382" s="739">
        <f>'А П 3'!L839:P839</f>
        <v>0</v>
      </c>
      <c r="M382" s="739"/>
      <c r="N382" s="739"/>
      <c r="O382" s="739"/>
      <c r="P382" s="739"/>
      <c r="Q382" s="739"/>
      <c r="R382" s="739"/>
      <c r="S382" s="739"/>
    </row>
    <row r="383" spans="1:19" ht="26.25" customHeight="1" x14ac:dyDescent="0.3">
      <c r="A383" s="732"/>
      <c r="B383" s="733"/>
      <c r="C383" s="732">
        <f>'А П 3'!C840:G840</f>
        <v>0</v>
      </c>
      <c r="D383" s="732">
        <f>'А П 3'!D840:H840</f>
        <v>0</v>
      </c>
      <c r="E383" s="732">
        <f>'А П 3'!E840:I840</f>
        <v>0</v>
      </c>
      <c r="F383" s="743" t="str">
        <f>'А П 3'!F840:J840</f>
        <v>Средства бюджетов муниципальных образований Московской области</v>
      </c>
      <c r="G383" s="738">
        <f>'А П 3'!G840:K840</f>
        <v>23925.759999999998</v>
      </c>
      <c r="H383" s="739">
        <f>'А П 3'!H840:L840</f>
        <v>23925.759999999998</v>
      </c>
      <c r="I383" s="739">
        <f>'А П 3'!I840:M840</f>
        <v>0</v>
      </c>
      <c r="J383" s="739">
        <f>'А П 3'!J840:N840</f>
        <v>0</v>
      </c>
      <c r="K383" s="739">
        <f>'А П 3'!K840:O840</f>
        <v>0</v>
      </c>
      <c r="L383" s="739">
        <f>'А П 3'!L840:P840</f>
        <v>0</v>
      </c>
      <c r="M383" s="739"/>
      <c r="N383" s="739"/>
      <c r="O383" s="739"/>
      <c r="P383" s="739"/>
      <c r="Q383" s="739"/>
      <c r="R383" s="739"/>
      <c r="S383" s="739"/>
    </row>
    <row r="384" spans="1:19" ht="26.25" hidden="1" customHeight="1" x14ac:dyDescent="0.3">
      <c r="A384" s="732">
        <f>'А П 3'!A841:E841</f>
        <v>0</v>
      </c>
      <c r="B384" s="733" t="str">
        <f>'А П 3'!B841:F841</f>
        <v xml:space="preserve">МАОУ «Гимназия № 3», мкр. Северный, г.о. Балашиха
</v>
      </c>
      <c r="C384" s="732">
        <f>'А П 3'!C841:G841</f>
        <v>0</v>
      </c>
      <c r="D384" s="732">
        <f>'А П 3'!D841:H841</f>
        <v>0</v>
      </c>
      <c r="E384" s="732">
        <f>'А П 3'!E841:I841</f>
        <v>0</v>
      </c>
      <c r="F384" s="743" t="str">
        <f>'А П 3'!F841:J841</f>
        <v>Итого</v>
      </c>
      <c r="G384" s="738">
        <f>'А П 3'!G841:K841</f>
        <v>79314.39</v>
      </c>
      <c r="H384" s="739">
        <f>'А П 3'!H841:L841</f>
        <v>79314.39</v>
      </c>
      <c r="I384" s="739">
        <f>'А П 3'!I841:M841</f>
        <v>0</v>
      </c>
      <c r="J384" s="739">
        <f>'А П 3'!J841:N841</f>
        <v>0</v>
      </c>
      <c r="K384" s="739">
        <f>'А П 3'!K841:O841</f>
        <v>0</v>
      </c>
      <c r="L384" s="739">
        <f>'А П 3'!L841:P841</f>
        <v>0</v>
      </c>
      <c r="M384" s="739"/>
      <c r="N384" s="739"/>
      <c r="O384" s="739"/>
      <c r="P384" s="739"/>
      <c r="Q384" s="739"/>
      <c r="R384" s="739"/>
      <c r="S384" s="739"/>
    </row>
    <row r="385" spans="1:19" ht="26.25" hidden="1" customHeight="1" x14ac:dyDescent="0.3">
      <c r="A385" s="732">
        <f>'А П 3'!A842:E842</f>
        <v>0</v>
      </c>
      <c r="B385" s="733">
        <f>'А П 3'!B842:F842</f>
        <v>0</v>
      </c>
      <c r="C385" s="732">
        <f>'А П 3'!C842:G842</f>
        <v>0</v>
      </c>
      <c r="D385" s="732">
        <f>'А П 3'!D842:H842</f>
        <v>0</v>
      </c>
      <c r="E385" s="732">
        <f>'А П 3'!E842:I842</f>
        <v>0</v>
      </c>
      <c r="F385" s="743" t="str">
        <f>'А П 3'!F842:J842</f>
        <v>Средства бюджета Московской области</v>
      </c>
      <c r="G385" s="738">
        <f>'А П 3'!G842:K842</f>
        <v>63157.53</v>
      </c>
      <c r="H385" s="739">
        <f>'А П 3'!H842:L842</f>
        <v>63157.53</v>
      </c>
      <c r="I385" s="739">
        <f>'А П 3'!I842:M842</f>
        <v>0</v>
      </c>
      <c r="J385" s="739">
        <f>'А П 3'!J842:N842</f>
        <v>0</v>
      </c>
      <c r="K385" s="739">
        <f>'А П 3'!K842:O842</f>
        <v>0</v>
      </c>
      <c r="L385" s="739">
        <f>'А П 3'!L842:P842</f>
        <v>0</v>
      </c>
      <c r="M385" s="739"/>
      <c r="N385" s="739"/>
      <c r="O385" s="739"/>
      <c r="P385" s="739"/>
      <c r="Q385" s="739"/>
      <c r="R385" s="739"/>
      <c r="S385" s="739"/>
    </row>
    <row r="386" spans="1:19" ht="26.25" hidden="1" customHeight="1" x14ac:dyDescent="0.3">
      <c r="A386" s="732">
        <f>'А П 3'!A843:E843</f>
        <v>0</v>
      </c>
      <c r="B386" s="733">
        <f>'А П 3'!B843:F843</f>
        <v>0</v>
      </c>
      <c r="C386" s="732">
        <f>'А П 3'!C843:G843</f>
        <v>0</v>
      </c>
      <c r="D386" s="732">
        <f>'А П 3'!D843:H843</f>
        <v>0</v>
      </c>
      <c r="E386" s="732">
        <f>'А П 3'!E843:I843</f>
        <v>0</v>
      </c>
      <c r="F386" s="743" t="str">
        <f>'А П 3'!F843:J843</f>
        <v>Средства бюджетов муниципальных образований Московской области</v>
      </c>
      <c r="G386" s="738">
        <f>'А П 3'!G843:K843</f>
        <v>16156.86</v>
      </c>
      <c r="H386" s="739">
        <f>'А П 3'!H843:L843</f>
        <v>16156.86</v>
      </c>
      <c r="I386" s="739">
        <f>'А П 3'!I843:M843</f>
        <v>0</v>
      </c>
      <c r="J386" s="739">
        <f>'А П 3'!J843:N843</f>
        <v>0</v>
      </c>
      <c r="K386" s="739">
        <f>'А П 3'!K843:O843</f>
        <v>0</v>
      </c>
      <c r="L386" s="739">
        <f>'А П 3'!L843:P843</f>
        <v>0</v>
      </c>
      <c r="M386" s="739"/>
      <c r="N386" s="739"/>
      <c r="O386" s="739"/>
      <c r="P386" s="739"/>
      <c r="Q386" s="739"/>
      <c r="R386" s="739"/>
      <c r="S386" s="739"/>
    </row>
    <row r="387" spans="1:19" ht="26.25" hidden="1" customHeight="1" x14ac:dyDescent="0.3">
      <c r="A387" s="732">
        <f>'А П 3'!A844:E844</f>
        <v>0</v>
      </c>
      <c r="B387" s="733" t="str">
        <f>'А П 3'!B844:F844</f>
        <v xml:space="preserve">МБДОУ «Детский сад комбинированного вида № 47 «Умка» г.о. Балашиха </v>
      </c>
      <c r="C387" s="732">
        <f>'А П 3'!C844:G844</f>
        <v>0</v>
      </c>
      <c r="D387" s="732">
        <f>'А П 3'!D844:H844</f>
        <v>0</v>
      </c>
      <c r="E387" s="732">
        <f>'А П 3'!E844:I844</f>
        <v>0</v>
      </c>
      <c r="F387" s="743" t="str">
        <f>'А П 3'!F844:J844</f>
        <v>Итого</v>
      </c>
      <c r="G387" s="738">
        <f>'А П 3'!G844:K844</f>
        <v>37486.6</v>
      </c>
      <c r="H387" s="739">
        <f>'А П 3'!H844:L844</f>
        <v>37486.6</v>
      </c>
      <c r="I387" s="739">
        <f>'А П 3'!I844:M844</f>
        <v>0</v>
      </c>
      <c r="J387" s="739">
        <f>'А П 3'!J844:N844</f>
        <v>0</v>
      </c>
      <c r="K387" s="739">
        <f>'А П 3'!K844:O844</f>
        <v>0</v>
      </c>
      <c r="L387" s="739">
        <f>'А П 3'!L844:P844</f>
        <v>0</v>
      </c>
      <c r="M387" s="739"/>
      <c r="N387" s="739"/>
      <c r="O387" s="739"/>
      <c r="P387" s="739"/>
      <c r="Q387" s="739"/>
      <c r="R387" s="739"/>
      <c r="S387" s="739"/>
    </row>
    <row r="388" spans="1:19" ht="26.25" hidden="1" customHeight="1" x14ac:dyDescent="0.3">
      <c r="A388" s="732">
        <f>'А П 3'!A845:E845</f>
        <v>0</v>
      </c>
      <c r="B388" s="733">
        <f>'А П 3'!B845:F845</f>
        <v>0</v>
      </c>
      <c r="C388" s="732">
        <f>'А П 3'!C845:G845</f>
        <v>0</v>
      </c>
      <c r="D388" s="732">
        <f>'А П 3'!D845:H845</f>
        <v>0</v>
      </c>
      <c r="E388" s="732">
        <f>'А П 3'!E845:I845</f>
        <v>0</v>
      </c>
      <c r="F388" s="743" t="str">
        <f>'А П 3'!F845:J845</f>
        <v>Средства бюджета Московской области</v>
      </c>
      <c r="G388" s="738">
        <f>'А П 3'!G845:K845</f>
        <v>33737.94</v>
      </c>
      <c r="H388" s="739">
        <f>'А П 3'!H845:L845</f>
        <v>33737.94</v>
      </c>
      <c r="I388" s="739">
        <f>'А П 3'!I845:M845</f>
        <v>0</v>
      </c>
      <c r="J388" s="739">
        <f>'А П 3'!J845:N845</f>
        <v>0</v>
      </c>
      <c r="K388" s="739">
        <f>'А П 3'!K845:O845</f>
        <v>0</v>
      </c>
      <c r="L388" s="739">
        <f>'А П 3'!L845:P845</f>
        <v>0</v>
      </c>
      <c r="M388" s="739"/>
      <c r="N388" s="739"/>
      <c r="O388" s="739"/>
      <c r="P388" s="739"/>
      <c r="Q388" s="739"/>
      <c r="R388" s="739"/>
      <c r="S388" s="739"/>
    </row>
    <row r="389" spans="1:19" ht="26.25" hidden="1" customHeight="1" x14ac:dyDescent="0.3">
      <c r="A389" s="732">
        <f>'А П 3'!A846:E846</f>
        <v>0</v>
      </c>
      <c r="B389" s="733">
        <f>'А П 3'!B846:F846</f>
        <v>0</v>
      </c>
      <c r="C389" s="732">
        <f>'А П 3'!C846:G846</f>
        <v>0</v>
      </c>
      <c r="D389" s="732">
        <f>'А П 3'!D846:H846</f>
        <v>0</v>
      </c>
      <c r="E389" s="732">
        <f>'А П 3'!E846:I846</f>
        <v>0</v>
      </c>
      <c r="F389" s="743" t="str">
        <f>'А П 3'!F846:J846</f>
        <v>Средства бюджетов муниципальных образований Московской области</v>
      </c>
      <c r="G389" s="738">
        <f>'А П 3'!G846:K846</f>
        <v>3748.66</v>
      </c>
      <c r="H389" s="739">
        <f>'А П 3'!H846:L846</f>
        <v>3748.66</v>
      </c>
      <c r="I389" s="739">
        <f>'А П 3'!I846:M846</f>
        <v>0</v>
      </c>
      <c r="J389" s="739">
        <f>'А П 3'!J846:N846</f>
        <v>0</v>
      </c>
      <c r="K389" s="739">
        <f>'А П 3'!K846:O846</f>
        <v>0</v>
      </c>
      <c r="L389" s="739">
        <f>'А П 3'!L846:P846</f>
        <v>0</v>
      </c>
      <c r="M389" s="739"/>
      <c r="N389" s="739"/>
      <c r="O389" s="739"/>
      <c r="P389" s="739"/>
      <c r="Q389" s="739"/>
      <c r="R389" s="739"/>
      <c r="S389" s="739"/>
    </row>
    <row r="390" spans="1:19" ht="26.25" hidden="1" customHeight="1" x14ac:dyDescent="0.3">
      <c r="A390" s="732">
        <f>'А П 3'!A847:E847</f>
        <v>0</v>
      </c>
      <c r="B390" s="733" t="str">
        <f>'А П 3'!B847:F847</f>
        <v>МБДОУ «Детский сад комбинированного вида № 41 «Заряночка» г.о. Балашиха</v>
      </c>
      <c r="C390" s="732">
        <f>'А П 3'!C847:G847</f>
        <v>0</v>
      </c>
      <c r="D390" s="732">
        <f>'А П 3'!D847:H847</f>
        <v>0</v>
      </c>
      <c r="E390" s="732">
        <f>'А П 3'!E847:I847</f>
        <v>0</v>
      </c>
      <c r="F390" s="743" t="str">
        <f>'А П 3'!F847:J847</f>
        <v>Итого</v>
      </c>
      <c r="G390" s="738">
        <f>'А П 3'!G847:K847</f>
        <v>40202.370000000003</v>
      </c>
      <c r="H390" s="739">
        <f>'А П 3'!H847:L847</f>
        <v>40202.370000000003</v>
      </c>
      <c r="I390" s="739">
        <f>'А П 3'!I847:M847</f>
        <v>0</v>
      </c>
      <c r="J390" s="739">
        <f>'А П 3'!J847:N847</f>
        <v>0</v>
      </c>
      <c r="K390" s="739">
        <f>'А П 3'!K847:O847</f>
        <v>0</v>
      </c>
      <c r="L390" s="739">
        <f>'А П 3'!L847:P847</f>
        <v>0</v>
      </c>
      <c r="M390" s="739"/>
      <c r="N390" s="739"/>
      <c r="O390" s="739"/>
      <c r="P390" s="739"/>
      <c r="Q390" s="739"/>
      <c r="R390" s="739"/>
      <c r="S390" s="739"/>
    </row>
    <row r="391" spans="1:19" ht="26.25" hidden="1" customHeight="1" x14ac:dyDescent="0.3">
      <c r="A391" s="732">
        <f>'А П 3'!A848:E848</f>
        <v>0</v>
      </c>
      <c r="B391" s="733">
        <f>'А П 3'!B848:F848</f>
        <v>0</v>
      </c>
      <c r="C391" s="732">
        <f>'А П 3'!C848:G848</f>
        <v>0</v>
      </c>
      <c r="D391" s="732">
        <f>'А П 3'!D848:H848</f>
        <v>0</v>
      </c>
      <c r="E391" s="732">
        <f>'А П 3'!E848:I848</f>
        <v>0</v>
      </c>
      <c r="F391" s="743" t="str">
        <f>'А П 3'!F848:J848</f>
        <v>Средства бюджета Московской области</v>
      </c>
      <c r="G391" s="738">
        <f>'А П 3'!G848:K848</f>
        <v>36182.129999999997</v>
      </c>
      <c r="H391" s="739">
        <f>'А П 3'!H848:L848</f>
        <v>36182.129999999997</v>
      </c>
      <c r="I391" s="739">
        <f>'А П 3'!I848:M848</f>
        <v>0</v>
      </c>
      <c r="J391" s="739">
        <f>'А П 3'!J848:N848</f>
        <v>0</v>
      </c>
      <c r="K391" s="739">
        <f>'А П 3'!K848:O848</f>
        <v>0</v>
      </c>
      <c r="L391" s="739">
        <f>'А П 3'!L848:P848</f>
        <v>0</v>
      </c>
      <c r="M391" s="739"/>
      <c r="N391" s="739"/>
      <c r="O391" s="739"/>
      <c r="P391" s="739"/>
      <c r="Q391" s="739"/>
      <c r="R391" s="739"/>
      <c r="S391" s="739"/>
    </row>
    <row r="392" spans="1:19" ht="26.25" hidden="1" customHeight="1" x14ac:dyDescent="0.3">
      <c r="A392" s="732">
        <f>'А П 3'!A849:E849</f>
        <v>0</v>
      </c>
      <c r="B392" s="733">
        <f>'А П 3'!B849:F849</f>
        <v>0</v>
      </c>
      <c r="C392" s="732">
        <f>'А П 3'!C849:G849</f>
        <v>0</v>
      </c>
      <c r="D392" s="732">
        <f>'А П 3'!D849:H849</f>
        <v>0</v>
      </c>
      <c r="E392" s="732">
        <f>'А П 3'!E849:I849</f>
        <v>0</v>
      </c>
      <c r="F392" s="743" t="str">
        <f>'А П 3'!F849:J849</f>
        <v>Средства бюджетов муниципальных образований Московской области</v>
      </c>
      <c r="G392" s="738">
        <f>'А П 3'!G849:K849</f>
        <v>4020.24</v>
      </c>
      <c r="H392" s="739">
        <f>'А П 3'!H849:L849</f>
        <v>4020.24</v>
      </c>
      <c r="I392" s="739">
        <f>'А П 3'!I849:M849</f>
        <v>0</v>
      </c>
      <c r="J392" s="739">
        <f>'А П 3'!J849:N849</f>
        <v>0</v>
      </c>
      <c r="K392" s="739">
        <f>'А П 3'!K849:O849</f>
        <v>0</v>
      </c>
      <c r="L392" s="739">
        <f>'А П 3'!L849:P849</f>
        <v>0</v>
      </c>
      <c r="M392" s="739"/>
      <c r="N392" s="739"/>
      <c r="O392" s="739"/>
      <c r="P392" s="739"/>
      <c r="Q392" s="739"/>
      <c r="R392" s="739"/>
      <c r="S392" s="739"/>
    </row>
    <row r="393" spans="1:19" s="750" customFormat="1" ht="26.25" customHeight="1" x14ac:dyDescent="0.3">
      <c r="A393" s="745" t="str">
        <f>'А П 3'!A850:E850</f>
        <v>3.1.3.2</v>
      </c>
      <c r="B393" s="746" t="str">
        <f>'А П 3'!B850:F850</f>
        <v>Коломенский городской округ</v>
      </c>
      <c r="C393" s="745">
        <f>'А П 3'!C850:G850</f>
        <v>0</v>
      </c>
      <c r="D393" s="745">
        <f>'А П 3'!D850:H850</f>
        <v>0</v>
      </c>
      <c r="E393" s="745">
        <f>'А П 3'!E850:I850</f>
        <v>0</v>
      </c>
      <c r="F393" s="747" t="str">
        <f>'А П 3'!F850:J850</f>
        <v>Итого</v>
      </c>
      <c r="G393" s="748">
        <f>'А П 3'!G850:K850</f>
        <v>49314</v>
      </c>
      <c r="H393" s="749">
        <f>'А П 3'!H850:L850</f>
        <v>49314</v>
      </c>
      <c r="I393" s="749">
        <f>'А П 3'!I850:M850</f>
        <v>0</v>
      </c>
      <c r="J393" s="749">
        <f>'А П 3'!J850:N850</f>
        <v>0</v>
      </c>
      <c r="K393" s="749">
        <f>'А П 3'!K850:O850</f>
        <v>0</v>
      </c>
      <c r="L393" s="749">
        <f>'А П 3'!L850:P850</f>
        <v>0</v>
      </c>
      <c r="M393" s="749"/>
      <c r="N393" s="749"/>
      <c r="O393" s="749"/>
      <c r="P393" s="749"/>
      <c r="Q393" s="749"/>
      <c r="R393" s="749"/>
      <c r="S393" s="749"/>
    </row>
    <row r="394" spans="1:19" ht="26.25" customHeight="1" x14ac:dyDescent="0.3">
      <c r="A394" s="732"/>
      <c r="B394" s="733"/>
      <c r="C394" s="732">
        <f>'А П 3'!C851:G851</f>
        <v>0</v>
      </c>
      <c r="D394" s="732">
        <f>'А П 3'!D851:H851</f>
        <v>0</v>
      </c>
      <c r="E394" s="732">
        <f>'А П 3'!E851:I851</f>
        <v>0</v>
      </c>
      <c r="F394" s="743" t="str">
        <f>'А П 3'!F851:J851</f>
        <v>Средства бюджета Московской области</v>
      </c>
      <c r="G394" s="738">
        <f>'А П 3'!G851:K851</f>
        <v>46848.3</v>
      </c>
      <c r="H394" s="739">
        <f>'А П 3'!H851:L851</f>
        <v>46848.3</v>
      </c>
      <c r="I394" s="739">
        <f>'А П 3'!I851:M851</f>
        <v>0</v>
      </c>
      <c r="J394" s="739">
        <f>'А П 3'!J851:N851</f>
        <v>0</v>
      </c>
      <c r="K394" s="739">
        <f>'А П 3'!K851:O851</f>
        <v>0</v>
      </c>
      <c r="L394" s="739">
        <f>'А П 3'!L851:P851</f>
        <v>0</v>
      </c>
      <c r="M394" s="739"/>
      <c r="N394" s="739"/>
      <c r="O394" s="739"/>
      <c r="P394" s="739"/>
      <c r="Q394" s="739"/>
      <c r="R394" s="739"/>
      <c r="S394" s="739"/>
    </row>
    <row r="395" spans="1:19" ht="26.25" customHeight="1" x14ac:dyDescent="0.3">
      <c r="A395" s="732"/>
      <c r="B395" s="733"/>
      <c r="C395" s="732">
        <f>'А П 3'!C852:G852</f>
        <v>0</v>
      </c>
      <c r="D395" s="732">
        <f>'А П 3'!D852:H852</f>
        <v>0</v>
      </c>
      <c r="E395" s="732">
        <f>'А П 3'!E852:I852</f>
        <v>0</v>
      </c>
      <c r="F395" s="743" t="str">
        <f>'А П 3'!F852:J852</f>
        <v>Средства бюджетов муниципальных образований Московской области</v>
      </c>
      <c r="G395" s="738">
        <f>'А П 3'!G852:K852</f>
        <v>2465.6999999999998</v>
      </c>
      <c r="H395" s="739">
        <f>'А П 3'!H852:L852</f>
        <v>2465.6999999999998</v>
      </c>
      <c r="I395" s="739">
        <f>'А П 3'!I852:M852</f>
        <v>0</v>
      </c>
      <c r="J395" s="739">
        <f>'А П 3'!J852:N852</f>
        <v>0</v>
      </c>
      <c r="K395" s="739">
        <f>'А П 3'!K852:O852</f>
        <v>0</v>
      </c>
      <c r="L395" s="739">
        <f>'А П 3'!L852:P852</f>
        <v>0</v>
      </c>
      <c r="M395" s="739"/>
      <c r="N395" s="739"/>
      <c r="O395" s="739"/>
      <c r="P395" s="739"/>
      <c r="Q395" s="739"/>
      <c r="R395" s="739"/>
      <c r="S395" s="739"/>
    </row>
    <row r="396" spans="1:19" ht="26.25" hidden="1" customHeight="1" x14ac:dyDescent="0.3">
      <c r="A396" s="732">
        <f>'А П 3'!A853:E853</f>
        <v>0</v>
      </c>
      <c r="B396" s="733" t="str">
        <f>'А П 3'!B853:F853</f>
        <v>Капитальный ремонт МДОУ детский сад "Юнга"  г. Луховицы-3 в/ч № 73802 Коломенский м.р.</v>
      </c>
      <c r="C396" s="732">
        <f>'А П 3'!C853:G853</f>
        <v>0</v>
      </c>
      <c r="D396" s="732">
        <f>'А П 3'!D853:H853</f>
        <v>0</v>
      </c>
      <c r="E396" s="732">
        <f>'А П 3'!E853:I853</f>
        <v>0</v>
      </c>
      <c r="F396" s="743" t="str">
        <f>'А П 3'!F853:J853</f>
        <v>Итого</v>
      </c>
      <c r="G396" s="738">
        <f>'А П 3'!G853:K853</f>
        <v>49314</v>
      </c>
      <c r="H396" s="739">
        <f>'А П 3'!H853:L853</f>
        <v>49314</v>
      </c>
      <c r="I396" s="739">
        <f>'А П 3'!I853:M853</f>
        <v>0</v>
      </c>
      <c r="J396" s="739">
        <f>'А П 3'!J853:N853</f>
        <v>0</v>
      </c>
      <c r="K396" s="739">
        <f>'А П 3'!K853:O853</f>
        <v>0</v>
      </c>
      <c r="L396" s="739">
        <f>'А П 3'!L853:P853</f>
        <v>0</v>
      </c>
      <c r="M396" s="739"/>
      <c r="N396" s="739"/>
      <c r="O396" s="739"/>
      <c r="P396" s="739"/>
      <c r="Q396" s="739"/>
      <c r="R396" s="739"/>
      <c r="S396" s="739"/>
    </row>
    <row r="397" spans="1:19" ht="26.25" hidden="1" customHeight="1" x14ac:dyDescent="0.3">
      <c r="A397" s="732">
        <f>'А П 3'!A854:E854</f>
        <v>0</v>
      </c>
      <c r="B397" s="733">
        <f>'А П 3'!B854:F854</f>
        <v>0</v>
      </c>
      <c r="C397" s="732">
        <f>'А П 3'!C854:G854</f>
        <v>0</v>
      </c>
      <c r="D397" s="732">
        <f>'А П 3'!D854:H854</f>
        <v>0</v>
      </c>
      <c r="E397" s="732">
        <f>'А П 3'!E854:I854</f>
        <v>0</v>
      </c>
      <c r="F397" s="743" t="str">
        <f>'А П 3'!F854:J854</f>
        <v>Средства бюджета Московской области</v>
      </c>
      <c r="G397" s="738">
        <f>'А П 3'!G854:K854</f>
        <v>46848.3</v>
      </c>
      <c r="H397" s="739">
        <f>'А П 3'!H854:L854</f>
        <v>46848.3</v>
      </c>
      <c r="I397" s="739">
        <f>'А П 3'!I854:M854</f>
        <v>0</v>
      </c>
      <c r="J397" s="739">
        <f>'А П 3'!J854:N854</f>
        <v>0</v>
      </c>
      <c r="K397" s="739">
        <f>'А П 3'!K854:O854</f>
        <v>0</v>
      </c>
      <c r="L397" s="739">
        <f>'А П 3'!L854:P854</f>
        <v>0</v>
      </c>
      <c r="M397" s="739"/>
      <c r="N397" s="739"/>
      <c r="O397" s="739"/>
      <c r="P397" s="739"/>
      <c r="Q397" s="739"/>
      <c r="R397" s="739"/>
      <c r="S397" s="739"/>
    </row>
    <row r="398" spans="1:19" ht="26.25" hidden="1" customHeight="1" x14ac:dyDescent="0.3">
      <c r="A398" s="732">
        <f>'А П 3'!A855:E855</f>
        <v>0</v>
      </c>
      <c r="B398" s="733">
        <f>'А П 3'!B855:F855</f>
        <v>0</v>
      </c>
      <c r="C398" s="732">
        <f>'А П 3'!C855:G855</f>
        <v>0</v>
      </c>
      <c r="D398" s="732">
        <f>'А П 3'!D855:H855</f>
        <v>0</v>
      </c>
      <c r="E398" s="732">
        <f>'А П 3'!E855:I855</f>
        <v>0</v>
      </c>
      <c r="F398" s="743" t="str">
        <f>'А П 3'!F855:J855</f>
        <v>Средства бюджетов муниципальных образований Московской области</v>
      </c>
      <c r="G398" s="738">
        <f>'А П 3'!G855:K855</f>
        <v>2465.6999999999998</v>
      </c>
      <c r="H398" s="739">
        <f>'А П 3'!H855:L855</f>
        <v>2465.6999999999998</v>
      </c>
      <c r="I398" s="739">
        <f>'А П 3'!I855:M855</f>
        <v>0</v>
      </c>
      <c r="J398" s="739">
        <f>'А П 3'!J855:N855</f>
        <v>0</v>
      </c>
      <c r="K398" s="739">
        <f>'А П 3'!K855:O855</f>
        <v>0</v>
      </c>
      <c r="L398" s="739">
        <f>'А П 3'!L855:P855</f>
        <v>0</v>
      </c>
      <c r="M398" s="739"/>
      <c r="N398" s="739"/>
      <c r="O398" s="739"/>
      <c r="P398" s="739"/>
      <c r="Q398" s="739"/>
      <c r="R398" s="739"/>
      <c r="S398" s="739"/>
    </row>
    <row r="399" spans="1:19" s="750" customFormat="1" ht="26.25" customHeight="1" x14ac:dyDescent="0.3">
      <c r="A399" s="745" t="str">
        <f>'А П 3'!A856:E856</f>
        <v>3.1.3.3</v>
      </c>
      <c r="B399" s="746" t="str">
        <f>'А П 3'!B856:F856</f>
        <v>Ногинский муниципальный район</v>
      </c>
      <c r="C399" s="745">
        <f>'А П 3'!C856:G856</f>
        <v>0</v>
      </c>
      <c r="D399" s="745">
        <f>'А П 3'!D856:H856</f>
        <v>0</v>
      </c>
      <c r="E399" s="745">
        <f>'А П 3'!E856:I856</f>
        <v>0</v>
      </c>
      <c r="F399" s="747" t="str">
        <f>'А П 3'!F856:J856</f>
        <v>Итого</v>
      </c>
      <c r="G399" s="748">
        <f>'А П 3'!G856:K856</f>
        <v>50658</v>
      </c>
      <c r="H399" s="749">
        <f>'А П 3'!H856:L856</f>
        <v>50658</v>
      </c>
      <c r="I399" s="749">
        <f>'А П 3'!I856:M856</f>
        <v>0</v>
      </c>
      <c r="J399" s="749">
        <f>'А П 3'!J856:N856</f>
        <v>0</v>
      </c>
      <c r="K399" s="749">
        <f>'А П 3'!K856:O856</f>
        <v>0</v>
      </c>
      <c r="L399" s="749">
        <f>'А П 3'!L856:P856</f>
        <v>0</v>
      </c>
      <c r="M399" s="749"/>
      <c r="N399" s="749"/>
      <c r="O399" s="749"/>
      <c r="P399" s="749"/>
      <c r="Q399" s="749"/>
      <c r="R399" s="749"/>
      <c r="S399" s="749"/>
    </row>
    <row r="400" spans="1:19" ht="26.25" customHeight="1" x14ac:dyDescent="0.3">
      <c r="A400" s="732"/>
      <c r="B400" s="733"/>
      <c r="C400" s="732">
        <f>'А П 3'!C857:G857</f>
        <v>0</v>
      </c>
      <c r="D400" s="732">
        <f>'А П 3'!D857:H857</f>
        <v>0</v>
      </c>
      <c r="E400" s="732">
        <f>'А П 3'!E857:I857</f>
        <v>0</v>
      </c>
      <c r="F400" s="743" t="str">
        <f>'А П 3'!F857:J857</f>
        <v>Средства бюджета Московской области</v>
      </c>
      <c r="G400" s="738">
        <f>'А П 3'!G857:K857</f>
        <v>48125.1</v>
      </c>
      <c r="H400" s="739">
        <f>'А П 3'!H857:L857</f>
        <v>48125.1</v>
      </c>
      <c r="I400" s="739">
        <f>'А П 3'!I857:M857</f>
        <v>0</v>
      </c>
      <c r="J400" s="739">
        <f>'А П 3'!J857:N857</f>
        <v>0</v>
      </c>
      <c r="K400" s="739">
        <f>'А П 3'!K857:O857</f>
        <v>0</v>
      </c>
      <c r="L400" s="739">
        <f>'А П 3'!L857:P857</f>
        <v>0</v>
      </c>
      <c r="M400" s="739"/>
      <c r="N400" s="739"/>
      <c r="O400" s="739"/>
      <c r="P400" s="739"/>
      <c r="Q400" s="739"/>
      <c r="R400" s="739"/>
      <c r="S400" s="739"/>
    </row>
    <row r="401" spans="1:19" ht="26.25" customHeight="1" x14ac:dyDescent="0.3">
      <c r="A401" s="732"/>
      <c r="B401" s="733"/>
      <c r="C401" s="732">
        <f>'А П 3'!C858:G858</f>
        <v>0</v>
      </c>
      <c r="D401" s="732">
        <f>'А П 3'!D858:H858</f>
        <v>0</v>
      </c>
      <c r="E401" s="732">
        <f>'А П 3'!E858:I858</f>
        <v>0</v>
      </c>
      <c r="F401" s="743" t="str">
        <f>'А П 3'!F858:J858</f>
        <v>Средства бюджетов муниципальных образований Московской области</v>
      </c>
      <c r="G401" s="738">
        <f>'А П 3'!G858:K858</f>
        <v>2532.9</v>
      </c>
      <c r="H401" s="739">
        <f>'А П 3'!H858:L858</f>
        <v>2532.9</v>
      </c>
      <c r="I401" s="739">
        <f>'А П 3'!I858:M858</f>
        <v>0</v>
      </c>
      <c r="J401" s="739">
        <f>'А П 3'!J858:N858</f>
        <v>0</v>
      </c>
      <c r="K401" s="739">
        <f>'А П 3'!K858:O858</f>
        <v>0</v>
      </c>
      <c r="L401" s="739">
        <f>'А П 3'!L858:P858</f>
        <v>0</v>
      </c>
      <c r="M401" s="739"/>
      <c r="N401" s="739"/>
      <c r="O401" s="739"/>
      <c r="P401" s="739"/>
      <c r="Q401" s="739"/>
      <c r="R401" s="739"/>
      <c r="S401" s="739"/>
    </row>
    <row r="402" spans="1:19" ht="26.25" hidden="1" customHeight="1" x14ac:dyDescent="0.3">
      <c r="A402" s="732">
        <f>'А П 3'!A859:E859</f>
        <v>0</v>
      </c>
      <c r="B402" s="733" t="str">
        <f>'А П 3'!B859:F859</f>
        <v xml:space="preserve">Ногинский м.р. МБДОУ № 97 "Солнышко" комбинированного вида, состоит из 3-х зданий д. Дуброво (Ногинск-9)         Ногинский м.р.                                     </v>
      </c>
      <c r="C402" s="732">
        <f>'А П 3'!C859:G859</f>
        <v>0</v>
      </c>
      <c r="D402" s="732">
        <f>'А П 3'!D859:H859</f>
        <v>0</v>
      </c>
      <c r="E402" s="732">
        <f>'А П 3'!E859:I859</f>
        <v>0</v>
      </c>
      <c r="F402" s="743" t="str">
        <f>'А П 3'!F859:J859</f>
        <v>Итого</v>
      </c>
      <c r="G402" s="738">
        <f>'А П 3'!G859:K859</f>
        <v>50658</v>
      </c>
      <c r="H402" s="739">
        <f>'А П 3'!H859:L859</f>
        <v>50658</v>
      </c>
      <c r="I402" s="739">
        <f>'А П 3'!I859:M859</f>
        <v>0</v>
      </c>
      <c r="J402" s="739">
        <f>'А П 3'!J859:N859</f>
        <v>0</v>
      </c>
      <c r="K402" s="739">
        <f>'А П 3'!K859:O859</f>
        <v>0</v>
      </c>
      <c r="L402" s="739">
        <f>'А П 3'!L859:P859</f>
        <v>0</v>
      </c>
      <c r="M402" s="739"/>
      <c r="N402" s="739"/>
      <c r="O402" s="739"/>
      <c r="P402" s="739"/>
      <c r="Q402" s="739"/>
      <c r="R402" s="739"/>
      <c r="S402" s="739"/>
    </row>
    <row r="403" spans="1:19" ht="26.25" hidden="1" customHeight="1" x14ac:dyDescent="0.3">
      <c r="A403" s="732">
        <f>'А П 3'!A860:E860</f>
        <v>0</v>
      </c>
      <c r="B403" s="733">
        <f>'А П 3'!B860:F860</f>
        <v>0</v>
      </c>
      <c r="C403" s="732">
        <f>'А П 3'!C860:G860</f>
        <v>0</v>
      </c>
      <c r="D403" s="732">
        <f>'А П 3'!D860:H860</f>
        <v>0</v>
      </c>
      <c r="E403" s="732">
        <f>'А П 3'!E860:I860</f>
        <v>0</v>
      </c>
      <c r="F403" s="743" t="str">
        <f>'А П 3'!F860:J860</f>
        <v>Средства бюджета Московской области</v>
      </c>
      <c r="G403" s="738">
        <f>'А П 3'!G860:K860</f>
        <v>48125.1</v>
      </c>
      <c r="H403" s="739">
        <f>'А П 3'!H860:L860</f>
        <v>48125.1</v>
      </c>
      <c r="I403" s="739">
        <f>'А П 3'!I860:M860</f>
        <v>0</v>
      </c>
      <c r="J403" s="739">
        <f>'А П 3'!J860:N860</f>
        <v>0</v>
      </c>
      <c r="K403" s="739">
        <f>'А П 3'!K860:O860</f>
        <v>0</v>
      </c>
      <c r="L403" s="739">
        <f>'А П 3'!L860:P860</f>
        <v>0</v>
      </c>
      <c r="M403" s="739"/>
      <c r="N403" s="739"/>
      <c r="O403" s="739"/>
      <c r="P403" s="739"/>
      <c r="Q403" s="739"/>
      <c r="R403" s="739"/>
      <c r="S403" s="739"/>
    </row>
    <row r="404" spans="1:19" ht="26.25" hidden="1" customHeight="1" x14ac:dyDescent="0.3">
      <c r="A404" s="732">
        <f>'А П 3'!A861:E861</f>
        <v>0</v>
      </c>
      <c r="B404" s="733">
        <f>'А П 3'!B861:F861</f>
        <v>0</v>
      </c>
      <c r="C404" s="732">
        <f>'А П 3'!C861:G861</f>
        <v>0</v>
      </c>
      <c r="D404" s="732">
        <f>'А П 3'!D861:H861</f>
        <v>0</v>
      </c>
      <c r="E404" s="732">
        <f>'А П 3'!E861:I861</f>
        <v>0</v>
      </c>
      <c r="F404" s="743" t="str">
        <f>'А П 3'!F861:J861</f>
        <v>Средства бюджетов муниципальных образований Московской области</v>
      </c>
      <c r="G404" s="738">
        <f>'А П 3'!G861:K861</f>
        <v>2532.9</v>
      </c>
      <c r="H404" s="739">
        <f>'А П 3'!H861:L861</f>
        <v>2532.9</v>
      </c>
      <c r="I404" s="739">
        <f>'А П 3'!I861:M861</f>
        <v>0</v>
      </c>
      <c r="J404" s="739">
        <f>'А П 3'!J861:N861</f>
        <v>0</v>
      </c>
      <c r="K404" s="739">
        <f>'А П 3'!K861:O861</f>
        <v>0</v>
      </c>
      <c r="L404" s="739">
        <f>'А П 3'!L861:P861</f>
        <v>0</v>
      </c>
      <c r="M404" s="739"/>
      <c r="N404" s="739"/>
      <c r="O404" s="739"/>
      <c r="P404" s="739"/>
      <c r="Q404" s="739"/>
      <c r="R404" s="739"/>
      <c r="S404" s="739"/>
    </row>
    <row r="405" spans="1:19" s="750" customFormat="1" ht="26.25" customHeight="1" x14ac:dyDescent="0.3">
      <c r="A405" s="745" t="str">
        <f>'А П 3'!A862:E862</f>
        <v>3.1.3.4</v>
      </c>
      <c r="B405" s="746" t="str">
        <f>'А П 3'!B862:F862</f>
        <v>городской округ Электросталь</v>
      </c>
      <c r="C405" s="745">
        <f>'А П 3'!C862:G862</f>
        <v>0</v>
      </c>
      <c r="D405" s="745">
        <f>'А П 3'!D862:H862</f>
        <v>0</v>
      </c>
      <c r="E405" s="745">
        <f>'А П 3'!E862:I862</f>
        <v>0</v>
      </c>
      <c r="F405" s="747" t="str">
        <f>'А П 3'!F862:J862</f>
        <v>Итого</v>
      </c>
      <c r="G405" s="748">
        <f>'А П 3'!G862:K862</f>
        <v>53434.98</v>
      </c>
      <c r="H405" s="749">
        <f>'А П 3'!H862:L862</f>
        <v>0</v>
      </c>
      <c r="I405" s="749">
        <f>'А П 3'!I862:M862</f>
        <v>53434.98</v>
      </c>
      <c r="J405" s="749">
        <f>'А П 3'!J862:N862</f>
        <v>0</v>
      </c>
      <c r="K405" s="749">
        <f>'А П 3'!K862:O862</f>
        <v>0</v>
      </c>
      <c r="L405" s="749">
        <f>'А П 3'!L862:P862</f>
        <v>0</v>
      </c>
      <c r="M405" s="749"/>
      <c r="N405" s="749"/>
      <c r="O405" s="749"/>
      <c r="P405" s="749"/>
      <c r="Q405" s="749"/>
      <c r="R405" s="749"/>
      <c r="S405" s="749"/>
    </row>
    <row r="406" spans="1:19" ht="26.25" customHeight="1" x14ac:dyDescent="0.3">
      <c r="A406" s="732"/>
      <c r="B406" s="733"/>
      <c r="C406" s="732">
        <f>'А П 3'!C863:G863</f>
        <v>0</v>
      </c>
      <c r="D406" s="732">
        <f>'А П 3'!D863:H863</f>
        <v>0</v>
      </c>
      <c r="E406" s="732">
        <f>'А П 3'!E863:I863</f>
        <v>0</v>
      </c>
      <c r="F406" s="743" t="str">
        <f>'А П 3'!F863:J863</f>
        <v>Средства бюджета Московской области</v>
      </c>
      <c r="G406" s="738">
        <f>'А П 3'!G863:K863</f>
        <v>50763.24</v>
      </c>
      <c r="H406" s="739">
        <f>'А П 3'!H863:L863</f>
        <v>0</v>
      </c>
      <c r="I406" s="739">
        <f>'А П 3'!I863:M863</f>
        <v>50763.24</v>
      </c>
      <c r="J406" s="739">
        <f>'А П 3'!J863:N863</f>
        <v>0</v>
      </c>
      <c r="K406" s="739">
        <f>'А П 3'!K863:O863</f>
        <v>0</v>
      </c>
      <c r="L406" s="739">
        <f>'А П 3'!L863:P863</f>
        <v>0</v>
      </c>
      <c r="M406" s="739"/>
      <c r="N406" s="739"/>
      <c r="O406" s="739"/>
      <c r="P406" s="739"/>
      <c r="Q406" s="739"/>
      <c r="R406" s="739"/>
      <c r="S406" s="739"/>
    </row>
    <row r="407" spans="1:19" ht="26.25" customHeight="1" x14ac:dyDescent="0.3">
      <c r="A407" s="732"/>
      <c r="B407" s="733"/>
      <c r="C407" s="732">
        <f>'А П 3'!C864:G864</f>
        <v>0</v>
      </c>
      <c r="D407" s="732">
        <f>'А П 3'!D864:H864</f>
        <v>0</v>
      </c>
      <c r="E407" s="732">
        <f>'А П 3'!E864:I864</f>
        <v>0</v>
      </c>
      <c r="F407" s="743" t="str">
        <f>'А П 3'!F864:J864</f>
        <v>Средства бюджетов муниципальных образований Московской области</v>
      </c>
      <c r="G407" s="738">
        <f>'А П 3'!G864:K864</f>
        <v>2671.74</v>
      </c>
      <c r="H407" s="739">
        <f>'А П 3'!H864:L864</f>
        <v>0</v>
      </c>
      <c r="I407" s="739">
        <f>'А П 3'!I864:M864</f>
        <v>2671.74</v>
      </c>
      <c r="J407" s="739">
        <f>'А П 3'!J864:N864</f>
        <v>0</v>
      </c>
      <c r="K407" s="739">
        <f>'А П 3'!K864:O864</f>
        <v>0</v>
      </c>
      <c r="L407" s="739">
        <f>'А П 3'!L864:P864</f>
        <v>0</v>
      </c>
      <c r="M407" s="739"/>
      <c r="N407" s="739"/>
      <c r="O407" s="739"/>
      <c r="P407" s="739"/>
      <c r="Q407" s="739"/>
      <c r="R407" s="739"/>
      <c r="S407" s="739"/>
    </row>
    <row r="408" spans="1:19" ht="26.25" hidden="1" customHeight="1" x14ac:dyDescent="0.3">
      <c r="A408" s="732">
        <f>'А П 3'!A865:E865</f>
        <v>0</v>
      </c>
      <c r="B408" s="733" t="str">
        <f>'А П 3'!B865:F865</f>
        <v xml:space="preserve">Электросталь г.о  МБДОУ "Детский сад № 87 "Солнышко" с. Всеволодово (Ногинск-5) г.о. Электросталь
                         </v>
      </c>
      <c r="C408" s="732">
        <f>'А П 3'!C865:G865</f>
        <v>0</v>
      </c>
      <c r="D408" s="732">
        <f>'А П 3'!D865:H865</f>
        <v>0</v>
      </c>
      <c r="E408" s="732">
        <f>'А П 3'!E865:I865</f>
        <v>0</v>
      </c>
      <c r="F408" s="743" t="str">
        <f>'А П 3'!F865:J865</f>
        <v>Итого</v>
      </c>
      <c r="G408" s="738">
        <f>'А П 3'!G865:K865</f>
        <v>53434.98</v>
      </c>
      <c r="H408" s="739">
        <f>'А П 3'!H865:L865</f>
        <v>0</v>
      </c>
      <c r="I408" s="739">
        <f>'А П 3'!I865:M865</f>
        <v>53434.98</v>
      </c>
      <c r="J408" s="739">
        <f>'А П 3'!J865:N865</f>
        <v>0</v>
      </c>
      <c r="K408" s="739">
        <f>'А П 3'!K865:O865</f>
        <v>0</v>
      </c>
      <c r="L408" s="739">
        <f>'А П 3'!L865:P865</f>
        <v>0</v>
      </c>
      <c r="M408" s="739"/>
      <c r="N408" s="739"/>
      <c r="O408" s="739"/>
      <c r="P408" s="739"/>
      <c r="Q408" s="739"/>
      <c r="R408" s="739"/>
      <c r="S408" s="739"/>
    </row>
    <row r="409" spans="1:19" ht="26.25" hidden="1" customHeight="1" x14ac:dyDescent="0.3">
      <c r="A409" s="732">
        <f>'А П 3'!A866:E866</f>
        <v>0</v>
      </c>
      <c r="B409" s="733">
        <f>'А П 3'!B866:F866</f>
        <v>0</v>
      </c>
      <c r="C409" s="732">
        <f>'А П 3'!C866:G866</f>
        <v>0</v>
      </c>
      <c r="D409" s="732">
        <f>'А П 3'!D866:H866</f>
        <v>0</v>
      </c>
      <c r="E409" s="732">
        <f>'А П 3'!E866:I866</f>
        <v>0</v>
      </c>
      <c r="F409" s="743" t="str">
        <f>'А П 3'!F866:J866</f>
        <v>Средства бюджета Московской области</v>
      </c>
      <c r="G409" s="738">
        <f>'А П 3'!G866:K866</f>
        <v>50763.24</v>
      </c>
      <c r="H409" s="739">
        <f>'А П 3'!H866:L866</f>
        <v>0</v>
      </c>
      <c r="I409" s="739">
        <f>'А П 3'!I866:M866</f>
        <v>50763.24</v>
      </c>
      <c r="J409" s="739">
        <f>'А П 3'!J866:N866</f>
        <v>0</v>
      </c>
      <c r="K409" s="739">
        <f>'А П 3'!K866:O866</f>
        <v>0</v>
      </c>
      <c r="L409" s="739">
        <f>'А П 3'!L866:P866</f>
        <v>0</v>
      </c>
      <c r="M409" s="739"/>
      <c r="N409" s="739"/>
      <c r="O409" s="739"/>
      <c r="P409" s="739"/>
      <c r="Q409" s="739"/>
      <c r="R409" s="739"/>
      <c r="S409" s="739"/>
    </row>
    <row r="410" spans="1:19" ht="26.25" hidden="1" customHeight="1" x14ac:dyDescent="0.3">
      <c r="A410" s="732">
        <f>'А П 3'!A867:E867</f>
        <v>0</v>
      </c>
      <c r="B410" s="733">
        <f>'А П 3'!B867:F867</f>
        <v>0</v>
      </c>
      <c r="C410" s="732">
        <f>'А П 3'!C867:G867</f>
        <v>0</v>
      </c>
      <c r="D410" s="732">
        <f>'А П 3'!D867:H867</f>
        <v>0</v>
      </c>
      <c r="E410" s="732">
        <f>'А П 3'!E867:I867</f>
        <v>0</v>
      </c>
      <c r="F410" s="743" t="str">
        <f>'А П 3'!F867:J867</f>
        <v>Средства бюджетов муниципальных образований Московской области</v>
      </c>
      <c r="G410" s="738">
        <f>'А П 3'!G867:K867</f>
        <v>2671.74</v>
      </c>
      <c r="H410" s="739">
        <f>'А П 3'!H867:L867</f>
        <v>0</v>
      </c>
      <c r="I410" s="739">
        <f>'А П 3'!I867:M867</f>
        <v>2671.74</v>
      </c>
      <c r="J410" s="739">
        <f>'А П 3'!J867:N867</f>
        <v>0</v>
      </c>
      <c r="K410" s="739">
        <f>'А П 3'!K867:O867</f>
        <v>0</v>
      </c>
      <c r="L410" s="739">
        <f>'А П 3'!L867:P867</f>
        <v>0</v>
      </c>
      <c r="M410" s="739"/>
      <c r="N410" s="739"/>
      <c r="O410" s="739"/>
      <c r="P410" s="739"/>
      <c r="Q410" s="739"/>
      <c r="R410" s="739"/>
      <c r="S410" s="739"/>
    </row>
    <row r="411" spans="1:19" s="750" customFormat="1" ht="26.25" customHeight="1" x14ac:dyDescent="0.3">
      <c r="A411" s="745" t="str">
        <f>'А П 3'!A868:E868</f>
        <v>3.1.3.4=5</v>
      </c>
      <c r="B411" s="746" t="str">
        <f>'А П 3'!B868:F868</f>
        <v>Одинцовский муниципальный район</v>
      </c>
      <c r="C411" s="745">
        <f>'А П 3'!C868:G868</f>
        <v>0</v>
      </c>
      <c r="D411" s="745">
        <f>'А П 3'!D868:H868</f>
        <v>0</v>
      </c>
      <c r="E411" s="745">
        <f>'А П 3'!E868:I868</f>
        <v>0</v>
      </c>
      <c r="F411" s="747" t="str">
        <f>'А П 3'!F868:J868</f>
        <v>Итого</v>
      </c>
      <c r="G411" s="748">
        <f>'А П 3'!G868:K868</f>
        <v>229986</v>
      </c>
      <c r="H411" s="749">
        <f>'А П 3'!H868:L868</f>
        <v>79986</v>
      </c>
      <c r="I411" s="749">
        <f>'А П 3'!I868:M868</f>
        <v>150000</v>
      </c>
      <c r="J411" s="749">
        <f>'А П 3'!J868:N868</f>
        <v>0</v>
      </c>
      <c r="K411" s="749">
        <f>'А П 3'!K868:O868</f>
        <v>0</v>
      </c>
      <c r="L411" s="749">
        <f>'А П 3'!L868:P868</f>
        <v>0</v>
      </c>
      <c r="M411" s="749"/>
      <c r="N411" s="749"/>
      <c r="O411" s="749"/>
      <c r="P411" s="749"/>
      <c r="Q411" s="749"/>
      <c r="R411" s="749"/>
      <c r="S411" s="749"/>
    </row>
    <row r="412" spans="1:19" ht="26.25" customHeight="1" x14ac:dyDescent="0.3">
      <c r="A412" s="732"/>
      <c r="B412" s="733"/>
      <c r="C412" s="732">
        <f>'А П 3'!C869:G869</f>
        <v>0</v>
      </c>
      <c r="D412" s="732">
        <f>'А П 3'!D869:H869</f>
        <v>0</v>
      </c>
      <c r="E412" s="732">
        <f>'А П 3'!E869:I869</f>
        <v>0</v>
      </c>
      <c r="F412" s="743" t="str">
        <f>'А П 3'!F869:J869</f>
        <v>Средства бюджета Московской области</v>
      </c>
      <c r="G412" s="738">
        <f>'А П 3'!G869:K869</f>
        <v>206987.4</v>
      </c>
      <c r="H412" s="739">
        <f>'А П 3'!H869:L869</f>
        <v>71987.399999999994</v>
      </c>
      <c r="I412" s="739">
        <f>'А П 3'!I869:M869</f>
        <v>135000</v>
      </c>
      <c r="J412" s="739">
        <f>'А П 3'!J869:N869</f>
        <v>0</v>
      </c>
      <c r="K412" s="739">
        <f>'А П 3'!K869:O869</f>
        <v>0</v>
      </c>
      <c r="L412" s="739">
        <f>'А П 3'!L869:P869</f>
        <v>0</v>
      </c>
      <c r="M412" s="739"/>
      <c r="N412" s="739"/>
      <c r="O412" s="739"/>
      <c r="P412" s="739"/>
      <c r="Q412" s="739"/>
      <c r="R412" s="739"/>
      <c r="S412" s="739"/>
    </row>
    <row r="413" spans="1:19" ht="26.25" customHeight="1" x14ac:dyDescent="0.3">
      <c r="A413" s="732"/>
      <c r="B413" s="733"/>
      <c r="C413" s="732">
        <f>'А П 3'!C870:G870</f>
        <v>0</v>
      </c>
      <c r="D413" s="732">
        <f>'А П 3'!D870:H870</f>
        <v>0</v>
      </c>
      <c r="E413" s="732">
        <f>'А П 3'!E870:I870</f>
        <v>0</v>
      </c>
      <c r="F413" s="743" t="str">
        <f>'А П 3'!F870:J870</f>
        <v>Средства бюджетов муниципальных образований Московской области</v>
      </c>
      <c r="G413" s="738">
        <f>'А П 3'!G870:K870</f>
        <v>22998.6</v>
      </c>
      <c r="H413" s="739">
        <f>'А П 3'!H870:L870</f>
        <v>7998.6</v>
      </c>
      <c r="I413" s="739">
        <f>'А П 3'!I870:M870</f>
        <v>15000</v>
      </c>
      <c r="J413" s="739">
        <f>'А П 3'!J870:N870</f>
        <v>0</v>
      </c>
      <c r="K413" s="739">
        <f>'А П 3'!K870:O870</f>
        <v>0</v>
      </c>
      <c r="L413" s="739">
        <f>'А П 3'!L870:P870</f>
        <v>0</v>
      </c>
      <c r="M413" s="739"/>
      <c r="N413" s="739"/>
      <c r="O413" s="739"/>
      <c r="P413" s="739"/>
      <c r="Q413" s="739"/>
      <c r="R413" s="739"/>
      <c r="S413" s="739"/>
    </row>
    <row r="414" spans="1:19" ht="26.25" hidden="1" customHeight="1" x14ac:dyDescent="0.3">
      <c r="A414" s="732">
        <f>'А П 3'!A871:E871</f>
        <v>0</v>
      </c>
      <c r="B414" s="733" t="str">
        <f>'А П 3'!B871:F871</f>
        <v xml:space="preserve">Одинцовский м.р.  МБОУ Новгородковская СОШ Новый городок (Кубинка-7)    Одинцовский м.р.                 </v>
      </c>
      <c r="C414" s="732">
        <f>'А П 3'!C871:G871</f>
        <v>0</v>
      </c>
      <c r="D414" s="732">
        <f>'А П 3'!D871:H871</f>
        <v>0</v>
      </c>
      <c r="E414" s="732">
        <f>'А П 3'!E871:I871</f>
        <v>0</v>
      </c>
      <c r="F414" s="743" t="str">
        <f>'А П 3'!F871:J871</f>
        <v>Итого</v>
      </c>
      <c r="G414" s="738">
        <f>'А П 3'!G871:K871</f>
        <v>79986</v>
      </c>
      <c r="H414" s="739">
        <f>'А П 3'!H871:L871</f>
        <v>79986</v>
      </c>
      <c r="I414" s="739">
        <f>'А П 3'!I871:M871</f>
        <v>0</v>
      </c>
      <c r="J414" s="739">
        <f>'А П 3'!J871:N871</f>
        <v>0</v>
      </c>
      <c r="K414" s="739">
        <f>'А П 3'!K871:O871</f>
        <v>0</v>
      </c>
      <c r="L414" s="739">
        <f>'А П 3'!L871:P871</f>
        <v>0</v>
      </c>
      <c r="M414" s="739"/>
      <c r="N414" s="739"/>
      <c r="O414" s="739"/>
      <c r="P414" s="739"/>
      <c r="Q414" s="739"/>
      <c r="R414" s="739"/>
      <c r="S414" s="739"/>
    </row>
    <row r="415" spans="1:19" ht="26.25" hidden="1" customHeight="1" x14ac:dyDescent="0.3">
      <c r="A415" s="732">
        <f>'А П 3'!A872:E872</f>
        <v>0</v>
      </c>
      <c r="B415" s="733">
        <f>'А П 3'!B872:F872</f>
        <v>0</v>
      </c>
      <c r="C415" s="732">
        <f>'А П 3'!C872:G872</f>
        <v>0</v>
      </c>
      <c r="D415" s="732">
        <f>'А П 3'!D872:H872</f>
        <v>0</v>
      </c>
      <c r="E415" s="732">
        <f>'А П 3'!E872:I872</f>
        <v>0</v>
      </c>
      <c r="F415" s="743" t="str">
        <f>'А П 3'!F872:J872</f>
        <v>Средства бюджета Московской области</v>
      </c>
      <c r="G415" s="738">
        <f>'А П 3'!G872:K872</f>
        <v>71987.399999999994</v>
      </c>
      <c r="H415" s="739">
        <f>'А П 3'!H872:L872</f>
        <v>71987.399999999994</v>
      </c>
      <c r="I415" s="739">
        <f>'А П 3'!I872:M872</f>
        <v>0</v>
      </c>
      <c r="J415" s="739">
        <f>'А П 3'!J872:N872</f>
        <v>0</v>
      </c>
      <c r="K415" s="739">
        <f>'А П 3'!K872:O872</f>
        <v>0</v>
      </c>
      <c r="L415" s="739">
        <f>'А П 3'!L872:P872</f>
        <v>0</v>
      </c>
      <c r="M415" s="739"/>
      <c r="N415" s="739"/>
      <c r="O415" s="739"/>
      <c r="P415" s="739"/>
      <c r="Q415" s="739"/>
      <c r="R415" s="739"/>
      <c r="S415" s="739"/>
    </row>
    <row r="416" spans="1:19" ht="26.25" hidden="1" customHeight="1" x14ac:dyDescent="0.3">
      <c r="A416" s="732">
        <f>'А П 3'!A873:E873</f>
        <v>0</v>
      </c>
      <c r="B416" s="733">
        <f>'А П 3'!B873:F873</f>
        <v>0</v>
      </c>
      <c r="C416" s="732">
        <f>'А П 3'!C873:G873</f>
        <v>0</v>
      </c>
      <c r="D416" s="732">
        <f>'А П 3'!D873:H873</f>
        <v>0</v>
      </c>
      <c r="E416" s="732">
        <f>'А П 3'!E873:I873</f>
        <v>0</v>
      </c>
      <c r="F416" s="743" t="str">
        <f>'А П 3'!F873:J873</f>
        <v>Средства бюджетов муниципальных образований Московской области</v>
      </c>
      <c r="G416" s="738">
        <f>'А П 3'!G873:K873</f>
        <v>7998.6</v>
      </c>
      <c r="H416" s="739">
        <f>'А П 3'!H873:L873</f>
        <v>7998.6</v>
      </c>
      <c r="I416" s="739">
        <f>'А П 3'!I873:M873</f>
        <v>0</v>
      </c>
      <c r="J416" s="739">
        <f>'А П 3'!J873:N873</f>
        <v>0</v>
      </c>
      <c r="K416" s="739">
        <f>'А П 3'!K873:O873</f>
        <v>0</v>
      </c>
      <c r="L416" s="739">
        <f>'А П 3'!L873:P873</f>
        <v>0</v>
      </c>
      <c r="M416" s="739"/>
      <c r="N416" s="739"/>
      <c r="O416" s="739"/>
      <c r="P416" s="739"/>
      <c r="Q416" s="739"/>
      <c r="R416" s="739"/>
      <c r="S416" s="739"/>
    </row>
    <row r="417" spans="1:19" s="750" customFormat="1" ht="26.25" customHeight="1" x14ac:dyDescent="0.3">
      <c r="A417" s="745" t="str">
        <f>'А П 3'!A877:E877</f>
        <v>3.1.3.6</v>
      </c>
      <c r="B417" s="746" t="str">
        <f>'А П 3'!B877:F877</f>
        <v>Солнечногорский муниципальный район</v>
      </c>
      <c r="C417" s="745">
        <f>'А П 3'!C877:G877</f>
        <v>0</v>
      </c>
      <c r="D417" s="745">
        <f>'А П 3'!D877:H877</f>
        <v>0</v>
      </c>
      <c r="E417" s="745">
        <f>'А П 3'!E877:I877</f>
        <v>0</v>
      </c>
      <c r="F417" s="747" t="str">
        <f>'А П 3'!F877:J877</f>
        <v>Итого</v>
      </c>
      <c r="G417" s="748">
        <f>'А П 3'!G877:K877</f>
        <v>67241.320000000007</v>
      </c>
      <c r="H417" s="749">
        <f>'А П 3'!H877:L877</f>
        <v>67241.320000000007</v>
      </c>
      <c r="I417" s="749">
        <f>'А П 3'!I877:M877</f>
        <v>0</v>
      </c>
      <c r="J417" s="749">
        <f>'А П 3'!J877:N877</f>
        <v>0</v>
      </c>
      <c r="K417" s="749">
        <f>'А П 3'!K877:O877</f>
        <v>0</v>
      </c>
      <c r="L417" s="749">
        <f>'А П 3'!L877:P877</f>
        <v>0</v>
      </c>
      <c r="M417" s="749"/>
      <c r="N417" s="749"/>
      <c r="O417" s="749"/>
      <c r="P417" s="749"/>
      <c r="Q417" s="749"/>
      <c r="R417" s="749"/>
      <c r="S417" s="749"/>
    </row>
    <row r="418" spans="1:19" ht="26.25" customHeight="1" x14ac:dyDescent="0.3">
      <c r="A418" s="732"/>
      <c r="B418" s="733"/>
      <c r="C418" s="732">
        <f>'А П 3'!C878:G878</f>
        <v>0</v>
      </c>
      <c r="D418" s="732">
        <f>'А П 3'!D878:H878</f>
        <v>0</v>
      </c>
      <c r="E418" s="732">
        <f>'А П 3'!E878:I878</f>
        <v>0</v>
      </c>
      <c r="F418" s="743" t="str">
        <f>'А П 3'!F878:J878</f>
        <v>Средства бюджета Московской области</v>
      </c>
      <c r="G418" s="738">
        <f>'А П 3'!G878:K878</f>
        <v>60517.18</v>
      </c>
      <c r="H418" s="739">
        <f>'А П 3'!H878:L878</f>
        <v>60517.18</v>
      </c>
      <c r="I418" s="739">
        <f>'А П 3'!I878:M878</f>
        <v>0</v>
      </c>
      <c r="J418" s="739">
        <f>'А П 3'!J878:N878</f>
        <v>0</v>
      </c>
      <c r="K418" s="739">
        <f>'А П 3'!K878:O878</f>
        <v>0</v>
      </c>
      <c r="L418" s="739">
        <f>'А П 3'!L878:P878</f>
        <v>0</v>
      </c>
      <c r="M418" s="739"/>
      <c r="N418" s="739"/>
      <c r="O418" s="739"/>
      <c r="P418" s="739"/>
      <c r="Q418" s="739"/>
      <c r="R418" s="739"/>
      <c r="S418" s="739"/>
    </row>
    <row r="419" spans="1:19" ht="26.25" customHeight="1" x14ac:dyDescent="0.3">
      <c r="A419" s="732"/>
      <c r="B419" s="733"/>
      <c r="C419" s="732">
        <f>'А П 3'!C879:G879</f>
        <v>0</v>
      </c>
      <c r="D419" s="732">
        <f>'А П 3'!D879:H879</f>
        <v>0</v>
      </c>
      <c r="E419" s="732">
        <f>'А П 3'!E879:I879</f>
        <v>0</v>
      </c>
      <c r="F419" s="743" t="str">
        <f>'А П 3'!F879:J879</f>
        <v>Средства бюджетов муниципальных образований Московской области</v>
      </c>
      <c r="G419" s="738">
        <f>'А П 3'!G879:K879</f>
        <v>6724.14</v>
      </c>
      <c r="H419" s="739">
        <f>'А П 3'!H879:L879</f>
        <v>6724.14</v>
      </c>
      <c r="I419" s="739">
        <f>'А П 3'!I879:M879</f>
        <v>0</v>
      </c>
      <c r="J419" s="739">
        <f>'А П 3'!J879:N879</f>
        <v>0</v>
      </c>
      <c r="K419" s="739">
        <f>'А П 3'!K879:O879</f>
        <v>0</v>
      </c>
      <c r="L419" s="739">
        <f>'А П 3'!L879:P879</f>
        <v>0</v>
      </c>
      <c r="M419" s="739"/>
      <c r="N419" s="739"/>
      <c r="O419" s="739"/>
      <c r="P419" s="739"/>
      <c r="Q419" s="739"/>
      <c r="R419" s="739"/>
      <c r="S419" s="739"/>
    </row>
    <row r="420" spans="1:19" ht="26.25" hidden="1" customHeight="1" x14ac:dyDescent="0.3">
      <c r="A420" s="732">
        <f>'А П 3'!A880:E880</f>
        <v>0</v>
      </c>
      <c r="B420" s="733" t="str">
        <f>'А П 3'!B880:F880</f>
        <v>Детский сад № 45 г. солнечногорск-7 ул. Подмосковная д. 28а в/г 15 Солнечногорский м.р.</v>
      </c>
      <c r="C420" s="732">
        <f>'А П 3'!C880:G880</f>
        <v>0</v>
      </c>
      <c r="D420" s="732">
        <f>'А П 3'!D880:H880</f>
        <v>0</v>
      </c>
      <c r="E420" s="732">
        <f>'А П 3'!E880:I880</f>
        <v>0</v>
      </c>
      <c r="F420" s="743" t="str">
        <f>'А П 3'!F880:J880</f>
        <v>Итого</v>
      </c>
      <c r="G420" s="738">
        <f>'А П 3'!G880:K880</f>
        <v>55546</v>
      </c>
      <c r="H420" s="739">
        <f>'А П 3'!H880:L880</f>
        <v>55546</v>
      </c>
      <c r="I420" s="739">
        <f>'А П 3'!I880:M880</f>
        <v>0</v>
      </c>
      <c r="J420" s="739">
        <f>'А П 3'!J880:N880</f>
        <v>0</v>
      </c>
      <c r="K420" s="739">
        <f>'А П 3'!K880:O880</f>
        <v>0</v>
      </c>
      <c r="L420" s="739">
        <f>'А П 3'!L880:P880</f>
        <v>0</v>
      </c>
      <c r="M420" s="739"/>
      <c r="N420" s="739"/>
      <c r="O420" s="739"/>
      <c r="P420" s="739"/>
      <c r="Q420" s="739"/>
      <c r="R420" s="739"/>
      <c r="S420" s="739"/>
    </row>
    <row r="421" spans="1:19" ht="26.25" hidden="1" customHeight="1" x14ac:dyDescent="0.3">
      <c r="A421" s="732">
        <f>'А П 3'!A881:E881</f>
        <v>0</v>
      </c>
      <c r="B421" s="733">
        <f>'А П 3'!B881:F881</f>
        <v>0</v>
      </c>
      <c r="C421" s="732">
        <f>'А П 3'!C881:G881</f>
        <v>0</v>
      </c>
      <c r="D421" s="732">
        <f>'А П 3'!D881:H881</f>
        <v>0</v>
      </c>
      <c r="E421" s="732">
        <f>'А П 3'!E881:I881</f>
        <v>0</v>
      </c>
      <c r="F421" s="743" t="str">
        <f>'А П 3'!F881:J881</f>
        <v>Средства бюджета Московской области</v>
      </c>
      <c r="G421" s="738">
        <f>'А П 3'!G881:K881</f>
        <v>49991.4</v>
      </c>
      <c r="H421" s="739">
        <f>'А П 3'!H881:L881</f>
        <v>49991.4</v>
      </c>
      <c r="I421" s="739">
        <f>'А П 3'!I881:M881</f>
        <v>0</v>
      </c>
      <c r="J421" s="739">
        <f>'А П 3'!J881:N881</f>
        <v>0</v>
      </c>
      <c r="K421" s="739">
        <f>'А П 3'!K881:O881</f>
        <v>0</v>
      </c>
      <c r="L421" s="739">
        <f>'А П 3'!L881:P881</f>
        <v>0</v>
      </c>
      <c r="M421" s="739"/>
      <c r="N421" s="739"/>
      <c r="O421" s="739"/>
      <c r="P421" s="739"/>
      <c r="Q421" s="739"/>
      <c r="R421" s="739"/>
      <c r="S421" s="739"/>
    </row>
    <row r="422" spans="1:19" ht="26.25" hidden="1" customHeight="1" x14ac:dyDescent="0.3">
      <c r="A422" s="732">
        <f>'А П 3'!A882:E882</f>
        <v>0</v>
      </c>
      <c r="B422" s="733">
        <f>'А П 3'!B882:F882</f>
        <v>0</v>
      </c>
      <c r="C422" s="732">
        <f>'А П 3'!C882:G882</f>
        <v>0</v>
      </c>
      <c r="D422" s="732">
        <f>'А П 3'!D882:H882</f>
        <v>0</v>
      </c>
      <c r="E422" s="732">
        <f>'А П 3'!E882:I882</f>
        <v>0</v>
      </c>
      <c r="F422" s="743" t="str">
        <f>'А П 3'!F882:J882</f>
        <v>Средства бюджетов муниципальных образований Московской области</v>
      </c>
      <c r="G422" s="738">
        <f>'А П 3'!G882:K882</f>
        <v>5554.6</v>
      </c>
      <c r="H422" s="739">
        <f>'А П 3'!H882:L882</f>
        <v>5554.6</v>
      </c>
      <c r="I422" s="739">
        <f>'А П 3'!I882:M882</f>
        <v>0</v>
      </c>
      <c r="J422" s="739">
        <f>'А П 3'!J882:N882</f>
        <v>0</v>
      </c>
      <c r="K422" s="739">
        <f>'А П 3'!K882:O882</f>
        <v>0</v>
      </c>
      <c r="L422" s="739">
        <f>'А П 3'!L882:P882</f>
        <v>0</v>
      </c>
      <c r="M422" s="739"/>
      <c r="N422" s="739"/>
      <c r="O422" s="739"/>
      <c r="P422" s="739"/>
      <c r="Q422" s="739"/>
      <c r="R422" s="739"/>
      <c r="S422" s="739"/>
    </row>
    <row r="423" spans="1:19" ht="26.25" hidden="1" customHeight="1" x14ac:dyDescent="0.3">
      <c r="A423" s="732">
        <f>'А П 3'!A883:E883</f>
        <v>0</v>
      </c>
      <c r="B423" s="733" t="str">
        <f>'А П 3'!B883:F883</f>
        <v xml:space="preserve">Капитальный ремонт МБДОУ «Детский сад № 54», г. Солнечногорск-25, д. 7, военный городок Ожогино 2а
</v>
      </c>
      <c r="C423" s="732">
        <f>'А П 3'!C883:G883</f>
        <v>0</v>
      </c>
      <c r="D423" s="732">
        <f>'А П 3'!D883:H883</f>
        <v>0</v>
      </c>
      <c r="E423" s="732">
        <f>'А П 3'!E883:I883</f>
        <v>0</v>
      </c>
      <c r="F423" s="743" t="str">
        <f>'А П 3'!F883:J883</f>
        <v>Итого</v>
      </c>
      <c r="G423" s="738">
        <f>'А П 3'!G883:K883</f>
        <v>11695.32</v>
      </c>
      <c r="H423" s="739">
        <f>'А П 3'!H883:L883</f>
        <v>11695.32</v>
      </c>
      <c r="I423" s="739">
        <f>'А П 3'!I883:M883</f>
        <v>0</v>
      </c>
      <c r="J423" s="739">
        <f>'А П 3'!J883:N883</f>
        <v>0</v>
      </c>
      <c r="K423" s="739">
        <f>'А П 3'!K883:O883</f>
        <v>0</v>
      </c>
      <c r="L423" s="739">
        <f>'А П 3'!L883:P883</f>
        <v>0</v>
      </c>
      <c r="M423" s="739"/>
      <c r="N423" s="739"/>
      <c r="O423" s="739"/>
      <c r="P423" s="739"/>
      <c r="Q423" s="739"/>
      <c r="R423" s="739"/>
      <c r="S423" s="739"/>
    </row>
    <row r="424" spans="1:19" ht="26.25" hidden="1" customHeight="1" x14ac:dyDescent="0.3">
      <c r="A424" s="732">
        <f>'А П 3'!A884:E884</f>
        <v>0</v>
      </c>
      <c r="B424" s="733">
        <f>'А П 3'!B884:F884</f>
        <v>0</v>
      </c>
      <c r="C424" s="732">
        <f>'А П 3'!C884:G884</f>
        <v>0</v>
      </c>
      <c r="D424" s="732">
        <f>'А П 3'!D884:H884</f>
        <v>0</v>
      </c>
      <c r="E424" s="732">
        <f>'А П 3'!E884:I884</f>
        <v>0</v>
      </c>
      <c r="F424" s="743" t="str">
        <f>'А П 3'!F884:J884</f>
        <v>Средства бюджета Московской области</v>
      </c>
      <c r="G424" s="738">
        <f>'А П 3'!G884:K884</f>
        <v>10525.78</v>
      </c>
      <c r="H424" s="739">
        <f>'А П 3'!H884:L884</f>
        <v>10525.78</v>
      </c>
      <c r="I424" s="739">
        <f>'А П 3'!I884:M884</f>
        <v>0</v>
      </c>
      <c r="J424" s="739">
        <f>'А П 3'!J884:N884</f>
        <v>0</v>
      </c>
      <c r="K424" s="739">
        <f>'А П 3'!K884:O884</f>
        <v>0</v>
      </c>
      <c r="L424" s="739">
        <f>'А П 3'!L884:P884</f>
        <v>0</v>
      </c>
      <c r="M424" s="739"/>
      <c r="N424" s="739"/>
      <c r="O424" s="739"/>
      <c r="P424" s="739"/>
      <c r="Q424" s="739"/>
      <c r="R424" s="739"/>
      <c r="S424" s="739"/>
    </row>
    <row r="425" spans="1:19" ht="26.25" hidden="1" customHeight="1" x14ac:dyDescent="0.3">
      <c r="A425" s="732">
        <f>'А П 3'!A885:E885</f>
        <v>0</v>
      </c>
      <c r="B425" s="733">
        <f>'А П 3'!B885:F885</f>
        <v>0</v>
      </c>
      <c r="C425" s="732">
        <f>'А П 3'!C885:G885</f>
        <v>0</v>
      </c>
      <c r="D425" s="732">
        <f>'А П 3'!D885:H885</f>
        <v>0</v>
      </c>
      <c r="E425" s="732">
        <f>'А П 3'!E885:I885</f>
        <v>0</v>
      </c>
      <c r="F425" s="743" t="str">
        <f>'А П 3'!F885:J885</f>
        <v>Средства бюджетов муниципальных образований Московской области</v>
      </c>
      <c r="G425" s="738">
        <f>'А П 3'!G885:K885</f>
        <v>1169.54</v>
      </c>
      <c r="H425" s="739">
        <f>'А П 3'!H885:L885</f>
        <v>1169.54</v>
      </c>
      <c r="I425" s="739">
        <f>'А П 3'!I885:M885</f>
        <v>0</v>
      </c>
      <c r="J425" s="739">
        <f>'А П 3'!J885:N885</f>
        <v>0</v>
      </c>
      <c r="K425" s="739">
        <f>'А П 3'!K885:O885</f>
        <v>0</v>
      </c>
      <c r="L425" s="739">
        <f>'А П 3'!L885:P885</f>
        <v>0</v>
      </c>
      <c r="M425" s="739"/>
      <c r="N425" s="739"/>
      <c r="O425" s="739"/>
      <c r="P425" s="739"/>
      <c r="Q425" s="739"/>
      <c r="R425" s="739"/>
      <c r="S425" s="739"/>
    </row>
    <row r="426" spans="1:19" s="750" customFormat="1" ht="26.25" customHeight="1" x14ac:dyDescent="0.3">
      <c r="A426" s="745" t="str">
        <f>'А П 3'!A886:E886</f>
        <v>3.1.3.7</v>
      </c>
      <c r="B426" s="746" t="str">
        <f>'А П 3'!B886:F886</f>
        <v>городской округ Ступино</v>
      </c>
      <c r="C426" s="745">
        <f>'А П 3'!C886:G886</f>
        <v>0</v>
      </c>
      <c r="D426" s="745">
        <f>'А П 3'!D886:H886</f>
        <v>0</v>
      </c>
      <c r="E426" s="745">
        <f>'А П 3'!E886:I886</f>
        <v>0</v>
      </c>
      <c r="F426" s="747" t="str">
        <f>'А П 3'!F886:J886</f>
        <v>Итого</v>
      </c>
      <c r="G426" s="748">
        <f>'А П 3'!G886:K886</f>
        <v>45917.91</v>
      </c>
      <c r="H426" s="749">
        <f>'А П 3'!H886:L886</f>
        <v>0</v>
      </c>
      <c r="I426" s="749">
        <f>'А П 3'!I886:M886</f>
        <v>45917.91</v>
      </c>
      <c r="J426" s="749">
        <f>'А П 3'!J886:N886</f>
        <v>0</v>
      </c>
      <c r="K426" s="749">
        <f>'А П 3'!K886:O886</f>
        <v>0</v>
      </c>
      <c r="L426" s="749">
        <f>'А П 3'!L886:P886</f>
        <v>0</v>
      </c>
      <c r="M426" s="749"/>
      <c r="N426" s="749"/>
      <c r="O426" s="749"/>
      <c r="P426" s="749"/>
      <c r="Q426" s="749"/>
      <c r="R426" s="749"/>
      <c r="S426" s="749"/>
    </row>
    <row r="427" spans="1:19" ht="26.25" customHeight="1" x14ac:dyDescent="0.3">
      <c r="A427" s="732"/>
      <c r="B427" s="733"/>
      <c r="C427" s="732">
        <f>'А П 3'!C887:G887</f>
        <v>0</v>
      </c>
      <c r="D427" s="732">
        <f>'А П 3'!D887:H887</f>
        <v>0</v>
      </c>
      <c r="E427" s="732">
        <f>'А П 3'!E887:I887</f>
        <v>0</v>
      </c>
      <c r="F427" s="743" t="str">
        <f>'А П 3'!F887:J887</f>
        <v>Средства бюджета Московской области</v>
      </c>
      <c r="G427" s="738">
        <f>'А П 3'!G887:K887</f>
        <v>43622.76</v>
      </c>
      <c r="H427" s="739">
        <f>'А П 3'!H887:L887</f>
        <v>0</v>
      </c>
      <c r="I427" s="739">
        <f>'А П 3'!I887:M887</f>
        <v>43622.76</v>
      </c>
      <c r="J427" s="739">
        <f>'А П 3'!J887:N887</f>
        <v>0</v>
      </c>
      <c r="K427" s="739">
        <f>'А П 3'!K887:O887</f>
        <v>0</v>
      </c>
      <c r="L427" s="739">
        <f>'А П 3'!L887:P887</f>
        <v>0</v>
      </c>
      <c r="M427" s="739"/>
      <c r="N427" s="739"/>
      <c r="O427" s="739"/>
      <c r="P427" s="739"/>
      <c r="Q427" s="739"/>
      <c r="R427" s="739"/>
      <c r="S427" s="739"/>
    </row>
    <row r="428" spans="1:19" ht="26.25" customHeight="1" x14ac:dyDescent="0.3">
      <c r="A428" s="732"/>
      <c r="B428" s="733"/>
      <c r="C428" s="732">
        <f>'А П 3'!C888:G888</f>
        <v>0</v>
      </c>
      <c r="D428" s="732">
        <f>'А П 3'!D888:H888</f>
        <v>0</v>
      </c>
      <c r="E428" s="732">
        <f>'А П 3'!E888:I888</f>
        <v>0</v>
      </c>
      <c r="F428" s="743" t="str">
        <f>'А П 3'!F888:J888</f>
        <v>Средства бюджетов муниципальных образований Московской области</v>
      </c>
      <c r="G428" s="738">
        <f>'А П 3'!G888:K888</f>
        <v>2295.15</v>
      </c>
      <c r="H428" s="739">
        <f>'А П 3'!H888:L888</f>
        <v>0</v>
      </c>
      <c r="I428" s="739">
        <f>'А П 3'!I888:M888</f>
        <v>2295.15</v>
      </c>
      <c r="J428" s="739">
        <f>'А П 3'!J888:N888</f>
        <v>0</v>
      </c>
      <c r="K428" s="739">
        <f>'А П 3'!K888:O888</f>
        <v>0</v>
      </c>
      <c r="L428" s="739">
        <f>'А П 3'!L888:P888</f>
        <v>0</v>
      </c>
      <c r="M428" s="739"/>
      <c r="N428" s="739"/>
      <c r="O428" s="739"/>
      <c r="P428" s="739"/>
      <c r="Q428" s="739"/>
      <c r="R428" s="739"/>
      <c r="S428" s="739"/>
    </row>
    <row r="429" spans="1:19" ht="26.25" hidden="1" customHeight="1" x14ac:dyDescent="0.3">
      <c r="A429" s="732">
        <f>'А П 3'!A889:E889</f>
        <v>0</v>
      </c>
      <c r="B429" s="733" t="str">
        <f>'А П 3'!B889:F889</f>
        <v>Капитальный ремонт детский сад "Светлячок" в/ч 92551 г.о. Ступино</v>
      </c>
      <c r="C429" s="732">
        <f>'А П 3'!C889:G889</f>
        <v>0</v>
      </c>
      <c r="D429" s="732">
        <f>'А П 3'!D889:H889</f>
        <v>0</v>
      </c>
      <c r="E429" s="732">
        <f>'А П 3'!E889:I889</f>
        <v>0</v>
      </c>
      <c r="F429" s="743" t="str">
        <f>'А П 3'!F889:J889</f>
        <v>Итого</v>
      </c>
      <c r="G429" s="738">
        <f>'А П 3'!G889:K889</f>
        <v>19202.91</v>
      </c>
      <c r="H429" s="739">
        <f>'А П 3'!H889:L889</f>
        <v>0</v>
      </c>
      <c r="I429" s="739">
        <f>'А П 3'!I889:M889</f>
        <v>19202.91</v>
      </c>
      <c r="J429" s="739">
        <f>'А П 3'!J889:N889</f>
        <v>0</v>
      </c>
      <c r="K429" s="739">
        <f>'А П 3'!K889:O889</f>
        <v>0</v>
      </c>
      <c r="L429" s="739">
        <f>'А П 3'!L889:P889</f>
        <v>0</v>
      </c>
      <c r="M429" s="739"/>
      <c r="N429" s="739"/>
      <c r="O429" s="739"/>
      <c r="P429" s="739"/>
      <c r="Q429" s="739"/>
      <c r="R429" s="739"/>
      <c r="S429" s="739"/>
    </row>
    <row r="430" spans="1:19" ht="26.25" hidden="1" customHeight="1" x14ac:dyDescent="0.3">
      <c r="A430" s="732">
        <f>'А П 3'!A890:E890</f>
        <v>0</v>
      </c>
      <c r="B430" s="733">
        <f>'А П 3'!B890:F890</f>
        <v>0</v>
      </c>
      <c r="C430" s="732">
        <f>'А П 3'!C890:G890</f>
        <v>0</v>
      </c>
      <c r="D430" s="732">
        <f>'А П 3'!D890:H890</f>
        <v>0</v>
      </c>
      <c r="E430" s="732">
        <f>'А П 3'!E890:I890</f>
        <v>0</v>
      </c>
      <c r="F430" s="743" t="str">
        <f>'А П 3'!F890:J890</f>
        <v>Средства бюджета Московской области</v>
      </c>
      <c r="G430" s="738">
        <f>'А П 3'!G890:K890</f>
        <v>18242.759999999998</v>
      </c>
      <c r="H430" s="739">
        <f>'А П 3'!H890:L890</f>
        <v>0</v>
      </c>
      <c r="I430" s="739">
        <f>'А П 3'!I890:M890</f>
        <v>18242.759999999998</v>
      </c>
      <c r="J430" s="739">
        <f>'А П 3'!J890:N890</f>
        <v>0</v>
      </c>
      <c r="K430" s="739">
        <f>'А П 3'!K890:O890</f>
        <v>0</v>
      </c>
      <c r="L430" s="739">
        <f>'А П 3'!L890:P890</f>
        <v>0</v>
      </c>
      <c r="M430" s="739"/>
      <c r="N430" s="739"/>
      <c r="O430" s="739"/>
      <c r="P430" s="739"/>
      <c r="Q430" s="739"/>
      <c r="R430" s="739"/>
      <c r="S430" s="739"/>
    </row>
    <row r="431" spans="1:19" ht="26.25" hidden="1" customHeight="1" x14ac:dyDescent="0.3">
      <c r="A431" s="732">
        <f>'А П 3'!A891:E891</f>
        <v>0</v>
      </c>
      <c r="B431" s="733">
        <f>'А П 3'!B891:F891</f>
        <v>0</v>
      </c>
      <c r="C431" s="732">
        <f>'А П 3'!C891:G891</f>
        <v>0</v>
      </c>
      <c r="D431" s="732">
        <f>'А П 3'!D891:H891</f>
        <v>0</v>
      </c>
      <c r="E431" s="732">
        <f>'А П 3'!E891:I891</f>
        <v>0</v>
      </c>
      <c r="F431" s="743" t="str">
        <f>'А П 3'!F891:J891</f>
        <v>Средства бюджетов муниципальных образований Московской области</v>
      </c>
      <c r="G431" s="738">
        <f>'А П 3'!G891:K891</f>
        <v>960.15</v>
      </c>
      <c r="H431" s="739">
        <f>'А П 3'!H891:L891</f>
        <v>0</v>
      </c>
      <c r="I431" s="739">
        <f>'А П 3'!I891:M891</f>
        <v>960.15</v>
      </c>
      <c r="J431" s="739">
        <f>'А П 3'!J891:N891</f>
        <v>0</v>
      </c>
      <c r="K431" s="739">
        <f>'А П 3'!K891:O891</f>
        <v>0</v>
      </c>
      <c r="L431" s="739">
        <f>'А П 3'!L891:P891</f>
        <v>0</v>
      </c>
      <c r="M431" s="739"/>
      <c r="N431" s="739"/>
      <c r="O431" s="739"/>
      <c r="P431" s="739"/>
      <c r="Q431" s="739"/>
      <c r="R431" s="739"/>
      <c r="S431" s="739"/>
    </row>
    <row r="432" spans="1:19" ht="26.25" hidden="1" customHeight="1" x14ac:dyDescent="0.3">
      <c r="A432" s="732">
        <f>'А П 3'!A892:E892</f>
        <v>0</v>
      </c>
      <c r="B432" s="733" t="str">
        <f>'А П 3'!B892:F892</f>
        <v>Детский сад «Солнышко»№ 153,  в/ч 03770 г.о. Ступино</v>
      </c>
      <c r="C432" s="732">
        <f>'А П 3'!C892:G892</f>
        <v>0</v>
      </c>
      <c r="D432" s="732">
        <f>'А П 3'!D892:H892</f>
        <v>0</v>
      </c>
      <c r="E432" s="732">
        <f>'А П 3'!E892:I892</f>
        <v>0</v>
      </c>
      <c r="F432" s="743" t="str">
        <f>'А П 3'!F892:J892</f>
        <v>Итого</v>
      </c>
      <c r="G432" s="738">
        <f>'А П 3'!G892:K892</f>
        <v>26715</v>
      </c>
      <c r="H432" s="739">
        <f>'А П 3'!H892:L892</f>
        <v>0</v>
      </c>
      <c r="I432" s="739">
        <f>'А П 3'!I892:M892</f>
        <v>26715</v>
      </c>
      <c r="J432" s="739">
        <f>'А П 3'!J892:N892</f>
        <v>0</v>
      </c>
      <c r="K432" s="739">
        <f>'А П 3'!K892:O892</f>
        <v>0</v>
      </c>
      <c r="L432" s="739">
        <f>'А П 3'!L892:P892</f>
        <v>0</v>
      </c>
      <c r="M432" s="739"/>
      <c r="N432" s="739"/>
      <c r="O432" s="739"/>
      <c r="P432" s="739"/>
      <c r="Q432" s="739"/>
      <c r="R432" s="739"/>
      <c r="S432" s="739"/>
    </row>
    <row r="433" spans="1:19" ht="26.25" hidden="1" customHeight="1" x14ac:dyDescent="0.3">
      <c r="A433" s="732">
        <f>'А П 3'!A893:E893</f>
        <v>0</v>
      </c>
      <c r="B433" s="733">
        <f>'А П 3'!B893:F893</f>
        <v>0</v>
      </c>
      <c r="C433" s="732">
        <f>'А П 3'!C893:G893</f>
        <v>0</v>
      </c>
      <c r="D433" s="732">
        <f>'А П 3'!D893:H893</f>
        <v>0</v>
      </c>
      <c r="E433" s="732">
        <f>'А П 3'!E893:I893</f>
        <v>0</v>
      </c>
      <c r="F433" s="743" t="str">
        <f>'А П 3'!F893:J893</f>
        <v>Средства бюджета Московской области</v>
      </c>
      <c r="G433" s="738">
        <f>'А П 3'!G893:K893</f>
        <v>25380</v>
      </c>
      <c r="H433" s="739">
        <f>'А П 3'!H893:L893</f>
        <v>0</v>
      </c>
      <c r="I433" s="739">
        <f>'А П 3'!I893:M893</f>
        <v>25380</v>
      </c>
      <c r="J433" s="739">
        <f>'А П 3'!J893:N893</f>
        <v>0</v>
      </c>
      <c r="K433" s="739">
        <f>'А П 3'!K893:O893</f>
        <v>0</v>
      </c>
      <c r="L433" s="739">
        <f>'А П 3'!L893:P893</f>
        <v>0</v>
      </c>
      <c r="M433" s="739"/>
      <c r="N433" s="739"/>
      <c r="O433" s="739"/>
      <c r="P433" s="739"/>
      <c r="Q433" s="739"/>
      <c r="R433" s="739"/>
      <c r="S433" s="739"/>
    </row>
    <row r="434" spans="1:19" ht="26.25" hidden="1" customHeight="1" x14ac:dyDescent="0.3">
      <c r="A434" s="732">
        <f>'А П 3'!A894:E894</f>
        <v>0</v>
      </c>
      <c r="B434" s="733">
        <f>'А П 3'!B894:F894</f>
        <v>0</v>
      </c>
      <c r="C434" s="732">
        <f>'А П 3'!C894:G894</f>
        <v>0</v>
      </c>
      <c r="D434" s="732">
        <f>'А П 3'!D894:H894</f>
        <v>0</v>
      </c>
      <c r="E434" s="732">
        <f>'А П 3'!E894:I894</f>
        <v>0</v>
      </c>
      <c r="F434" s="743" t="str">
        <f>'А П 3'!F894:J894</f>
        <v>Средства бюджетов муниципальных образований Московской области</v>
      </c>
      <c r="G434" s="738">
        <f>'А П 3'!G894:K894</f>
        <v>1335</v>
      </c>
      <c r="H434" s="739">
        <f>'А П 3'!H894:L894</f>
        <v>0</v>
      </c>
      <c r="I434" s="739">
        <f>'А П 3'!I894:M894</f>
        <v>1335</v>
      </c>
      <c r="J434" s="739">
        <f>'А П 3'!J894:N894</f>
        <v>0</v>
      </c>
      <c r="K434" s="739">
        <f>'А П 3'!K894:O894</f>
        <v>0</v>
      </c>
      <c r="L434" s="739">
        <f>'А П 3'!L894:P894</f>
        <v>0</v>
      </c>
      <c r="M434" s="739"/>
      <c r="N434" s="739"/>
      <c r="O434" s="739"/>
      <c r="P434" s="739"/>
      <c r="Q434" s="739"/>
      <c r="R434" s="739"/>
      <c r="S434" s="739"/>
    </row>
    <row r="435" spans="1:19" s="750" customFormat="1" ht="26.25" customHeight="1" x14ac:dyDescent="0.3">
      <c r="A435" s="745" t="str">
        <f>'А П 3'!A895:E895</f>
        <v>1.2.2.17</v>
      </c>
      <c r="B435" s="746" t="str">
        <f>'А П 3'!B895:F895</f>
        <v>Пушкинский муниципальный район</v>
      </c>
      <c r="C435" s="745">
        <f>'А П 3'!C895:G895</f>
        <v>0</v>
      </c>
      <c r="D435" s="745">
        <f>'А П 3'!D895:H895</f>
        <v>0</v>
      </c>
      <c r="E435" s="745">
        <f>'А П 3'!E895:I895</f>
        <v>0</v>
      </c>
      <c r="F435" s="747" t="str">
        <f>'А П 3'!F895:J895</f>
        <v>Итого</v>
      </c>
      <c r="G435" s="748">
        <f>'А П 3'!G895:K895</f>
        <v>8396.6299999999992</v>
      </c>
      <c r="H435" s="749">
        <f>'А П 3'!H895:L895</f>
        <v>8396.6299999999992</v>
      </c>
      <c r="I435" s="749">
        <f>'А П 3'!I895:M895</f>
        <v>0</v>
      </c>
      <c r="J435" s="749">
        <f>'А П 3'!J895:N895</f>
        <v>0</v>
      </c>
      <c r="K435" s="749">
        <f>'А П 3'!K895:O895</f>
        <v>0</v>
      </c>
      <c r="L435" s="749">
        <f>'А П 3'!L895:P895</f>
        <v>0</v>
      </c>
      <c r="M435" s="749"/>
      <c r="N435" s="749"/>
      <c r="O435" s="749"/>
      <c r="P435" s="749"/>
      <c r="Q435" s="749"/>
      <c r="R435" s="749"/>
      <c r="S435" s="749"/>
    </row>
    <row r="436" spans="1:19" ht="26.25" customHeight="1" x14ac:dyDescent="0.3">
      <c r="A436" s="732"/>
      <c r="B436" s="733"/>
      <c r="C436" s="732">
        <f>'А П 3'!C896:G896</f>
        <v>0</v>
      </c>
      <c r="D436" s="732">
        <f>'А П 3'!D896:H896</f>
        <v>0</v>
      </c>
      <c r="E436" s="732">
        <f>'А П 3'!E896:I896</f>
        <v>0</v>
      </c>
      <c r="F436" s="743" t="str">
        <f>'А П 3'!F896:J896</f>
        <v>Средства бюджета Московской области</v>
      </c>
      <c r="G436" s="738">
        <f>'А П 3'!G896:K896</f>
        <v>7976.8</v>
      </c>
      <c r="H436" s="739">
        <f>'А П 3'!H896:L896</f>
        <v>7976.8</v>
      </c>
      <c r="I436" s="739">
        <f>'А П 3'!I896:M896</f>
        <v>0</v>
      </c>
      <c r="J436" s="739">
        <f>'А П 3'!J896:N896</f>
        <v>0</v>
      </c>
      <c r="K436" s="739">
        <f>'А П 3'!K896:O896</f>
        <v>0</v>
      </c>
      <c r="L436" s="739">
        <f>'А П 3'!L896:P896</f>
        <v>0</v>
      </c>
      <c r="M436" s="739"/>
      <c r="N436" s="739"/>
      <c r="O436" s="739"/>
      <c r="P436" s="739"/>
      <c r="Q436" s="739"/>
      <c r="R436" s="739"/>
      <c r="S436" s="739"/>
    </row>
    <row r="437" spans="1:19" ht="26.25" customHeight="1" x14ac:dyDescent="0.3">
      <c r="A437" s="732"/>
      <c r="B437" s="733"/>
      <c r="C437" s="732">
        <f>'А П 3'!C897:G897</f>
        <v>0</v>
      </c>
      <c r="D437" s="732">
        <f>'А П 3'!D897:H897</f>
        <v>0</v>
      </c>
      <c r="E437" s="732">
        <f>'А П 3'!E897:I897</f>
        <v>0</v>
      </c>
      <c r="F437" s="743" t="str">
        <f>'А П 3'!F897:J897</f>
        <v>Средства бюджетов муниципальных образований Московской области</v>
      </c>
      <c r="G437" s="738">
        <f>'А П 3'!G897:K897</f>
        <v>419.83</v>
      </c>
      <c r="H437" s="739">
        <f>'А П 3'!H897:L897</f>
        <v>419.83</v>
      </c>
      <c r="I437" s="739">
        <f>'А П 3'!I897:M897</f>
        <v>0</v>
      </c>
      <c r="J437" s="739">
        <f>'А П 3'!J897:N897</f>
        <v>0</v>
      </c>
      <c r="K437" s="739">
        <f>'А П 3'!K897:O897</f>
        <v>0</v>
      </c>
      <c r="L437" s="739">
        <f>'А П 3'!L897:P897</f>
        <v>0</v>
      </c>
      <c r="M437" s="739"/>
      <c r="N437" s="739"/>
      <c r="O437" s="739"/>
      <c r="P437" s="739"/>
      <c r="Q437" s="739"/>
      <c r="R437" s="739"/>
      <c r="S437" s="739"/>
    </row>
    <row r="438" spans="1:19" ht="26.25" hidden="1" customHeight="1" x14ac:dyDescent="0.3">
      <c r="A438" s="732">
        <f>'А П 3'!A898:E898</f>
        <v>0</v>
      </c>
      <c r="B438" s="733" t="str">
        <f>'А П 3'!B898:F898</f>
        <v xml:space="preserve">Капитальный ремонт МБДОУ Детский сад №29 «Сказка» Пушкинского муниципального района, г.п. Софрино,  пос. Софрино-1, военный городок № 19
</v>
      </c>
      <c r="C438" s="732">
        <f>'А П 3'!C898:G898</f>
        <v>0</v>
      </c>
      <c r="D438" s="732">
        <f>'А П 3'!D898:H898</f>
        <v>0</v>
      </c>
      <c r="E438" s="732">
        <f>'А П 3'!E898:I898</f>
        <v>0</v>
      </c>
      <c r="F438" s="743" t="str">
        <f>'А П 3'!F898:J898</f>
        <v>Итого</v>
      </c>
      <c r="G438" s="738">
        <f>'А П 3'!G898:K898</f>
        <v>8396.6299999999992</v>
      </c>
      <c r="H438" s="739">
        <f>'А П 3'!H898:L898</f>
        <v>8396.6299999999992</v>
      </c>
      <c r="I438" s="739">
        <f>'А П 3'!I898:M898</f>
        <v>0</v>
      </c>
      <c r="J438" s="739">
        <f>'А П 3'!J898:N898</f>
        <v>0</v>
      </c>
      <c r="K438" s="739">
        <f>'А П 3'!K898:O898</f>
        <v>0</v>
      </c>
      <c r="L438" s="739">
        <f>'А П 3'!L898:P898</f>
        <v>0</v>
      </c>
      <c r="M438" s="739"/>
      <c r="N438" s="739"/>
      <c r="O438" s="739"/>
      <c r="P438" s="739"/>
      <c r="Q438" s="739"/>
      <c r="R438" s="739"/>
      <c r="S438" s="739"/>
    </row>
    <row r="439" spans="1:19" ht="26.25" hidden="1" customHeight="1" x14ac:dyDescent="0.3">
      <c r="A439" s="732">
        <f>'А П 3'!A899:E899</f>
        <v>0</v>
      </c>
      <c r="B439" s="733">
        <f>'А П 3'!B899:F899</f>
        <v>0</v>
      </c>
      <c r="C439" s="732">
        <f>'А П 3'!C899:G899</f>
        <v>0</v>
      </c>
      <c r="D439" s="732">
        <f>'А П 3'!D899:H899</f>
        <v>0</v>
      </c>
      <c r="E439" s="732">
        <f>'А П 3'!E899:I899</f>
        <v>0</v>
      </c>
      <c r="F439" s="743" t="str">
        <f>'А П 3'!F899:J899</f>
        <v>Средства бюджета Московской области</v>
      </c>
      <c r="G439" s="738">
        <f>'А П 3'!G899:K899</f>
        <v>7976.8</v>
      </c>
      <c r="H439" s="739">
        <f>'А П 3'!H899:L899</f>
        <v>7976.8</v>
      </c>
      <c r="I439" s="739">
        <f>'А П 3'!I899:M899</f>
        <v>0</v>
      </c>
      <c r="J439" s="739">
        <f>'А П 3'!J899:N899</f>
        <v>0</v>
      </c>
      <c r="K439" s="739">
        <f>'А П 3'!K899:O899</f>
        <v>0</v>
      </c>
      <c r="L439" s="739">
        <f>'А П 3'!L899:P899</f>
        <v>0</v>
      </c>
      <c r="M439" s="739"/>
      <c r="N439" s="739"/>
      <c r="O439" s="739"/>
      <c r="P439" s="739"/>
      <c r="Q439" s="739"/>
      <c r="R439" s="739"/>
      <c r="S439" s="739"/>
    </row>
    <row r="440" spans="1:19" ht="26.25" hidden="1" customHeight="1" x14ac:dyDescent="0.3">
      <c r="A440" s="732">
        <f>'А П 3'!A900:E900</f>
        <v>0</v>
      </c>
      <c r="B440" s="733">
        <f>'А П 3'!B900:F900</f>
        <v>0</v>
      </c>
      <c r="C440" s="732">
        <f>'А П 3'!C900:G900</f>
        <v>0</v>
      </c>
      <c r="D440" s="732">
        <f>'А П 3'!D900:H900</f>
        <v>0</v>
      </c>
      <c r="E440" s="732">
        <f>'А П 3'!E900:I900</f>
        <v>0</v>
      </c>
      <c r="F440" s="743" t="str">
        <f>'А П 3'!F900:J900</f>
        <v>Средства бюджетов муниципальных образований Московской области</v>
      </c>
      <c r="G440" s="738">
        <f>'А П 3'!G900:K900</f>
        <v>419.83</v>
      </c>
      <c r="H440" s="739">
        <f>'А П 3'!H900:L900</f>
        <v>419.83</v>
      </c>
      <c r="I440" s="739">
        <f>'А П 3'!I900:M900</f>
        <v>0</v>
      </c>
      <c r="J440" s="739">
        <f>'А П 3'!J900:N900</f>
        <v>0</v>
      </c>
      <c r="K440" s="739">
        <f>'А П 3'!K900:O900</f>
        <v>0</v>
      </c>
      <c r="L440" s="739">
        <f>'А П 3'!L900:P900</f>
        <v>0</v>
      </c>
      <c r="M440" s="739"/>
      <c r="N440" s="739"/>
      <c r="O440" s="739"/>
      <c r="P440" s="739"/>
      <c r="Q440" s="739"/>
      <c r="R440" s="739"/>
      <c r="S440" s="739"/>
    </row>
    <row r="441" spans="1:19" ht="26.25" customHeight="1" x14ac:dyDescent="0.3">
      <c r="A441" s="732" t="str">
        <f>'А П 3'!A901:E901</f>
        <v>3.1.3.7</v>
      </c>
      <c r="B441" s="733" t="str">
        <f>'А П 3'!B901:F901</f>
        <v>Нераспределенный</v>
      </c>
      <c r="C441" s="732">
        <f>'А П 3'!C901:G901</f>
        <v>0</v>
      </c>
      <c r="D441" s="732">
        <f>'А П 3'!D901:H901</f>
        <v>0</v>
      </c>
      <c r="E441" s="732">
        <f>'А П 3'!E901:I901</f>
        <v>0</v>
      </c>
      <c r="F441" s="743" t="str">
        <f>'А П 3'!F901:J901</f>
        <v>Средства бюджета Московской области</v>
      </c>
      <c r="G441" s="738">
        <f>'А П 3'!G901:K901</f>
        <v>1.62</v>
      </c>
      <c r="H441" s="739">
        <f>'А П 3'!H901:L901</f>
        <v>1.62</v>
      </c>
      <c r="I441" s="739">
        <f>'А П 3'!I901:M901</f>
        <v>0</v>
      </c>
      <c r="J441" s="739">
        <f>'А П 3'!J901:N901</f>
        <v>0</v>
      </c>
      <c r="K441" s="739">
        <f>'А П 3'!K901:O901</f>
        <v>0</v>
      </c>
      <c r="L441" s="739">
        <f>'А П 3'!L901:P901</f>
        <v>0</v>
      </c>
      <c r="M441" s="739"/>
      <c r="N441" s="739"/>
      <c r="O441" s="739"/>
      <c r="P441" s="739"/>
      <c r="Q441" s="739"/>
      <c r="R441" s="739"/>
      <c r="S441" s="739"/>
    </row>
    <row r="442" spans="1:19" s="786" customFormat="1" ht="31.5" customHeight="1" x14ac:dyDescent="0.3">
      <c r="A442" s="782" t="str">
        <f>'А П 3'!A902:E902</f>
        <v>3.1.4</v>
      </c>
      <c r="B442" s="2514" t="str">
        <f>'А П 3'!B902:F902</f>
        <v>Министерство  энергетики Московской области</v>
      </c>
      <c r="C442" s="782">
        <f>'А П 3'!C902:G902</f>
        <v>0</v>
      </c>
      <c r="D442" s="782">
        <f>'А П 3'!D902:H902</f>
        <v>0</v>
      </c>
      <c r="E442" s="782">
        <f>'А П 3'!E902:I902</f>
        <v>0</v>
      </c>
      <c r="F442" s="783" t="str">
        <f>'А П 3'!F902:J902</f>
        <v>Итого</v>
      </c>
      <c r="G442" s="784">
        <f>'А П 3'!G902:K902</f>
        <v>144275.51999999999</v>
      </c>
      <c r="H442" s="785">
        <f>'А П 3'!H902:L902</f>
        <v>144275.51999999999</v>
      </c>
      <c r="I442" s="785">
        <f>'А П 3'!I902:M902</f>
        <v>0</v>
      </c>
      <c r="J442" s="785">
        <f>'А П 3'!J902:N902</f>
        <v>0</v>
      </c>
      <c r="K442" s="785">
        <f>'А П 3'!K902:O902</f>
        <v>0</v>
      </c>
      <c r="L442" s="785">
        <f>'А П 3'!L902:P902</f>
        <v>0</v>
      </c>
      <c r="M442" s="785"/>
      <c r="N442" s="785"/>
      <c r="O442" s="785"/>
      <c r="P442" s="785"/>
      <c r="Q442" s="785"/>
      <c r="R442" s="785"/>
      <c r="S442" s="785"/>
    </row>
    <row r="443" spans="1:19" ht="31.5" customHeight="1" x14ac:dyDescent="0.3">
      <c r="A443" s="789"/>
      <c r="B443" s="2515"/>
      <c r="C443" s="789">
        <f>'А П 3'!C903:G903</f>
        <v>0</v>
      </c>
      <c r="D443" s="789">
        <f>'А П 3'!D903:H903</f>
        <v>0</v>
      </c>
      <c r="E443" s="789">
        <f>'А П 3'!E903:I903</f>
        <v>0</v>
      </c>
      <c r="F443" s="790" t="str">
        <f>'А П 3'!F903:J903</f>
        <v>Средства бюджета Московской области</v>
      </c>
      <c r="G443" s="791">
        <f>'А П 3'!G903:K903</f>
        <v>134703</v>
      </c>
      <c r="H443" s="792">
        <f>'А П 3'!H903:L903</f>
        <v>134703</v>
      </c>
      <c r="I443" s="792">
        <f>'А П 3'!I903:M903</f>
        <v>0</v>
      </c>
      <c r="J443" s="792">
        <f>'А П 3'!J903:N903</f>
        <v>0</v>
      </c>
      <c r="K443" s="792">
        <f>'А П 3'!K903:O903</f>
        <v>0</v>
      </c>
      <c r="L443" s="792">
        <f>'А П 3'!L903:P903</f>
        <v>0</v>
      </c>
      <c r="M443" s="739"/>
      <c r="N443" s="739"/>
      <c r="O443" s="739"/>
      <c r="P443" s="739"/>
      <c r="Q443" s="739"/>
      <c r="R443" s="739"/>
      <c r="S443" s="739"/>
    </row>
    <row r="444" spans="1:19" ht="31.5" customHeight="1" x14ac:dyDescent="0.3">
      <c r="A444" s="789"/>
      <c r="B444" s="2516"/>
      <c r="C444" s="789">
        <f>'А П 3'!C904:G904</f>
        <v>0</v>
      </c>
      <c r="D444" s="789">
        <f>'А П 3'!D904:H904</f>
        <v>0</v>
      </c>
      <c r="E444" s="789">
        <f>'А П 3'!E904:I904</f>
        <v>0</v>
      </c>
      <c r="F444" s="790" t="str">
        <f>'А П 3'!F904:J904</f>
        <v>Средства бюджетов муниципальных образований Московской области</v>
      </c>
      <c r="G444" s="791">
        <f>'А П 3'!G904:K904</f>
        <v>9572.52</v>
      </c>
      <c r="H444" s="792">
        <f>'А П 3'!H904:L904</f>
        <v>9572.52</v>
      </c>
      <c r="I444" s="792">
        <f>'А П 3'!I904:M904</f>
        <v>0</v>
      </c>
      <c r="J444" s="792">
        <f>'А П 3'!J904:N904</f>
        <v>0</v>
      </c>
      <c r="K444" s="792">
        <f>'А П 3'!K904:O904</f>
        <v>0</v>
      </c>
      <c r="L444" s="792">
        <f>'А П 3'!L904:P904</f>
        <v>0</v>
      </c>
      <c r="M444" s="739"/>
      <c r="N444" s="739"/>
      <c r="O444" s="739"/>
      <c r="P444" s="739"/>
      <c r="Q444" s="739"/>
      <c r="R444" s="739"/>
      <c r="S444" s="739"/>
    </row>
    <row r="445" spans="1:19" s="750" customFormat="1" ht="31.5" customHeight="1" x14ac:dyDescent="0.3">
      <c r="A445" s="745" t="str">
        <f>'А П 3'!A905:E905</f>
        <v>3.1.4.1</v>
      </c>
      <c r="B445" s="746" t="str">
        <f>'А П 3'!B905:F905</f>
        <v>городской округ Балашиха</v>
      </c>
      <c r="C445" s="745">
        <f>'А П 3'!C905:G905</f>
        <v>0</v>
      </c>
      <c r="D445" s="745">
        <f>'А П 3'!D905:H905</f>
        <v>0</v>
      </c>
      <c r="E445" s="745">
        <f>'А П 3'!E905:I905</f>
        <v>0</v>
      </c>
      <c r="F445" s="747" t="str">
        <f>'А П 3'!F905:J905</f>
        <v>Итого</v>
      </c>
      <c r="G445" s="748">
        <f>'А П 3'!G905:K905</f>
        <v>47188.97</v>
      </c>
      <c r="H445" s="749">
        <f>'А П 3'!H905:L905</f>
        <v>47188.97</v>
      </c>
      <c r="I445" s="749">
        <f>'А П 3'!I905:M905</f>
        <v>0</v>
      </c>
      <c r="J445" s="749">
        <f>'А П 3'!J905:N905</f>
        <v>0</v>
      </c>
      <c r="K445" s="749">
        <f>'А П 3'!K905:O905</f>
        <v>0</v>
      </c>
      <c r="L445" s="749">
        <f>'А П 3'!L905:P905</f>
        <v>0</v>
      </c>
      <c r="M445" s="749"/>
      <c r="N445" s="749"/>
      <c r="O445" s="749"/>
      <c r="P445" s="749"/>
      <c r="Q445" s="749"/>
      <c r="R445" s="749"/>
      <c r="S445" s="749"/>
    </row>
    <row r="446" spans="1:19" ht="31.5" customHeight="1" x14ac:dyDescent="0.3">
      <c r="A446" s="732"/>
      <c r="B446" s="733"/>
      <c r="C446" s="732">
        <f>'А П 3'!C906:G906</f>
        <v>0</v>
      </c>
      <c r="D446" s="732">
        <f>'А П 3'!D906:H906</f>
        <v>0</v>
      </c>
      <c r="E446" s="732">
        <f>'А П 3'!E906:I906</f>
        <v>0</v>
      </c>
      <c r="F446" s="743" t="str">
        <f>'А П 3'!F906:J906</f>
        <v>Средства бюджета Московской области</v>
      </c>
      <c r="G446" s="738">
        <f>'А П 3'!G906:K906</f>
        <v>42470.15</v>
      </c>
      <c r="H446" s="739">
        <f>'А П 3'!H906:L906</f>
        <v>42470.15</v>
      </c>
      <c r="I446" s="739">
        <f>'А П 3'!I906:M906</f>
        <v>0</v>
      </c>
      <c r="J446" s="739">
        <f>'А П 3'!J906:N906</f>
        <v>0</v>
      </c>
      <c r="K446" s="739">
        <f>'А П 3'!K906:O906</f>
        <v>0</v>
      </c>
      <c r="L446" s="739">
        <f>'А П 3'!L906:P906</f>
        <v>0</v>
      </c>
      <c r="M446" s="739"/>
      <c r="N446" s="739"/>
      <c r="O446" s="739"/>
      <c r="P446" s="739"/>
      <c r="Q446" s="739"/>
      <c r="R446" s="739"/>
      <c r="S446" s="739"/>
    </row>
    <row r="447" spans="1:19" ht="31.5" customHeight="1" x14ac:dyDescent="0.3">
      <c r="A447" s="732"/>
      <c r="B447" s="733"/>
      <c r="C447" s="732">
        <f>'А П 3'!C907:G907</f>
        <v>0</v>
      </c>
      <c r="D447" s="732">
        <f>'А П 3'!D907:H907</f>
        <v>0</v>
      </c>
      <c r="E447" s="732">
        <f>'А П 3'!E907:I907</f>
        <v>0</v>
      </c>
      <c r="F447" s="743" t="str">
        <f>'А П 3'!F907:J907</f>
        <v>Средства бюджетов муниципальных образований Московской области</v>
      </c>
      <c r="G447" s="738">
        <f>'А П 3'!G907:K907</f>
        <v>4718.82</v>
      </c>
      <c r="H447" s="739">
        <f>'А П 3'!H907:L907</f>
        <v>4718.82</v>
      </c>
      <c r="I447" s="739">
        <f>'А П 3'!I907:M907</f>
        <v>0</v>
      </c>
      <c r="J447" s="739">
        <f>'А П 3'!J907:N907</f>
        <v>0</v>
      </c>
      <c r="K447" s="739">
        <f>'А П 3'!K907:O907</f>
        <v>0</v>
      </c>
      <c r="L447" s="739">
        <f>'А П 3'!L907:P907</f>
        <v>0</v>
      </c>
      <c r="M447" s="739"/>
      <c r="N447" s="739"/>
      <c r="O447" s="739"/>
      <c r="P447" s="739"/>
      <c r="Q447" s="739"/>
      <c r="R447" s="739"/>
      <c r="S447" s="739"/>
    </row>
    <row r="448" spans="1:19" ht="31.5" hidden="1" customHeight="1" x14ac:dyDescent="0.3">
      <c r="A448" s="732">
        <f>'А П 3'!A908:E908</f>
        <v>0</v>
      </c>
      <c r="B448" s="733" t="str">
        <f>'А П 3'!B908:F908</f>
        <v>Капитальный ремонт линий наружного освещения мкр. Северный г.о. Балашиха</v>
      </c>
      <c r="C448" s="732">
        <f>'А П 3'!C908:G908</f>
        <v>0</v>
      </c>
      <c r="D448" s="732">
        <f>'А П 3'!D908:H908</f>
        <v>0</v>
      </c>
      <c r="E448" s="732">
        <f>'А П 3'!E908:I908</f>
        <v>0</v>
      </c>
      <c r="F448" s="743" t="str">
        <f>'А П 3'!F908:J908</f>
        <v>Итого</v>
      </c>
      <c r="G448" s="738">
        <f>'А П 3'!G908:K908</f>
        <v>1866.37</v>
      </c>
      <c r="H448" s="739">
        <f>'А П 3'!H908:L908</f>
        <v>1866.37</v>
      </c>
      <c r="I448" s="739">
        <f>'А П 3'!I908:M908</f>
        <v>0</v>
      </c>
      <c r="J448" s="739">
        <f>'А П 3'!J908:N908</f>
        <v>0</v>
      </c>
      <c r="K448" s="739">
        <f>'А П 3'!K908:O908</f>
        <v>0</v>
      </c>
      <c r="L448" s="739">
        <f>'А П 3'!L908:P908</f>
        <v>0</v>
      </c>
      <c r="M448" s="739"/>
      <c r="N448" s="739"/>
      <c r="O448" s="739"/>
      <c r="P448" s="739"/>
      <c r="Q448" s="739"/>
      <c r="R448" s="739"/>
      <c r="S448" s="739"/>
    </row>
    <row r="449" spans="1:19" ht="31.5" hidden="1" customHeight="1" x14ac:dyDescent="0.3">
      <c r="A449" s="732">
        <f>'А П 3'!A909:E909</f>
        <v>0</v>
      </c>
      <c r="B449" s="733">
        <f>'А П 3'!B909:F909</f>
        <v>0</v>
      </c>
      <c r="C449" s="732">
        <f>'А П 3'!C909:G909</f>
        <v>0</v>
      </c>
      <c r="D449" s="732">
        <f>'А П 3'!D909:H909</f>
        <v>0</v>
      </c>
      <c r="E449" s="732">
        <f>'А П 3'!E909:I909</f>
        <v>0</v>
      </c>
      <c r="F449" s="743" t="str">
        <f>'А П 3'!F909:J909</f>
        <v>Средства бюджета Московской области</v>
      </c>
      <c r="G449" s="738">
        <f>'А П 3'!G909:K909</f>
        <v>1679.76</v>
      </c>
      <c r="H449" s="739">
        <f>'А П 3'!H909:L909</f>
        <v>1679.76</v>
      </c>
      <c r="I449" s="739">
        <f>'А П 3'!I909:M909</f>
        <v>0</v>
      </c>
      <c r="J449" s="739">
        <f>'А П 3'!J909:N909</f>
        <v>0</v>
      </c>
      <c r="K449" s="739">
        <f>'А П 3'!K909:O909</f>
        <v>0</v>
      </c>
      <c r="L449" s="739">
        <f>'А П 3'!L909:P909</f>
        <v>0</v>
      </c>
      <c r="M449" s="739"/>
      <c r="N449" s="739"/>
      <c r="O449" s="739"/>
      <c r="P449" s="739"/>
      <c r="Q449" s="739"/>
      <c r="R449" s="739"/>
      <c r="S449" s="739"/>
    </row>
    <row r="450" spans="1:19" ht="31.5" hidden="1" customHeight="1" x14ac:dyDescent="0.3">
      <c r="A450" s="732">
        <f>'А П 3'!A910:E910</f>
        <v>0</v>
      </c>
      <c r="B450" s="733">
        <f>'А П 3'!B910:F910</f>
        <v>0</v>
      </c>
      <c r="C450" s="732">
        <f>'А П 3'!C910:G910</f>
        <v>0</v>
      </c>
      <c r="D450" s="732">
        <f>'А П 3'!D910:H910</f>
        <v>0</v>
      </c>
      <c r="E450" s="732">
        <f>'А П 3'!E910:I910</f>
        <v>0</v>
      </c>
      <c r="F450" s="743" t="str">
        <f>'А П 3'!F910:J910</f>
        <v>Средства бюджетов муниципальных образований Московской области</v>
      </c>
      <c r="G450" s="738">
        <f>'А П 3'!G910:K910</f>
        <v>186.61</v>
      </c>
      <c r="H450" s="739">
        <f>'А П 3'!H910:L910</f>
        <v>186.61</v>
      </c>
      <c r="I450" s="739">
        <f>'А П 3'!I910:M910</f>
        <v>0</v>
      </c>
      <c r="J450" s="739">
        <f>'А П 3'!J910:N910</f>
        <v>0</v>
      </c>
      <c r="K450" s="739">
        <f>'А П 3'!K910:O910</f>
        <v>0</v>
      </c>
      <c r="L450" s="739">
        <f>'А П 3'!L910:P910</f>
        <v>0</v>
      </c>
      <c r="M450" s="739"/>
      <c r="N450" s="739"/>
      <c r="O450" s="739"/>
      <c r="P450" s="739"/>
      <c r="Q450" s="739"/>
      <c r="R450" s="739"/>
      <c r="S450" s="739"/>
    </row>
    <row r="451" spans="1:19" ht="31.5" hidden="1" customHeight="1" x14ac:dyDescent="0.3">
      <c r="A451" s="732">
        <f>'А П 3'!A911:E911</f>
        <v>0</v>
      </c>
      <c r="B451" s="733" t="str">
        <f>'А П 3'!B911:F911</f>
        <v>Капитальный ремонт линий наружного освещения мкр. Северный г.о. Балашиха</v>
      </c>
      <c r="C451" s="732">
        <f>'А П 3'!C911:G911</f>
        <v>0</v>
      </c>
      <c r="D451" s="732">
        <f>'А П 3'!D911:H911</f>
        <v>0</v>
      </c>
      <c r="E451" s="732">
        <f>'А П 3'!E911:I911</f>
        <v>0</v>
      </c>
      <c r="F451" s="743" t="str">
        <f>'А П 3'!F911:J911</f>
        <v>Итого</v>
      </c>
      <c r="G451" s="738">
        <f>'А П 3'!G911:K911</f>
        <v>7682</v>
      </c>
      <c r="H451" s="739">
        <f>'А П 3'!H911:L911</f>
        <v>7682</v>
      </c>
      <c r="I451" s="739">
        <f>'А П 3'!I911:M911</f>
        <v>0</v>
      </c>
      <c r="J451" s="739">
        <f>'А П 3'!J911:N911</f>
        <v>0</v>
      </c>
      <c r="K451" s="739">
        <f>'А П 3'!K911:O911</f>
        <v>0</v>
      </c>
      <c r="L451" s="739">
        <f>'А П 3'!L911:P911</f>
        <v>0</v>
      </c>
      <c r="M451" s="739"/>
      <c r="N451" s="739"/>
      <c r="O451" s="739"/>
      <c r="P451" s="739"/>
      <c r="Q451" s="739"/>
      <c r="R451" s="739"/>
      <c r="S451" s="739"/>
    </row>
    <row r="452" spans="1:19" ht="31.5" hidden="1" customHeight="1" x14ac:dyDescent="0.3">
      <c r="A452" s="732">
        <f>'А П 3'!A912:E912</f>
        <v>0</v>
      </c>
      <c r="B452" s="733">
        <f>'А П 3'!B912:F912</f>
        <v>0</v>
      </c>
      <c r="C452" s="732">
        <f>'А П 3'!C912:G912</f>
        <v>0</v>
      </c>
      <c r="D452" s="732">
        <f>'А П 3'!D912:H912</f>
        <v>0</v>
      </c>
      <c r="E452" s="732">
        <f>'А П 3'!E912:I912</f>
        <v>0</v>
      </c>
      <c r="F452" s="743" t="str">
        <f>'А П 3'!F912:J912</f>
        <v>Средства бюджета Московской области</v>
      </c>
      <c r="G452" s="738">
        <f>'А П 3'!G912:K912</f>
        <v>6913.82</v>
      </c>
      <c r="H452" s="739">
        <f>'А П 3'!H912:L912</f>
        <v>6913.82</v>
      </c>
      <c r="I452" s="739">
        <f>'А П 3'!I912:M912</f>
        <v>0</v>
      </c>
      <c r="J452" s="739">
        <f>'А П 3'!J912:N912</f>
        <v>0</v>
      </c>
      <c r="K452" s="739">
        <f>'А П 3'!K912:O912</f>
        <v>0</v>
      </c>
      <c r="L452" s="739">
        <f>'А П 3'!L912:P912</f>
        <v>0</v>
      </c>
      <c r="M452" s="739"/>
      <c r="N452" s="739"/>
      <c r="O452" s="739"/>
      <c r="P452" s="739"/>
      <c r="Q452" s="739"/>
      <c r="R452" s="739"/>
      <c r="S452" s="739"/>
    </row>
    <row r="453" spans="1:19" ht="31.5" hidden="1" customHeight="1" x14ac:dyDescent="0.3">
      <c r="A453" s="732">
        <f>'А П 3'!A913:E913</f>
        <v>0</v>
      </c>
      <c r="B453" s="733">
        <f>'А П 3'!B913:F913</f>
        <v>0</v>
      </c>
      <c r="C453" s="732">
        <f>'А П 3'!C913:G913</f>
        <v>0</v>
      </c>
      <c r="D453" s="732">
        <f>'А П 3'!D913:H913</f>
        <v>0</v>
      </c>
      <c r="E453" s="732">
        <f>'А П 3'!E913:I913</f>
        <v>0</v>
      </c>
      <c r="F453" s="743" t="str">
        <f>'А П 3'!F913:J913</f>
        <v>Средства бюджетов муниципальных образований Московской области</v>
      </c>
      <c r="G453" s="738">
        <f>'А П 3'!G913:K913</f>
        <v>768.18</v>
      </c>
      <c r="H453" s="739">
        <f>'А П 3'!H913:L913</f>
        <v>768.18</v>
      </c>
      <c r="I453" s="739">
        <f>'А П 3'!I913:M913</f>
        <v>0</v>
      </c>
      <c r="J453" s="739">
        <f>'А П 3'!J913:N913</f>
        <v>0</v>
      </c>
      <c r="K453" s="739">
        <f>'А П 3'!K913:O913</f>
        <v>0</v>
      </c>
      <c r="L453" s="739">
        <f>'А П 3'!L913:P913</f>
        <v>0</v>
      </c>
      <c r="M453" s="739"/>
      <c r="N453" s="739"/>
      <c r="O453" s="739"/>
      <c r="P453" s="739"/>
      <c r="Q453" s="739"/>
      <c r="R453" s="739"/>
      <c r="S453" s="739"/>
    </row>
    <row r="454" spans="1:19" ht="31.5" hidden="1" customHeight="1" x14ac:dyDescent="0.3">
      <c r="A454" s="732">
        <f>'А П 3'!A914:E914</f>
        <v>0</v>
      </c>
      <c r="B454" s="733" t="str">
        <f>'А П 3'!B914:F914</f>
        <v>Капитальный ремонт линий наружного освещения мкр. Северный г.о. Балашиха</v>
      </c>
      <c r="C454" s="732">
        <f>'А П 3'!C914:G914</f>
        <v>0</v>
      </c>
      <c r="D454" s="732">
        <f>'А П 3'!D914:H914</f>
        <v>0</v>
      </c>
      <c r="E454" s="732">
        <f>'А П 3'!E914:I914</f>
        <v>0</v>
      </c>
      <c r="F454" s="743" t="str">
        <f>'А П 3'!F914:J914</f>
        <v>Итого</v>
      </c>
      <c r="G454" s="738">
        <f>'А П 3'!G914:K914</f>
        <v>5538.32</v>
      </c>
      <c r="H454" s="739">
        <f>'А П 3'!H914:L914</f>
        <v>5538.32</v>
      </c>
      <c r="I454" s="739">
        <f>'А П 3'!I914:M914</f>
        <v>0</v>
      </c>
      <c r="J454" s="739">
        <f>'А П 3'!J914:N914</f>
        <v>0</v>
      </c>
      <c r="K454" s="739">
        <f>'А П 3'!K914:O914</f>
        <v>0</v>
      </c>
      <c r="L454" s="739">
        <f>'А П 3'!L914:P914</f>
        <v>0</v>
      </c>
      <c r="M454" s="739"/>
      <c r="N454" s="739"/>
      <c r="O454" s="739"/>
      <c r="P454" s="739"/>
      <c r="Q454" s="739"/>
      <c r="R454" s="739"/>
      <c r="S454" s="739"/>
    </row>
    <row r="455" spans="1:19" ht="31.5" hidden="1" customHeight="1" x14ac:dyDescent="0.3">
      <c r="A455" s="732">
        <f>'А П 3'!A915:E915</f>
        <v>0</v>
      </c>
      <c r="B455" s="733">
        <f>'А П 3'!B915:F915</f>
        <v>0</v>
      </c>
      <c r="C455" s="732">
        <f>'А П 3'!C915:G915</f>
        <v>0</v>
      </c>
      <c r="D455" s="732">
        <f>'А П 3'!D915:H915</f>
        <v>0</v>
      </c>
      <c r="E455" s="732">
        <f>'А П 3'!E915:I915</f>
        <v>0</v>
      </c>
      <c r="F455" s="743" t="str">
        <f>'А П 3'!F915:J915</f>
        <v>Средства бюджета Московской области</v>
      </c>
      <c r="G455" s="738">
        <f>'А П 3'!G915:K915</f>
        <v>4984.5</v>
      </c>
      <c r="H455" s="739">
        <f>'А П 3'!H915:L915</f>
        <v>4984.5</v>
      </c>
      <c r="I455" s="739">
        <f>'А П 3'!I915:M915</f>
        <v>0</v>
      </c>
      <c r="J455" s="739">
        <f>'А П 3'!J915:N915</f>
        <v>0</v>
      </c>
      <c r="K455" s="739">
        <f>'А П 3'!K915:O915</f>
        <v>0</v>
      </c>
      <c r="L455" s="739">
        <f>'А П 3'!L915:P915</f>
        <v>0</v>
      </c>
      <c r="M455" s="739"/>
      <c r="N455" s="739"/>
      <c r="O455" s="739"/>
      <c r="P455" s="739"/>
      <c r="Q455" s="739"/>
      <c r="R455" s="739"/>
      <c r="S455" s="739"/>
    </row>
    <row r="456" spans="1:19" ht="31.5" hidden="1" customHeight="1" x14ac:dyDescent="0.3">
      <c r="A456" s="732">
        <f>'А П 3'!A916:E916</f>
        <v>0</v>
      </c>
      <c r="B456" s="733">
        <f>'А П 3'!B916:F916</f>
        <v>0</v>
      </c>
      <c r="C456" s="732">
        <f>'А П 3'!C916:G916</f>
        <v>0</v>
      </c>
      <c r="D456" s="732">
        <f>'А П 3'!D916:H916</f>
        <v>0</v>
      </c>
      <c r="E456" s="732">
        <f>'А П 3'!E916:I916</f>
        <v>0</v>
      </c>
      <c r="F456" s="743" t="str">
        <f>'А П 3'!F916:J916</f>
        <v>Средства бюджетов муниципальных образований Московской области</v>
      </c>
      <c r="G456" s="738">
        <f>'А П 3'!G916:K916</f>
        <v>553.82000000000005</v>
      </c>
      <c r="H456" s="739">
        <f>'А П 3'!H916:L916</f>
        <v>553.82000000000005</v>
      </c>
      <c r="I456" s="739">
        <f>'А П 3'!I916:M916</f>
        <v>0</v>
      </c>
      <c r="J456" s="739">
        <f>'А П 3'!J916:N916</f>
        <v>0</v>
      </c>
      <c r="K456" s="739">
        <f>'А П 3'!K916:O916</f>
        <v>0</v>
      </c>
      <c r="L456" s="739">
        <f>'А П 3'!L916:P916</f>
        <v>0</v>
      </c>
      <c r="M456" s="739"/>
      <c r="N456" s="739"/>
      <c r="O456" s="739"/>
      <c r="P456" s="739"/>
      <c r="Q456" s="739"/>
      <c r="R456" s="739"/>
      <c r="S456" s="739"/>
    </row>
    <row r="457" spans="1:19" ht="31.5" hidden="1" customHeight="1" x14ac:dyDescent="0.3">
      <c r="A457" s="732">
        <f>'А П 3'!A917:E917</f>
        <v>0</v>
      </c>
      <c r="B457" s="733" t="str">
        <f>'А П 3'!B917:F917</f>
        <v>Капитальный ремонт линий наружного освещения мкр. Заря  г.о. Балашиха</v>
      </c>
      <c r="C457" s="732">
        <f>'А П 3'!C917:G917</f>
        <v>0</v>
      </c>
      <c r="D457" s="732">
        <f>'А П 3'!D917:H917</f>
        <v>0</v>
      </c>
      <c r="E457" s="732">
        <f>'А П 3'!E917:I917</f>
        <v>0</v>
      </c>
      <c r="F457" s="743" t="str">
        <f>'А П 3'!F917:J917</f>
        <v>Итого</v>
      </c>
      <c r="G457" s="738">
        <f>'А П 3'!G917:K917</f>
        <v>32102.28</v>
      </c>
      <c r="H457" s="739">
        <f>'А П 3'!H917:L917</f>
        <v>32102.28</v>
      </c>
      <c r="I457" s="739">
        <f>'А П 3'!I917:M917</f>
        <v>0</v>
      </c>
      <c r="J457" s="739">
        <f>'А П 3'!J917:N917</f>
        <v>0</v>
      </c>
      <c r="K457" s="739">
        <f>'А П 3'!K917:O917</f>
        <v>0</v>
      </c>
      <c r="L457" s="739">
        <f>'А П 3'!L917:P917</f>
        <v>0</v>
      </c>
      <c r="M457" s="739"/>
      <c r="N457" s="739"/>
      <c r="O457" s="739"/>
      <c r="P457" s="739"/>
      <c r="Q457" s="739"/>
      <c r="R457" s="739"/>
      <c r="S457" s="739"/>
    </row>
    <row r="458" spans="1:19" ht="31.5" hidden="1" customHeight="1" x14ac:dyDescent="0.3">
      <c r="A458" s="732">
        <f>'А П 3'!A918:E918</f>
        <v>0</v>
      </c>
      <c r="B458" s="733">
        <f>'А П 3'!B918:F918</f>
        <v>0</v>
      </c>
      <c r="C458" s="732">
        <f>'А П 3'!C918:G918</f>
        <v>0</v>
      </c>
      <c r="D458" s="732">
        <f>'А П 3'!D918:H918</f>
        <v>0</v>
      </c>
      <c r="E458" s="732">
        <f>'А П 3'!E918:I918</f>
        <v>0</v>
      </c>
      <c r="F458" s="743" t="str">
        <f>'А П 3'!F918:J918</f>
        <v>Средства бюджета Московской области</v>
      </c>
      <c r="G458" s="738">
        <f>'А П 3'!G918:K918</f>
        <v>28892.07</v>
      </c>
      <c r="H458" s="739">
        <f>'А П 3'!H918:L918</f>
        <v>28892.07</v>
      </c>
      <c r="I458" s="739">
        <f>'А П 3'!I918:M918</f>
        <v>0</v>
      </c>
      <c r="J458" s="739">
        <f>'А П 3'!J918:N918</f>
        <v>0</v>
      </c>
      <c r="K458" s="739">
        <f>'А П 3'!K918:O918</f>
        <v>0</v>
      </c>
      <c r="L458" s="739">
        <f>'А П 3'!L918:P918</f>
        <v>0</v>
      </c>
      <c r="M458" s="739"/>
      <c r="N458" s="739"/>
      <c r="O458" s="739"/>
      <c r="P458" s="739"/>
      <c r="Q458" s="739"/>
      <c r="R458" s="739"/>
      <c r="S458" s="739"/>
    </row>
    <row r="459" spans="1:19" ht="31.5" hidden="1" customHeight="1" x14ac:dyDescent="0.3">
      <c r="A459" s="732">
        <f>'А П 3'!A919:E919</f>
        <v>0</v>
      </c>
      <c r="B459" s="733">
        <f>'А П 3'!B919:F919</f>
        <v>0</v>
      </c>
      <c r="C459" s="732">
        <f>'А П 3'!C919:G919</f>
        <v>0</v>
      </c>
      <c r="D459" s="732">
        <f>'А П 3'!D919:H919</f>
        <v>0</v>
      </c>
      <c r="E459" s="732">
        <f>'А П 3'!E919:I919</f>
        <v>0</v>
      </c>
      <c r="F459" s="743" t="str">
        <f>'А П 3'!F919:J919</f>
        <v>Средства бюджетов муниципальных образований Московской области</v>
      </c>
      <c r="G459" s="738">
        <f>'А П 3'!G919:K919</f>
        <v>3210.21</v>
      </c>
      <c r="H459" s="739">
        <f>'А П 3'!H919:L919</f>
        <v>3210.21</v>
      </c>
      <c r="I459" s="739">
        <f>'А П 3'!I919:M919</f>
        <v>0</v>
      </c>
      <c r="J459" s="739">
        <f>'А П 3'!J919:N919</f>
        <v>0</v>
      </c>
      <c r="K459" s="739">
        <f>'А П 3'!K919:O919</f>
        <v>0</v>
      </c>
      <c r="L459" s="739">
        <f>'А П 3'!L919:P919</f>
        <v>0</v>
      </c>
      <c r="M459" s="739"/>
      <c r="N459" s="739"/>
      <c r="O459" s="739"/>
      <c r="P459" s="739"/>
      <c r="Q459" s="739"/>
      <c r="R459" s="739"/>
      <c r="S459" s="739"/>
    </row>
    <row r="460" spans="1:19" s="750" customFormat="1" ht="31.5" customHeight="1" x14ac:dyDescent="0.3">
      <c r="A460" s="745" t="str">
        <f>'А П 3'!A920:E920</f>
        <v>3.1.4.2</v>
      </c>
      <c r="B460" s="746" t="str">
        <f>'А П 3'!B920:F920</f>
        <v>городской округ Звездный городок</v>
      </c>
      <c r="C460" s="745">
        <f>'А П 3'!C920:G920</f>
        <v>0</v>
      </c>
      <c r="D460" s="745">
        <f>'А П 3'!D920:H920</f>
        <v>0</v>
      </c>
      <c r="E460" s="745">
        <f>'А П 3'!E920:I920</f>
        <v>0</v>
      </c>
      <c r="F460" s="747" t="str">
        <f>'А П 3'!F920:J920</f>
        <v>Итого</v>
      </c>
      <c r="G460" s="748">
        <f>'А П 3'!G920:K920</f>
        <v>5175.7700000000004</v>
      </c>
      <c r="H460" s="749">
        <f>'А П 3'!H920:L920</f>
        <v>5175.7700000000004</v>
      </c>
      <c r="I460" s="749">
        <f>'А П 3'!I920:M920</f>
        <v>0</v>
      </c>
      <c r="J460" s="749">
        <f>'А П 3'!J920:N920</f>
        <v>0</v>
      </c>
      <c r="K460" s="749">
        <f>'А П 3'!K920:O920</f>
        <v>0</v>
      </c>
      <c r="L460" s="749">
        <f>'А П 3'!L920:P920</f>
        <v>0</v>
      </c>
      <c r="M460" s="749"/>
      <c r="N460" s="749"/>
      <c r="O460" s="749"/>
      <c r="P460" s="749"/>
      <c r="Q460" s="749"/>
      <c r="R460" s="749"/>
      <c r="S460" s="749"/>
    </row>
    <row r="461" spans="1:19" ht="31.5" customHeight="1" x14ac:dyDescent="0.3">
      <c r="A461" s="732"/>
      <c r="B461" s="733"/>
      <c r="C461" s="732">
        <f>'А П 3'!C921:G921</f>
        <v>0</v>
      </c>
      <c r="D461" s="732">
        <f>'А П 3'!D921:H921</f>
        <v>0</v>
      </c>
      <c r="E461" s="732">
        <f>'А П 3'!E921:I921</f>
        <v>0</v>
      </c>
      <c r="F461" s="743" t="str">
        <f>'А П 3'!F921:J921</f>
        <v>Средства бюджета Московской области</v>
      </c>
      <c r="G461" s="738">
        <f>'А П 3'!G921:K921</f>
        <v>4917.05</v>
      </c>
      <c r="H461" s="739">
        <f>'А П 3'!H921:L921</f>
        <v>4917.05</v>
      </c>
      <c r="I461" s="739">
        <f>'А П 3'!I921:M921</f>
        <v>0</v>
      </c>
      <c r="J461" s="739">
        <f>'А П 3'!J921:N921</f>
        <v>0</v>
      </c>
      <c r="K461" s="739">
        <f>'А П 3'!K921:O921</f>
        <v>0</v>
      </c>
      <c r="L461" s="739">
        <f>'А П 3'!L921:P921</f>
        <v>0</v>
      </c>
      <c r="M461" s="739"/>
      <c r="N461" s="739"/>
      <c r="O461" s="739"/>
      <c r="P461" s="739"/>
      <c r="Q461" s="739"/>
      <c r="R461" s="739"/>
      <c r="S461" s="739"/>
    </row>
    <row r="462" spans="1:19" ht="31.5" customHeight="1" x14ac:dyDescent="0.3">
      <c r="A462" s="732"/>
      <c r="B462" s="733"/>
      <c r="C462" s="732">
        <f>'А П 3'!C922:G922</f>
        <v>0</v>
      </c>
      <c r="D462" s="732">
        <f>'А П 3'!D922:H922</f>
        <v>0</v>
      </c>
      <c r="E462" s="732">
        <f>'А П 3'!E922:I922</f>
        <v>0</v>
      </c>
      <c r="F462" s="743" t="str">
        <f>'А П 3'!F922:J922</f>
        <v>Средства бюджетов муниципальных образований Московской области</v>
      </c>
      <c r="G462" s="738">
        <f>'А П 3'!G922:K922</f>
        <v>258.72000000000003</v>
      </c>
      <c r="H462" s="739">
        <f>'А П 3'!H922:L922</f>
        <v>258.72000000000003</v>
      </c>
      <c r="I462" s="739">
        <f>'А П 3'!I922:M922</f>
        <v>0</v>
      </c>
      <c r="J462" s="739">
        <f>'А П 3'!J922:N922</f>
        <v>0</v>
      </c>
      <c r="K462" s="739">
        <f>'А П 3'!K922:O922</f>
        <v>0</v>
      </c>
      <c r="L462" s="739">
        <f>'А П 3'!L922:P922</f>
        <v>0</v>
      </c>
      <c r="M462" s="739"/>
      <c r="N462" s="739"/>
      <c r="O462" s="739"/>
      <c r="P462" s="739"/>
      <c r="Q462" s="739"/>
      <c r="R462" s="739"/>
      <c r="S462" s="739"/>
    </row>
    <row r="463" spans="1:19" ht="31.5" hidden="1" customHeight="1" x14ac:dyDescent="0.3">
      <c r="A463" s="732">
        <f>'А П 3'!A923:E923</f>
        <v>0</v>
      </c>
      <c r="B463" s="733" t="str">
        <f>'А П 3'!B923:F923</f>
        <v>Капитальный ремонт линий наружного освещения городской округ Звездный городок</v>
      </c>
      <c r="C463" s="732">
        <f>'А П 3'!C923:G923</f>
        <v>0</v>
      </c>
      <c r="D463" s="732">
        <f>'А П 3'!D923:H923</f>
        <v>0</v>
      </c>
      <c r="E463" s="732">
        <f>'А П 3'!E923:I923</f>
        <v>0</v>
      </c>
      <c r="F463" s="743" t="str">
        <f>'А П 3'!F923:J923</f>
        <v>Итого</v>
      </c>
      <c r="G463" s="738">
        <f>'А П 3'!G923:K923</f>
        <v>3650.83</v>
      </c>
      <c r="H463" s="739">
        <f>'А П 3'!H923:L923</f>
        <v>3650.83</v>
      </c>
      <c r="I463" s="739">
        <f>'А П 3'!I923:M923</f>
        <v>0</v>
      </c>
      <c r="J463" s="739">
        <f>'А П 3'!J923:N923</f>
        <v>0</v>
      </c>
      <c r="K463" s="739">
        <f>'А П 3'!K923:O923</f>
        <v>0</v>
      </c>
      <c r="L463" s="739">
        <f>'А П 3'!L923:P923</f>
        <v>0</v>
      </c>
      <c r="M463" s="739"/>
      <c r="N463" s="739"/>
      <c r="O463" s="739"/>
      <c r="P463" s="739"/>
      <c r="Q463" s="739"/>
      <c r="R463" s="739"/>
      <c r="S463" s="739"/>
    </row>
    <row r="464" spans="1:19" ht="31.5" hidden="1" customHeight="1" x14ac:dyDescent="0.3">
      <c r="A464" s="732">
        <f>'А П 3'!A924:E924</f>
        <v>0</v>
      </c>
      <c r="B464" s="733">
        <f>'А П 3'!B924:F924</f>
        <v>0</v>
      </c>
      <c r="C464" s="732">
        <f>'А П 3'!C924:G924</f>
        <v>0</v>
      </c>
      <c r="D464" s="732">
        <f>'А П 3'!D924:H924</f>
        <v>0</v>
      </c>
      <c r="E464" s="732">
        <f>'А П 3'!E924:I924</f>
        <v>0</v>
      </c>
      <c r="F464" s="743" t="str">
        <f>'А П 3'!F924:J924</f>
        <v>Средства бюджета Московской области</v>
      </c>
      <c r="G464" s="738">
        <f>'А П 3'!G924:K924</f>
        <v>3468.33</v>
      </c>
      <c r="H464" s="739">
        <f>'А П 3'!H924:L924</f>
        <v>3468.33</v>
      </c>
      <c r="I464" s="739">
        <f>'А П 3'!I924:M924</f>
        <v>0</v>
      </c>
      <c r="J464" s="739">
        <f>'А П 3'!J924:N924</f>
        <v>0</v>
      </c>
      <c r="K464" s="739">
        <f>'А П 3'!K924:O924</f>
        <v>0</v>
      </c>
      <c r="L464" s="739">
        <f>'А П 3'!L924:P924</f>
        <v>0</v>
      </c>
      <c r="M464" s="739"/>
      <c r="N464" s="739"/>
      <c r="O464" s="739"/>
      <c r="P464" s="739"/>
      <c r="Q464" s="739"/>
      <c r="R464" s="739"/>
      <c r="S464" s="739"/>
    </row>
    <row r="465" spans="1:19" ht="31.5" hidden="1" customHeight="1" x14ac:dyDescent="0.3">
      <c r="A465" s="732">
        <f>'А П 3'!A925:E925</f>
        <v>0</v>
      </c>
      <c r="B465" s="733">
        <f>'А П 3'!B925:F925</f>
        <v>0</v>
      </c>
      <c r="C465" s="732">
        <f>'А П 3'!C925:G925</f>
        <v>0</v>
      </c>
      <c r="D465" s="732">
        <f>'А П 3'!D925:H925</f>
        <v>0</v>
      </c>
      <c r="E465" s="732">
        <f>'А П 3'!E925:I925</f>
        <v>0</v>
      </c>
      <c r="F465" s="743" t="str">
        <f>'А П 3'!F925:J925</f>
        <v>Средства бюджетов муниципальных образований Московской области</v>
      </c>
      <c r="G465" s="738">
        <f>'А П 3'!G925:K925</f>
        <v>182.5</v>
      </c>
      <c r="H465" s="739">
        <f>'А П 3'!H925:L925</f>
        <v>182.5</v>
      </c>
      <c r="I465" s="739">
        <f>'А П 3'!I925:M925</f>
        <v>0</v>
      </c>
      <c r="J465" s="739">
        <f>'А П 3'!J925:N925</f>
        <v>0</v>
      </c>
      <c r="K465" s="739">
        <f>'А П 3'!K925:O925</f>
        <v>0</v>
      </c>
      <c r="L465" s="739">
        <f>'А П 3'!L925:P925</f>
        <v>0</v>
      </c>
      <c r="M465" s="739"/>
      <c r="N465" s="739"/>
      <c r="O465" s="739"/>
      <c r="P465" s="739"/>
      <c r="Q465" s="739"/>
      <c r="R465" s="739"/>
      <c r="S465" s="739"/>
    </row>
    <row r="466" spans="1:19" ht="31.5" hidden="1" customHeight="1" x14ac:dyDescent="0.3">
      <c r="A466" s="732">
        <f>'А П 3'!A926:E926</f>
        <v>0</v>
      </c>
      <c r="B466" s="733" t="str">
        <f>'А П 3'!B926:F926</f>
        <v>Капитальный ремонт линий наружного освещения городской округ Звездный городок</v>
      </c>
      <c r="C466" s="732">
        <f>'А П 3'!C926:G926</f>
        <v>0</v>
      </c>
      <c r="D466" s="732">
        <f>'А П 3'!D926:H926</f>
        <v>0</v>
      </c>
      <c r="E466" s="732">
        <f>'А П 3'!E926:I926</f>
        <v>0</v>
      </c>
      <c r="F466" s="743" t="str">
        <f>'А П 3'!F926:J926</f>
        <v>Итого</v>
      </c>
      <c r="G466" s="738">
        <f>'А П 3'!G926:K926</f>
        <v>1524.94</v>
      </c>
      <c r="H466" s="739">
        <f>'А П 3'!H926:L926</f>
        <v>1524.94</v>
      </c>
      <c r="I466" s="739">
        <f>'А П 3'!I926:M926</f>
        <v>0</v>
      </c>
      <c r="J466" s="739">
        <f>'А П 3'!J926:N926</f>
        <v>0</v>
      </c>
      <c r="K466" s="739">
        <f>'А П 3'!K926:O926</f>
        <v>0</v>
      </c>
      <c r="L466" s="739">
        <f>'А П 3'!L926:P926</f>
        <v>0</v>
      </c>
      <c r="M466" s="739"/>
      <c r="N466" s="739"/>
      <c r="O466" s="739"/>
      <c r="P466" s="739"/>
      <c r="Q466" s="739"/>
      <c r="R466" s="739"/>
      <c r="S466" s="739"/>
    </row>
    <row r="467" spans="1:19" ht="31.5" hidden="1" customHeight="1" x14ac:dyDescent="0.3">
      <c r="A467" s="732">
        <f>'А П 3'!A927:E927</f>
        <v>0</v>
      </c>
      <c r="B467" s="733">
        <f>'А П 3'!B927:F927</f>
        <v>0</v>
      </c>
      <c r="C467" s="732">
        <f>'А П 3'!C927:G927</f>
        <v>0</v>
      </c>
      <c r="D467" s="732">
        <f>'А П 3'!D927:H927</f>
        <v>0</v>
      </c>
      <c r="E467" s="732">
        <f>'А П 3'!E927:I927</f>
        <v>0</v>
      </c>
      <c r="F467" s="743" t="str">
        <f>'А П 3'!F927:J927</f>
        <v>Средства бюджета Московской области</v>
      </c>
      <c r="G467" s="738">
        <f>'А П 3'!G927:K927</f>
        <v>1448.72</v>
      </c>
      <c r="H467" s="739">
        <f>'А П 3'!H927:L927</f>
        <v>1448.72</v>
      </c>
      <c r="I467" s="739">
        <f>'А П 3'!I927:M927</f>
        <v>0</v>
      </c>
      <c r="J467" s="739">
        <f>'А П 3'!J927:N927</f>
        <v>0</v>
      </c>
      <c r="K467" s="739">
        <f>'А П 3'!K927:O927</f>
        <v>0</v>
      </c>
      <c r="L467" s="739">
        <f>'А П 3'!L927:P927</f>
        <v>0</v>
      </c>
      <c r="M467" s="739"/>
      <c r="N467" s="739"/>
      <c r="O467" s="739"/>
      <c r="P467" s="739"/>
      <c r="Q467" s="739"/>
      <c r="R467" s="739"/>
      <c r="S467" s="739"/>
    </row>
    <row r="468" spans="1:19" ht="31.5" hidden="1" customHeight="1" x14ac:dyDescent="0.3">
      <c r="A468" s="732">
        <f>'А П 3'!A928:E928</f>
        <v>0</v>
      </c>
      <c r="B468" s="733">
        <f>'А П 3'!B928:F928</f>
        <v>0</v>
      </c>
      <c r="C468" s="732">
        <f>'А П 3'!C928:G928</f>
        <v>0</v>
      </c>
      <c r="D468" s="732">
        <f>'А П 3'!D928:H928</f>
        <v>0</v>
      </c>
      <c r="E468" s="732">
        <f>'А П 3'!E928:I928</f>
        <v>0</v>
      </c>
      <c r="F468" s="743" t="str">
        <f>'А П 3'!F928:J928</f>
        <v>Средства бюджетов муниципальных образований Московской области</v>
      </c>
      <c r="G468" s="738">
        <f>'А П 3'!G928:K928</f>
        <v>76.22</v>
      </c>
      <c r="H468" s="739">
        <f>'А П 3'!H928:L928</f>
        <v>76.22</v>
      </c>
      <c r="I468" s="739">
        <f>'А П 3'!I928:M928</f>
        <v>0</v>
      </c>
      <c r="J468" s="739">
        <f>'А П 3'!J928:N928</f>
        <v>0</v>
      </c>
      <c r="K468" s="739">
        <f>'А П 3'!K928:O928</f>
        <v>0</v>
      </c>
      <c r="L468" s="739">
        <f>'А П 3'!L928:P928</f>
        <v>0</v>
      </c>
      <c r="M468" s="739"/>
      <c r="N468" s="739"/>
      <c r="O468" s="739"/>
      <c r="P468" s="739"/>
      <c r="Q468" s="739"/>
      <c r="R468" s="739"/>
      <c r="S468" s="739"/>
    </row>
    <row r="469" spans="1:19" s="750" customFormat="1" ht="31.5" customHeight="1" x14ac:dyDescent="0.3">
      <c r="A469" s="745" t="str">
        <f>'А П 3'!A929:E929</f>
        <v>3.1.4.3</v>
      </c>
      <c r="B469" s="746" t="str">
        <f>'А П 3'!B929:F929</f>
        <v>городское поселение Некросовский Дмитровского мунинципального района</v>
      </c>
      <c r="C469" s="745">
        <f>'А П 3'!C929:G929</f>
        <v>0</v>
      </c>
      <c r="D469" s="745">
        <f>'А П 3'!D929:H929</f>
        <v>0</v>
      </c>
      <c r="E469" s="745">
        <f>'А П 3'!E929:I929</f>
        <v>0</v>
      </c>
      <c r="F469" s="747" t="str">
        <f>'А П 3'!F929:J929</f>
        <v>Итого</v>
      </c>
      <c r="G469" s="748">
        <f>'А П 3'!G929:K929</f>
        <v>3100</v>
      </c>
      <c r="H469" s="749">
        <f>'А П 3'!H929:L929</f>
        <v>3100</v>
      </c>
      <c r="I469" s="749">
        <f>'А П 3'!I929:M929</f>
        <v>0</v>
      </c>
      <c r="J469" s="749">
        <f>'А П 3'!J929:N929</f>
        <v>0</v>
      </c>
      <c r="K469" s="749">
        <f>'А П 3'!K929:O929</f>
        <v>0</v>
      </c>
      <c r="L469" s="749">
        <f>'А П 3'!L929:P929</f>
        <v>0</v>
      </c>
      <c r="M469" s="749"/>
      <c r="N469" s="749"/>
      <c r="O469" s="749"/>
      <c r="P469" s="749"/>
      <c r="Q469" s="749"/>
      <c r="R469" s="749"/>
      <c r="S469" s="749"/>
    </row>
    <row r="470" spans="1:19" ht="31.5" customHeight="1" x14ac:dyDescent="0.3">
      <c r="A470" s="732"/>
      <c r="B470" s="733"/>
      <c r="C470" s="732">
        <f>'А П 3'!C930:G930</f>
        <v>0</v>
      </c>
      <c r="D470" s="732">
        <f>'А П 3'!D930:H930</f>
        <v>0</v>
      </c>
      <c r="E470" s="732">
        <f>'А П 3'!E930:I930</f>
        <v>0</v>
      </c>
      <c r="F470" s="743" t="str">
        <f>'А П 3'!F930:J930</f>
        <v>Средства бюджета Московской области</v>
      </c>
      <c r="G470" s="738">
        <f>'А П 3'!G930:K930</f>
        <v>2945</v>
      </c>
      <c r="H470" s="739">
        <f>'А П 3'!H930:L930</f>
        <v>2945</v>
      </c>
      <c r="I470" s="739">
        <f>'А П 3'!I930:M930</f>
        <v>0</v>
      </c>
      <c r="J470" s="739">
        <f>'А П 3'!J930:N930</f>
        <v>0</v>
      </c>
      <c r="K470" s="739">
        <f>'А П 3'!K930:O930</f>
        <v>0</v>
      </c>
      <c r="L470" s="739">
        <f>'А П 3'!L930:P930</f>
        <v>0</v>
      </c>
      <c r="M470" s="739"/>
      <c r="N470" s="739"/>
      <c r="O470" s="739"/>
      <c r="P470" s="739"/>
      <c r="Q470" s="739"/>
      <c r="R470" s="739"/>
      <c r="S470" s="739"/>
    </row>
    <row r="471" spans="1:19" ht="31.5" customHeight="1" x14ac:dyDescent="0.3">
      <c r="A471" s="732"/>
      <c r="B471" s="733"/>
      <c r="C471" s="732">
        <f>'А П 3'!C931:G931</f>
        <v>0</v>
      </c>
      <c r="D471" s="732">
        <f>'А П 3'!D931:H931</f>
        <v>0</v>
      </c>
      <c r="E471" s="732">
        <f>'А П 3'!E931:I931</f>
        <v>0</v>
      </c>
      <c r="F471" s="743" t="str">
        <f>'А П 3'!F931:J931</f>
        <v>Средства бюджетов муниципальных образований Московской области</v>
      </c>
      <c r="G471" s="738">
        <f>'А П 3'!G931:K931</f>
        <v>155</v>
      </c>
      <c r="H471" s="739">
        <f>'А П 3'!H931:L931</f>
        <v>155</v>
      </c>
      <c r="I471" s="739">
        <f>'А П 3'!I931:M931</f>
        <v>0</v>
      </c>
      <c r="J471" s="739">
        <f>'А П 3'!J931:N931</f>
        <v>0</v>
      </c>
      <c r="K471" s="739">
        <f>'А П 3'!K931:O931</f>
        <v>0</v>
      </c>
      <c r="L471" s="739">
        <f>'А П 3'!L931:P931</f>
        <v>0</v>
      </c>
      <c r="M471" s="739"/>
      <c r="N471" s="739"/>
      <c r="O471" s="739"/>
      <c r="P471" s="739"/>
      <c r="Q471" s="739"/>
      <c r="R471" s="739"/>
      <c r="S471" s="739"/>
    </row>
    <row r="472" spans="1:19" ht="31.5" hidden="1" customHeight="1" x14ac:dyDescent="0.3">
      <c r="A472" s="732">
        <f>'А П 3'!A932:E932</f>
        <v>0</v>
      </c>
      <c r="B472" s="733" t="str">
        <f>'А П 3'!B932:F932</f>
        <v xml:space="preserve">Капитальный ремонт  линий наружного освещения г.п. Некрасовский Дмитровский м.р.  в/г № 27 мкр. Трудовая </v>
      </c>
      <c r="C472" s="732">
        <f>'А П 3'!C932:G932</f>
        <v>0</v>
      </c>
      <c r="D472" s="732">
        <f>'А П 3'!D932:H932</f>
        <v>0</v>
      </c>
      <c r="E472" s="732">
        <f>'А П 3'!E932:I932</f>
        <v>0</v>
      </c>
      <c r="F472" s="743" t="str">
        <f>'А П 3'!F932:J932</f>
        <v>Итого</v>
      </c>
      <c r="G472" s="738">
        <f>'А П 3'!G932:K932</f>
        <v>3100</v>
      </c>
      <c r="H472" s="739">
        <f>'А П 3'!H932:L932</f>
        <v>3100</v>
      </c>
      <c r="I472" s="739">
        <f>'А П 3'!I932:M932</f>
        <v>0</v>
      </c>
      <c r="J472" s="739">
        <f>'А П 3'!J932:N932</f>
        <v>0</v>
      </c>
      <c r="K472" s="739">
        <f>'А П 3'!K932:O932</f>
        <v>0</v>
      </c>
      <c r="L472" s="739">
        <f>'А П 3'!L932:P932</f>
        <v>0</v>
      </c>
      <c r="M472" s="739"/>
      <c r="N472" s="739"/>
      <c r="O472" s="739"/>
      <c r="P472" s="739"/>
      <c r="Q472" s="739"/>
      <c r="R472" s="739"/>
      <c r="S472" s="739"/>
    </row>
    <row r="473" spans="1:19" ht="31.5" hidden="1" customHeight="1" x14ac:dyDescent="0.3">
      <c r="A473" s="732">
        <f>'А П 3'!A933:E933</f>
        <v>0</v>
      </c>
      <c r="B473" s="733">
        <f>'А П 3'!B933:F933</f>
        <v>0</v>
      </c>
      <c r="C473" s="732">
        <f>'А П 3'!C933:G933</f>
        <v>0</v>
      </c>
      <c r="D473" s="732">
        <f>'А П 3'!D933:H933</f>
        <v>0</v>
      </c>
      <c r="E473" s="732">
        <f>'А П 3'!E933:I933</f>
        <v>0</v>
      </c>
      <c r="F473" s="743" t="str">
        <f>'А П 3'!F933:J933</f>
        <v>Средства бюджета Московской области</v>
      </c>
      <c r="G473" s="738">
        <f>'А П 3'!G933:K933</f>
        <v>2945</v>
      </c>
      <c r="H473" s="739">
        <f>'А П 3'!H933:L933</f>
        <v>2945</v>
      </c>
      <c r="I473" s="739">
        <f>'А П 3'!I933:M933</f>
        <v>0</v>
      </c>
      <c r="J473" s="739">
        <f>'А П 3'!J933:N933</f>
        <v>0</v>
      </c>
      <c r="K473" s="739">
        <f>'А П 3'!K933:O933</f>
        <v>0</v>
      </c>
      <c r="L473" s="739">
        <f>'А П 3'!L933:P933</f>
        <v>0</v>
      </c>
      <c r="M473" s="739"/>
      <c r="N473" s="739"/>
      <c r="O473" s="739"/>
      <c r="P473" s="739"/>
      <c r="Q473" s="739"/>
      <c r="R473" s="739"/>
      <c r="S473" s="739"/>
    </row>
    <row r="474" spans="1:19" ht="31.5" hidden="1" customHeight="1" x14ac:dyDescent="0.3">
      <c r="A474" s="732">
        <f>'А П 3'!A934:E934</f>
        <v>0</v>
      </c>
      <c r="B474" s="733">
        <f>'А П 3'!B934:F934</f>
        <v>0</v>
      </c>
      <c r="C474" s="732">
        <f>'А П 3'!C934:G934</f>
        <v>0</v>
      </c>
      <c r="D474" s="732">
        <f>'А П 3'!D934:H934</f>
        <v>0</v>
      </c>
      <c r="E474" s="732">
        <f>'А П 3'!E934:I934</f>
        <v>0</v>
      </c>
      <c r="F474" s="743" t="str">
        <f>'А П 3'!F934:J934</f>
        <v>Средства бюджетов муниципальных образований Московской области</v>
      </c>
      <c r="G474" s="738">
        <f>'А П 3'!G934:K934</f>
        <v>155</v>
      </c>
      <c r="H474" s="739">
        <f>'А П 3'!H934:L934</f>
        <v>155</v>
      </c>
      <c r="I474" s="739">
        <f>'А П 3'!I934:M934</f>
        <v>0</v>
      </c>
      <c r="J474" s="739">
        <f>'А П 3'!J934:N934</f>
        <v>0</v>
      </c>
      <c r="K474" s="739">
        <f>'А П 3'!K934:O934</f>
        <v>0</v>
      </c>
      <c r="L474" s="739">
        <f>'А П 3'!L934:P934</f>
        <v>0</v>
      </c>
      <c r="M474" s="739"/>
      <c r="N474" s="739"/>
      <c r="O474" s="739"/>
      <c r="P474" s="739"/>
      <c r="Q474" s="739"/>
      <c r="R474" s="739"/>
      <c r="S474" s="739"/>
    </row>
    <row r="475" spans="1:19" s="750" customFormat="1" ht="31.5" customHeight="1" x14ac:dyDescent="0.3">
      <c r="A475" s="745" t="str">
        <f>'А П 3'!A935:E935</f>
        <v>3.1.4.4</v>
      </c>
      <c r="B475" s="746" t="str">
        <f>'А П 3'!B935:F935</f>
        <v>Дмитровский муниципальный район</v>
      </c>
      <c r="C475" s="745">
        <f>'А П 3'!C935:G935</f>
        <v>0</v>
      </c>
      <c r="D475" s="745">
        <f>'А П 3'!D935:H935</f>
        <v>0</v>
      </c>
      <c r="E475" s="745">
        <f>'А П 3'!E935:I935</f>
        <v>0</v>
      </c>
      <c r="F475" s="747" t="str">
        <f>'А П 3'!F935:J935</f>
        <v>Итого</v>
      </c>
      <c r="G475" s="748">
        <f>'А П 3'!G935:K935</f>
        <v>26268</v>
      </c>
      <c r="H475" s="749">
        <f>'А П 3'!H935:L935</f>
        <v>26268</v>
      </c>
      <c r="I475" s="749">
        <f>'А П 3'!I935:M935</f>
        <v>0</v>
      </c>
      <c r="J475" s="749">
        <f>'А П 3'!J935:N935</f>
        <v>0</v>
      </c>
      <c r="K475" s="749">
        <f>'А П 3'!K935:O935</f>
        <v>0</v>
      </c>
      <c r="L475" s="749">
        <f>'А П 3'!L935:P935</f>
        <v>0</v>
      </c>
      <c r="M475" s="749"/>
      <c r="N475" s="749"/>
      <c r="O475" s="749"/>
      <c r="P475" s="749"/>
      <c r="Q475" s="749"/>
      <c r="R475" s="749"/>
      <c r="S475" s="749"/>
    </row>
    <row r="476" spans="1:19" ht="31.5" customHeight="1" x14ac:dyDescent="0.3">
      <c r="A476" s="732"/>
      <c r="B476" s="733"/>
      <c r="C476" s="732">
        <f>'А П 3'!C936:G936</f>
        <v>0</v>
      </c>
      <c r="D476" s="732">
        <f>'А П 3'!D936:H936</f>
        <v>0</v>
      </c>
      <c r="E476" s="732">
        <f>'А П 3'!E936:I936</f>
        <v>0</v>
      </c>
      <c r="F476" s="743" t="str">
        <f>'А П 3'!F936:J936</f>
        <v>Средства бюджета Московской области</v>
      </c>
      <c r="G476" s="738">
        <f>'А П 3'!G936:K936</f>
        <v>24955</v>
      </c>
      <c r="H476" s="739">
        <f>'А П 3'!H936:L936</f>
        <v>24955</v>
      </c>
      <c r="I476" s="739">
        <f>'А П 3'!I936:M936</f>
        <v>0</v>
      </c>
      <c r="J476" s="739">
        <f>'А П 3'!J936:N936</f>
        <v>0</v>
      </c>
      <c r="K476" s="739">
        <f>'А П 3'!K936:O936</f>
        <v>0</v>
      </c>
      <c r="L476" s="739">
        <f>'А П 3'!L936:P936</f>
        <v>0</v>
      </c>
      <c r="M476" s="739"/>
      <c r="N476" s="739"/>
      <c r="O476" s="739"/>
      <c r="P476" s="739"/>
      <c r="Q476" s="739"/>
      <c r="R476" s="739"/>
      <c r="S476" s="739"/>
    </row>
    <row r="477" spans="1:19" ht="31.5" customHeight="1" x14ac:dyDescent="0.3">
      <c r="A477" s="732"/>
      <c r="B477" s="733"/>
      <c r="C477" s="732">
        <f>'А П 3'!C937:G937</f>
        <v>0</v>
      </c>
      <c r="D477" s="732">
        <f>'А П 3'!D937:H937</f>
        <v>0</v>
      </c>
      <c r="E477" s="732">
        <f>'А П 3'!E937:I937</f>
        <v>0</v>
      </c>
      <c r="F477" s="743" t="str">
        <f>'А П 3'!F937:J937</f>
        <v>Средства бюджетов муниципальных образований Московской области</v>
      </c>
      <c r="G477" s="738">
        <f>'А П 3'!G937:K937</f>
        <v>1313</v>
      </c>
      <c r="H477" s="739">
        <f>'А П 3'!H937:L937</f>
        <v>1313</v>
      </c>
      <c r="I477" s="739">
        <f>'А П 3'!I937:M937</f>
        <v>0</v>
      </c>
      <c r="J477" s="739">
        <f>'А П 3'!J937:N937</f>
        <v>0</v>
      </c>
      <c r="K477" s="739">
        <f>'А П 3'!K937:O937</f>
        <v>0</v>
      </c>
      <c r="L477" s="739">
        <f>'А П 3'!L937:P937</f>
        <v>0</v>
      </c>
      <c r="M477" s="739"/>
      <c r="N477" s="739"/>
      <c r="O477" s="739"/>
      <c r="P477" s="739"/>
      <c r="Q477" s="739"/>
      <c r="R477" s="739"/>
      <c r="S477" s="739"/>
    </row>
    <row r="478" spans="1:19" ht="31.5" hidden="1" customHeight="1" x14ac:dyDescent="0.3">
      <c r="A478" s="732" t="e">
        <f>'А П 3'!#REF!</f>
        <v>#REF!</v>
      </c>
      <c r="B478" s="733" t="e">
        <f>'А П 3'!#REF!</f>
        <v>#REF!</v>
      </c>
      <c r="C478" s="732" t="e">
        <f>'А П 3'!#REF!</f>
        <v>#REF!</v>
      </c>
      <c r="D478" s="732" t="e">
        <f>'А П 3'!#REF!</f>
        <v>#REF!</v>
      </c>
      <c r="E478" s="732" t="e">
        <f>'А П 3'!#REF!</f>
        <v>#REF!</v>
      </c>
      <c r="F478" s="743" t="e">
        <f>'А П 3'!#REF!</f>
        <v>#REF!</v>
      </c>
      <c r="G478" s="738">
        <f>'А П 3'!G938:K938</f>
        <v>26268</v>
      </c>
      <c r="H478" s="739">
        <f>'А П 3'!H938:L938</f>
        <v>26268</v>
      </c>
      <c r="I478" s="739" t="e">
        <f>'А П 3'!#REF!</f>
        <v>#REF!</v>
      </c>
      <c r="J478" s="739" t="e">
        <f>'А П 3'!#REF!</f>
        <v>#REF!</v>
      </c>
      <c r="K478" s="739" t="e">
        <f>'А П 3'!#REF!</f>
        <v>#REF!</v>
      </c>
      <c r="L478" s="739" t="e">
        <f>'А П 3'!#REF!</f>
        <v>#REF!</v>
      </c>
      <c r="M478" s="739"/>
      <c r="N478" s="739"/>
      <c r="O478" s="739"/>
      <c r="P478" s="739"/>
      <c r="Q478" s="739"/>
      <c r="R478" s="739"/>
      <c r="S478" s="739"/>
    </row>
    <row r="479" spans="1:19" ht="31.5" hidden="1" customHeight="1" x14ac:dyDescent="0.3">
      <c r="A479" s="732" t="e">
        <f>'А П 3'!#REF!</f>
        <v>#REF!</v>
      </c>
      <c r="B479" s="733" t="e">
        <f>'А П 3'!#REF!</f>
        <v>#REF!</v>
      </c>
      <c r="C479" s="732" t="e">
        <f>'А П 3'!#REF!</f>
        <v>#REF!</v>
      </c>
      <c r="D479" s="732" t="e">
        <f>'А П 3'!#REF!</f>
        <v>#REF!</v>
      </c>
      <c r="E479" s="732" t="e">
        <f>'А П 3'!#REF!</f>
        <v>#REF!</v>
      </c>
      <c r="F479" s="743" t="e">
        <f>'А П 3'!#REF!</f>
        <v>#REF!</v>
      </c>
      <c r="G479" s="738">
        <f>'А П 3'!G939:K939</f>
        <v>24955</v>
      </c>
      <c r="H479" s="739">
        <f>'А П 3'!H939:L939</f>
        <v>24955</v>
      </c>
      <c r="I479" s="739" t="e">
        <f>'А П 3'!#REF!</f>
        <v>#REF!</v>
      </c>
      <c r="J479" s="739" t="e">
        <f>'А П 3'!#REF!</f>
        <v>#REF!</v>
      </c>
      <c r="K479" s="739" t="e">
        <f>'А П 3'!#REF!</f>
        <v>#REF!</v>
      </c>
      <c r="L479" s="739" t="e">
        <f>'А П 3'!#REF!</f>
        <v>#REF!</v>
      </c>
      <c r="M479" s="739"/>
      <c r="N479" s="739"/>
      <c r="O479" s="739"/>
      <c r="P479" s="739"/>
      <c r="Q479" s="739"/>
      <c r="R479" s="739"/>
      <c r="S479" s="739"/>
    </row>
    <row r="480" spans="1:19" ht="31.5" hidden="1" customHeight="1" x14ac:dyDescent="0.3">
      <c r="A480" s="732" t="e">
        <f>'А П 3'!#REF!</f>
        <v>#REF!</v>
      </c>
      <c r="B480" s="733" t="e">
        <f>'А П 3'!#REF!</f>
        <v>#REF!</v>
      </c>
      <c r="C480" s="732" t="e">
        <f>'А П 3'!#REF!</f>
        <v>#REF!</v>
      </c>
      <c r="D480" s="732" t="e">
        <f>'А П 3'!#REF!</f>
        <v>#REF!</v>
      </c>
      <c r="E480" s="732" t="e">
        <f>'А П 3'!#REF!</f>
        <v>#REF!</v>
      </c>
      <c r="F480" s="743" t="e">
        <f>'А П 3'!#REF!</f>
        <v>#REF!</v>
      </c>
      <c r="G480" s="738">
        <f>'А П 3'!G940:K940</f>
        <v>1313</v>
      </c>
      <c r="H480" s="739">
        <f>'А П 3'!H940:L940</f>
        <v>1313</v>
      </c>
      <c r="I480" s="739" t="e">
        <f>'А П 3'!#REF!</f>
        <v>#REF!</v>
      </c>
      <c r="J480" s="739" t="e">
        <f>'А П 3'!#REF!</f>
        <v>#REF!</v>
      </c>
      <c r="K480" s="739" t="e">
        <f>'А П 3'!#REF!</f>
        <v>#REF!</v>
      </c>
      <c r="L480" s="739" t="e">
        <f>'А П 3'!#REF!</f>
        <v>#REF!</v>
      </c>
      <c r="M480" s="739"/>
      <c r="N480" s="739"/>
      <c r="O480" s="739"/>
      <c r="P480" s="739"/>
      <c r="Q480" s="739"/>
      <c r="R480" s="739"/>
      <c r="S480" s="739"/>
    </row>
    <row r="481" spans="1:19" ht="31.5" hidden="1" customHeight="1" x14ac:dyDescent="0.3">
      <c r="A481" s="732" t="e">
        <f>'А П 3'!#REF!</f>
        <v>#REF!</v>
      </c>
      <c r="B481" s="733" t="e">
        <f>'А П 3'!#REF!</f>
        <v>#REF!</v>
      </c>
      <c r="C481" s="732" t="e">
        <f>'А П 3'!#REF!</f>
        <v>#REF!</v>
      </c>
      <c r="D481" s="732" t="e">
        <f>'А П 3'!#REF!</f>
        <v>#REF!</v>
      </c>
      <c r="E481" s="732" t="e">
        <f>'А П 3'!#REF!</f>
        <v>#REF!</v>
      </c>
      <c r="F481" s="743" t="e">
        <f>'А П 3'!#REF!</f>
        <v>#REF!</v>
      </c>
      <c r="G481" s="738" t="e">
        <f>'А П 3'!#REF!</f>
        <v>#REF!</v>
      </c>
      <c r="H481" s="739" t="e">
        <f>'А П 3'!#REF!</f>
        <v>#REF!</v>
      </c>
      <c r="I481" s="739" t="e">
        <f>'А П 3'!#REF!</f>
        <v>#REF!</v>
      </c>
      <c r="J481" s="739" t="e">
        <f>'А П 3'!#REF!</f>
        <v>#REF!</v>
      </c>
      <c r="K481" s="739" t="e">
        <f>'А П 3'!#REF!</f>
        <v>#REF!</v>
      </c>
      <c r="L481" s="739" t="e">
        <f>'А П 3'!#REF!</f>
        <v>#REF!</v>
      </c>
      <c r="M481" s="739"/>
      <c r="N481" s="739"/>
      <c r="O481" s="739"/>
      <c r="P481" s="739"/>
      <c r="Q481" s="739"/>
      <c r="R481" s="739"/>
      <c r="S481" s="739"/>
    </row>
    <row r="482" spans="1:19" ht="31.5" hidden="1" customHeight="1" x14ac:dyDescent="0.3">
      <c r="A482" s="732" t="e">
        <f>'А П 3'!#REF!</f>
        <v>#REF!</v>
      </c>
      <c r="B482" s="733" t="e">
        <f>'А П 3'!#REF!</f>
        <v>#REF!</v>
      </c>
      <c r="C482" s="732" t="e">
        <f>'А П 3'!#REF!</f>
        <v>#REF!</v>
      </c>
      <c r="D482" s="732" t="e">
        <f>'А П 3'!#REF!</f>
        <v>#REF!</v>
      </c>
      <c r="E482" s="732" t="e">
        <f>'А П 3'!#REF!</f>
        <v>#REF!</v>
      </c>
      <c r="F482" s="743" t="e">
        <f>'А П 3'!#REF!</f>
        <v>#REF!</v>
      </c>
      <c r="G482" s="738" t="e">
        <f>'А П 3'!#REF!</f>
        <v>#REF!</v>
      </c>
      <c r="H482" s="739" t="e">
        <f>'А П 3'!#REF!</f>
        <v>#REF!</v>
      </c>
      <c r="I482" s="739" t="e">
        <f>'А П 3'!#REF!</f>
        <v>#REF!</v>
      </c>
      <c r="J482" s="739" t="e">
        <f>'А П 3'!#REF!</f>
        <v>#REF!</v>
      </c>
      <c r="K482" s="739" t="e">
        <f>'А П 3'!#REF!</f>
        <v>#REF!</v>
      </c>
      <c r="L482" s="739" t="e">
        <f>'А П 3'!#REF!</f>
        <v>#REF!</v>
      </c>
      <c r="M482" s="739"/>
      <c r="N482" s="739"/>
      <c r="O482" s="739"/>
      <c r="P482" s="739"/>
      <c r="Q482" s="739"/>
      <c r="R482" s="739"/>
      <c r="S482" s="739"/>
    </row>
    <row r="483" spans="1:19" ht="31.5" hidden="1" customHeight="1" x14ac:dyDescent="0.3">
      <c r="A483" s="732" t="e">
        <f>'А П 3'!#REF!</f>
        <v>#REF!</v>
      </c>
      <c r="B483" s="733" t="e">
        <f>'А П 3'!#REF!</f>
        <v>#REF!</v>
      </c>
      <c r="C483" s="732" t="e">
        <f>'А П 3'!#REF!</f>
        <v>#REF!</v>
      </c>
      <c r="D483" s="732" t="e">
        <f>'А П 3'!#REF!</f>
        <v>#REF!</v>
      </c>
      <c r="E483" s="732" t="e">
        <f>'А П 3'!#REF!</f>
        <v>#REF!</v>
      </c>
      <c r="F483" s="743" t="e">
        <f>'А П 3'!#REF!</f>
        <v>#REF!</v>
      </c>
      <c r="G483" s="738" t="e">
        <f>'А П 3'!#REF!</f>
        <v>#REF!</v>
      </c>
      <c r="H483" s="739" t="e">
        <f>'А П 3'!#REF!</f>
        <v>#REF!</v>
      </c>
      <c r="I483" s="739" t="e">
        <f>'А П 3'!#REF!</f>
        <v>#REF!</v>
      </c>
      <c r="J483" s="739" t="e">
        <f>'А П 3'!#REF!</f>
        <v>#REF!</v>
      </c>
      <c r="K483" s="739" t="e">
        <f>'А П 3'!#REF!</f>
        <v>#REF!</v>
      </c>
      <c r="L483" s="739" t="e">
        <f>'А П 3'!#REF!</f>
        <v>#REF!</v>
      </c>
      <c r="M483" s="739"/>
      <c r="N483" s="739"/>
      <c r="O483" s="739"/>
      <c r="P483" s="739"/>
      <c r="Q483" s="739"/>
      <c r="R483" s="739"/>
      <c r="S483" s="739"/>
    </row>
    <row r="484" spans="1:19" ht="31.5" hidden="1" customHeight="1" x14ac:dyDescent="0.3">
      <c r="A484" s="732" t="e">
        <f>'А П 3'!#REF!</f>
        <v>#REF!</v>
      </c>
      <c r="B484" s="733" t="e">
        <f>'А П 3'!#REF!</f>
        <v>#REF!</v>
      </c>
      <c r="C484" s="732" t="e">
        <f>'А П 3'!#REF!</f>
        <v>#REF!</v>
      </c>
      <c r="D484" s="732" t="e">
        <f>'А П 3'!#REF!</f>
        <v>#REF!</v>
      </c>
      <c r="E484" s="732" t="e">
        <f>'А П 3'!#REF!</f>
        <v>#REF!</v>
      </c>
      <c r="F484" s="743" t="e">
        <f>'А П 3'!#REF!</f>
        <v>#REF!</v>
      </c>
      <c r="G484" s="738" t="e">
        <f>'А П 3'!#REF!</f>
        <v>#REF!</v>
      </c>
      <c r="H484" s="739" t="e">
        <f>'А П 3'!#REF!</f>
        <v>#REF!</v>
      </c>
      <c r="I484" s="739" t="e">
        <f>'А П 3'!#REF!</f>
        <v>#REF!</v>
      </c>
      <c r="J484" s="739" t="e">
        <f>'А П 3'!#REF!</f>
        <v>#REF!</v>
      </c>
      <c r="K484" s="739" t="e">
        <f>'А П 3'!#REF!</f>
        <v>#REF!</v>
      </c>
      <c r="L484" s="739" t="e">
        <f>'А П 3'!#REF!</f>
        <v>#REF!</v>
      </c>
      <c r="M484" s="739"/>
      <c r="N484" s="739"/>
      <c r="O484" s="739"/>
      <c r="P484" s="739"/>
      <c r="Q484" s="739"/>
      <c r="R484" s="739"/>
      <c r="S484" s="739"/>
    </row>
    <row r="485" spans="1:19" ht="31.5" hidden="1" customHeight="1" x14ac:dyDescent="0.3">
      <c r="A485" s="732" t="e">
        <f>'А П 3'!#REF!</f>
        <v>#REF!</v>
      </c>
      <c r="B485" s="733" t="e">
        <f>'А П 3'!#REF!</f>
        <v>#REF!</v>
      </c>
      <c r="C485" s="732" t="e">
        <f>'А П 3'!#REF!</f>
        <v>#REF!</v>
      </c>
      <c r="D485" s="732" t="e">
        <f>'А П 3'!#REF!</f>
        <v>#REF!</v>
      </c>
      <c r="E485" s="732" t="e">
        <f>'А П 3'!#REF!</f>
        <v>#REF!</v>
      </c>
      <c r="F485" s="743" t="e">
        <f>'А П 3'!#REF!</f>
        <v>#REF!</v>
      </c>
      <c r="G485" s="738" t="e">
        <f>'А П 3'!#REF!</f>
        <v>#REF!</v>
      </c>
      <c r="H485" s="739" t="e">
        <f>'А П 3'!#REF!</f>
        <v>#REF!</v>
      </c>
      <c r="I485" s="739" t="e">
        <f>'А П 3'!#REF!</f>
        <v>#REF!</v>
      </c>
      <c r="J485" s="739" t="e">
        <f>'А П 3'!#REF!</f>
        <v>#REF!</v>
      </c>
      <c r="K485" s="739" t="e">
        <f>'А П 3'!#REF!</f>
        <v>#REF!</v>
      </c>
      <c r="L485" s="739" t="e">
        <f>'А П 3'!#REF!</f>
        <v>#REF!</v>
      </c>
      <c r="M485" s="739"/>
      <c r="N485" s="739"/>
      <c r="O485" s="739"/>
      <c r="P485" s="739"/>
      <c r="Q485" s="739"/>
      <c r="R485" s="739"/>
      <c r="S485" s="739"/>
    </row>
    <row r="486" spans="1:19" ht="31.5" hidden="1" customHeight="1" x14ac:dyDescent="0.3">
      <c r="A486" s="732" t="e">
        <f>'А П 3'!#REF!</f>
        <v>#REF!</v>
      </c>
      <c r="B486" s="733" t="e">
        <f>'А П 3'!#REF!</f>
        <v>#REF!</v>
      </c>
      <c r="C486" s="732" t="e">
        <f>'А П 3'!#REF!</f>
        <v>#REF!</v>
      </c>
      <c r="D486" s="732" t="e">
        <f>'А П 3'!#REF!</f>
        <v>#REF!</v>
      </c>
      <c r="E486" s="732" t="e">
        <f>'А П 3'!#REF!</f>
        <v>#REF!</v>
      </c>
      <c r="F486" s="743" t="e">
        <f>'А П 3'!#REF!</f>
        <v>#REF!</v>
      </c>
      <c r="G486" s="738" t="e">
        <f>'А П 3'!#REF!</f>
        <v>#REF!</v>
      </c>
      <c r="H486" s="739" t="e">
        <f>'А П 3'!#REF!</f>
        <v>#REF!</v>
      </c>
      <c r="I486" s="739" t="e">
        <f>'А П 3'!#REF!</f>
        <v>#REF!</v>
      </c>
      <c r="J486" s="739" t="e">
        <f>'А П 3'!#REF!</f>
        <v>#REF!</v>
      </c>
      <c r="K486" s="739" t="e">
        <f>'А П 3'!#REF!</f>
        <v>#REF!</v>
      </c>
      <c r="L486" s="739" t="e">
        <f>'А П 3'!#REF!</f>
        <v>#REF!</v>
      </c>
      <c r="M486" s="739"/>
      <c r="N486" s="739"/>
      <c r="O486" s="739"/>
      <c r="P486" s="739"/>
      <c r="Q486" s="739"/>
      <c r="R486" s="739"/>
      <c r="S486" s="739"/>
    </row>
    <row r="487" spans="1:19" s="750" customFormat="1" ht="31.5" customHeight="1" x14ac:dyDescent="0.3">
      <c r="A487" s="745" t="str">
        <f>'А П 3'!A956:E956</f>
        <v>3.1.4.5</v>
      </c>
      <c r="B487" s="746" t="str">
        <f>'А П 3'!B956:F956</f>
        <v>Щелковский муниципальный район</v>
      </c>
      <c r="C487" s="745">
        <f>'А П 3'!C956:G956</f>
        <v>0</v>
      </c>
      <c r="D487" s="745">
        <f>'А П 3'!D956:H956</f>
        <v>0</v>
      </c>
      <c r="E487" s="745">
        <f>'А П 3'!E956:I956</f>
        <v>0</v>
      </c>
      <c r="F487" s="747" t="str">
        <f>'А П 3'!F956:J956</f>
        <v>Итого</v>
      </c>
      <c r="G487" s="748">
        <f>'А П 3'!G956:K956</f>
        <v>17348.650000000001</v>
      </c>
      <c r="H487" s="749">
        <f>'А П 3'!H956:L956</f>
        <v>17348.650000000001</v>
      </c>
      <c r="I487" s="749">
        <f>'А П 3'!I956:M956</f>
        <v>0</v>
      </c>
      <c r="J487" s="749">
        <f>'А П 3'!J956:N956</f>
        <v>0</v>
      </c>
      <c r="K487" s="749">
        <f>'А П 3'!K956:O956</f>
        <v>0</v>
      </c>
      <c r="L487" s="749">
        <f>'А П 3'!L956:P956</f>
        <v>0</v>
      </c>
      <c r="M487" s="749"/>
      <c r="N487" s="749"/>
      <c r="O487" s="749"/>
      <c r="P487" s="749"/>
      <c r="Q487" s="749"/>
      <c r="R487" s="749"/>
      <c r="S487" s="749"/>
    </row>
    <row r="488" spans="1:19" ht="31.5" customHeight="1" x14ac:dyDescent="0.3">
      <c r="A488" s="732"/>
      <c r="B488" s="733"/>
      <c r="C488" s="732">
        <f>'А П 3'!C957:G957</f>
        <v>0</v>
      </c>
      <c r="D488" s="732">
        <f>'А П 3'!D957:H957</f>
        <v>0</v>
      </c>
      <c r="E488" s="732">
        <f>'А П 3'!E957:I957</f>
        <v>0</v>
      </c>
      <c r="F488" s="743" t="str">
        <f>'А П 3'!F957:J957</f>
        <v>Средства бюджета Московской области</v>
      </c>
      <c r="G488" s="738">
        <f>'А П 3'!G957:K957</f>
        <v>16481.240000000002</v>
      </c>
      <c r="H488" s="739">
        <f>'А П 3'!H957:L957</f>
        <v>16481.240000000002</v>
      </c>
      <c r="I488" s="739">
        <f>'А П 3'!I957:M957</f>
        <v>0</v>
      </c>
      <c r="J488" s="739">
        <f>'А П 3'!J957:N957</f>
        <v>0</v>
      </c>
      <c r="K488" s="739">
        <f>'А П 3'!K957:O957</f>
        <v>0</v>
      </c>
      <c r="L488" s="739">
        <f>'А П 3'!L957:P957</f>
        <v>0</v>
      </c>
      <c r="M488" s="739"/>
      <c r="N488" s="739"/>
      <c r="O488" s="739"/>
      <c r="P488" s="739"/>
      <c r="Q488" s="739"/>
      <c r="R488" s="739"/>
      <c r="S488" s="739"/>
    </row>
    <row r="489" spans="1:19" ht="31.5" customHeight="1" x14ac:dyDescent="0.3">
      <c r="A489" s="732"/>
      <c r="B489" s="733"/>
      <c r="C489" s="732">
        <f>'А П 3'!C958:G958</f>
        <v>0</v>
      </c>
      <c r="D489" s="732">
        <f>'А П 3'!D958:H958</f>
        <v>0</v>
      </c>
      <c r="E489" s="732">
        <f>'А П 3'!E958:I958</f>
        <v>0</v>
      </c>
      <c r="F489" s="743" t="str">
        <f>'А П 3'!F958:J958</f>
        <v>Средства бюджетов муниципальных образований Московской области</v>
      </c>
      <c r="G489" s="738">
        <f>'А П 3'!G958:K958</f>
        <v>867.41</v>
      </c>
      <c r="H489" s="739">
        <f>'А П 3'!H958:L958</f>
        <v>867.41</v>
      </c>
      <c r="I489" s="739">
        <f>'А П 3'!I958:M958</f>
        <v>0</v>
      </c>
      <c r="J489" s="739">
        <f>'А П 3'!J958:N958</f>
        <v>0</v>
      </c>
      <c r="K489" s="739">
        <f>'А П 3'!K958:O958</f>
        <v>0</v>
      </c>
      <c r="L489" s="739">
        <f>'А П 3'!L958:P958</f>
        <v>0</v>
      </c>
      <c r="M489" s="739"/>
      <c r="N489" s="739"/>
      <c r="O489" s="739"/>
      <c r="P489" s="739"/>
      <c r="Q489" s="739"/>
      <c r="R489" s="739"/>
      <c r="S489" s="739"/>
    </row>
    <row r="490" spans="1:19" ht="31.5" hidden="1" customHeight="1" x14ac:dyDescent="0.3">
      <c r="A490" s="732">
        <f>'А П 3'!A959:E959</f>
        <v>0</v>
      </c>
      <c r="B490" s="733" t="str">
        <f>'А П 3'!B959:F959</f>
        <v xml:space="preserve">Капитальный ремонт линий наружного освещения с.п. Медвежье-Озерское  в/г. № 36 пос. Новый Городок Щелковский м.р. </v>
      </c>
      <c r="C490" s="732">
        <f>'А П 3'!C959:G959</f>
        <v>0</v>
      </c>
      <c r="D490" s="732">
        <f>'А П 3'!D959:H959</f>
        <v>0</v>
      </c>
      <c r="E490" s="732">
        <f>'А П 3'!E959:I959</f>
        <v>0</v>
      </c>
      <c r="F490" s="743" t="str">
        <f>'А П 3'!F959:J959</f>
        <v>Итого</v>
      </c>
      <c r="G490" s="738">
        <f>'А П 3'!G959:K959</f>
        <v>17348.650000000001</v>
      </c>
      <c r="H490" s="739">
        <f>'А П 3'!H959:L959</f>
        <v>17348.650000000001</v>
      </c>
      <c r="I490" s="739">
        <f>'А П 3'!I959:M959</f>
        <v>0</v>
      </c>
      <c r="J490" s="739">
        <f>'А П 3'!J959:N959</f>
        <v>0</v>
      </c>
      <c r="K490" s="739">
        <f>'А П 3'!K959:O959</f>
        <v>0</v>
      </c>
      <c r="L490" s="739">
        <f>'А П 3'!L959:P959</f>
        <v>0</v>
      </c>
      <c r="M490" s="739"/>
      <c r="N490" s="739"/>
      <c r="O490" s="739"/>
      <c r="P490" s="739"/>
      <c r="Q490" s="739"/>
      <c r="R490" s="739"/>
      <c r="S490" s="739"/>
    </row>
    <row r="491" spans="1:19" ht="31.5" hidden="1" customHeight="1" x14ac:dyDescent="0.3">
      <c r="A491" s="732">
        <f>'А П 3'!A960:E960</f>
        <v>0</v>
      </c>
      <c r="B491" s="733">
        <f>'А П 3'!B960:F960</f>
        <v>0</v>
      </c>
      <c r="C491" s="732">
        <f>'А П 3'!C960:G960</f>
        <v>0</v>
      </c>
      <c r="D491" s="732">
        <f>'А П 3'!D960:H960</f>
        <v>0</v>
      </c>
      <c r="E491" s="732">
        <f>'А П 3'!E960:I960</f>
        <v>0</v>
      </c>
      <c r="F491" s="743" t="str">
        <f>'А П 3'!F960:J960</f>
        <v>Средства бюджета Московской области</v>
      </c>
      <c r="G491" s="738">
        <f>'А П 3'!G960:K960</f>
        <v>16481.240000000002</v>
      </c>
      <c r="H491" s="739">
        <f>'А П 3'!H960:L960</f>
        <v>16481.240000000002</v>
      </c>
      <c r="I491" s="739">
        <f>'А П 3'!I960:M960</f>
        <v>0</v>
      </c>
      <c r="J491" s="739">
        <f>'А П 3'!J960:N960</f>
        <v>0</v>
      </c>
      <c r="K491" s="739">
        <f>'А П 3'!K960:O960</f>
        <v>0</v>
      </c>
      <c r="L491" s="739">
        <f>'А П 3'!L960:P960</f>
        <v>0</v>
      </c>
      <c r="M491" s="739"/>
      <c r="N491" s="739"/>
      <c r="O491" s="739"/>
      <c r="P491" s="739"/>
      <c r="Q491" s="739"/>
      <c r="R491" s="739"/>
      <c r="S491" s="739"/>
    </row>
    <row r="492" spans="1:19" ht="31.5" hidden="1" customHeight="1" x14ac:dyDescent="0.3">
      <c r="A492" s="732">
        <f>'А П 3'!A961:E961</f>
        <v>0</v>
      </c>
      <c r="B492" s="733">
        <f>'А П 3'!B961:F961</f>
        <v>0</v>
      </c>
      <c r="C492" s="732">
        <f>'А П 3'!C961:G961</f>
        <v>0</v>
      </c>
      <c r="D492" s="732">
        <f>'А П 3'!D961:H961</f>
        <v>0</v>
      </c>
      <c r="E492" s="732">
        <f>'А П 3'!E961:I961</f>
        <v>0</v>
      </c>
      <c r="F492" s="743" t="str">
        <f>'А П 3'!F961:J961</f>
        <v>Средства бюджетов муниципальных образований Московской области</v>
      </c>
      <c r="G492" s="738">
        <f>'А П 3'!G961:K961</f>
        <v>867.41</v>
      </c>
      <c r="H492" s="739">
        <f>'А П 3'!H961:L961</f>
        <v>867.41</v>
      </c>
      <c r="I492" s="739">
        <f>'А П 3'!I961:M961</f>
        <v>0</v>
      </c>
      <c r="J492" s="739">
        <f>'А П 3'!J961:N961</f>
        <v>0</v>
      </c>
      <c r="K492" s="739">
        <f>'А П 3'!K961:O961</f>
        <v>0</v>
      </c>
      <c r="L492" s="739">
        <f>'А П 3'!L961:P961</f>
        <v>0</v>
      </c>
      <c r="M492" s="739"/>
      <c r="N492" s="739"/>
      <c r="O492" s="739"/>
      <c r="P492" s="739"/>
      <c r="Q492" s="739"/>
      <c r="R492" s="739"/>
      <c r="S492" s="739"/>
    </row>
    <row r="493" spans="1:19" s="750" customFormat="1" ht="31.5" customHeight="1" x14ac:dyDescent="0.3">
      <c r="A493" s="745">
        <f>'А П 3'!A962:E962</f>
        <v>0</v>
      </c>
      <c r="B493" s="746" t="str">
        <f>'А П 3'!B962:F962</f>
        <v>городское поселение Монино Щелковского муниципального района</v>
      </c>
      <c r="C493" s="745">
        <f>'А П 3'!C962:G962</f>
        <v>0</v>
      </c>
      <c r="D493" s="745">
        <f>'А П 3'!D962:H962</f>
        <v>0</v>
      </c>
      <c r="E493" s="745">
        <f>'А П 3'!E962:I962</f>
        <v>0</v>
      </c>
      <c r="F493" s="747" t="str">
        <f>'А П 3'!F962:J962</f>
        <v>Итого</v>
      </c>
      <c r="G493" s="748">
        <f>'А П 3'!G962:K962</f>
        <v>19530.89</v>
      </c>
      <c r="H493" s="749">
        <f>'А П 3'!H962:L962</f>
        <v>19530.89</v>
      </c>
      <c r="I493" s="749">
        <f>'А П 3'!I962:M962</f>
        <v>0</v>
      </c>
      <c r="J493" s="749">
        <f>'А П 3'!J962:N962</f>
        <v>0</v>
      </c>
      <c r="K493" s="749">
        <f>'А П 3'!K962:O962</f>
        <v>0</v>
      </c>
      <c r="L493" s="749">
        <f>'А П 3'!L962:P962</f>
        <v>0</v>
      </c>
      <c r="M493" s="749"/>
      <c r="N493" s="749"/>
      <c r="O493" s="749"/>
      <c r="P493" s="749"/>
      <c r="Q493" s="749"/>
      <c r="R493" s="749"/>
      <c r="S493" s="749"/>
    </row>
    <row r="494" spans="1:19" ht="31.5" customHeight="1" x14ac:dyDescent="0.3">
      <c r="A494" s="732"/>
      <c r="B494" s="733"/>
      <c r="C494" s="732">
        <f>'А П 3'!C963:G963</f>
        <v>0</v>
      </c>
      <c r="D494" s="732">
        <f>'А П 3'!D963:H963</f>
        <v>0</v>
      </c>
      <c r="E494" s="732">
        <f>'А П 3'!E963:I963</f>
        <v>0</v>
      </c>
      <c r="F494" s="743" t="str">
        <f>'А П 3'!F963:J963</f>
        <v>Средства бюджета Московской области</v>
      </c>
      <c r="G494" s="738">
        <f>'А П 3'!G963:K963</f>
        <v>18554.330000000002</v>
      </c>
      <c r="H494" s="739">
        <f>'А П 3'!H963:L963</f>
        <v>18554.330000000002</v>
      </c>
      <c r="I494" s="739">
        <f>'А П 3'!I963:M963</f>
        <v>0</v>
      </c>
      <c r="J494" s="739">
        <f>'А П 3'!J963:N963</f>
        <v>0</v>
      </c>
      <c r="K494" s="739">
        <f>'А П 3'!K963:O963</f>
        <v>0</v>
      </c>
      <c r="L494" s="739">
        <f>'А П 3'!L963:P963</f>
        <v>0</v>
      </c>
      <c r="M494" s="739"/>
      <c r="N494" s="739"/>
      <c r="O494" s="739"/>
      <c r="P494" s="739"/>
      <c r="Q494" s="739"/>
      <c r="R494" s="739"/>
      <c r="S494" s="739"/>
    </row>
    <row r="495" spans="1:19" ht="31.5" customHeight="1" x14ac:dyDescent="0.3">
      <c r="A495" s="732"/>
      <c r="B495" s="733"/>
      <c r="C495" s="732">
        <f>'А П 3'!C964:G964</f>
        <v>0</v>
      </c>
      <c r="D495" s="732">
        <f>'А П 3'!D964:H964</f>
        <v>0</v>
      </c>
      <c r="E495" s="732">
        <f>'А П 3'!E964:I964</f>
        <v>0</v>
      </c>
      <c r="F495" s="743" t="str">
        <f>'А П 3'!F964:J964</f>
        <v>Средства бюджетов муниципальных образований Московской области</v>
      </c>
      <c r="G495" s="738">
        <f>'А П 3'!G964:K964</f>
        <v>976.56</v>
      </c>
      <c r="H495" s="739">
        <f>'А П 3'!H964:L964</f>
        <v>976.56</v>
      </c>
      <c r="I495" s="739">
        <f>'А П 3'!I964:M964</f>
        <v>0</v>
      </c>
      <c r="J495" s="739">
        <f>'А П 3'!J964:N964</f>
        <v>0</v>
      </c>
      <c r="K495" s="739">
        <f>'А П 3'!K964:O964</f>
        <v>0</v>
      </c>
      <c r="L495" s="739">
        <f>'А П 3'!L964:P964</f>
        <v>0</v>
      </c>
      <c r="M495" s="739"/>
      <c r="N495" s="739"/>
      <c r="O495" s="739"/>
      <c r="P495" s="739"/>
      <c r="Q495" s="739"/>
      <c r="R495" s="739"/>
      <c r="S495" s="739"/>
    </row>
    <row r="496" spans="1:19" ht="43.2" hidden="1" x14ac:dyDescent="0.3">
      <c r="A496" s="732">
        <f>'А П 3'!A965:E965</f>
        <v>0</v>
      </c>
      <c r="B496" s="733" t="str">
        <f>'А П 3'!B965:F965</f>
        <v xml:space="preserve">Капитальный реомнт  линий наружного освещения г.п. Монино  Щелковский м.р.  в/г № 21/1 </v>
      </c>
      <c r="C496" s="732">
        <f>'А П 3'!C965:G965</f>
        <v>0</v>
      </c>
      <c r="D496" s="732">
        <f>'А П 3'!D965:H965</f>
        <v>0</v>
      </c>
      <c r="E496" s="732">
        <f>'А П 3'!E965:I965</f>
        <v>0</v>
      </c>
      <c r="F496" s="743" t="str">
        <f>'А П 3'!F965:J965</f>
        <v>Итого</v>
      </c>
      <c r="G496" s="738">
        <f>'А П 3'!G965:K965</f>
        <v>19530.89</v>
      </c>
      <c r="H496" s="739">
        <f>'А П 3'!H965:L965</f>
        <v>19530.89</v>
      </c>
      <c r="I496" s="739">
        <f>'А П 3'!I965:M965</f>
        <v>0</v>
      </c>
      <c r="J496" s="739">
        <f>'А П 3'!J965:N965</f>
        <v>0</v>
      </c>
      <c r="K496" s="739">
        <f>'А П 3'!K965:O965</f>
        <v>0</v>
      </c>
      <c r="L496" s="739">
        <f>'А П 3'!L965:P965</f>
        <v>0</v>
      </c>
      <c r="M496" s="739"/>
      <c r="N496" s="739"/>
      <c r="O496" s="739"/>
      <c r="P496" s="739"/>
      <c r="Q496" s="739"/>
      <c r="R496" s="739"/>
      <c r="S496" s="739"/>
    </row>
    <row r="497" spans="1:19" ht="57.6" hidden="1" x14ac:dyDescent="0.3">
      <c r="A497" s="732">
        <f>'А П 3'!A966:E966</f>
        <v>0</v>
      </c>
      <c r="B497" s="733">
        <f>'А П 3'!B966:F966</f>
        <v>0</v>
      </c>
      <c r="C497" s="732">
        <f>'А П 3'!C966:G966</f>
        <v>0</v>
      </c>
      <c r="D497" s="732">
        <f>'А П 3'!D966:H966</f>
        <v>0</v>
      </c>
      <c r="E497" s="732">
        <f>'А П 3'!E966:I966</f>
        <v>0</v>
      </c>
      <c r="F497" s="743" t="str">
        <f>'А П 3'!F966:J966</f>
        <v>Средства бюджета Московской области</v>
      </c>
      <c r="G497" s="738">
        <f>'А П 3'!G966:K966</f>
        <v>18554.330000000002</v>
      </c>
      <c r="H497" s="739">
        <f>'А П 3'!H966:L966</f>
        <v>18554.330000000002</v>
      </c>
      <c r="I497" s="739">
        <f>'А П 3'!I966:M966</f>
        <v>0</v>
      </c>
      <c r="J497" s="739">
        <f>'А П 3'!J966:N966</f>
        <v>0</v>
      </c>
      <c r="K497" s="739">
        <f>'А П 3'!K966:O966</f>
        <v>0</v>
      </c>
      <c r="L497" s="739">
        <f>'А П 3'!L966:P966</f>
        <v>0</v>
      </c>
      <c r="M497" s="739"/>
      <c r="N497" s="739"/>
      <c r="O497" s="739"/>
      <c r="P497" s="739"/>
      <c r="Q497" s="739"/>
      <c r="R497" s="739"/>
      <c r="S497" s="739"/>
    </row>
    <row r="498" spans="1:19" ht="86.4" hidden="1" x14ac:dyDescent="0.3">
      <c r="A498" s="732">
        <f>'А П 3'!A967:E967</f>
        <v>0</v>
      </c>
      <c r="B498" s="733">
        <f>'А П 3'!B967:F967</f>
        <v>0</v>
      </c>
      <c r="C498" s="732">
        <f>'А П 3'!C967:G967</f>
        <v>0</v>
      </c>
      <c r="D498" s="732">
        <f>'А П 3'!D967:H967</f>
        <v>0</v>
      </c>
      <c r="E498" s="732">
        <f>'А П 3'!E967:I967</f>
        <v>0</v>
      </c>
      <c r="F498" s="743" t="str">
        <f>'А П 3'!F967:J967</f>
        <v>Средства бюджетов муниципальных образований Московской области</v>
      </c>
      <c r="G498" s="738">
        <f>'А П 3'!G967:K967</f>
        <v>976.56</v>
      </c>
      <c r="H498" s="739">
        <f>'А П 3'!H967:L967</f>
        <v>976.56</v>
      </c>
      <c r="I498" s="739">
        <f>'А П 3'!I967:M967</f>
        <v>0</v>
      </c>
      <c r="J498" s="739">
        <f>'А П 3'!J967:N967</f>
        <v>0</v>
      </c>
      <c r="K498" s="739">
        <f>'А П 3'!K967:O967</f>
        <v>0</v>
      </c>
      <c r="L498" s="739">
        <f>'А П 3'!L967:P967</f>
        <v>0</v>
      </c>
      <c r="M498" s="739"/>
      <c r="N498" s="739"/>
      <c r="O498" s="739"/>
      <c r="P498" s="739"/>
      <c r="Q498" s="739"/>
      <c r="R498" s="739"/>
      <c r="S498" s="739"/>
    </row>
    <row r="499" spans="1:19" hidden="1" x14ac:dyDescent="0.3">
      <c r="A499" s="732"/>
      <c r="B499" s="733"/>
      <c r="C499" s="732"/>
      <c r="D499" s="732"/>
      <c r="E499" s="732"/>
      <c r="F499" s="743"/>
      <c r="G499" s="738"/>
      <c r="H499" s="739"/>
      <c r="I499" s="739"/>
      <c r="J499" s="739"/>
      <c r="K499" s="739"/>
      <c r="L499" s="739"/>
      <c r="M499" s="739"/>
      <c r="N499" s="739"/>
      <c r="O499" s="739"/>
      <c r="P499" s="739"/>
      <c r="Q499" s="739"/>
      <c r="R499" s="739"/>
      <c r="S499" s="739"/>
    </row>
    <row r="500" spans="1:19" x14ac:dyDescent="0.3">
      <c r="A500" s="732"/>
      <c r="B500" s="733"/>
      <c r="C500" s="732"/>
      <c r="D500" s="732"/>
      <c r="E500" s="732"/>
      <c r="F500" s="743"/>
      <c r="G500" s="738"/>
      <c r="H500" s="739"/>
      <c r="I500" s="739"/>
      <c r="J500" s="739"/>
      <c r="K500" s="739"/>
      <c r="L500" s="739"/>
      <c r="M500" s="739"/>
      <c r="N500" s="739"/>
      <c r="O500" s="739"/>
      <c r="P500" s="739"/>
      <c r="Q500" s="739"/>
      <c r="R500" s="739"/>
      <c r="S500" s="739"/>
    </row>
    <row r="501" spans="1:19" ht="36" customHeight="1" x14ac:dyDescent="0.3">
      <c r="A501" s="2521" t="str">
        <f>'А П 3'!A984:E984</f>
        <v xml:space="preserve">Укрепление материально-технической базы учреждений здравоохранения, расположенных на территории военных городков </v>
      </c>
      <c r="B501" s="2522"/>
      <c r="C501" s="2522"/>
      <c r="D501" s="2522"/>
      <c r="E501" s="2522"/>
      <c r="F501" s="2522"/>
      <c r="G501" s="2522"/>
      <c r="H501" s="2522"/>
      <c r="I501" s="2523"/>
      <c r="J501" s="739"/>
      <c r="K501" s="739"/>
      <c r="L501" s="739"/>
      <c r="M501" s="739"/>
      <c r="N501" s="739"/>
      <c r="O501" s="739"/>
      <c r="P501" s="739"/>
      <c r="Q501" s="739"/>
      <c r="R501" s="739"/>
      <c r="S501" s="739"/>
    </row>
    <row r="502" spans="1:19" s="729" customFormat="1" ht="24.75" customHeight="1" x14ac:dyDescent="0.3">
      <c r="A502" s="730"/>
      <c r="B502" s="731"/>
      <c r="C502" s="730">
        <f>'А П 3'!C985:G985</f>
        <v>0</v>
      </c>
      <c r="D502" s="730">
        <f>'А П 3'!D985:H985</f>
        <v>0</v>
      </c>
      <c r="E502" s="730">
        <f>'А П 3'!E985:I985</f>
        <v>0</v>
      </c>
      <c r="F502" s="742"/>
      <c r="G502" s="780" t="str">
        <f>'А П 3'!G985:K985</f>
        <v>итого</v>
      </c>
      <c r="H502" s="794">
        <f>'А П 3'!H985:L985</f>
        <v>2018</v>
      </c>
      <c r="I502" s="794">
        <f>'А П 3'!I985:M985</f>
        <v>2019</v>
      </c>
      <c r="J502" s="794">
        <f>'А П 3'!J985:N985</f>
        <v>2020</v>
      </c>
      <c r="K502" s="794">
        <f>'А П 3'!K985:O985</f>
        <v>2021</v>
      </c>
      <c r="L502" s="794">
        <f>'А П 3'!L985:P985</f>
        <v>2020</v>
      </c>
      <c r="M502" s="781"/>
      <c r="N502" s="781"/>
      <c r="O502" s="781"/>
      <c r="P502" s="781"/>
      <c r="Q502" s="781"/>
      <c r="R502" s="781"/>
      <c r="S502" s="781"/>
    </row>
    <row r="503" spans="1:19" s="779" customFormat="1" ht="31.5" customHeight="1" x14ac:dyDescent="0.3">
      <c r="A503" s="782" t="str">
        <f>'А П 3'!A986:E986</f>
        <v>3.2</v>
      </c>
      <c r="B503" s="2514" t="str">
        <f>'А П 3'!B986:F986</f>
        <v>Министерство  здравоохраненияМосковской области</v>
      </c>
      <c r="C503" s="782">
        <f>'А П 3'!C986:G986</f>
        <v>0</v>
      </c>
      <c r="D503" s="782">
        <f>'А П 3'!D986:H986</f>
        <v>0</v>
      </c>
      <c r="E503" s="782">
        <f>'А П 3'!E986:I986</f>
        <v>0</v>
      </c>
      <c r="F503" s="783" t="str">
        <f>'А П 3'!F986:J986</f>
        <v>Итого</v>
      </c>
      <c r="G503" s="784">
        <f>'А П 3'!G986:K986</f>
        <v>284690</v>
      </c>
      <c r="H503" s="785">
        <f>'А П 3'!H986:L986</f>
        <v>221536</v>
      </c>
      <c r="I503" s="785">
        <f>'А П 3'!I986:M986</f>
        <v>63154</v>
      </c>
      <c r="J503" s="785">
        <f>'А П 3'!J986:N986</f>
        <v>0</v>
      </c>
      <c r="K503" s="785">
        <f>'А П 3'!K986:O986</f>
        <v>0</v>
      </c>
      <c r="L503" s="785">
        <f>'А П 3'!L986:P986</f>
        <v>0</v>
      </c>
      <c r="M503" s="778"/>
      <c r="N503" s="778"/>
      <c r="O503" s="778"/>
      <c r="P503" s="778"/>
      <c r="Q503" s="778"/>
      <c r="R503" s="778"/>
      <c r="S503" s="778"/>
    </row>
    <row r="504" spans="1:19" ht="31.5" customHeight="1" x14ac:dyDescent="0.3">
      <c r="A504" s="789"/>
      <c r="B504" s="2515"/>
      <c r="C504" s="789">
        <f>'А П 3'!C987:G987</f>
        <v>0</v>
      </c>
      <c r="D504" s="789">
        <f>'А П 3'!D987:H987</f>
        <v>0</v>
      </c>
      <c r="E504" s="789">
        <f>'А П 3'!E987:I987</f>
        <v>0</v>
      </c>
      <c r="F504" s="790" t="str">
        <f>'А П 3'!F987:J987</f>
        <v>Средства бюджета Московской области</v>
      </c>
      <c r="G504" s="791">
        <f>'А П 3'!G987:K987</f>
        <v>284690</v>
      </c>
      <c r="H504" s="792">
        <f>'А П 3'!H987:L987</f>
        <v>221536</v>
      </c>
      <c r="I504" s="792">
        <f>'А П 3'!I987:M987</f>
        <v>63154</v>
      </c>
      <c r="J504" s="792">
        <f>'А П 3'!J987:N987</f>
        <v>0</v>
      </c>
      <c r="K504" s="792">
        <f>'А П 3'!K987:O987</f>
        <v>0</v>
      </c>
      <c r="L504" s="792">
        <f>'А П 3'!L987:P987</f>
        <v>0</v>
      </c>
      <c r="M504" s="739"/>
      <c r="N504" s="739"/>
      <c r="O504" s="739"/>
      <c r="P504" s="739"/>
      <c r="Q504" s="739"/>
      <c r="R504" s="739"/>
      <c r="S504" s="739"/>
    </row>
    <row r="505" spans="1:19" ht="31.5" customHeight="1" x14ac:dyDescent="0.3">
      <c r="A505" s="789"/>
      <c r="B505" s="2516"/>
      <c r="C505" s="789">
        <f>'А П 3'!C988:G988</f>
        <v>0</v>
      </c>
      <c r="D505" s="789">
        <f>'А П 3'!D988:H988</f>
        <v>0</v>
      </c>
      <c r="E505" s="789">
        <f>'А П 3'!E988:I988</f>
        <v>0</v>
      </c>
      <c r="F505" s="790" t="str">
        <f>'А П 3'!F988:J988</f>
        <v>Средства бюджетов муниципальных образований Московской области</v>
      </c>
      <c r="G505" s="791">
        <f>'А П 3'!G988:K988</f>
        <v>0</v>
      </c>
      <c r="H505" s="792">
        <f>'А П 3'!H988:L988</f>
        <v>0</v>
      </c>
      <c r="I505" s="792">
        <f>'А П 3'!I988:M988</f>
        <v>0</v>
      </c>
      <c r="J505" s="792">
        <f>'А П 3'!J988:N988</f>
        <v>0</v>
      </c>
      <c r="K505" s="792">
        <f>'А П 3'!K988:O988</f>
        <v>0</v>
      </c>
      <c r="L505" s="792">
        <f>'А П 3'!L988:P988</f>
        <v>0</v>
      </c>
      <c r="M505" s="739"/>
      <c r="N505" s="739"/>
      <c r="O505" s="739"/>
      <c r="P505" s="739"/>
      <c r="Q505" s="739"/>
      <c r="R505" s="739"/>
      <c r="S505" s="739"/>
    </row>
    <row r="506" spans="1:19" s="750" customFormat="1" ht="31.5" customHeight="1" x14ac:dyDescent="0.3">
      <c r="A506" s="745" t="str">
        <f>'А П 3'!A989:E989</f>
        <v>3.2.1</v>
      </c>
      <c r="B506" s="746" t="str">
        <f>'А П 3'!B989:F989</f>
        <v>Одинцовский мунинципальный район</v>
      </c>
      <c r="C506" s="745">
        <f>'А П 3'!C989:G989</f>
        <v>0</v>
      </c>
      <c r="D506" s="745">
        <f>'А П 3'!D989:H989</f>
        <v>0</v>
      </c>
      <c r="E506" s="745">
        <f>'А П 3'!E989:I989</f>
        <v>0</v>
      </c>
      <c r="F506" s="747" t="str">
        <f>'А П 3'!F989:J989</f>
        <v>Итого</v>
      </c>
      <c r="G506" s="748">
        <f>'А П 3'!G989:K989</f>
        <v>39000</v>
      </c>
      <c r="H506" s="749">
        <f>'А П 3'!H989:L989</f>
        <v>39000</v>
      </c>
      <c r="I506" s="749">
        <f>'А П 3'!I989:M989</f>
        <v>0</v>
      </c>
      <c r="J506" s="749">
        <f>'А П 3'!J989:N989</f>
        <v>0</v>
      </c>
      <c r="K506" s="749">
        <f>'А П 3'!K989:O989</f>
        <v>0</v>
      </c>
      <c r="L506" s="749">
        <f>'А П 3'!L989:P989</f>
        <v>0</v>
      </c>
      <c r="M506" s="749"/>
      <c r="N506" s="749"/>
      <c r="O506" s="749"/>
      <c r="P506" s="749"/>
      <c r="Q506" s="749"/>
      <c r="R506" s="749"/>
      <c r="S506" s="749"/>
    </row>
    <row r="507" spans="1:19" ht="31.5" customHeight="1" x14ac:dyDescent="0.3">
      <c r="A507" s="732"/>
      <c r="B507" s="733"/>
      <c r="C507" s="732">
        <f>'А П 3'!C990:G990</f>
        <v>0</v>
      </c>
      <c r="D507" s="732">
        <f>'А П 3'!D990:H990</f>
        <v>0</v>
      </c>
      <c r="E507" s="732">
        <f>'А П 3'!E990:I990</f>
        <v>0</v>
      </c>
      <c r="F507" s="743" t="str">
        <f>'А П 3'!F990:J990</f>
        <v>Средства бюджета Московской области</v>
      </c>
      <c r="G507" s="738">
        <f>'А П 3'!G990:K990</f>
        <v>0</v>
      </c>
      <c r="H507" s="739">
        <f>'А П 3'!H990:L990</f>
        <v>39000</v>
      </c>
      <c r="I507" s="739">
        <f>'А П 3'!I990:M990</f>
        <v>0</v>
      </c>
      <c r="J507" s="739">
        <f>'А П 3'!J990:N990</f>
        <v>0</v>
      </c>
      <c r="K507" s="739">
        <f>'А П 3'!K990:O990</f>
        <v>0</v>
      </c>
      <c r="L507" s="739">
        <f>'А П 3'!L990:P990</f>
        <v>0</v>
      </c>
      <c r="M507" s="739"/>
      <c r="N507" s="739"/>
      <c r="O507" s="739"/>
      <c r="P507" s="739"/>
      <c r="Q507" s="739"/>
      <c r="R507" s="739"/>
      <c r="S507" s="739"/>
    </row>
    <row r="508" spans="1:19" ht="31.5" customHeight="1" x14ac:dyDescent="0.3">
      <c r="A508" s="732"/>
      <c r="B508" s="733"/>
      <c r="C508" s="732">
        <f>'А П 3'!C991:G991</f>
        <v>0</v>
      </c>
      <c r="D508" s="732">
        <f>'А П 3'!D991:H991</f>
        <v>0</v>
      </c>
      <c r="E508" s="732">
        <f>'А П 3'!E991:I991</f>
        <v>0</v>
      </c>
      <c r="F508" s="743" t="str">
        <f>'А П 3'!F991:J991</f>
        <v>Средства бюджетов муниципальных образований Московской области</v>
      </c>
      <c r="G508" s="738">
        <f>'А П 3'!G991:K991</f>
        <v>39000</v>
      </c>
      <c r="H508" s="739">
        <f>'А П 3'!H991:L991</f>
        <v>0</v>
      </c>
      <c r="I508" s="739">
        <f>'А П 3'!I991:M991</f>
        <v>0</v>
      </c>
      <c r="J508" s="739">
        <f>'А П 3'!J991:N991</f>
        <v>0</v>
      </c>
      <c r="K508" s="739">
        <f>'А П 3'!K991:O991</f>
        <v>0</v>
      </c>
      <c r="L508" s="739">
        <f>'А П 3'!L991:P991</f>
        <v>0</v>
      </c>
      <c r="M508" s="739"/>
      <c r="N508" s="739"/>
      <c r="O508" s="739"/>
      <c r="P508" s="739"/>
      <c r="Q508" s="739"/>
      <c r="R508" s="739"/>
      <c r="S508" s="739"/>
    </row>
    <row r="509" spans="1:19" ht="31.5" hidden="1" customHeight="1" x14ac:dyDescent="0.3">
      <c r="A509" s="732" t="str">
        <f>'А П 3'!A992:E992</f>
        <v>3.2.1.1</v>
      </c>
      <c r="B509" s="733" t="str">
        <f>'А П 3'!B992:F992</f>
        <v>Ремонт встроенно-пристроенного помещения,Одинцовский муниципальный район, г. Кубинка, ул. Армейская,
д. 16</v>
      </c>
      <c r="C509" s="732">
        <f>'А П 3'!C992:G992</f>
        <v>0</v>
      </c>
      <c r="D509" s="732">
        <f>'А П 3'!D992:H992</f>
        <v>0</v>
      </c>
      <c r="E509" s="732">
        <f>'А П 3'!E992:I992</f>
        <v>0</v>
      </c>
      <c r="F509" s="743" t="str">
        <f>'А П 3'!F992:J992</f>
        <v>Итого</v>
      </c>
      <c r="G509" s="738">
        <f>'А П 3'!G992:K992</f>
        <v>39000</v>
      </c>
      <c r="H509" s="739">
        <f>'А П 3'!H992:L992</f>
        <v>39000</v>
      </c>
      <c r="I509" s="739">
        <f>'А П 3'!I992:M992</f>
        <v>0</v>
      </c>
      <c r="J509" s="739">
        <f>'А П 3'!J992:N992</f>
        <v>0</v>
      </c>
      <c r="K509" s="739">
        <f>'А П 3'!K992:O992</f>
        <v>0</v>
      </c>
      <c r="L509" s="739">
        <f>'А П 3'!L992:P992</f>
        <v>0</v>
      </c>
      <c r="M509" s="739"/>
      <c r="N509" s="739"/>
      <c r="O509" s="739"/>
      <c r="P509" s="739"/>
      <c r="Q509" s="739"/>
      <c r="R509" s="739"/>
      <c r="S509" s="739"/>
    </row>
    <row r="510" spans="1:19" ht="31.5" hidden="1" customHeight="1" x14ac:dyDescent="0.3">
      <c r="A510" s="732">
        <f>'А П 3'!A993:E993</f>
        <v>0</v>
      </c>
      <c r="B510" s="733">
        <f>'А П 3'!B993:F993</f>
        <v>0</v>
      </c>
      <c r="C510" s="732">
        <f>'А П 3'!C993:G993</f>
        <v>0</v>
      </c>
      <c r="D510" s="732">
        <f>'А П 3'!D993:H993</f>
        <v>0</v>
      </c>
      <c r="E510" s="732">
        <f>'А П 3'!E993:I993</f>
        <v>0</v>
      </c>
      <c r="F510" s="743" t="str">
        <f>'А П 3'!F993:J993</f>
        <v>Средства бюджета Московской области</v>
      </c>
      <c r="G510" s="738">
        <f>'А П 3'!G993:K993</f>
        <v>39000</v>
      </c>
      <c r="H510" s="739">
        <f>'А П 3'!H993:L993</f>
        <v>39000</v>
      </c>
      <c r="I510" s="739">
        <f>'А П 3'!I993:M993</f>
        <v>0</v>
      </c>
      <c r="J510" s="739">
        <f>'А П 3'!J993:N993</f>
        <v>0</v>
      </c>
      <c r="K510" s="739">
        <f>'А П 3'!K993:O993</f>
        <v>0</v>
      </c>
      <c r="L510" s="739">
        <f>'А П 3'!L993:P993</f>
        <v>0</v>
      </c>
      <c r="M510" s="739"/>
      <c r="N510" s="739"/>
      <c r="O510" s="739"/>
      <c r="P510" s="739"/>
      <c r="Q510" s="739"/>
      <c r="R510" s="739"/>
      <c r="S510" s="739"/>
    </row>
    <row r="511" spans="1:19" ht="31.5" hidden="1" customHeight="1" x14ac:dyDescent="0.3">
      <c r="A511" s="732">
        <f>'А П 3'!A994:E994</f>
        <v>0</v>
      </c>
      <c r="B511" s="733">
        <f>'А П 3'!B994:F994</f>
        <v>0</v>
      </c>
      <c r="C511" s="732">
        <f>'А П 3'!C994:G994</f>
        <v>0</v>
      </c>
      <c r="D511" s="732">
        <f>'А П 3'!D994:H994</f>
        <v>0</v>
      </c>
      <c r="E511" s="732">
        <f>'А П 3'!E994:I994</f>
        <v>0</v>
      </c>
      <c r="F511" s="743" t="str">
        <f>'А П 3'!F994:J994</f>
        <v>Средства бюджетов муниципальных образований Московской области</v>
      </c>
      <c r="G511" s="738">
        <f>'А П 3'!G994:K994</f>
        <v>0</v>
      </c>
      <c r="H511" s="739">
        <f>'А П 3'!H994:L994</f>
        <v>0</v>
      </c>
      <c r="I511" s="739">
        <f>'А П 3'!I994:M994</f>
        <v>0</v>
      </c>
      <c r="J511" s="739">
        <f>'А П 3'!J994:N994</f>
        <v>0</v>
      </c>
      <c r="K511" s="739">
        <f>'А П 3'!K994:O994</f>
        <v>0</v>
      </c>
      <c r="L511" s="739">
        <f>'А П 3'!L994:P994</f>
        <v>0</v>
      </c>
      <c r="M511" s="739"/>
      <c r="N511" s="739"/>
      <c r="O511" s="739"/>
      <c r="P511" s="739"/>
      <c r="Q511" s="739"/>
      <c r="R511" s="739"/>
      <c r="S511" s="739"/>
    </row>
    <row r="512" spans="1:19" s="750" customFormat="1" ht="31.5" customHeight="1" x14ac:dyDescent="0.3">
      <c r="A512" s="745" t="str">
        <f>'А П 3'!A995:E995</f>
        <v>3.2.2</v>
      </c>
      <c r="B512" s="746" t="str">
        <f>'А П 3'!B995:F995</f>
        <v>Чеховский муниципальный район</v>
      </c>
      <c r="C512" s="745">
        <f>'А П 3'!C995:G995</f>
        <v>0</v>
      </c>
      <c r="D512" s="745">
        <f>'А П 3'!D995:H995</f>
        <v>0</v>
      </c>
      <c r="E512" s="745">
        <f>'А П 3'!E995:I995</f>
        <v>0</v>
      </c>
      <c r="F512" s="747" t="str">
        <f>'А П 3'!F995:J995</f>
        <v>Итого</v>
      </c>
      <c r="G512" s="748">
        <f>'А П 3'!G995:K995</f>
        <v>38798</v>
      </c>
      <c r="H512" s="749">
        <f>'А П 3'!H995:L995</f>
        <v>0</v>
      </c>
      <c r="I512" s="749">
        <f>'А П 3'!I995:M995</f>
        <v>0</v>
      </c>
      <c r="J512" s="749">
        <f>'А П 3'!J995:N995</f>
        <v>0</v>
      </c>
      <c r="K512" s="749">
        <f>'А П 3'!K995:O995</f>
        <v>0</v>
      </c>
      <c r="L512" s="749">
        <f>'А П 3'!L995:P995</f>
        <v>0</v>
      </c>
      <c r="M512" s="749"/>
      <c r="N512" s="749"/>
      <c r="O512" s="749"/>
      <c r="P512" s="749"/>
      <c r="Q512" s="749"/>
      <c r="R512" s="749"/>
      <c r="S512" s="749"/>
    </row>
    <row r="513" spans="1:19" ht="31.5" customHeight="1" x14ac:dyDescent="0.3">
      <c r="A513" s="732"/>
      <c r="B513" s="733"/>
      <c r="C513" s="732">
        <f>'А П 3'!C996:G996</f>
        <v>0</v>
      </c>
      <c r="D513" s="732">
        <f>'А П 3'!D996:H996</f>
        <v>0</v>
      </c>
      <c r="E513" s="732">
        <f>'А П 3'!E996:I996</f>
        <v>0</v>
      </c>
      <c r="F513" s="743" t="str">
        <f>'А П 3'!F996:J996</f>
        <v>Средства бюджета Московской области</v>
      </c>
      <c r="G513" s="738">
        <f>'А П 3'!G996:K996</f>
        <v>0</v>
      </c>
      <c r="H513" s="739">
        <f>'А П 3'!H996:L996</f>
        <v>38798</v>
      </c>
      <c r="I513" s="739">
        <f>'А П 3'!I996:M996</f>
        <v>0</v>
      </c>
      <c r="J513" s="739">
        <f>'А П 3'!J996:N996</f>
        <v>0</v>
      </c>
      <c r="K513" s="739">
        <f>'А П 3'!K996:O996</f>
        <v>0</v>
      </c>
      <c r="L513" s="739">
        <f>'А П 3'!L996:P996</f>
        <v>0</v>
      </c>
      <c r="M513" s="739"/>
      <c r="N513" s="739"/>
      <c r="O513" s="739"/>
      <c r="P513" s="739"/>
      <c r="Q513" s="739"/>
      <c r="R513" s="739"/>
      <c r="S513" s="739"/>
    </row>
    <row r="514" spans="1:19" ht="31.5" customHeight="1" x14ac:dyDescent="0.3">
      <c r="A514" s="732"/>
      <c r="B514" s="733"/>
      <c r="C514" s="732">
        <f>'А П 3'!C997:G997</f>
        <v>0</v>
      </c>
      <c r="D514" s="732">
        <f>'А П 3'!D997:H997</f>
        <v>0</v>
      </c>
      <c r="E514" s="732">
        <f>'А П 3'!E997:I997</f>
        <v>0</v>
      </c>
      <c r="F514" s="743" t="str">
        <f>'А П 3'!F997:J997</f>
        <v>Средства бюджетов муниципальных образований Московской области</v>
      </c>
      <c r="G514" s="738">
        <f>'А П 3'!G997:K997</f>
        <v>38798</v>
      </c>
      <c r="H514" s="739">
        <f>'А П 3'!H997:L997</f>
        <v>0</v>
      </c>
      <c r="I514" s="739">
        <f>'А П 3'!I997:M997</f>
        <v>0</v>
      </c>
      <c r="J514" s="739">
        <f>'А П 3'!J997:N997</f>
        <v>0</v>
      </c>
      <c r="K514" s="739">
        <f>'А П 3'!K997:O997</f>
        <v>0</v>
      </c>
      <c r="L514" s="739">
        <f>'А П 3'!L997:P997</f>
        <v>0</v>
      </c>
      <c r="M514" s="739"/>
      <c r="N514" s="739"/>
      <c r="O514" s="739"/>
      <c r="P514" s="739"/>
      <c r="Q514" s="739"/>
      <c r="R514" s="739"/>
      <c r="S514" s="739"/>
    </row>
    <row r="515" spans="1:19" ht="31.5" hidden="1" customHeight="1" x14ac:dyDescent="0.3">
      <c r="A515" s="732" t="str">
        <f>'А П 3'!A998:E998</f>
        <v>3.2.2.1</v>
      </c>
      <c r="B515" s="733" t="str">
        <f>'А П 3'!B998:F998</f>
        <v>Капитальный ремонт здания административно-лечебного отделения госпиталя по адресу: Московская область, г.Чехов-4, ул. Гагарина, участок 37</v>
      </c>
      <c r="C515" s="732">
        <f>'А П 3'!C998:G998</f>
        <v>0</v>
      </c>
      <c r="D515" s="732">
        <f>'А П 3'!D998:H998</f>
        <v>0</v>
      </c>
      <c r="E515" s="732">
        <f>'А П 3'!E998:I998</f>
        <v>0</v>
      </c>
      <c r="F515" s="743" t="str">
        <f>'А П 3'!F998:J998</f>
        <v>Итого</v>
      </c>
      <c r="G515" s="738">
        <f>'А П 3'!G998:K998</f>
        <v>38798</v>
      </c>
      <c r="H515" s="739">
        <f>'А П 3'!H998:L998</f>
        <v>38798</v>
      </c>
      <c r="I515" s="739">
        <f>'А П 3'!I998:M998</f>
        <v>0</v>
      </c>
      <c r="J515" s="739">
        <f>'А П 3'!J998:N998</f>
        <v>0</v>
      </c>
      <c r="K515" s="739">
        <f>'А П 3'!K998:O998</f>
        <v>0</v>
      </c>
      <c r="L515" s="739">
        <f>'А П 3'!L998:P998</f>
        <v>0</v>
      </c>
      <c r="M515" s="739"/>
      <c r="N515" s="739"/>
      <c r="O515" s="739"/>
      <c r="P515" s="739"/>
      <c r="Q515" s="739"/>
      <c r="R515" s="739"/>
      <c r="S515" s="739"/>
    </row>
    <row r="516" spans="1:19" ht="31.5" hidden="1" customHeight="1" x14ac:dyDescent="0.3">
      <c r="A516" s="732">
        <f>'А П 3'!A999:E999</f>
        <v>0</v>
      </c>
      <c r="B516" s="733">
        <f>'А П 3'!B999:F999</f>
        <v>0</v>
      </c>
      <c r="C516" s="732">
        <f>'А П 3'!C999:G999</f>
        <v>0</v>
      </c>
      <c r="D516" s="732">
        <f>'А П 3'!D999:H999</f>
        <v>0</v>
      </c>
      <c r="E516" s="732">
        <f>'А П 3'!E999:I999</f>
        <v>0</v>
      </c>
      <c r="F516" s="743" t="str">
        <f>'А П 3'!F999:J999</f>
        <v>Средства бюджета Московской области</v>
      </c>
      <c r="G516" s="738">
        <f>'А П 3'!G999:K999</f>
        <v>38798</v>
      </c>
      <c r="H516" s="739">
        <f>'А П 3'!H999:L999</f>
        <v>38798</v>
      </c>
      <c r="I516" s="739">
        <f>'А П 3'!I999:M999</f>
        <v>0</v>
      </c>
      <c r="J516" s="739">
        <f>'А П 3'!J999:N999</f>
        <v>0</v>
      </c>
      <c r="K516" s="739">
        <f>'А П 3'!K999:O999</f>
        <v>0</v>
      </c>
      <c r="L516" s="739">
        <f>'А П 3'!L999:P999</f>
        <v>0</v>
      </c>
      <c r="M516" s="739"/>
      <c r="N516" s="739"/>
      <c r="O516" s="739"/>
      <c r="P516" s="739"/>
      <c r="Q516" s="739"/>
      <c r="R516" s="739"/>
      <c r="S516" s="739"/>
    </row>
    <row r="517" spans="1:19" ht="31.5" hidden="1" customHeight="1" x14ac:dyDescent="0.3">
      <c r="A517" s="732">
        <f>'А П 3'!A1000:E1000</f>
        <v>0</v>
      </c>
      <c r="B517" s="733">
        <f>'А П 3'!B1000:F1000</f>
        <v>0</v>
      </c>
      <c r="C517" s="732">
        <f>'А П 3'!C1000:G1000</f>
        <v>0</v>
      </c>
      <c r="D517" s="732">
        <f>'А П 3'!D1000:H1000</f>
        <v>0</v>
      </c>
      <c r="E517" s="732">
        <f>'А П 3'!E1000:I1000</f>
        <v>0</v>
      </c>
      <c r="F517" s="743" t="str">
        <f>'А П 3'!F1000:J1000</f>
        <v>Средства бюджетов муниципальных образований Московской области</v>
      </c>
      <c r="G517" s="738">
        <f>'А П 3'!G1000:K1000</f>
        <v>0</v>
      </c>
      <c r="H517" s="739">
        <f>'А П 3'!H1000:L1000</f>
        <v>0</v>
      </c>
      <c r="I517" s="739">
        <f>'А П 3'!I1000:M1000</f>
        <v>0</v>
      </c>
      <c r="J517" s="739">
        <f>'А П 3'!J1000:N1000</f>
        <v>0</v>
      </c>
      <c r="K517" s="739">
        <f>'А П 3'!K1000:O1000</f>
        <v>0</v>
      </c>
      <c r="L517" s="739">
        <f>'А П 3'!L1000:P1000</f>
        <v>0</v>
      </c>
      <c r="M517" s="739"/>
      <c r="N517" s="739"/>
      <c r="O517" s="739"/>
      <c r="P517" s="739"/>
      <c r="Q517" s="739"/>
      <c r="R517" s="739"/>
      <c r="S517" s="739"/>
    </row>
    <row r="518" spans="1:19" s="750" customFormat="1" ht="31.5" customHeight="1" x14ac:dyDescent="0.3">
      <c r="A518" s="745" t="str">
        <f>'А П 3'!A1001:E1001</f>
        <v>3.2.3</v>
      </c>
      <c r="B518" s="746" t="str">
        <f>'А П 3'!B1001:F1001</f>
        <v>сельское поселение Медвежье-Озёрское Щелковский муниципальный район</v>
      </c>
      <c r="C518" s="745">
        <f>'А П 3'!C1001:G1001</f>
        <v>0</v>
      </c>
      <c r="D518" s="745">
        <f>'А П 3'!D1001:H1001</f>
        <v>0</v>
      </c>
      <c r="E518" s="745">
        <f>'А П 3'!E1001:I1001</f>
        <v>0</v>
      </c>
      <c r="F518" s="747" t="str">
        <f>'А П 3'!F1001:J1001</f>
        <v>Итого</v>
      </c>
      <c r="G518" s="748">
        <f>'А П 3'!G1001:K1001</f>
        <v>53733</v>
      </c>
      <c r="H518" s="749">
        <f>'А П 3'!H1001:L1001</f>
        <v>0</v>
      </c>
      <c r="I518" s="749">
        <f>'А П 3'!I1001:M1001</f>
        <v>53733</v>
      </c>
      <c r="J518" s="749">
        <f>'А П 3'!J1001:N1001</f>
        <v>0</v>
      </c>
      <c r="K518" s="749">
        <f>'А П 3'!K1001:O1001</f>
        <v>0</v>
      </c>
      <c r="L518" s="749">
        <f>'А П 3'!L1001:P1001</f>
        <v>0</v>
      </c>
      <c r="M518" s="749"/>
      <c r="N518" s="749"/>
      <c r="O518" s="749"/>
      <c r="P518" s="749"/>
      <c r="Q518" s="749"/>
      <c r="R518" s="749"/>
      <c r="S518" s="749"/>
    </row>
    <row r="519" spans="1:19" ht="31.5" customHeight="1" x14ac:dyDescent="0.3">
      <c r="A519" s="732"/>
      <c r="B519" s="733"/>
      <c r="C519" s="732">
        <f>'А П 3'!C1002:G1002</f>
        <v>0</v>
      </c>
      <c r="D519" s="732">
        <f>'А П 3'!D1002:H1002</f>
        <v>0</v>
      </c>
      <c r="E519" s="732">
        <f>'А П 3'!E1002:I1002</f>
        <v>0</v>
      </c>
      <c r="F519" s="743" t="str">
        <f>'А П 3'!F1002:J1002</f>
        <v>Средства бюджета Московской области</v>
      </c>
      <c r="G519" s="738">
        <f>'А П 3'!G1002:K1002</f>
        <v>53733</v>
      </c>
      <c r="H519" s="739">
        <f>'А П 3'!H1002:L1002</f>
        <v>0</v>
      </c>
      <c r="I519" s="739">
        <f>'А П 3'!I1002:M1002</f>
        <v>53733</v>
      </c>
      <c r="J519" s="739">
        <f>'А П 3'!J1002:N1002</f>
        <v>0</v>
      </c>
      <c r="K519" s="739">
        <f>'А П 3'!K1002:O1002</f>
        <v>0</v>
      </c>
      <c r="L519" s="739">
        <f>'А П 3'!L1002:P1002</f>
        <v>0</v>
      </c>
      <c r="M519" s="739"/>
      <c r="N519" s="739"/>
      <c r="O519" s="739"/>
      <c r="P519" s="739"/>
      <c r="Q519" s="739"/>
      <c r="R519" s="739"/>
      <c r="S519" s="739"/>
    </row>
    <row r="520" spans="1:19" ht="31.5" customHeight="1" x14ac:dyDescent="0.3">
      <c r="A520" s="732"/>
      <c r="B520" s="733"/>
      <c r="C520" s="732">
        <f>'А П 3'!C1003:G1003</f>
        <v>0</v>
      </c>
      <c r="D520" s="732">
        <f>'А П 3'!D1003:H1003</f>
        <v>0</v>
      </c>
      <c r="E520" s="732">
        <f>'А П 3'!E1003:I1003</f>
        <v>0</v>
      </c>
      <c r="F520" s="743" t="str">
        <f>'А П 3'!F1003:J1003</f>
        <v>Средства бюджетов муниципальных образований Московской области</v>
      </c>
      <c r="G520" s="738">
        <f>'А П 3'!G1003:K1003</f>
        <v>0</v>
      </c>
      <c r="H520" s="739">
        <f>'А П 3'!H1003:L1003</f>
        <v>0</v>
      </c>
      <c r="I520" s="739">
        <f>'А П 3'!I1003:M1003</f>
        <v>0</v>
      </c>
      <c r="J520" s="739">
        <f>'А П 3'!J1003:N1003</f>
        <v>0</v>
      </c>
      <c r="K520" s="739">
        <f>'А П 3'!K1003:O1003</f>
        <v>0</v>
      </c>
      <c r="L520" s="739">
        <f>'А П 3'!L1003:P1003</f>
        <v>0</v>
      </c>
      <c r="M520" s="739"/>
      <c r="N520" s="739"/>
      <c r="O520" s="739"/>
      <c r="P520" s="739"/>
      <c r="Q520" s="739"/>
      <c r="R520" s="739"/>
      <c r="S520" s="739"/>
    </row>
    <row r="521" spans="1:19" ht="31.5" hidden="1" customHeight="1" x14ac:dyDescent="0.3">
      <c r="A521" s="732" t="str">
        <f>'А П 3'!A1004:E1004</f>
        <v>3.2.3.1</v>
      </c>
      <c r="B521" s="733" t="str">
        <f>'А П 3'!B1004:F1004</f>
        <v>Капитальный ремонт, дооснащение медицинским оборудованием и мебелью санчасти №96, находящейся по адресу: Щёлковский муниципальный район сельское поселение Медвежье-Озерское, поселок Новый Городок, в/г 36</v>
      </c>
      <c r="C521" s="732">
        <f>'А П 3'!C1004:G1004</f>
        <v>0</v>
      </c>
      <c r="D521" s="732">
        <f>'А П 3'!D1004:H1004</f>
        <v>0</v>
      </c>
      <c r="E521" s="732">
        <f>'А П 3'!E1004:I1004</f>
        <v>0</v>
      </c>
      <c r="F521" s="743" t="str">
        <f>'А П 3'!F1004:J1004</f>
        <v>Итого</v>
      </c>
      <c r="G521" s="738">
        <f>'А П 3'!G1004:K1004</f>
        <v>53733</v>
      </c>
      <c r="H521" s="739">
        <f>'А П 3'!H1004:L1004</f>
        <v>0</v>
      </c>
      <c r="I521" s="739">
        <f>'А П 3'!I1004:M1004</f>
        <v>53733</v>
      </c>
      <c r="J521" s="739">
        <f>'А П 3'!J1004:N1004</f>
        <v>0</v>
      </c>
      <c r="K521" s="739">
        <f>'А П 3'!K1004:O1004</f>
        <v>0</v>
      </c>
      <c r="L521" s="739">
        <f>'А П 3'!L1004:P1004</f>
        <v>0</v>
      </c>
      <c r="M521" s="739"/>
      <c r="N521" s="739"/>
      <c r="O521" s="739"/>
      <c r="P521" s="739"/>
      <c r="Q521" s="739"/>
      <c r="R521" s="739"/>
      <c r="S521" s="739"/>
    </row>
    <row r="522" spans="1:19" ht="31.5" hidden="1" customHeight="1" x14ac:dyDescent="0.3">
      <c r="A522" s="732">
        <f>'А П 3'!A1005:E1005</f>
        <v>0</v>
      </c>
      <c r="B522" s="733">
        <f>'А П 3'!B1005:F1005</f>
        <v>0</v>
      </c>
      <c r="C522" s="732">
        <f>'А П 3'!C1005:G1005</f>
        <v>0</v>
      </c>
      <c r="D522" s="732">
        <f>'А П 3'!D1005:H1005</f>
        <v>0</v>
      </c>
      <c r="E522" s="732">
        <f>'А П 3'!E1005:I1005</f>
        <v>0</v>
      </c>
      <c r="F522" s="743" t="str">
        <f>'А П 3'!F1005:J1005</f>
        <v>Средства бюджета Московской области</v>
      </c>
      <c r="G522" s="738">
        <f>'А П 3'!G1005:K1005</f>
        <v>53733</v>
      </c>
      <c r="H522" s="739">
        <f>'А П 3'!H1005:L1005</f>
        <v>0</v>
      </c>
      <c r="I522" s="739">
        <f>'А П 3'!I1005:M1005</f>
        <v>53733</v>
      </c>
      <c r="J522" s="739">
        <f>'А П 3'!J1005:N1005</f>
        <v>0</v>
      </c>
      <c r="K522" s="739">
        <f>'А П 3'!K1005:O1005</f>
        <v>0</v>
      </c>
      <c r="L522" s="739">
        <f>'А П 3'!L1005:P1005</f>
        <v>0</v>
      </c>
      <c r="M522" s="739"/>
      <c r="N522" s="739"/>
      <c r="O522" s="739"/>
      <c r="P522" s="739"/>
      <c r="Q522" s="739"/>
      <c r="R522" s="739"/>
      <c r="S522" s="739"/>
    </row>
    <row r="523" spans="1:19" ht="31.5" hidden="1" customHeight="1" x14ac:dyDescent="0.3">
      <c r="A523" s="732">
        <f>'А П 3'!A1006:E1006</f>
        <v>0</v>
      </c>
      <c r="B523" s="733">
        <f>'А П 3'!B1006:F1006</f>
        <v>0</v>
      </c>
      <c r="C523" s="732">
        <f>'А П 3'!C1006:G1006</f>
        <v>0</v>
      </c>
      <c r="D523" s="732">
        <f>'А П 3'!D1006:H1006</f>
        <v>0</v>
      </c>
      <c r="E523" s="732">
        <f>'А П 3'!E1006:I1006</f>
        <v>0</v>
      </c>
      <c r="F523" s="743" t="str">
        <f>'А П 3'!F1006:J1006</f>
        <v>Средства бюджетов муниципальных образований Московской области</v>
      </c>
      <c r="G523" s="738">
        <f>'А П 3'!G1006:K1006</f>
        <v>0</v>
      </c>
      <c r="H523" s="739">
        <f>'А П 3'!H1006:L1006</f>
        <v>0</v>
      </c>
      <c r="I523" s="739">
        <f>'А П 3'!I1006:M1006</f>
        <v>0</v>
      </c>
      <c r="J523" s="739">
        <f>'А П 3'!J1006:N1006</f>
        <v>0</v>
      </c>
      <c r="K523" s="739">
        <f>'А П 3'!K1006:O1006</f>
        <v>0</v>
      </c>
      <c r="L523" s="739">
        <f>'А П 3'!L1006:P1006</f>
        <v>0</v>
      </c>
      <c r="M523" s="739"/>
      <c r="N523" s="739"/>
      <c r="O523" s="739"/>
      <c r="P523" s="739"/>
      <c r="Q523" s="739"/>
      <c r="R523" s="739"/>
      <c r="S523" s="739"/>
    </row>
    <row r="524" spans="1:19" s="750" customFormat="1" ht="31.5" customHeight="1" x14ac:dyDescent="0.3">
      <c r="A524" s="745" t="str">
        <f>'А П 3'!A1007:E1007</f>
        <v>3.2.4</v>
      </c>
      <c r="B524" s="746" t="str">
        <f>'А П 3'!B1007:F1007</f>
        <v>городской округ Луховицы</v>
      </c>
      <c r="C524" s="745">
        <f>'А П 3'!C1007:G1007</f>
        <v>0</v>
      </c>
      <c r="D524" s="745">
        <f>'А П 3'!D1007:H1007</f>
        <v>0</v>
      </c>
      <c r="E524" s="745">
        <f>'А П 3'!E1007:I1007</f>
        <v>0</v>
      </c>
      <c r="F524" s="747" t="str">
        <f>'А П 3'!F1007:J1007</f>
        <v>Итого</v>
      </c>
      <c r="G524" s="748">
        <f>'А П 3'!G1007:K1007</f>
        <v>9421</v>
      </c>
      <c r="H524" s="749">
        <f>'А П 3'!H1007:L1007</f>
        <v>0</v>
      </c>
      <c r="I524" s="749">
        <f>'А П 3'!I1007:M1007</f>
        <v>9421</v>
      </c>
      <c r="J524" s="749">
        <f>'А П 3'!J1007:N1007</f>
        <v>0</v>
      </c>
      <c r="K524" s="749">
        <f>'А П 3'!K1007:O1007</f>
        <v>0</v>
      </c>
      <c r="L524" s="749">
        <f>'А П 3'!L1007:P1007</f>
        <v>0</v>
      </c>
      <c r="M524" s="749"/>
      <c r="N524" s="749"/>
      <c r="O524" s="749"/>
      <c r="P524" s="749"/>
      <c r="Q524" s="749"/>
      <c r="R524" s="749"/>
      <c r="S524" s="749"/>
    </row>
    <row r="525" spans="1:19" ht="31.5" customHeight="1" x14ac:dyDescent="0.3">
      <c r="A525" s="732"/>
      <c r="B525" s="733"/>
      <c r="C525" s="732">
        <f>'А П 3'!C1008:G1008</f>
        <v>0</v>
      </c>
      <c r="D525" s="732">
        <f>'А П 3'!D1008:H1008</f>
        <v>0</v>
      </c>
      <c r="E525" s="732">
        <f>'А П 3'!E1008:I1008</f>
        <v>0</v>
      </c>
      <c r="F525" s="743" t="str">
        <f>'А П 3'!F1008:J1008</f>
        <v>Средства бюджета Московской области</v>
      </c>
      <c r="G525" s="738">
        <f>'А П 3'!G1008:K1008</f>
        <v>9421</v>
      </c>
      <c r="H525" s="739">
        <f>'А П 3'!H1008:L1008</f>
        <v>0</v>
      </c>
      <c r="I525" s="739">
        <f>'А П 3'!I1008:M1008</f>
        <v>9421</v>
      </c>
      <c r="J525" s="739">
        <f>'А П 3'!J1008:N1008</f>
        <v>0</v>
      </c>
      <c r="K525" s="739">
        <f>'А П 3'!K1008:O1008</f>
        <v>0</v>
      </c>
      <c r="L525" s="739">
        <f>'А П 3'!L1008:P1008</f>
        <v>0</v>
      </c>
      <c r="M525" s="739"/>
      <c r="N525" s="739"/>
      <c r="O525" s="739"/>
      <c r="P525" s="739"/>
      <c r="Q525" s="739"/>
      <c r="R525" s="739"/>
      <c r="S525" s="739"/>
    </row>
    <row r="526" spans="1:19" ht="31.5" customHeight="1" x14ac:dyDescent="0.3">
      <c r="A526" s="732"/>
      <c r="B526" s="733"/>
      <c r="C526" s="732">
        <f>'А П 3'!C1009:G1009</f>
        <v>0</v>
      </c>
      <c r="D526" s="732">
        <f>'А П 3'!D1009:H1009</f>
        <v>0</v>
      </c>
      <c r="E526" s="732">
        <f>'А П 3'!E1009:I1009</f>
        <v>0</v>
      </c>
      <c r="F526" s="743" t="str">
        <f>'А П 3'!F1009:J1009</f>
        <v>Средства бюджетов муниципальных образований Московской области</v>
      </c>
      <c r="G526" s="738">
        <f>'А П 3'!G1009:K1009</f>
        <v>0</v>
      </c>
      <c r="H526" s="739">
        <f>'А П 3'!H1009:L1009</f>
        <v>0</v>
      </c>
      <c r="I526" s="739">
        <f>'А П 3'!I1009:M1009</f>
        <v>0</v>
      </c>
      <c r="J526" s="739">
        <f>'А П 3'!J1009:N1009</f>
        <v>0</v>
      </c>
      <c r="K526" s="739">
        <f>'А П 3'!K1009:O1009</f>
        <v>0</v>
      </c>
      <c r="L526" s="739">
        <f>'А П 3'!L1009:P1009</f>
        <v>0</v>
      </c>
      <c r="M526" s="739"/>
      <c r="N526" s="739"/>
      <c r="O526" s="739"/>
      <c r="P526" s="739"/>
      <c r="Q526" s="739"/>
      <c r="R526" s="739"/>
      <c r="S526" s="739"/>
    </row>
    <row r="527" spans="1:19" ht="31.5" customHeight="1" x14ac:dyDescent="0.3">
      <c r="A527" s="732" t="str">
        <f>'А П 3'!A1010:E1010</f>
        <v>3.2.4.1</v>
      </c>
      <c r="B527" s="733" t="str">
        <f>'А П 3'!B1010:F1010</f>
        <v>Проведение капитального ремонта здания Медицинского пункта военной части 25801-8 Луховицы-3 ул. Восточная в/ч № 25801-8 ул. Восточная в/ч 25801-8 ул. Восточная  д.66 Луховицкий м.р.</v>
      </c>
      <c r="C527" s="732">
        <f>'А П 3'!C1010:G1010</f>
        <v>0</v>
      </c>
      <c r="D527" s="732">
        <f>'А П 3'!D1010:H1010</f>
        <v>0</v>
      </c>
      <c r="E527" s="732">
        <f>'А П 3'!E1010:I1010</f>
        <v>0</v>
      </c>
      <c r="F527" s="743" t="str">
        <f>'А П 3'!F1010:J1010</f>
        <v>Итого</v>
      </c>
      <c r="G527" s="738">
        <f>'А П 3'!G1010:K1010</f>
        <v>9421</v>
      </c>
      <c r="H527" s="739">
        <f>'А П 3'!H1010:L1010</f>
        <v>0</v>
      </c>
      <c r="I527" s="739">
        <f>'А П 3'!I1010:M1010</f>
        <v>9421</v>
      </c>
      <c r="J527" s="739">
        <f>'А П 3'!J1010:N1010</f>
        <v>0</v>
      </c>
      <c r="K527" s="739">
        <f>'А П 3'!K1010:O1010</f>
        <v>0</v>
      </c>
      <c r="L527" s="739">
        <f>'А П 3'!L1010:P1010</f>
        <v>0</v>
      </c>
      <c r="M527" s="739"/>
      <c r="N527" s="739"/>
      <c r="O527" s="739"/>
      <c r="P527" s="739"/>
      <c r="Q527" s="739"/>
      <c r="R527" s="739"/>
      <c r="S527" s="739"/>
    </row>
    <row r="528" spans="1:19" ht="31.5" customHeight="1" x14ac:dyDescent="0.3">
      <c r="A528" s="732">
        <f>'А П 3'!A1011:E1011</f>
        <v>0</v>
      </c>
      <c r="B528" s="733">
        <f>'А П 3'!B1011:F1011</f>
        <v>0</v>
      </c>
      <c r="C528" s="732">
        <f>'А П 3'!C1011:G1011</f>
        <v>0</v>
      </c>
      <c r="D528" s="732">
        <f>'А П 3'!D1011:H1011</f>
        <v>0</v>
      </c>
      <c r="E528" s="732">
        <f>'А П 3'!E1011:I1011</f>
        <v>0</v>
      </c>
      <c r="F528" s="743" t="str">
        <f>'А П 3'!F1011:J1011</f>
        <v>Средства бюджета Московской области</v>
      </c>
      <c r="G528" s="738">
        <f>'А П 3'!G1011:K1011</f>
        <v>9421</v>
      </c>
      <c r="H528" s="739">
        <f>'А П 3'!H1011:L1011</f>
        <v>0</v>
      </c>
      <c r="I528" s="739">
        <f>'А П 3'!I1011:M1011</f>
        <v>9421</v>
      </c>
      <c r="J528" s="739">
        <f>'А П 3'!J1011:N1011</f>
        <v>0</v>
      </c>
      <c r="K528" s="739">
        <f>'А П 3'!K1011:O1011</f>
        <v>0</v>
      </c>
      <c r="L528" s="739">
        <f>'А П 3'!L1011:P1011</f>
        <v>0</v>
      </c>
      <c r="M528" s="739"/>
      <c r="N528" s="739"/>
      <c r="O528" s="739"/>
      <c r="P528" s="739"/>
      <c r="Q528" s="739"/>
      <c r="R528" s="739"/>
      <c r="S528" s="739"/>
    </row>
    <row r="529" spans="1:19" ht="31.5" customHeight="1" x14ac:dyDescent="0.3">
      <c r="A529" s="732">
        <f>'А П 3'!A1012:E1012</f>
        <v>0</v>
      </c>
      <c r="B529" s="733">
        <f>'А П 3'!B1012:F1012</f>
        <v>0</v>
      </c>
      <c r="C529" s="732">
        <f>'А П 3'!C1012:G1012</f>
        <v>0</v>
      </c>
      <c r="D529" s="732">
        <f>'А П 3'!D1012:H1012</f>
        <v>0</v>
      </c>
      <c r="E529" s="732">
        <f>'А П 3'!E1012:I1012</f>
        <v>0</v>
      </c>
      <c r="F529" s="743" t="str">
        <f>'А П 3'!F1012:J1012</f>
        <v>Средства бюджетов муниципальных образований Московской области</v>
      </c>
      <c r="G529" s="738">
        <f>'А П 3'!G1012:K1012</f>
        <v>0</v>
      </c>
      <c r="H529" s="739">
        <f>'А П 3'!H1012:L1012</f>
        <v>0</v>
      </c>
      <c r="I529" s="739">
        <f>'А П 3'!I1012:M1012</f>
        <v>0</v>
      </c>
      <c r="J529" s="739">
        <f>'А П 3'!J1012:N1012</f>
        <v>0</v>
      </c>
      <c r="K529" s="739">
        <f>'А П 3'!K1012:O1012</f>
        <v>0</v>
      </c>
      <c r="L529" s="739">
        <f>'А П 3'!L1012:P1012</f>
        <v>0</v>
      </c>
      <c r="M529" s="739"/>
      <c r="N529" s="739"/>
      <c r="O529" s="739"/>
      <c r="P529" s="739"/>
      <c r="Q529" s="739"/>
      <c r="R529" s="739"/>
      <c r="S529" s="739"/>
    </row>
    <row r="530" spans="1:19" ht="31.5" customHeight="1" x14ac:dyDescent="0.3">
      <c r="A530" s="732">
        <f>'А П 3'!A1013:E1013</f>
        <v>0</v>
      </c>
      <c r="B530" s="733">
        <f>'А П 3'!B1013:F1013</f>
        <v>0</v>
      </c>
      <c r="C530" s="732">
        <f>'А П 3'!C1013:G1013</f>
        <v>0</v>
      </c>
      <c r="D530" s="732">
        <f>'А П 3'!D1013:H1013</f>
        <v>0</v>
      </c>
      <c r="E530" s="732">
        <f>'А П 3'!E1013:I1013</f>
        <v>0</v>
      </c>
      <c r="F530" s="743">
        <f>'А П 3'!F1013:J1013</f>
        <v>0</v>
      </c>
      <c r="G530" s="738">
        <f>'А П 3'!G1013:K1013</f>
        <v>0</v>
      </c>
      <c r="H530" s="739">
        <f>'А П 3'!H1013:L1013</f>
        <v>221536</v>
      </c>
      <c r="I530" s="739">
        <f>'А П 3'!I1013:M1013</f>
        <v>0</v>
      </c>
      <c r="J530" s="739">
        <f>'А П 3'!J1013:N1013</f>
        <v>0</v>
      </c>
      <c r="K530" s="739">
        <f>'А П 3'!K1013:O1013</f>
        <v>0</v>
      </c>
      <c r="L530" s="739">
        <f>'А П 3'!L1013:P1013</f>
        <v>0</v>
      </c>
      <c r="M530" s="739"/>
      <c r="N530" s="739"/>
      <c r="O530" s="739"/>
      <c r="P530" s="739"/>
      <c r="Q530" s="739"/>
      <c r="R530" s="739"/>
      <c r="S530" s="739"/>
    </row>
    <row r="531" spans="1:19" ht="31.5" customHeight="1" x14ac:dyDescent="0.3">
      <c r="A531" s="732">
        <f>'А П 3'!A1014:E1014</f>
        <v>0</v>
      </c>
      <c r="B531" s="733">
        <f>'А П 3'!B1014:F1014</f>
        <v>0</v>
      </c>
      <c r="C531" s="732">
        <f>'А П 3'!C1014:G1014</f>
        <v>0</v>
      </c>
      <c r="D531" s="732">
        <f>'А П 3'!D1014:H1014</f>
        <v>0</v>
      </c>
      <c r="E531" s="732">
        <f>'А П 3'!E1014:I1014</f>
        <v>0</v>
      </c>
      <c r="F531" s="743">
        <f>'А П 3'!F1014:J1014</f>
        <v>0</v>
      </c>
      <c r="G531" s="738">
        <f>'А П 3'!G1014:K1014</f>
        <v>0</v>
      </c>
      <c r="H531" s="739">
        <f>'А П 3'!H1014:L1014</f>
        <v>0</v>
      </c>
      <c r="I531" s="739">
        <f>'А П 3'!I1014:M1014</f>
        <v>0</v>
      </c>
      <c r="J531" s="739">
        <f>'А П 3'!J1014:N1014</f>
        <v>0</v>
      </c>
      <c r="K531" s="739">
        <f>'А П 3'!K1014:O1014</f>
        <v>0</v>
      </c>
      <c r="L531" s="739">
        <f>'А П 3'!L1014:P1014</f>
        <v>0</v>
      </c>
      <c r="M531" s="739"/>
      <c r="N531" s="739"/>
      <c r="O531" s="739"/>
      <c r="P531" s="739"/>
      <c r="Q531" s="739"/>
      <c r="R531" s="739"/>
      <c r="S531" s="739"/>
    </row>
    <row r="532" spans="1:19" ht="31.5" customHeight="1" x14ac:dyDescent="0.3">
      <c r="A532" s="732" t="str">
        <f>'А П 3'!A1015:E1015</f>
        <v>Адресный перечень объектов строительства (реконструкции) объектов муниципальной собственности и распределение субсидий муниципальным образованиям Московской области, финансирование которых предусмотрено мероприятием  2.5 «Строительство, реконструкция, модернизация объектов инженерной инфраструктуры муниципальных образований за счет внебюджетных средств и/или средств бюджетов муниципальных образований» подпрограммы «Создание условий для обеспечения качественными жилищно-коммунальными услугами»</v>
      </c>
      <c r="B532" s="733">
        <f>'А П 3'!B1015:F1015</f>
        <v>0</v>
      </c>
      <c r="C532" s="732">
        <f>'А П 3'!C1015:G1015</f>
        <v>0</v>
      </c>
      <c r="D532" s="732">
        <f>'А П 3'!D1015:H1015</f>
        <v>0</v>
      </c>
      <c r="E532" s="732">
        <f>'А П 3'!E1015:I1015</f>
        <v>0</v>
      </c>
      <c r="F532" s="743">
        <f>'А П 3'!F1015:J1015</f>
        <v>0</v>
      </c>
      <c r="G532" s="738">
        <f>'А П 3'!G1015:K1015</f>
        <v>0</v>
      </c>
      <c r="H532" s="739">
        <f>'А П 3'!H1015:L1015</f>
        <v>0</v>
      </c>
      <c r="I532" s="739">
        <f>'А П 3'!I1015:M1015</f>
        <v>0</v>
      </c>
      <c r="J532" s="739">
        <f>'А П 3'!J1015:N1015</f>
        <v>0</v>
      </c>
      <c r="K532" s="739">
        <f>'А П 3'!K1015:O1015</f>
        <v>0</v>
      </c>
      <c r="L532" s="739">
        <f>'А П 3'!L1015:P1015</f>
        <v>0</v>
      </c>
      <c r="M532" s="739"/>
      <c r="N532" s="739"/>
      <c r="O532" s="739"/>
      <c r="P532" s="739"/>
      <c r="Q532" s="739"/>
      <c r="R532" s="739"/>
      <c r="S532" s="739"/>
    </row>
    <row r="533" spans="1:19" ht="31.5" customHeight="1" x14ac:dyDescent="0.3">
      <c r="A533" s="732" t="str">
        <f>'А П 3'!A1016:E1016</f>
        <v>№ п/п</v>
      </c>
      <c r="B533" s="733" t="str">
        <f>'А П 3'!B1016:F1016</f>
        <v>Направление инвестирования, наименование объекта, адрес объекта, сведения о государственной регистрации права собственности</v>
      </c>
      <c r="C533" s="732" t="str">
        <f>'А П 3'!C1016:G1016</f>
        <v>Годы строительства/ реконструкции объектов государственной собственности</v>
      </c>
      <c r="D533" s="732" t="str">
        <f>'А П 3'!D1016:H1016</f>
        <v>Мощность/прирост мощности объекта (кв. метр, погонный метр, место, койко-место и т.д.)</v>
      </c>
      <c r="E533" s="732" t="str">
        <f>'А П 3'!E1016:I1016</f>
        <v>Предельная стоимость объекта, тыс. руб.</v>
      </c>
      <c r="F533" s="743" t="str">
        <f>'А П 3'!F1016:J1016</f>
        <v>Профинансировано на 01.01.2018, тыс. руб.</v>
      </c>
      <c r="G533" s="738" t="str">
        <f>'А П 3'!G1016:K1016</f>
        <v xml:space="preserve">Источники финансирования </v>
      </c>
      <c r="H533" s="738" t="str">
        <f>'А П 3'!H1016:L1016</f>
        <v>Финансирование, в том числе распределение межбюджетных трансфертов из бюджета Московской области, тыс. руб.</v>
      </c>
      <c r="I533" s="738">
        <f>'А П 3'!I1016:M1016</f>
        <v>0</v>
      </c>
      <c r="J533" s="738">
        <f>'А П 3'!J1016:N1016</f>
        <v>0</v>
      </c>
      <c r="K533" s="738">
        <f>'А П 3'!K1016:O1016</f>
        <v>0</v>
      </c>
      <c r="L533" s="738">
        <f>'А П 3'!L1016:P1016</f>
        <v>0</v>
      </c>
      <c r="M533" s="738"/>
      <c r="N533" s="738"/>
      <c r="O533" s="738"/>
      <c r="P533" s="738"/>
      <c r="Q533" s="738"/>
      <c r="R533" s="738"/>
      <c r="S533" s="738"/>
    </row>
    <row r="534" spans="1:19" ht="31.5" customHeight="1" x14ac:dyDescent="0.3">
      <c r="A534" s="732">
        <f>'А П 3'!A1017:E1017</f>
        <v>0</v>
      </c>
      <c r="B534" s="733">
        <f>'А П 3'!B1017:F1017</f>
        <v>0</v>
      </c>
      <c r="C534" s="732">
        <f>'А П 3'!C1017:G1017</f>
        <v>0</v>
      </c>
      <c r="D534" s="732">
        <f>'А П 3'!D1017:H1017</f>
        <v>0</v>
      </c>
      <c r="E534" s="732">
        <f>'А П 3'!E1017:I1017</f>
        <v>0</v>
      </c>
      <c r="F534" s="743">
        <f>'А П 3'!F1017:J1017</f>
        <v>0</v>
      </c>
      <c r="G534" s="738">
        <f>'А П 3'!G1017:K1017</f>
        <v>0</v>
      </c>
      <c r="H534" s="738" t="str">
        <f>'А П 3'!H1017:L1017</f>
        <v>Всего</v>
      </c>
      <c r="I534" s="738" t="str">
        <f>'А П 3'!I1017:M1017</f>
        <v>2018 год</v>
      </c>
      <c r="J534" s="738" t="str">
        <f>'А П 3'!J1017:N1017</f>
        <v>2019 год</v>
      </c>
      <c r="K534" s="738" t="str">
        <f>'А П 3'!K1017:O1017</f>
        <v>2020 год</v>
      </c>
      <c r="L534" s="738" t="str">
        <f>'А П 3'!L1017:P1017</f>
        <v>2021 год</v>
      </c>
      <c r="M534" s="738"/>
      <c r="N534" s="738"/>
      <c r="O534" s="738"/>
      <c r="P534" s="738"/>
      <c r="Q534" s="738"/>
      <c r="R534" s="738"/>
      <c r="S534" s="738"/>
    </row>
    <row r="535" spans="1:19" ht="31.5" customHeight="1" x14ac:dyDescent="0.3">
      <c r="A535" s="732">
        <f>'А П 3'!A1018:E1018</f>
        <v>1</v>
      </c>
      <c r="B535" s="733">
        <f>'А П 3'!B1018:F1018</f>
        <v>2</v>
      </c>
      <c r="C535" s="732">
        <f>'А П 3'!C1018:G1018</f>
        <v>3</v>
      </c>
      <c r="D535" s="732">
        <f>'А П 3'!D1018:H1018</f>
        <v>4</v>
      </c>
      <c r="E535" s="732">
        <f>'А П 3'!E1018:I1018</f>
        <v>5</v>
      </c>
      <c r="F535" s="743">
        <f>'А П 3'!F1018:J1018</f>
        <v>6</v>
      </c>
      <c r="G535" s="738">
        <f>'А П 3'!G1018:K1018</f>
        <v>7</v>
      </c>
      <c r="H535" s="738">
        <f>'А П 3'!H1018:L1018</f>
        <v>8</v>
      </c>
      <c r="I535" s="738">
        <f>'А П 3'!I1018:M1018</f>
        <v>9</v>
      </c>
      <c r="J535" s="738">
        <f>'А П 3'!J1018:N1018</f>
        <v>10</v>
      </c>
      <c r="K535" s="738">
        <f>'А П 3'!K1018:O1018</f>
        <v>11</v>
      </c>
      <c r="L535" s="738">
        <f>'А П 3'!L1018:P1018</f>
        <v>12</v>
      </c>
      <c r="M535" s="738"/>
      <c r="N535" s="738"/>
      <c r="O535" s="738"/>
      <c r="P535" s="738"/>
      <c r="Q535" s="738"/>
      <c r="R535" s="738"/>
      <c r="S535" s="738"/>
    </row>
    <row r="536" spans="1:19" ht="31.5" customHeight="1" x14ac:dyDescent="0.3">
      <c r="A536" s="732" t="str">
        <f>'А П 3'!A1019:E1019</f>
        <v>1</v>
      </c>
      <c r="B536" s="733" t="str">
        <f>'А П 3'!B1019:F1019</f>
        <v>городское поселение Апрелевка Наро-Фоминского муниципального района</v>
      </c>
      <c r="C536" s="732">
        <f>'А П 3'!C1019:G1019</f>
        <v>0</v>
      </c>
      <c r="D536" s="732">
        <f>'А П 3'!D1019:H1019</f>
        <v>0</v>
      </c>
      <c r="E536" s="732">
        <f>'А П 3'!E1019:I1019</f>
        <v>0</v>
      </c>
      <c r="F536" s="743">
        <f>'А П 3'!F1019:J1019</f>
        <v>0</v>
      </c>
      <c r="G536" s="738" t="str">
        <f>'А П 3'!G1019:K1019</f>
        <v>Итого</v>
      </c>
      <c r="H536" s="738">
        <f>'А П 3'!H1019:L1019</f>
        <v>94404.6</v>
      </c>
      <c r="I536" s="738">
        <f>'А П 3'!I1019:M1019</f>
        <v>94404.6</v>
      </c>
      <c r="J536" s="738">
        <f>'А П 3'!J1019:N1019</f>
        <v>0</v>
      </c>
      <c r="K536" s="738">
        <f>'А П 3'!K1019:O1019</f>
        <v>0</v>
      </c>
      <c r="L536" s="738">
        <f>'А П 3'!L1019:P1019</f>
        <v>0</v>
      </c>
      <c r="M536" s="738"/>
      <c r="N536" s="738"/>
      <c r="O536" s="738"/>
      <c r="P536" s="738"/>
      <c r="Q536" s="738"/>
      <c r="R536" s="738"/>
      <c r="S536" s="738"/>
    </row>
    <row r="537" spans="1:19" ht="31.5" customHeight="1" x14ac:dyDescent="0.3">
      <c r="A537" s="732" t="str">
        <f>'А П 3'!A1021:E1021</f>
        <v>1.1</v>
      </c>
      <c r="B537" s="733" t="str">
        <f>'А П 3'!B1021:F1021</f>
        <v>Строительство котельной, Наро-Фоминский муниципальный район, городское поселение Апрелевка,                                      ул. Октябрьская, д.11</v>
      </c>
      <c r="C537" s="732" t="str">
        <f>'А П 3'!C1021:G1021</f>
        <v>2014, 2018</v>
      </c>
      <c r="D537" s="732">
        <f>'А П 3'!D1021:H1021</f>
        <v>0</v>
      </c>
      <c r="E537" s="732">
        <f>'А П 3'!E1021:I1021</f>
        <v>99923.6</v>
      </c>
      <c r="F537" s="743">
        <f>'А П 3'!F1021:J1021</f>
        <v>5519</v>
      </c>
      <c r="G537" s="738" t="str">
        <f>'А П 3'!G1021:K1021</f>
        <v>Итого</v>
      </c>
      <c r="H537" s="738">
        <f>'А П 3'!H1021:L1021</f>
        <v>94404.6</v>
      </c>
      <c r="I537" s="738">
        <f>'А П 3'!I1021:M1021</f>
        <v>94404.6</v>
      </c>
      <c r="J537" s="738">
        <f>'А П 3'!J1021:N1021</f>
        <v>0</v>
      </c>
      <c r="K537" s="738">
        <f>'А П 3'!K1021:O1021</f>
        <v>0</v>
      </c>
      <c r="L537" s="738">
        <f>'А П 3'!L1021:P1021</f>
        <v>0</v>
      </c>
      <c r="M537" s="738"/>
      <c r="N537" s="738"/>
      <c r="O537" s="738"/>
      <c r="P537" s="738"/>
      <c r="Q537" s="738"/>
      <c r="R537" s="738"/>
      <c r="S537" s="738"/>
    </row>
    <row r="538" spans="1:19" ht="31.5" customHeight="1" x14ac:dyDescent="0.3">
      <c r="A538" s="732">
        <f>'А П 3'!A1022:E1022</f>
        <v>0</v>
      </c>
      <c r="B538" s="733">
        <f>'А П 3'!B1022:F1022</f>
        <v>0</v>
      </c>
      <c r="C538" s="732">
        <f>'А П 3'!C1022:G1022</f>
        <v>0</v>
      </c>
      <c r="D538" s="732">
        <f>'А П 3'!D1022:H1022</f>
        <v>0</v>
      </c>
      <c r="E538" s="732">
        <f>'А П 3'!E1022:I1022</f>
        <v>0</v>
      </c>
      <c r="F538" s="743">
        <f>'А П 3'!F1022:J1022</f>
        <v>5519</v>
      </c>
      <c r="G538" s="738" t="str">
        <f>'А П 3'!G1022:K1022</f>
        <v>Внебюджетные источники</v>
      </c>
      <c r="H538" s="738">
        <f>'А П 3'!H1022:L1022</f>
        <v>94404.6</v>
      </c>
      <c r="I538" s="738">
        <f>'А П 3'!I1022:M1022</f>
        <v>94404.6</v>
      </c>
      <c r="J538" s="738">
        <f>'А П 3'!J1022:N1022</f>
        <v>0</v>
      </c>
      <c r="K538" s="738">
        <f>'А П 3'!K1022:O1022</f>
        <v>0</v>
      </c>
      <c r="L538" s="738">
        <f>'А П 3'!L1022:P1022</f>
        <v>0</v>
      </c>
      <c r="M538" s="738"/>
      <c r="N538" s="738"/>
      <c r="O538" s="738"/>
      <c r="P538" s="738"/>
      <c r="Q538" s="738"/>
      <c r="R538" s="738"/>
      <c r="S538" s="738"/>
    </row>
    <row r="539" spans="1:19" ht="31.5" customHeight="1" x14ac:dyDescent="0.3">
      <c r="A539" s="732" t="str">
        <f>'А П 3'!A1035:E1035</f>
        <v>ВСЕГО по мероприятию:</v>
      </c>
      <c r="B539" s="733">
        <f>'А П 3'!B1035:F1035</f>
        <v>0</v>
      </c>
      <c r="C539" s="732">
        <f>'А П 3'!C1035:G1035</f>
        <v>0</v>
      </c>
      <c r="D539" s="732">
        <f>'А П 3'!D1035:H1035</f>
        <v>0</v>
      </c>
      <c r="E539" s="732">
        <f>'А П 3'!E1035:I1035</f>
        <v>0</v>
      </c>
      <c r="F539" s="743">
        <f>'А П 3'!F1035:J1035</f>
        <v>0</v>
      </c>
      <c r="G539" s="738" t="str">
        <f>'А П 3'!G1035:K1035</f>
        <v>Внебюджетные источники</v>
      </c>
      <c r="H539" s="738">
        <f>'А П 3'!H1035:L1035</f>
        <v>98085.04</v>
      </c>
      <c r="I539" s="738">
        <f>'А П 3'!I1035:M1035</f>
        <v>98085.04</v>
      </c>
      <c r="J539" s="738">
        <f>'А П 3'!J1035:N1035</f>
        <v>0</v>
      </c>
      <c r="K539" s="738">
        <f>'А П 3'!K1035:O1035</f>
        <v>0</v>
      </c>
      <c r="L539" s="738">
        <f>'А П 3'!L1035:P1035</f>
        <v>0</v>
      </c>
      <c r="M539" s="738"/>
      <c r="N539" s="738"/>
      <c r="O539" s="738"/>
      <c r="P539" s="738"/>
      <c r="Q539" s="738"/>
      <c r="R539" s="738"/>
      <c r="S539" s="738"/>
    </row>
    <row r="540" spans="1:19" ht="31.5" customHeight="1" x14ac:dyDescent="0.3">
      <c r="A540" s="732">
        <f>'А П 3'!A1036:E1036</f>
        <v>0</v>
      </c>
      <c r="B540" s="733">
        <f>'А П 3'!B1036:F1036</f>
        <v>0</v>
      </c>
      <c r="C540" s="732">
        <f>'А П 3'!C1036:G1036</f>
        <v>0</v>
      </c>
      <c r="D540" s="732">
        <f>'А П 3'!D1036:H1036</f>
        <v>0</v>
      </c>
      <c r="E540" s="732">
        <f>'А П 3'!E1036:I1036</f>
        <v>0</v>
      </c>
      <c r="F540" s="743">
        <f>'А П 3'!F1036:J1036</f>
        <v>0</v>
      </c>
      <c r="G540" s="738" t="str">
        <f>'А П 3'!G1036:K1036</f>
        <v>Внебюджетные источники</v>
      </c>
      <c r="H540" s="738">
        <f>'А П 3'!H1036:L1036</f>
        <v>98085.04</v>
      </c>
      <c r="I540" s="738">
        <f>'А П 3'!I1036:M1036</f>
        <v>98085.04</v>
      </c>
      <c r="J540" s="738">
        <f>'А П 3'!J1036:N1036</f>
        <v>0</v>
      </c>
      <c r="K540" s="738">
        <f>'А П 3'!K1036:O1036</f>
        <v>0</v>
      </c>
      <c r="L540" s="738">
        <f>'А П 3'!L1036:P1036</f>
        <v>0</v>
      </c>
      <c r="M540" s="738"/>
      <c r="N540" s="738"/>
      <c r="O540" s="738"/>
      <c r="P540" s="738"/>
      <c r="Q540" s="738"/>
      <c r="R540" s="738"/>
      <c r="S540" s="738"/>
    </row>
    <row r="541" spans="1:19" ht="31.5" customHeight="1" x14ac:dyDescent="0.3">
      <c r="A541" s="725">
        <f>'А П 3'!A1037:E1037</f>
        <v>0</v>
      </c>
      <c r="B541" s="726">
        <f>'А П 3'!B1037:F1037</f>
        <v>0</v>
      </c>
      <c r="C541" s="725">
        <f>'А П 3'!C1037:G1037</f>
        <v>0</v>
      </c>
      <c r="D541" s="725">
        <f>'А П 3'!D1037:H1037</f>
        <v>0</v>
      </c>
      <c r="E541" s="725">
        <f>'А П 3'!E1037:I1037</f>
        <v>0</v>
      </c>
      <c r="F541" s="741">
        <f>'А П 3'!F1037:J1037</f>
        <v>0</v>
      </c>
      <c r="G541" s="740">
        <f>'А П 3'!G1037:K1037</f>
        <v>0</v>
      </c>
      <c r="H541" s="740">
        <f>'А П 3'!H1037:L1037</f>
        <v>0</v>
      </c>
      <c r="I541" s="740">
        <f>'А П 3'!I1037:M1037</f>
        <v>0</v>
      </c>
      <c r="J541" s="740">
        <f>'А П 3'!J1037:N1037</f>
        <v>0</v>
      </c>
      <c r="K541" s="740">
        <f>'А П 3'!K1037:O1037</f>
        <v>0</v>
      </c>
      <c r="L541" s="740">
        <f>'А П 3'!L1037:P1037</f>
        <v>0</v>
      </c>
      <c r="M541" s="740"/>
      <c r="N541" s="740"/>
      <c r="O541" s="740"/>
      <c r="P541" s="740"/>
      <c r="Q541" s="740"/>
      <c r="R541" s="740"/>
      <c r="S541" s="740"/>
    </row>
    <row r="542" spans="1:19" x14ac:dyDescent="0.3">
      <c r="A542" s="725"/>
      <c r="C542" s="725"/>
      <c r="D542" s="725"/>
      <c r="E542" s="725"/>
      <c r="F542" s="741"/>
      <c r="G542" s="735"/>
      <c r="H542" s="725"/>
      <c r="I542" s="725"/>
      <c r="J542" s="725"/>
      <c r="K542" s="725"/>
      <c r="L542" s="725"/>
      <c r="M542" s="725"/>
      <c r="N542" s="725"/>
      <c r="O542" s="725"/>
      <c r="P542" s="725"/>
      <c r="Q542" s="725"/>
      <c r="R542" s="725"/>
      <c r="S542" s="725"/>
    </row>
    <row r="543" spans="1:19" x14ac:dyDescent="0.3">
      <c r="A543" s="725"/>
      <c r="C543" s="725"/>
      <c r="D543" s="725"/>
      <c r="E543" s="725"/>
      <c r="F543" s="741"/>
      <c r="G543" s="735"/>
      <c r="H543" s="725"/>
      <c r="I543" s="725"/>
      <c r="J543" s="725"/>
      <c r="K543" s="725"/>
      <c r="L543" s="725"/>
      <c r="M543" s="725"/>
      <c r="N543" s="725"/>
      <c r="O543" s="725"/>
      <c r="P543" s="725"/>
      <c r="Q543" s="725"/>
      <c r="R543" s="725"/>
      <c r="S543" s="725"/>
    </row>
    <row r="544" spans="1:19" x14ac:dyDescent="0.3">
      <c r="A544" s="725"/>
      <c r="C544" s="725"/>
      <c r="D544" s="725"/>
      <c r="E544" s="725"/>
      <c r="F544" s="741"/>
      <c r="G544" s="735"/>
      <c r="H544" s="725"/>
      <c r="I544" s="725"/>
      <c r="J544" s="725"/>
      <c r="K544" s="725"/>
      <c r="L544" s="725"/>
      <c r="M544" s="725"/>
      <c r="N544" s="725"/>
      <c r="O544" s="725"/>
      <c r="P544" s="725"/>
      <c r="Q544" s="725"/>
      <c r="R544" s="725"/>
      <c r="S544" s="725"/>
    </row>
    <row r="545" spans="1:19" x14ac:dyDescent="0.3">
      <c r="A545" s="725"/>
      <c r="C545" s="725"/>
      <c r="D545" s="725"/>
      <c r="E545" s="725"/>
      <c r="F545" s="741"/>
      <c r="G545" s="735"/>
      <c r="H545" s="725"/>
      <c r="I545" s="725"/>
      <c r="J545" s="725"/>
      <c r="K545" s="725"/>
      <c r="L545" s="725"/>
      <c r="M545" s="725"/>
      <c r="N545" s="725"/>
      <c r="O545" s="725"/>
      <c r="P545" s="725"/>
      <c r="Q545" s="725"/>
      <c r="R545" s="725"/>
      <c r="S545" s="725"/>
    </row>
    <row r="546" spans="1:19" x14ac:dyDescent="0.3">
      <c r="A546" s="725"/>
      <c r="C546" s="725"/>
      <c r="D546" s="725"/>
      <c r="E546" s="725"/>
      <c r="F546" s="741"/>
      <c r="G546" s="735"/>
      <c r="H546" s="725"/>
      <c r="I546" s="725"/>
      <c r="J546" s="725"/>
      <c r="K546" s="725"/>
      <c r="L546" s="725"/>
      <c r="M546" s="725"/>
      <c r="N546" s="725"/>
      <c r="O546" s="725"/>
      <c r="P546" s="725"/>
      <c r="Q546" s="725"/>
      <c r="R546" s="725"/>
      <c r="S546" s="725"/>
    </row>
    <row r="547" spans="1:19" x14ac:dyDescent="0.3">
      <c r="A547" s="725"/>
      <c r="C547" s="725"/>
      <c r="D547" s="725"/>
      <c r="E547" s="725"/>
      <c r="F547" s="741"/>
      <c r="G547" s="735"/>
      <c r="H547" s="725"/>
      <c r="I547" s="725"/>
      <c r="J547" s="725"/>
      <c r="K547" s="725"/>
      <c r="L547" s="725"/>
      <c r="M547" s="725"/>
      <c r="N547" s="725"/>
      <c r="O547" s="725"/>
      <c r="P547" s="725"/>
      <c r="Q547" s="725"/>
      <c r="R547" s="725"/>
      <c r="S547" s="725"/>
    </row>
    <row r="548" spans="1:19" x14ac:dyDescent="0.3">
      <c r="A548" s="725"/>
      <c r="C548" s="725"/>
      <c r="D548" s="725"/>
      <c r="E548" s="725"/>
      <c r="F548" s="741"/>
      <c r="G548" s="735"/>
      <c r="H548" s="725"/>
      <c r="I548" s="725"/>
      <c r="J548" s="725"/>
      <c r="K548" s="725"/>
      <c r="L548" s="725"/>
      <c r="M548" s="725"/>
      <c r="N548" s="725"/>
      <c r="O548" s="725"/>
      <c r="P548" s="725"/>
      <c r="Q548" s="725"/>
      <c r="R548" s="725"/>
      <c r="S548" s="725"/>
    </row>
    <row r="549" spans="1:19" x14ac:dyDescent="0.3">
      <c r="A549" s="725"/>
      <c r="C549" s="725"/>
      <c r="D549" s="725"/>
      <c r="E549" s="725"/>
      <c r="F549" s="741"/>
      <c r="G549" s="735"/>
      <c r="H549" s="725"/>
      <c r="I549" s="725"/>
      <c r="J549" s="725"/>
      <c r="K549" s="725"/>
      <c r="L549" s="725"/>
      <c r="M549" s="725"/>
      <c r="N549" s="725"/>
      <c r="O549" s="725"/>
      <c r="P549" s="725"/>
      <c r="Q549" s="725"/>
      <c r="R549" s="725"/>
      <c r="S549" s="725"/>
    </row>
    <row r="550" spans="1:19" x14ac:dyDescent="0.3">
      <c r="A550" s="725"/>
      <c r="C550" s="725"/>
      <c r="D550" s="725"/>
      <c r="E550" s="725"/>
      <c r="F550" s="741"/>
      <c r="G550" s="735"/>
      <c r="H550" s="725"/>
      <c r="I550" s="725"/>
      <c r="J550" s="725"/>
      <c r="K550" s="725"/>
      <c r="L550" s="725"/>
      <c r="M550" s="725"/>
      <c r="N550" s="725"/>
      <c r="O550" s="725"/>
      <c r="P550" s="725"/>
      <c r="Q550" s="725"/>
      <c r="R550" s="725"/>
      <c r="S550" s="725"/>
    </row>
    <row r="551" spans="1:19" x14ac:dyDescent="0.3">
      <c r="A551" s="725"/>
      <c r="C551" s="725"/>
      <c r="D551" s="725"/>
      <c r="E551" s="725"/>
      <c r="F551" s="741"/>
      <c r="G551" s="735"/>
      <c r="H551" s="725"/>
      <c r="I551" s="725"/>
      <c r="J551" s="725"/>
      <c r="K551" s="725"/>
      <c r="L551" s="725"/>
      <c r="M551" s="725"/>
      <c r="N551" s="725"/>
      <c r="O551" s="725"/>
      <c r="P551" s="725"/>
      <c r="Q551" s="725"/>
      <c r="R551" s="725"/>
      <c r="S551" s="725"/>
    </row>
    <row r="552" spans="1:19" x14ac:dyDescent="0.3">
      <c r="A552" s="725"/>
      <c r="C552" s="725"/>
      <c r="D552" s="725"/>
      <c r="E552" s="725"/>
      <c r="F552" s="741"/>
      <c r="G552" s="735"/>
      <c r="H552" s="725"/>
      <c r="I552" s="725"/>
      <c r="J552" s="725"/>
      <c r="K552" s="725"/>
      <c r="L552" s="725"/>
      <c r="M552" s="725"/>
      <c r="N552" s="725"/>
      <c r="O552" s="725"/>
      <c r="P552" s="725"/>
      <c r="Q552" s="725"/>
      <c r="R552" s="725"/>
      <c r="S552" s="725"/>
    </row>
    <row r="553" spans="1:19" x14ac:dyDescent="0.3">
      <c r="A553" s="725"/>
      <c r="C553" s="725"/>
      <c r="D553" s="725"/>
      <c r="E553" s="725"/>
      <c r="F553" s="741"/>
      <c r="G553" s="735"/>
      <c r="H553" s="725"/>
      <c r="I553" s="725"/>
      <c r="J553" s="725"/>
      <c r="K553" s="725"/>
      <c r="L553" s="725"/>
      <c r="M553" s="725"/>
      <c r="N553" s="725"/>
      <c r="O553" s="725"/>
      <c r="P553" s="725"/>
      <c r="Q553" s="725"/>
      <c r="R553" s="725"/>
      <c r="S553" s="725"/>
    </row>
    <row r="554" spans="1:19" x14ac:dyDescent="0.3">
      <c r="A554" s="725"/>
      <c r="C554" s="725"/>
      <c r="D554" s="725"/>
      <c r="E554" s="725"/>
      <c r="F554" s="741"/>
      <c r="G554" s="735"/>
      <c r="H554" s="725"/>
      <c r="I554" s="725"/>
      <c r="J554" s="725"/>
      <c r="K554" s="725"/>
      <c r="L554" s="725"/>
      <c r="M554" s="725"/>
      <c r="N554" s="725"/>
      <c r="O554" s="725"/>
      <c r="P554" s="725"/>
      <c r="Q554" s="725"/>
      <c r="R554" s="725"/>
      <c r="S554" s="725"/>
    </row>
    <row r="555" spans="1:19" x14ac:dyDescent="0.3">
      <c r="A555" s="725"/>
      <c r="C555" s="725"/>
      <c r="D555" s="725"/>
      <c r="E555" s="725"/>
      <c r="F555" s="741"/>
      <c r="G555" s="735"/>
      <c r="H555" s="725"/>
      <c r="I555" s="725"/>
      <c r="J555" s="725"/>
      <c r="K555" s="725"/>
      <c r="L555" s="725"/>
      <c r="M555" s="725"/>
      <c r="N555" s="725"/>
      <c r="O555" s="725"/>
      <c r="P555" s="725"/>
      <c r="Q555" s="725"/>
      <c r="R555" s="725"/>
      <c r="S555" s="725"/>
    </row>
    <row r="556" spans="1:19" x14ac:dyDescent="0.3">
      <c r="A556" s="725"/>
      <c r="C556" s="725"/>
      <c r="D556" s="725"/>
      <c r="E556" s="725"/>
      <c r="F556" s="741"/>
      <c r="G556" s="735"/>
      <c r="H556" s="725"/>
      <c r="I556" s="725"/>
      <c r="J556" s="725"/>
      <c r="K556" s="725"/>
      <c r="L556" s="725"/>
      <c r="M556" s="725"/>
      <c r="N556" s="725"/>
      <c r="O556" s="725"/>
      <c r="P556" s="725"/>
      <c r="Q556" s="725"/>
      <c r="R556" s="725"/>
      <c r="S556" s="725"/>
    </row>
    <row r="557" spans="1:19" x14ac:dyDescent="0.3">
      <c r="A557" s="725"/>
      <c r="C557" s="725"/>
      <c r="D557" s="725"/>
      <c r="E557" s="725"/>
      <c r="F557" s="741"/>
      <c r="G557" s="735"/>
      <c r="H557" s="725"/>
      <c r="I557" s="725"/>
      <c r="J557" s="725"/>
      <c r="K557" s="725"/>
      <c r="L557" s="725"/>
      <c r="M557" s="725"/>
      <c r="N557" s="725"/>
      <c r="O557" s="725"/>
      <c r="P557" s="725"/>
      <c r="Q557" s="725"/>
      <c r="R557" s="725"/>
      <c r="S557" s="725"/>
    </row>
    <row r="558" spans="1:19" x14ac:dyDescent="0.3">
      <c r="A558" s="725"/>
      <c r="C558" s="725"/>
      <c r="D558" s="725"/>
      <c r="E558" s="725"/>
      <c r="F558" s="741"/>
      <c r="G558" s="735"/>
      <c r="H558" s="725"/>
      <c r="I558" s="725"/>
      <c r="J558" s="725"/>
      <c r="K558" s="725"/>
      <c r="L558" s="725"/>
      <c r="M558" s="725"/>
      <c r="N558" s="725"/>
      <c r="O558" s="725"/>
      <c r="P558" s="725"/>
      <c r="Q558" s="725"/>
      <c r="R558" s="725"/>
      <c r="S558" s="725"/>
    </row>
    <row r="559" spans="1:19" x14ac:dyDescent="0.3">
      <c r="A559" s="725"/>
      <c r="C559" s="725"/>
      <c r="D559" s="725"/>
      <c r="E559" s="725"/>
      <c r="F559" s="741"/>
      <c r="G559" s="735"/>
      <c r="H559" s="725"/>
      <c r="I559" s="725"/>
      <c r="J559" s="725"/>
      <c r="K559" s="725"/>
      <c r="L559" s="725"/>
      <c r="M559" s="725"/>
      <c r="N559" s="725"/>
      <c r="O559" s="725"/>
      <c r="P559" s="725"/>
      <c r="Q559" s="725"/>
      <c r="R559" s="725"/>
      <c r="S559" s="725"/>
    </row>
    <row r="560" spans="1:19" x14ac:dyDescent="0.3">
      <c r="A560" s="725"/>
      <c r="C560" s="725"/>
      <c r="D560" s="725"/>
      <c r="E560" s="725"/>
      <c r="F560" s="741"/>
      <c r="G560" s="735"/>
      <c r="H560" s="725"/>
      <c r="I560" s="725"/>
      <c r="J560" s="725"/>
      <c r="K560" s="725"/>
      <c r="L560" s="725"/>
      <c r="M560" s="725"/>
      <c r="N560" s="725"/>
      <c r="O560" s="725"/>
      <c r="P560" s="725"/>
      <c r="Q560" s="725"/>
      <c r="R560" s="725"/>
      <c r="S560" s="725"/>
    </row>
    <row r="561" spans="1:19" x14ac:dyDescent="0.3">
      <c r="A561" s="725"/>
      <c r="C561" s="725"/>
      <c r="D561" s="725"/>
      <c r="E561" s="725"/>
      <c r="F561" s="741"/>
      <c r="G561" s="735"/>
      <c r="H561" s="725"/>
      <c r="I561" s="725"/>
      <c r="J561" s="725"/>
      <c r="K561" s="725"/>
      <c r="L561" s="725"/>
      <c r="M561" s="725"/>
      <c r="N561" s="725"/>
      <c r="O561" s="725"/>
      <c r="P561" s="725"/>
      <c r="Q561" s="725"/>
      <c r="R561" s="725"/>
      <c r="S561" s="725"/>
    </row>
    <row r="562" spans="1:19" x14ac:dyDescent="0.3">
      <c r="A562" s="725"/>
      <c r="C562" s="725"/>
      <c r="D562" s="725"/>
      <c r="E562" s="725"/>
      <c r="F562" s="741"/>
      <c r="G562" s="735"/>
      <c r="H562" s="725"/>
      <c r="I562" s="725"/>
      <c r="J562" s="725"/>
      <c r="K562" s="725"/>
      <c r="L562" s="725"/>
      <c r="M562" s="725"/>
      <c r="N562" s="725"/>
      <c r="O562" s="725"/>
      <c r="P562" s="725"/>
      <c r="Q562" s="725"/>
      <c r="R562" s="725"/>
      <c r="S562" s="725"/>
    </row>
    <row r="563" spans="1:19" x14ac:dyDescent="0.3">
      <c r="A563" s="725"/>
      <c r="C563" s="725"/>
      <c r="D563" s="725"/>
      <c r="E563" s="725"/>
      <c r="F563" s="741"/>
      <c r="G563" s="735"/>
      <c r="H563" s="725"/>
      <c r="I563" s="725"/>
      <c r="J563" s="725"/>
      <c r="K563" s="725"/>
      <c r="L563" s="725"/>
      <c r="M563" s="725"/>
      <c r="N563" s="725"/>
      <c r="O563" s="725"/>
      <c r="P563" s="725"/>
      <c r="Q563" s="725"/>
      <c r="R563" s="725"/>
      <c r="S563" s="725"/>
    </row>
    <row r="564" spans="1:19" x14ac:dyDescent="0.3">
      <c r="A564" s="725"/>
      <c r="C564" s="725"/>
      <c r="D564" s="725"/>
      <c r="E564" s="725"/>
      <c r="F564" s="741"/>
      <c r="G564" s="735"/>
      <c r="H564" s="725"/>
      <c r="I564" s="725"/>
      <c r="J564" s="725"/>
      <c r="K564" s="725"/>
      <c r="L564" s="725"/>
      <c r="M564" s="725"/>
      <c r="N564" s="725"/>
      <c r="O564" s="725"/>
      <c r="P564" s="725"/>
      <c r="Q564" s="725"/>
      <c r="R564" s="725"/>
      <c r="S564" s="725"/>
    </row>
    <row r="565" spans="1:19" x14ac:dyDescent="0.3">
      <c r="A565" s="725"/>
      <c r="C565" s="725"/>
      <c r="D565" s="725"/>
      <c r="E565" s="725"/>
      <c r="F565" s="741"/>
      <c r="G565" s="735"/>
      <c r="H565" s="725"/>
      <c r="I565" s="725"/>
      <c r="J565" s="725"/>
      <c r="K565" s="725"/>
      <c r="L565" s="725"/>
      <c r="M565" s="725"/>
      <c r="N565" s="725"/>
      <c r="O565" s="725"/>
      <c r="P565" s="725"/>
      <c r="Q565" s="725"/>
      <c r="R565" s="725"/>
      <c r="S565" s="725"/>
    </row>
    <row r="566" spans="1:19" x14ac:dyDescent="0.3">
      <c r="A566" s="725"/>
      <c r="C566" s="725"/>
      <c r="D566" s="725"/>
      <c r="E566" s="725"/>
      <c r="F566" s="741"/>
      <c r="G566" s="735"/>
      <c r="H566" s="725"/>
      <c r="I566" s="725"/>
      <c r="J566" s="725"/>
      <c r="K566" s="725"/>
      <c r="L566" s="725"/>
      <c r="M566" s="725"/>
      <c r="N566" s="725"/>
      <c r="O566" s="725"/>
      <c r="P566" s="725"/>
      <c r="Q566" s="725"/>
      <c r="R566" s="725"/>
      <c r="S566" s="725"/>
    </row>
    <row r="567" spans="1:19" x14ac:dyDescent="0.3">
      <c r="A567" s="725"/>
      <c r="C567" s="725"/>
      <c r="D567" s="725"/>
      <c r="E567" s="725"/>
      <c r="F567" s="741"/>
      <c r="G567" s="735"/>
      <c r="H567" s="725"/>
      <c r="I567" s="725"/>
      <c r="J567" s="725"/>
      <c r="K567" s="725"/>
      <c r="L567" s="725"/>
      <c r="M567" s="725"/>
      <c r="N567" s="725"/>
      <c r="O567" s="725"/>
      <c r="P567" s="725"/>
      <c r="Q567" s="725"/>
      <c r="R567" s="725"/>
      <c r="S567" s="725"/>
    </row>
    <row r="568" spans="1:19" x14ac:dyDescent="0.3">
      <c r="A568" s="725"/>
      <c r="C568" s="725"/>
      <c r="D568" s="725"/>
      <c r="E568" s="725"/>
      <c r="F568" s="741"/>
      <c r="G568" s="735"/>
      <c r="H568" s="725"/>
      <c r="I568" s="725"/>
      <c r="J568" s="725"/>
      <c r="K568" s="725"/>
      <c r="L568" s="725"/>
      <c r="M568" s="725"/>
      <c r="N568" s="725"/>
      <c r="O568" s="725"/>
      <c r="P568" s="725"/>
      <c r="Q568" s="725"/>
      <c r="R568" s="725"/>
      <c r="S568" s="725"/>
    </row>
    <row r="569" spans="1:19" x14ac:dyDescent="0.3">
      <c r="A569" s="725"/>
      <c r="C569" s="725"/>
      <c r="D569" s="725"/>
      <c r="E569" s="725"/>
      <c r="F569" s="741"/>
      <c r="G569" s="735"/>
      <c r="H569" s="725"/>
      <c r="I569" s="725"/>
      <c r="J569" s="725"/>
      <c r="K569" s="725"/>
      <c r="L569" s="725"/>
      <c r="M569" s="725"/>
      <c r="N569" s="725"/>
      <c r="O569" s="725"/>
      <c r="P569" s="725"/>
      <c r="Q569" s="725"/>
      <c r="R569" s="725"/>
      <c r="S569" s="725"/>
    </row>
    <row r="570" spans="1:19" x14ac:dyDescent="0.3">
      <c r="A570" s="725"/>
      <c r="C570" s="725"/>
      <c r="D570" s="725"/>
      <c r="E570" s="725"/>
      <c r="F570" s="741"/>
      <c r="G570" s="735"/>
      <c r="H570" s="725"/>
      <c r="I570" s="725"/>
      <c r="J570" s="725"/>
      <c r="K570" s="725"/>
      <c r="L570" s="725"/>
      <c r="M570" s="725"/>
      <c r="N570" s="725"/>
      <c r="O570" s="725"/>
      <c r="P570" s="725"/>
      <c r="Q570" s="725"/>
      <c r="R570" s="725"/>
      <c r="S570" s="725"/>
    </row>
    <row r="571" spans="1:19" x14ac:dyDescent="0.3">
      <c r="A571" s="725"/>
      <c r="C571" s="725"/>
      <c r="D571" s="725"/>
      <c r="E571" s="725"/>
      <c r="F571" s="741"/>
      <c r="G571" s="735"/>
      <c r="H571" s="725"/>
      <c r="I571" s="725"/>
      <c r="J571" s="725"/>
      <c r="K571" s="725"/>
      <c r="L571" s="725"/>
      <c r="M571" s="725"/>
      <c r="N571" s="725"/>
      <c r="O571" s="725"/>
      <c r="P571" s="725"/>
      <c r="Q571" s="725"/>
      <c r="R571" s="725"/>
      <c r="S571" s="725"/>
    </row>
    <row r="572" spans="1:19" x14ac:dyDescent="0.3">
      <c r="A572" s="725"/>
      <c r="C572" s="725"/>
      <c r="D572" s="725"/>
      <c r="E572" s="725"/>
      <c r="F572" s="741"/>
      <c r="G572" s="735"/>
      <c r="H572" s="725"/>
      <c r="I572" s="725"/>
      <c r="J572" s="725"/>
      <c r="K572" s="725"/>
      <c r="L572" s="725"/>
      <c r="M572" s="725"/>
      <c r="N572" s="725"/>
      <c r="O572" s="725"/>
      <c r="P572" s="725"/>
      <c r="Q572" s="725"/>
      <c r="R572" s="725"/>
      <c r="S572" s="725"/>
    </row>
    <row r="573" spans="1:19" x14ac:dyDescent="0.3">
      <c r="A573" s="725"/>
      <c r="C573" s="725"/>
      <c r="D573" s="725"/>
      <c r="E573" s="725"/>
      <c r="F573" s="741"/>
      <c r="G573" s="735"/>
      <c r="H573" s="725"/>
      <c r="I573" s="725"/>
      <c r="J573" s="725"/>
      <c r="K573" s="725"/>
      <c r="L573" s="725"/>
      <c r="M573" s="725"/>
      <c r="N573" s="725"/>
      <c r="O573" s="725"/>
      <c r="P573" s="725"/>
      <c r="Q573" s="725"/>
      <c r="R573" s="725"/>
      <c r="S573" s="725"/>
    </row>
    <row r="574" spans="1:19" x14ac:dyDescent="0.3">
      <c r="A574" s="725"/>
      <c r="C574" s="725"/>
      <c r="D574" s="725"/>
      <c r="E574" s="725"/>
      <c r="F574" s="741"/>
      <c r="G574" s="735"/>
      <c r="H574" s="725"/>
      <c r="I574" s="725"/>
      <c r="J574" s="725"/>
      <c r="K574" s="725"/>
      <c r="L574" s="725"/>
      <c r="M574" s="725"/>
      <c r="N574" s="725"/>
      <c r="O574" s="725"/>
      <c r="P574" s="725"/>
      <c r="Q574" s="725"/>
      <c r="R574" s="725"/>
      <c r="S574" s="725"/>
    </row>
    <row r="575" spans="1:19" x14ac:dyDescent="0.3">
      <c r="A575" s="725"/>
      <c r="C575" s="725"/>
      <c r="D575" s="725"/>
      <c r="E575" s="725"/>
      <c r="F575" s="741"/>
      <c r="G575" s="735"/>
      <c r="H575" s="725"/>
      <c r="I575" s="725"/>
      <c r="J575" s="725"/>
      <c r="K575" s="725"/>
      <c r="L575" s="725"/>
      <c r="M575" s="725"/>
      <c r="N575" s="725"/>
      <c r="O575" s="725"/>
      <c r="P575" s="725"/>
      <c r="Q575" s="725"/>
      <c r="R575" s="725"/>
      <c r="S575" s="725"/>
    </row>
    <row r="576" spans="1:19" x14ac:dyDescent="0.3">
      <c r="A576" s="725"/>
      <c r="C576" s="725"/>
      <c r="D576" s="725"/>
      <c r="E576" s="725"/>
      <c r="F576" s="741"/>
      <c r="G576" s="735"/>
      <c r="H576" s="725"/>
      <c r="I576" s="725"/>
      <c r="J576" s="725"/>
      <c r="K576" s="725"/>
      <c r="L576" s="725"/>
      <c r="M576" s="725"/>
      <c r="N576" s="725"/>
      <c r="O576" s="725"/>
      <c r="P576" s="725"/>
      <c r="Q576" s="725"/>
      <c r="R576" s="725"/>
      <c r="S576" s="725"/>
    </row>
    <row r="577" spans="1:19" x14ac:dyDescent="0.3">
      <c r="A577" s="725"/>
      <c r="C577" s="725"/>
      <c r="D577" s="725"/>
      <c r="E577" s="725"/>
      <c r="F577" s="741"/>
      <c r="G577" s="735"/>
      <c r="H577" s="725"/>
      <c r="I577" s="725"/>
      <c r="J577" s="725"/>
      <c r="K577" s="725"/>
      <c r="L577" s="725"/>
      <c r="M577" s="725"/>
      <c r="N577" s="725"/>
      <c r="O577" s="725"/>
      <c r="P577" s="725"/>
      <c r="Q577" s="725"/>
      <c r="R577" s="725"/>
      <c r="S577" s="725"/>
    </row>
    <row r="578" spans="1:19" x14ac:dyDescent="0.3">
      <c r="A578" s="725"/>
      <c r="C578" s="725"/>
      <c r="D578" s="725"/>
      <c r="E578" s="725"/>
      <c r="F578" s="741"/>
      <c r="G578" s="735"/>
      <c r="H578" s="725"/>
      <c r="I578" s="725"/>
      <c r="J578" s="725"/>
      <c r="K578" s="725"/>
      <c r="L578" s="725"/>
      <c r="M578" s="725"/>
      <c r="N578" s="725"/>
      <c r="O578" s="725"/>
      <c r="P578" s="725"/>
      <c r="Q578" s="725"/>
      <c r="R578" s="725"/>
      <c r="S578" s="725"/>
    </row>
    <row r="579" spans="1:19" x14ac:dyDescent="0.3">
      <c r="A579" s="725"/>
      <c r="C579" s="725"/>
      <c r="D579" s="725"/>
      <c r="E579" s="725"/>
      <c r="F579" s="741"/>
      <c r="G579" s="735"/>
      <c r="H579" s="725"/>
      <c r="I579" s="725"/>
      <c r="J579" s="725"/>
      <c r="K579" s="725"/>
      <c r="L579" s="725"/>
      <c r="M579" s="725"/>
      <c r="N579" s="725"/>
      <c r="O579" s="725"/>
      <c r="P579" s="725"/>
      <c r="Q579" s="725"/>
      <c r="R579" s="725"/>
      <c r="S579" s="725"/>
    </row>
    <row r="580" spans="1:19" x14ac:dyDescent="0.3">
      <c r="A580" s="725"/>
      <c r="C580" s="725"/>
      <c r="D580" s="725"/>
      <c r="E580" s="725"/>
      <c r="F580" s="741"/>
      <c r="G580" s="735"/>
      <c r="H580" s="725"/>
      <c r="I580" s="725"/>
      <c r="J580" s="725"/>
      <c r="K580" s="725"/>
      <c r="L580" s="725"/>
      <c r="M580" s="725"/>
      <c r="N580" s="725"/>
      <c r="O580" s="725"/>
      <c r="P580" s="725"/>
      <c r="Q580" s="725"/>
      <c r="R580" s="725"/>
      <c r="S580" s="725"/>
    </row>
    <row r="581" spans="1:19" x14ac:dyDescent="0.3">
      <c r="A581" s="725"/>
      <c r="C581" s="725"/>
      <c r="D581" s="725"/>
      <c r="E581" s="725"/>
      <c r="F581" s="741"/>
      <c r="G581" s="735"/>
      <c r="H581" s="725"/>
      <c r="I581" s="725"/>
      <c r="J581" s="725"/>
      <c r="K581" s="725"/>
      <c r="L581" s="725"/>
      <c r="M581" s="725"/>
      <c r="N581" s="725"/>
      <c r="O581" s="725"/>
      <c r="P581" s="725"/>
      <c r="Q581" s="725"/>
      <c r="R581" s="725"/>
      <c r="S581" s="725"/>
    </row>
    <row r="582" spans="1:19" x14ac:dyDescent="0.3">
      <c r="A582" s="725"/>
      <c r="C582" s="725"/>
      <c r="D582" s="725"/>
      <c r="E582" s="725"/>
      <c r="F582" s="741"/>
      <c r="G582" s="735"/>
      <c r="H582" s="725"/>
      <c r="I582" s="725"/>
      <c r="J582" s="725"/>
      <c r="K582" s="725"/>
      <c r="L582" s="725"/>
      <c r="M582" s="725"/>
      <c r="N582" s="725"/>
      <c r="O582" s="725"/>
      <c r="P582" s="725"/>
      <c r="Q582" s="725"/>
      <c r="R582" s="725"/>
      <c r="S582" s="725"/>
    </row>
    <row r="583" spans="1:19" x14ac:dyDescent="0.3">
      <c r="A583" s="725"/>
      <c r="C583" s="725"/>
      <c r="D583" s="725"/>
      <c r="E583" s="725"/>
      <c r="F583" s="741"/>
      <c r="G583" s="735"/>
      <c r="H583" s="725"/>
      <c r="I583" s="725"/>
      <c r="J583" s="725"/>
      <c r="K583" s="725"/>
      <c r="L583" s="725"/>
      <c r="M583" s="725"/>
      <c r="N583" s="725"/>
      <c r="O583" s="725"/>
      <c r="P583" s="725"/>
      <c r="Q583" s="725"/>
      <c r="R583" s="725"/>
      <c r="S583" s="725"/>
    </row>
    <row r="584" spans="1:19" x14ac:dyDescent="0.3">
      <c r="A584" s="725"/>
      <c r="C584" s="725"/>
      <c r="D584" s="725"/>
      <c r="E584" s="725"/>
      <c r="F584" s="741"/>
      <c r="G584" s="735"/>
      <c r="H584" s="725"/>
      <c r="I584" s="725"/>
      <c r="J584" s="725"/>
      <c r="K584" s="725"/>
      <c r="L584" s="725"/>
      <c r="M584" s="725"/>
      <c r="N584" s="725"/>
      <c r="O584" s="725"/>
      <c r="P584" s="725"/>
      <c r="Q584" s="725"/>
      <c r="R584" s="725"/>
      <c r="S584" s="725"/>
    </row>
    <row r="585" spans="1:19" x14ac:dyDescent="0.3">
      <c r="A585" s="725"/>
      <c r="C585" s="725"/>
      <c r="D585" s="725"/>
      <c r="E585" s="725"/>
      <c r="F585" s="741"/>
      <c r="G585" s="735"/>
      <c r="H585" s="725"/>
      <c r="I585" s="725"/>
      <c r="J585" s="725"/>
      <c r="K585" s="725"/>
      <c r="L585" s="725"/>
      <c r="M585" s="725"/>
      <c r="N585" s="725"/>
      <c r="O585" s="725"/>
      <c r="P585" s="725"/>
      <c r="Q585" s="725"/>
      <c r="R585" s="725"/>
      <c r="S585" s="725"/>
    </row>
    <row r="586" spans="1:19" x14ac:dyDescent="0.3">
      <c r="A586" s="725"/>
      <c r="C586" s="725"/>
      <c r="D586" s="725"/>
      <c r="E586" s="725"/>
      <c r="F586" s="741"/>
      <c r="G586" s="735"/>
      <c r="H586" s="725"/>
      <c r="I586" s="725"/>
      <c r="J586" s="725"/>
      <c r="K586" s="725"/>
      <c r="L586" s="725"/>
      <c r="M586" s="725"/>
      <c r="N586" s="725"/>
      <c r="O586" s="725"/>
      <c r="P586" s="725"/>
      <c r="Q586" s="725"/>
      <c r="R586" s="725"/>
      <c r="S586" s="725"/>
    </row>
    <row r="587" spans="1:19" x14ac:dyDescent="0.3">
      <c r="A587" s="725"/>
      <c r="C587" s="725"/>
      <c r="D587" s="725"/>
      <c r="E587" s="725"/>
      <c r="F587" s="741"/>
      <c r="G587" s="735"/>
      <c r="H587" s="725"/>
      <c r="I587" s="725"/>
      <c r="J587" s="725"/>
      <c r="K587" s="725"/>
      <c r="L587" s="725"/>
      <c r="M587" s="725"/>
      <c r="N587" s="725"/>
      <c r="O587" s="725"/>
      <c r="P587" s="725"/>
      <c r="Q587" s="725"/>
      <c r="R587" s="725"/>
      <c r="S587" s="725"/>
    </row>
    <row r="588" spans="1:19" x14ac:dyDescent="0.3">
      <c r="A588" s="725"/>
      <c r="C588" s="725"/>
      <c r="D588" s="725"/>
      <c r="E588" s="725"/>
      <c r="F588" s="741"/>
      <c r="G588" s="735"/>
      <c r="H588" s="725"/>
      <c r="I588" s="725"/>
      <c r="J588" s="725"/>
      <c r="K588" s="725"/>
      <c r="L588" s="725"/>
      <c r="M588" s="725"/>
      <c r="N588" s="725"/>
      <c r="O588" s="725"/>
      <c r="P588" s="725"/>
      <c r="Q588" s="725"/>
      <c r="R588" s="725"/>
      <c r="S588" s="725"/>
    </row>
    <row r="589" spans="1:19" x14ac:dyDescent="0.3">
      <c r="A589" s="725"/>
      <c r="C589" s="725"/>
      <c r="D589" s="725"/>
      <c r="E589" s="725"/>
      <c r="F589" s="741"/>
      <c r="G589" s="735"/>
      <c r="H589" s="725"/>
      <c r="I589" s="725"/>
      <c r="J589" s="725"/>
      <c r="K589" s="725"/>
      <c r="L589" s="725"/>
      <c r="M589" s="725"/>
      <c r="N589" s="725"/>
      <c r="O589" s="725"/>
      <c r="P589" s="725"/>
      <c r="Q589" s="725"/>
      <c r="R589" s="725"/>
      <c r="S589" s="725"/>
    </row>
    <row r="590" spans="1:19" x14ac:dyDescent="0.3">
      <c r="A590" s="725"/>
      <c r="C590" s="725"/>
      <c r="D590" s="725"/>
      <c r="E590" s="725"/>
      <c r="F590" s="741"/>
      <c r="G590" s="735"/>
      <c r="H590" s="725"/>
      <c r="I590" s="725"/>
      <c r="J590" s="725"/>
      <c r="K590" s="725"/>
      <c r="L590" s="725"/>
      <c r="M590" s="725"/>
      <c r="N590" s="725"/>
      <c r="O590" s="725"/>
      <c r="P590" s="725"/>
      <c r="Q590" s="725"/>
      <c r="R590" s="725"/>
      <c r="S590" s="725"/>
    </row>
    <row r="591" spans="1:19" x14ac:dyDescent="0.3">
      <c r="A591" s="725"/>
      <c r="C591" s="725"/>
      <c r="D591" s="725"/>
      <c r="E591" s="725"/>
      <c r="F591" s="741"/>
      <c r="G591" s="735"/>
      <c r="H591" s="725"/>
      <c r="I591" s="725"/>
      <c r="J591" s="725"/>
      <c r="K591" s="725"/>
      <c r="L591" s="725"/>
      <c r="M591" s="725"/>
      <c r="N591" s="725"/>
      <c r="O591" s="725"/>
      <c r="P591" s="725"/>
      <c r="Q591" s="725"/>
      <c r="R591" s="725"/>
      <c r="S591" s="725"/>
    </row>
    <row r="592" spans="1:19" x14ac:dyDescent="0.3">
      <c r="A592" s="725"/>
      <c r="C592" s="725"/>
      <c r="D592" s="725"/>
      <c r="E592" s="725"/>
      <c r="F592" s="741"/>
      <c r="G592" s="735"/>
      <c r="H592" s="725"/>
      <c r="I592" s="725"/>
      <c r="J592" s="725"/>
      <c r="K592" s="725"/>
      <c r="L592" s="725"/>
      <c r="M592" s="725"/>
      <c r="N592" s="725"/>
      <c r="O592" s="725"/>
      <c r="P592" s="725"/>
      <c r="Q592" s="725"/>
      <c r="R592" s="725"/>
      <c r="S592" s="725"/>
    </row>
    <row r="593" spans="1:19" x14ac:dyDescent="0.3">
      <c r="A593" s="725"/>
      <c r="C593" s="725"/>
      <c r="D593" s="725"/>
      <c r="E593" s="725"/>
      <c r="F593" s="741"/>
      <c r="G593" s="735"/>
      <c r="H593" s="725"/>
      <c r="I593" s="725"/>
      <c r="J593" s="725"/>
      <c r="K593" s="725"/>
      <c r="L593" s="725"/>
      <c r="M593" s="725"/>
      <c r="N593" s="725"/>
      <c r="O593" s="725"/>
      <c r="P593" s="725"/>
      <c r="Q593" s="725"/>
      <c r="R593" s="725"/>
      <c r="S593" s="725"/>
    </row>
    <row r="594" spans="1:19" x14ac:dyDescent="0.3">
      <c r="A594" s="725"/>
      <c r="C594" s="725"/>
      <c r="D594" s="725"/>
      <c r="E594" s="725"/>
      <c r="F594" s="741"/>
      <c r="G594" s="735"/>
      <c r="H594" s="725"/>
      <c r="I594" s="725"/>
      <c r="J594" s="725"/>
      <c r="K594" s="725"/>
      <c r="L594" s="725"/>
      <c r="M594" s="725"/>
      <c r="N594" s="725"/>
      <c r="O594" s="725"/>
      <c r="P594" s="725"/>
      <c r="Q594" s="725"/>
      <c r="R594" s="725"/>
      <c r="S594" s="725"/>
    </row>
    <row r="595" spans="1:19" x14ac:dyDescent="0.3">
      <c r="A595" s="725"/>
      <c r="C595" s="725"/>
      <c r="D595" s="725"/>
      <c r="E595" s="725"/>
      <c r="F595" s="741"/>
      <c r="G595" s="735"/>
      <c r="H595" s="725"/>
      <c r="I595" s="725"/>
      <c r="J595" s="725"/>
      <c r="K595" s="725"/>
      <c r="L595" s="725"/>
      <c r="M595" s="725"/>
      <c r="N595" s="725"/>
      <c r="O595" s="725"/>
      <c r="P595" s="725"/>
      <c r="Q595" s="725"/>
      <c r="R595" s="725"/>
      <c r="S595" s="725"/>
    </row>
    <row r="596" spans="1:19" x14ac:dyDescent="0.3">
      <c r="A596" s="725"/>
      <c r="C596" s="725"/>
      <c r="D596" s="725"/>
      <c r="E596" s="725"/>
      <c r="F596" s="741"/>
      <c r="G596" s="735"/>
      <c r="H596" s="725"/>
      <c r="I596" s="725"/>
      <c r="J596" s="725"/>
      <c r="K596" s="725"/>
      <c r="L596" s="725"/>
      <c r="M596" s="725"/>
      <c r="N596" s="725"/>
      <c r="O596" s="725"/>
      <c r="P596" s="725"/>
      <c r="Q596" s="725"/>
      <c r="R596" s="725"/>
      <c r="S596" s="725"/>
    </row>
    <row r="597" spans="1:19" x14ac:dyDescent="0.3">
      <c r="A597" s="725"/>
      <c r="C597" s="725"/>
      <c r="D597" s="725"/>
      <c r="E597" s="725"/>
      <c r="F597" s="741"/>
      <c r="G597" s="735"/>
      <c r="H597" s="725"/>
      <c r="I597" s="725"/>
      <c r="J597" s="725"/>
      <c r="K597" s="725"/>
      <c r="L597" s="725"/>
      <c r="M597" s="725"/>
      <c r="N597" s="725"/>
      <c r="O597" s="725"/>
      <c r="P597" s="725"/>
      <c r="Q597" s="725"/>
      <c r="R597" s="725"/>
      <c r="S597" s="725"/>
    </row>
    <row r="598" spans="1:19" x14ac:dyDescent="0.3">
      <c r="A598" s="725"/>
      <c r="C598" s="725"/>
      <c r="D598" s="725"/>
      <c r="E598" s="725"/>
      <c r="F598" s="741"/>
      <c r="G598" s="735"/>
      <c r="H598" s="725"/>
      <c r="I598" s="725"/>
      <c r="J598" s="725"/>
      <c r="K598" s="725"/>
      <c r="L598" s="725"/>
      <c r="M598" s="725"/>
      <c r="N598" s="725"/>
      <c r="O598" s="725"/>
      <c r="P598" s="725"/>
      <c r="Q598" s="725"/>
      <c r="R598" s="725"/>
      <c r="S598" s="725"/>
    </row>
    <row r="599" spans="1:19" x14ac:dyDescent="0.3">
      <c r="A599" s="725"/>
      <c r="C599" s="725"/>
      <c r="D599" s="725"/>
      <c r="E599" s="725"/>
      <c r="F599" s="741"/>
      <c r="G599" s="735"/>
      <c r="H599" s="725"/>
      <c r="I599" s="725"/>
      <c r="J599" s="725"/>
      <c r="K599" s="725"/>
      <c r="L599" s="725"/>
      <c r="M599" s="725"/>
      <c r="N599" s="725"/>
      <c r="O599" s="725"/>
      <c r="P599" s="725"/>
      <c r="Q599" s="725"/>
      <c r="R599" s="725"/>
      <c r="S599" s="725"/>
    </row>
    <row r="600" spans="1:19" x14ac:dyDescent="0.3">
      <c r="A600" s="725"/>
      <c r="C600" s="725"/>
      <c r="D600" s="725"/>
      <c r="E600" s="725"/>
      <c r="F600" s="741"/>
      <c r="G600" s="735"/>
      <c r="H600" s="725"/>
      <c r="I600" s="725"/>
      <c r="J600" s="725"/>
      <c r="K600" s="725"/>
      <c r="L600" s="725"/>
      <c r="M600" s="725"/>
      <c r="N600" s="725"/>
      <c r="O600" s="725"/>
      <c r="P600" s="725"/>
      <c r="Q600" s="725"/>
      <c r="R600" s="725"/>
      <c r="S600" s="725"/>
    </row>
    <row r="601" spans="1:19" x14ac:dyDescent="0.3">
      <c r="A601" s="725"/>
      <c r="C601" s="725"/>
      <c r="D601" s="725"/>
      <c r="E601" s="725"/>
      <c r="F601" s="741"/>
      <c r="G601" s="735"/>
      <c r="H601" s="725"/>
      <c r="I601" s="725"/>
      <c r="J601" s="725"/>
      <c r="K601" s="725"/>
      <c r="L601" s="725"/>
      <c r="M601" s="725"/>
      <c r="N601" s="725"/>
      <c r="O601" s="725"/>
      <c r="P601" s="725"/>
      <c r="Q601" s="725"/>
      <c r="R601" s="725"/>
      <c r="S601" s="725"/>
    </row>
    <row r="602" spans="1:19" x14ac:dyDescent="0.3">
      <c r="A602" s="725"/>
      <c r="C602" s="725"/>
      <c r="D602" s="725"/>
      <c r="E602" s="725"/>
      <c r="F602" s="741"/>
      <c r="G602" s="735"/>
      <c r="H602" s="725"/>
      <c r="I602" s="725"/>
      <c r="J602" s="725"/>
      <c r="K602" s="725"/>
      <c r="L602" s="725"/>
      <c r="M602" s="725"/>
      <c r="N602" s="725"/>
      <c r="O602" s="725"/>
      <c r="P602" s="725"/>
      <c r="Q602" s="725"/>
      <c r="R602" s="725"/>
      <c r="S602" s="725"/>
    </row>
    <row r="603" spans="1:19" x14ac:dyDescent="0.3">
      <c r="A603" s="725"/>
      <c r="C603" s="725"/>
      <c r="D603" s="725"/>
      <c r="E603" s="725"/>
      <c r="F603" s="741"/>
      <c r="G603" s="735"/>
      <c r="H603" s="725"/>
      <c r="I603" s="725"/>
      <c r="J603" s="725"/>
      <c r="K603" s="725"/>
      <c r="L603" s="725"/>
      <c r="M603" s="725"/>
      <c r="N603" s="725"/>
      <c r="O603" s="725"/>
      <c r="P603" s="725"/>
      <c r="Q603" s="725"/>
      <c r="R603" s="725"/>
      <c r="S603" s="725"/>
    </row>
    <row r="604" spans="1:19" x14ac:dyDescent="0.3">
      <c r="A604" s="725"/>
      <c r="C604" s="725"/>
      <c r="D604" s="725"/>
      <c r="E604" s="725"/>
      <c r="F604" s="741"/>
      <c r="G604" s="735"/>
      <c r="H604" s="725"/>
      <c r="I604" s="725"/>
      <c r="J604" s="725"/>
      <c r="K604" s="725"/>
      <c r="L604" s="725"/>
      <c r="M604" s="725"/>
      <c r="N604" s="725"/>
      <c r="O604" s="725"/>
      <c r="P604" s="725"/>
      <c r="Q604" s="725"/>
      <c r="R604" s="725"/>
      <c r="S604" s="725"/>
    </row>
    <row r="605" spans="1:19" x14ac:dyDescent="0.3">
      <c r="A605" s="725"/>
      <c r="C605" s="725"/>
      <c r="D605" s="725"/>
      <c r="E605" s="725"/>
      <c r="F605" s="741"/>
      <c r="G605" s="735"/>
      <c r="H605" s="725"/>
      <c r="I605" s="725"/>
      <c r="J605" s="725"/>
      <c r="K605" s="725"/>
      <c r="L605" s="725"/>
      <c r="M605" s="725"/>
      <c r="N605" s="725"/>
      <c r="O605" s="725"/>
      <c r="P605" s="725"/>
      <c r="Q605" s="725"/>
      <c r="R605" s="725"/>
      <c r="S605" s="725"/>
    </row>
    <row r="606" spans="1:19" x14ac:dyDescent="0.3">
      <c r="A606" s="725"/>
      <c r="C606" s="725"/>
      <c r="D606" s="725"/>
      <c r="E606" s="725"/>
      <c r="F606" s="741"/>
      <c r="G606" s="735"/>
      <c r="H606" s="725"/>
      <c r="I606" s="725"/>
      <c r="J606" s="725"/>
      <c r="K606" s="725"/>
      <c r="L606" s="725"/>
      <c r="M606" s="725"/>
      <c r="N606" s="725"/>
      <c r="O606" s="725"/>
      <c r="P606" s="725"/>
      <c r="Q606" s="725"/>
      <c r="R606" s="725"/>
      <c r="S606" s="725"/>
    </row>
    <row r="607" spans="1:19" x14ac:dyDescent="0.3">
      <c r="A607" s="725"/>
      <c r="C607" s="725"/>
      <c r="D607" s="725"/>
      <c r="E607" s="725"/>
      <c r="F607" s="741"/>
      <c r="G607" s="735"/>
      <c r="H607" s="725"/>
      <c r="I607" s="725"/>
      <c r="J607" s="725"/>
      <c r="K607" s="725"/>
      <c r="L607" s="725"/>
      <c r="M607" s="725"/>
      <c r="N607" s="725"/>
      <c r="O607" s="725"/>
      <c r="P607" s="725"/>
      <c r="Q607" s="725"/>
      <c r="R607" s="725"/>
      <c r="S607" s="725"/>
    </row>
    <row r="608" spans="1:19" x14ac:dyDescent="0.3">
      <c r="A608" s="725"/>
      <c r="C608" s="725"/>
      <c r="D608" s="725"/>
      <c r="E608" s="725"/>
      <c r="F608" s="741"/>
      <c r="G608" s="735"/>
      <c r="H608" s="725"/>
      <c r="I608" s="725"/>
      <c r="J608" s="725"/>
      <c r="K608" s="725"/>
      <c r="L608" s="725"/>
      <c r="M608" s="725"/>
      <c r="N608" s="725"/>
      <c r="O608" s="725"/>
      <c r="P608" s="725"/>
      <c r="Q608" s="725"/>
      <c r="R608" s="725"/>
      <c r="S608" s="725"/>
    </row>
    <row r="609" spans="1:19" x14ac:dyDescent="0.3">
      <c r="A609" s="725"/>
      <c r="C609" s="725"/>
      <c r="D609" s="725"/>
      <c r="E609" s="725"/>
      <c r="F609" s="741"/>
      <c r="G609" s="735"/>
      <c r="H609" s="725"/>
      <c r="I609" s="725"/>
      <c r="J609" s="725"/>
      <c r="K609" s="725"/>
      <c r="L609" s="725"/>
      <c r="M609" s="725"/>
      <c r="N609" s="725"/>
      <c r="O609" s="725"/>
      <c r="P609" s="725"/>
      <c r="Q609" s="725"/>
      <c r="R609" s="725"/>
      <c r="S609" s="725"/>
    </row>
    <row r="610" spans="1:19" x14ac:dyDescent="0.3">
      <c r="A610" s="725"/>
      <c r="C610" s="725"/>
      <c r="D610" s="725"/>
      <c r="E610" s="725"/>
      <c r="F610" s="741"/>
      <c r="G610" s="735"/>
      <c r="H610" s="725"/>
      <c r="I610" s="725"/>
      <c r="J610" s="725"/>
      <c r="K610" s="725"/>
      <c r="L610" s="725"/>
      <c r="M610" s="725"/>
      <c r="N610" s="725"/>
      <c r="O610" s="725"/>
      <c r="P610" s="725"/>
      <c r="Q610" s="725"/>
      <c r="R610" s="725"/>
      <c r="S610" s="725"/>
    </row>
    <row r="611" spans="1:19" x14ac:dyDescent="0.3">
      <c r="A611" s="725"/>
      <c r="C611" s="725"/>
      <c r="D611" s="725"/>
      <c r="E611" s="725"/>
      <c r="F611" s="741"/>
      <c r="G611" s="735"/>
      <c r="H611" s="725"/>
      <c r="I611" s="725"/>
      <c r="J611" s="725"/>
      <c r="K611" s="725"/>
      <c r="L611" s="725"/>
      <c r="M611" s="725"/>
      <c r="N611" s="725"/>
      <c r="O611" s="725"/>
      <c r="P611" s="725"/>
      <c r="Q611" s="725"/>
      <c r="R611" s="725"/>
      <c r="S611" s="725"/>
    </row>
    <row r="612" spans="1:19" x14ac:dyDescent="0.3">
      <c r="A612" s="725"/>
      <c r="C612" s="725"/>
      <c r="D612" s="725"/>
      <c r="E612" s="725"/>
      <c r="F612" s="741"/>
      <c r="G612" s="735"/>
      <c r="H612" s="725"/>
      <c r="I612" s="725"/>
      <c r="J612" s="725"/>
      <c r="K612" s="725"/>
      <c r="L612" s="725"/>
      <c r="M612" s="725"/>
      <c r="N612" s="725"/>
      <c r="O612" s="725"/>
      <c r="P612" s="725"/>
      <c r="Q612" s="725"/>
      <c r="R612" s="725"/>
      <c r="S612" s="725"/>
    </row>
    <row r="613" spans="1:19" x14ac:dyDescent="0.3">
      <c r="A613" s="725"/>
      <c r="C613" s="725"/>
      <c r="D613" s="725"/>
      <c r="E613" s="725"/>
      <c r="F613" s="741"/>
      <c r="G613" s="735"/>
      <c r="H613" s="725"/>
      <c r="I613" s="725"/>
      <c r="J613" s="725"/>
      <c r="K613" s="725"/>
      <c r="L613" s="725"/>
      <c r="M613" s="725"/>
      <c r="N613" s="725"/>
      <c r="O613" s="725"/>
      <c r="P613" s="725"/>
      <c r="Q613" s="725"/>
      <c r="R613" s="725"/>
      <c r="S613" s="725"/>
    </row>
    <row r="614" spans="1:19" x14ac:dyDescent="0.3">
      <c r="A614" s="725"/>
      <c r="C614" s="725"/>
      <c r="D614" s="725"/>
      <c r="E614" s="725"/>
      <c r="F614" s="741"/>
      <c r="G614" s="735"/>
      <c r="H614" s="725"/>
      <c r="I614" s="725"/>
      <c r="J614" s="725"/>
      <c r="K614" s="725"/>
      <c r="L614" s="725"/>
      <c r="M614" s="725"/>
      <c r="N614" s="725"/>
      <c r="O614" s="725"/>
      <c r="P614" s="725"/>
      <c r="Q614" s="725"/>
      <c r="R614" s="725"/>
      <c r="S614" s="725"/>
    </row>
    <row r="615" spans="1:19" x14ac:dyDescent="0.3">
      <c r="A615" s="725"/>
      <c r="C615" s="725"/>
      <c r="D615" s="725"/>
      <c r="E615" s="725"/>
      <c r="F615" s="741"/>
      <c r="G615" s="735"/>
      <c r="H615" s="725"/>
      <c r="I615" s="725"/>
      <c r="J615" s="725"/>
      <c r="K615" s="725"/>
      <c r="L615" s="725"/>
      <c r="M615" s="725"/>
      <c r="N615" s="725"/>
      <c r="O615" s="725"/>
      <c r="P615" s="725"/>
      <c r="Q615" s="725"/>
      <c r="R615" s="725"/>
      <c r="S615" s="725"/>
    </row>
    <row r="616" spans="1:19" x14ac:dyDescent="0.3">
      <c r="A616" s="725"/>
      <c r="C616" s="725"/>
      <c r="D616" s="725"/>
      <c r="E616" s="725"/>
      <c r="F616" s="741"/>
      <c r="G616" s="735"/>
      <c r="H616" s="725"/>
      <c r="I616" s="725"/>
      <c r="J616" s="725"/>
      <c r="K616" s="725"/>
      <c r="L616" s="725"/>
      <c r="M616" s="725"/>
      <c r="N616" s="725"/>
      <c r="O616" s="725"/>
      <c r="P616" s="725"/>
      <c r="Q616" s="725"/>
      <c r="R616" s="725"/>
      <c r="S616" s="725"/>
    </row>
    <row r="617" spans="1:19" x14ac:dyDescent="0.3">
      <c r="A617" s="725"/>
      <c r="C617" s="725"/>
      <c r="D617" s="725"/>
      <c r="E617" s="725"/>
      <c r="F617" s="741"/>
      <c r="G617" s="735"/>
      <c r="H617" s="725"/>
      <c r="I617" s="725"/>
      <c r="J617" s="725"/>
      <c r="K617" s="725"/>
      <c r="L617" s="725"/>
      <c r="M617" s="725"/>
      <c r="N617" s="725"/>
      <c r="O617" s="725"/>
      <c r="P617" s="725"/>
      <c r="Q617" s="725"/>
      <c r="R617" s="725"/>
      <c r="S617" s="725"/>
    </row>
    <row r="618" spans="1:19" x14ac:dyDescent="0.3">
      <c r="A618" s="725"/>
      <c r="C618" s="725"/>
      <c r="D618" s="725"/>
      <c r="E618" s="725"/>
      <c r="F618" s="741"/>
      <c r="G618" s="735"/>
      <c r="H618" s="725"/>
      <c r="I618" s="725"/>
      <c r="J618" s="725"/>
      <c r="K618" s="725"/>
      <c r="L618" s="725"/>
      <c r="M618" s="725"/>
      <c r="N618" s="725"/>
      <c r="O618" s="725"/>
      <c r="P618" s="725"/>
      <c r="Q618" s="725"/>
      <c r="R618" s="725"/>
      <c r="S618" s="725"/>
    </row>
    <row r="619" spans="1:19" x14ac:dyDescent="0.3">
      <c r="A619" s="725"/>
      <c r="C619" s="725"/>
      <c r="D619" s="725"/>
      <c r="E619" s="725"/>
      <c r="F619" s="741"/>
      <c r="G619" s="735"/>
      <c r="H619" s="725"/>
      <c r="I619" s="725"/>
      <c r="J619" s="725"/>
      <c r="K619" s="725"/>
      <c r="L619" s="725"/>
      <c r="M619" s="725"/>
      <c r="N619" s="725"/>
      <c r="O619" s="725"/>
      <c r="P619" s="725"/>
      <c r="Q619" s="725"/>
      <c r="R619" s="725"/>
      <c r="S619" s="725"/>
    </row>
    <row r="620" spans="1:19" x14ac:dyDescent="0.3">
      <c r="A620" s="725"/>
      <c r="C620" s="725"/>
      <c r="D620" s="725"/>
      <c r="E620" s="725"/>
      <c r="F620" s="741"/>
      <c r="G620" s="735"/>
      <c r="H620" s="725"/>
      <c r="I620" s="725"/>
      <c r="J620" s="725"/>
      <c r="K620" s="725"/>
      <c r="L620" s="725"/>
      <c r="M620" s="725"/>
      <c r="N620" s="725"/>
      <c r="O620" s="725"/>
      <c r="P620" s="725"/>
      <c r="Q620" s="725"/>
      <c r="R620" s="725"/>
      <c r="S620" s="725"/>
    </row>
    <row r="621" spans="1:19" x14ac:dyDescent="0.3">
      <c r="A621" s="725"/>
      <c r="C621" s="725"/>
      <c r="D621" s="725"/>
      <c r="E621" s="725"/>
      <c r="F621" s="741"/>
      <c r="G621" s="735"/>
      <c r="H621" s="725"/>
      <c r="I621" s="725"/>
      <c r="J621" s="725"/>
      <c r="K621" s="725"/>
      <c r="L621" s="725"/>
      <c r="M621" s="725"/>
      <c r="N621" s="725"/>
      <c r="O621" s="725"/>
      <c r="P621" s="725"/>
      <c r="Q621" s="725"/>
      <c r="R621" s="725"/>
      <c r="S621" s="725"/>
    </row>
    <row r="622" spans="1:19" x14ac:dyDescent="0.3">
      <c r="A622" s="725"/>
      <c r="C622" s="725"/>
      <c r="D622" s="725"/>
      <c r="E622" s="725"/>
      <c r="F622" s="741"/>
      <c r="G622" s="735"/>
      <c r="H622" s="725"/>
      <c r="I622" s="725"/>
      <c r="J622" s="725"/>
      <c r="K622" s="725"/>
      <c r="L622" s="725"/>
      <c r="M622" s="725"/>
      <c r="N622" s="725"/>
      <c r="O622" s="725"/>
      <c r="P622" s="725"/>
      <c r="Q622" s="725"/>
      <c r="R622" s="725"/>
      <c r="S622" s="725"/>
    </row>
    <row r="623" spans="1:19" x14ac:dyDescent="0.3">
      <c r="A623" s="725"/>
      <c r="C623" s="725"/>
      <c r="D623" s="725"/>
      <c r="E623" s="725"/>
      <c r="F623" s="741"/>
      <c r="G623" s="735"/>
      <c r="H623" s="725"/>
      <c r="I623" s="725"/>
      <c r="J623" s="725"/>
      <c r="K623" s="725"/>
      <c r="L623" s="725"/>
      <c r="M623" s="725"/>
      <c r="N623" s="725"/>
      <c r="O623" s="725"/>
      <c r="P623" s="725"/>
      <c r="Q623" s="725"/>
      <c r="R623" s="725"/>
      <c r="S623" s="725"/>
    </row>
    <row r="624" spans="1:19" x14ac:dyDescent="0.3">
      <c r="A624" s="725"/>
      <c r="C624" s="725"/>
      <c r="D624" s="725"/>
      <c r="E624" s="725"/>
      <c r="F624" s="741"/>
      <c r="G624" s="735"/>
      <c r="H624" s="725"/>
      <c r="I624" s="725"/>
      <c r="J624" s="725"/>
      <c r="K624" s="725"/>
      <c r="L624" s="725"/>
      <c r="M624" s="725"/>
      <c r="N624" s="725"/>
      <c r="O624" s="725"/>
      <c r="P624" s="725"/>
      <c r="Q624" s="725"/>
      <c r="R624" s="725"/>
      <c r="S624" s="725"/>
    </row>
    <row r="625" spans="1:19" x14ac:dyDescent="0.3">
      <c r="A625" s="725"/>
      <c r="C625" s="725"/>
      <c r="D625" s="725"/>
      <c r="E625" s="725"/>
      <c r="F625" s="741"/>
      <c r="G625" s="735"/>
      <c r="H625" s="725"/>
      <c r="I625" s="725"/>
      <c r="J625" s="725"/>
      <c r="K625" s="725"/>
      <c r="L625" s="725"/>
      <c r="M625" s="725"/>
      <c r="N625" s="725"/>
      <c r="O625" s="725"/>
      <c r="P625" s="725"/>
      <c r="Q625" s="725"/>
      <c r="R625" s="725"/>
      <c r="S625" s="725"/>
    </row>
    <row r="626" spans="1:19" x14ac:dyDescent="0.3">
      <c r="A626" s="725"/>
      <c r="C626" s="725"/>
      <c r="D626" s="725"/>
      <c r="E626" s="725"/>
      <c r="F626" s="741"/>
      <c r="G626" s="735"/>
      <c r="H626" s="725"/>
      <c r="I626" s="725"/>
      <c r="J626" s="725"/>
      <c r="K626" s="725"/>
      <c r="L626" s="725"/>
      <c r="M626" s="725"/>
      <c r="N626" s="725"/>
      <c r="O626" s="725"/>
      <c r="P626" s="725"/>
      <c r="Q626" s="725"/>
      <c r="R626" s="725"/>
      <c r="S626" s="725"/>
    </row>
    <row r="627" spans="1:19" x14ac:dyDescent="0.3">
      <c r="A627" s="725"/>
      <c r="C627" s="725"/>
      <c r="D627" s="725"/>
      <c r="E627" s="725"/>
      <c r="F627" s="741"/>
      <c r="G627" s="735"/>
      <c r="H627" s="725"/>
      <c r="I627" s="725"/>
      <c r="J627" s="725"/>
      <c r="K627" s="725"/>
      <c r="L627" s="725"/>
      <c r="M627" s="725"/>
      <c r="N627" s="725"/>
      <c r="O627" s="725"/>
      <c r="P627" s="725"/>
      <c r="Q627" s="725"/>
      <c r="R627" s="725"/>
      <c r="S627" s="725"/>
    </row>
    <row r="628" spans="1:19" x14ac:dyDescent="0.3">
      <c r="A628" s="725"/>
      <c r="C628" s="725"/>
      <c r="D628" s="725"/>
      <c r="E628" s="725"/>
      <c r="F628" s="741"/>
      <c r="G628" s="735"/>
      <c r="H628" s="725"/>
      <c r="I628" s="725"/>
      <c r="J628" s="725"/>
      <c r="K628" s="725"/>
      <c r="L628" s="725"/>
      <c r="M628" s="725"/>
      <c r="N628" s="725"/>
      <c r="O628" s="725"/>
      <c r="P628" s="725"/>
      <c r="Q628" s="725"/>
      <c r="R628" s="725"/>
      <c r="S628" s="725"/>
    </row>
    <row r="629" spans="1:19" x14ac:dyDescent="0.3">
      <c r="A629" s="725"/>
      <c r="C629" s="725"/>
      <c r="D629" s="725"/>
      <c r="E629" s="725"/>
      <c r="F629" s="741"/>
      <c r="G629" s="735"/>
      <c r="H629" s="725"/>
      <c r="I629" s="725"/>
      <c r="J629" s="725"/>
      <c r="K629" s="725"/>
      <c r="L629" s="725"/>
      <c r="M629" s="725"/>
      <c r="N629" s="725"/>
      <c r="O629" s="725"/>
      <c r="P629" s="725"/>
      <c r="Q629" s="725"/>
      <c r="R629" s="725"/>
      <c r="S629" s="725"/>
    </row>
    <row r="630" spans="1:19" x14ac:dyDescent="0.3">
      <c r="A630" s="725"/>
      <c r="C630" s="725"/>
      <c r="D630" s="725"/>
      <c r="E630" s="725"/>
      <c r="F630" s="741"/>
      <c r="G630" s="735"/>
      <c r="H630" s="725"/>
      <c r="I630" s="725"/>
      <c r="J630" s="725"/>
      <c r="K630" s="725"/>
      <c r="L630" s="725"/>
      <c r="M630" s="725"/>
      <c r="N630" s="725"/>
      <c r="O630" s="725"/>
      <c r="P630" s="725"/>
      <c r="Q630" s="725"/>
      <c r="R630" s="725"/>
      <c r="S630" s="725"/>
    </row>
    <row r="631" spans="1:19" x14ac:dyDescent="0.3">
      <c r="A631" s="725"/>
      <c r="C631" s="725"/>
      <c r="D631" s="725"/>
      <c r="E631" s="725"/>
      <c r="F631" s="741"/>
      <c r="G631" s="735"/>
      <c r="H631" s="725"/>
      <c r="I631" s="725"/>
      <c r="J631" s="725"/>
      <c r="K631" s="725"/>
      <c r="L631" s="725"/>
      <c r="M631" s="725"/>
      <c r="N631" s="725"/>
      <c r="O631" s="725"/>
      <c r="P631" s="725"/>
      <c r="Q631" s="725"/>
      <c r="R631" s="725"/>
      <c r="S631" s="725"/>
    </row>
    <row r="632" spans="1:19" x14ac:dyDescent="0.3">
      <c r="A632" s="725"/>
      <c r="C632" s="725"/>
      <c r="D632" s="725"/>
      <c r="E632" s="725"/>
      <c r="F632" s="741"/>
      <c r="G632" s="735"/>
      <c r="H632" s="725"/>
      <c r="I632" s="725"/>
      <c r="J632" s="725"/>
      <c r="K632" s="725"/>
      <c r="L632" s="725"/>
      <c r="M632" s="725"/>
      <c r="N632" s="725"/>
      <c r="O632" s="725"/>
      <c r="P632" s="725"/>
      <c r="Q632" s="725"/>
      <c r="R632" s="725"/>
      <c r="S632" s="725"/>
    </row>
    <row r="633" spans="1:19" x14ac:dyDescent="0.3">
      <c r="A633" s="725"/>
      <c r="C633" s="725"/>
      <c r="D633" s="725"/>
      <c r="E633" s="725"/>
      <c r="F633" s="741"/>
      <c r="G633" s="735"/>
      <c r="H633" s="725"/>
      <c r="I633" s="725"/>
      <c r="J633" s="725"/>
      <c r="K633" s="725"/>
      <c r="L633" s="725"/>
      <c r="M633" s="725"/>
      <c r="N633" s="725"/>
      <c r="O633" s="725"/>
      <c r="P633" s="725"/>
      <c r="Q633" s="725"/>
      <c r="R633" s="725"/>
      <c r="S633" s="725"/>
    </row>
    <row r="634" spans="1:19" x14ac:dyDescent="0.3">
      <c r="A634" s="725"/>
      <c r="C634" s="725"/>
      <c r="D634" s="725"/>
      <c r="E634" s="725"/>
      <c r="F634" s="741"/>
      <c r="G634" s="735"/>
      <c r="H634" s="725"/>
      <c r="I634" s="725"/>
      <c r="J634" s="725"/>
      <c r="K634" s="725"/>
      <c r="L634" s="725"/>
      <c r="M634" s="725"/>
      <c r="N634" s="725"/>
      <c r="O634" s="725"/>
      <c r="P634" s="725"/>
      <c r="Q634" s="725"/>
      <c r="R634" s="725"/>
      <c r="S634" s="725"/>
    </row>
    <row r="635" spans="1:19" x14ac:dyDescent="0.3">
      <c r="A635" s="725"/>
      <c r="C635" s="725"/>
      <c r="D635" s="725"/>
      <c r="E635" s="725"/>
      <c r="F635" s="741"/>
      <c r="G635" s="735"/>
      <c r="H635" s="725"/>
      <c r="I635" s="725"/>
      <c r="J635" s="725"/>
      <c r="K635" s="725"/>
      <c r="L635" s="725"/>
      <c r="M635" s="725"/>
      <c r="N635" s="725"/>
      <c r="O635" s="725"/>
      <c r="P635" s="725"/>
      <c r="Q635" s="725"/>
      <c r="R635" s="725"/>
      <c r="S635" s="725"/>
    </row>
    <row r="636" spans="1:19" x14ac:dyDescent="0.3">
      <c r="A636" s="725"/>
      <c r="C636" s="725"/>
      <c r="D636" s="725"/>
      <c r="E636" s="725"/>
      <c r="F636" s="741"/>
      <c r="G636" s="735"/>
      <c r="H636" s="725"/>
      <c r="I636" s="725"/>
      <c r="J636" s="725"/>
      <c r="K636" s="725"/>
      <c r="L636" s="725"/>
      <c r="M636" s="725"/>
      <c r="N636" s="725"/>
      <c r="O636" s="725"/>
      <c r="P636" s="725"/>
      <c r="Q636" s="725"/>
      <c r="R636" s="725"/>
      <c r="S636" s="725"/>
    </row>
    <row r="637" spans="1:19" x14ac:dyDescent="0.3">
      <c r="A637" s="725"/>
      <c r="C637" s="725"/>
      <c r="D637" s="725"/>
      <c r="E637" s="725"/>
      <c r="F637" s="741"/>
      <c r="G637" s="735"/>
      <c r="H637" s="725"/>
      <c r="I637" s="725"/>
      <c r="J637" s="725"/>
      <c r="K637" s="725"/>
      <c r="L637" s="725"/>
      <c r="M637" s="725"/>
      <c r="N637" s="725"/>
      <c r="O637" s="725"/>
      <c r="P637" s="725"/>
      <c r="Q637" s="725"/>
      <c r="R637" s="725"/>
      <c r="S637" s="725"/>
    </row>
    <row r="638" spans="1:19" x14ac:dyDescent="0.3">
      <c r="A638" s="725"/>
      <c r="C638" s="725"/>
      <c r="D638" s="725"/>
      <c r="E638" s="725"/>
      <c r="F638" s="741"/>
      <c r="G638" s="735"/>
      <c r="H638" s="725"/>
      <c r="I638" s="725"/>
      <c r="J638" s="725"/>
      <c r="K638" s="725"/>
      <c r="L638" s="725"/>
      <c r="M638" s="725"/>
      <c r="N638" s="725"/>
      <c r="O638" s="725"/>
      <c r="P638" s="725"/>
      <c r="Q638" s="725"/>
      <c r="R638" s="725"/>
      <c r="S638" s="725"/>
    </row>
    <row r="639" spans="1:19" x14ac:dyDescent="0.3">
      <c r="A639" s="725"/>
      <c r="C639" s="725"/>
      <c r="D639" s="725"/>
      <c r="E639" s="725"/>
      <c r="F639" s="741"/>
      <c r="G639" s="735"/>
      <c r="H639" s="725"/>
      <c r="I639" s="725"/>
      <c r="J639" s="725"/>
      <c r="K639" s="725"/>
      <c r="L639" s="725"/>
      <c r="M639" s="725"/>
      <c r="N639" s="725"/>
      <c r="O639" s="725"/>
      <c r="P639" s="725"/>
      <c r="Q639" s="725"/>
      <c r="R639" s="725"/>
      <c r="S639" s="725"/>
    </row>
    <row r="640" spans="1:19" x14ac:dyDescent="0.3">
      <c r="A640" s="725"/>
      <c r="C640" s="725"/>
      <c r="D640" s="725"/>
      <c r="E640" s="725"/>
      <c r="F640" s="741"/>
      <c r="G640" s="735"/>
      <c r="H640" s="725"/>
      <c r="I640" s="725"/>
      <c r="J640" s="725"/>
      <c r="K640" s="725"/>
      <c r="L640" s="725"/>
      <c r="M640" s="725"/>
      <c r="N640" s="725"/>
      <c r="O640" s="725"/>
      <c r="P640" s="725"/>
      <c r="Q640" s="725"/>
      <c r="R640" s="725"/>
      <c r="S640" s="725"/>
    </row>
    <row r="641" spans="1:19" x14ac:dyDescent="0.3">
      <c r="A641" s="725"/>
      <c r="C641" s="725"/>
      <c r="D641" s="725"/>
      <c r="E641" s="725"/>
      <c r="F641" s="741"/>
      <c r="G641" s="735"/>
      <c r="H641" s="725"/>
      <c r="I641" s="725"/>
      <c r="J641" s="725"/>
      <c r="K641" s="725"/>
      <c r="L641" s="725"/>
      <c r="M641" s="725"/>
      <c r="N641" s="725"/>
      <c r="O641" s="725"/>
      <c r="P641" s="725"/>
      <c r="Q641" s="725"/>
      <c r="R641" s="725"/>
      <c r="S641" s="725"/>
    </row>
    <row r="642" spans="1:19" x14ac:dyDescent="0.3">
      <c r="A642" s="725"/>
      <c r="C642" s="725"/>
      <c r="D642" s="725"/>
      <c r="E642" s="725"/>
      <c r="F642" s="741"/>
      <c r="G642" s="735"/>
      <c r="H642" s="725"/>
      <c r="I642" s="725"/>
      <c r="J642" s="725"/>
      <c r="K642" s="725"/>
      <c r="L642" s="725"/>
      <c r="M642" s="725"/>
      <c r="N642" s="725"/>
      <c r="O642" s="725"/>
      <c r="P642" s="725"/>
      <c r="Q642" s="725"/>
      <c r="R642" s="725"/>
      <c r="S642" s="725"/>
    </row>
    <row r="643" spans="1:19" x14ac:dyDescent="0.3">
      <c r="A643" s="725"/>
      <c r="C643" s="725"/>
      <c r="D643" s="725"/>
      <c r="E643" s="725"/>
      <c r="F643" s="741"/>
      <c r="G643" s="735"/>
      <c r="H643" s="725"/>
      <c r="I643" s="725"/>
      <c r="J643" s="725"/>
      <c r="K643" s="725"/>
      <c r="L643" s="725"/>
      <c r="M643" s="725"/>
      <c r="N643" s="725"/>
      <c r="O643" s="725"/>
      <c r="P643" s="725"/>
      <c r="Q643" s="725"/>
      <c r="R643" s="725"/>
      <c r="S643" s="725"/>
    </row>
    <row r="644" spans="1:19" x14ac:dyDescent="0.3">
      <c r="A644" s="725"/>
      <c r="C644" s="725"/>
      <c r="D644" s="725"/>
      <c r="E644" s="725"/>
      <c r="F644" s="741"/>
      <c r="G644" s="735"/>
      <c r="H644" s="725"/>
      <c r="I644" s="725"/>
      <c r="J644" s="725"/>
      <c r="K644" s="725"/>
      <c r="L644" s="725"/>
      <c r="M644" s="725"/>
      <c r="N644" s="725"/>
      <c r="O644" s="725"/>
      <c r="P644" s="725"/>
      <c r="Q644" s="725"/>
      <c r="R644" s="725"/>
      <c r="S644" s="725"/>
    </row>
    <row r="645" spans="1:19" x14ac:dyDescent="0.3">
      <c r="A645" s="725"/>
      <c r="C645" s="725"/>
      <c r="D645" s="725"/>
      <c r="E645" s="725"/>
      <c r="F645" s="741"/>
      <c r="G645" s="735"/>
      <c r="H645" s="725"/>
      <c r="I645" s="725"/>
      <c r="J645" s="725"/>
      <c r="K645" s="725"/>
      <c r="L645" s="725"/>
      <c r="M645" s="725"/>
      <c r="N645" s="725"/>
      <c r="O645" s="725"/>
      <c r="P645" s="725"/>
      <c r="Q645" s="725"/>
      <c r="R645" s="725"/>
      <c r="S645" s="725"/>
    </row>
    <row r="646" spans="1:19" x14ac:dyDescent="0.3">
      <c r="A646" s="725"/>
      <c r="C646" s="725"/>
      <c r="D646" s="725"/>
      <c r="E646" s="725"/>
      <c r="F646" s="741"/>
      <c r="G646" s="735"/>
      <c r="H646" s="725"/>
      <c r="I646" s="725"/>
      <c r="J646" s="725"/>
      <c r="K646" s="725"/>
      <c r="L646" s="725"/>
      <c r="M646" s="725"/>
      <c r="N646" s="725"/>
      <c r="O646" s="725"/>
      <c r="P646" s="725"/>
      <c r="Q646" s="725"/>
      <c r="R646" s="725"/>
      <c r="S646" s="725"/>
    </row>
    <row r="647" spans="1:19" x14ac:dyDescent="0.3">
      <c r="A647" s="725"/>
      <c r="C647" s="725"/>
      <c r="D647" s="725"/>
      <c r="E647" s="725"/>
      <c r="F647" s="741"/>
      <c r="G647" s="735"/>
      <c r="H647" s="725"/>
      <c r="I647" s="725"/>
      <c r="J647" s="725"/>
      <c r="K647" s="725"/>
      <c r="L647" s="725"/>
      <c r="M647" s="725"/>
      <c r="N647" s="725"/>
      <c r="O647" s="725"/>
      <c r="P647" s="725"/>
      <c r="Q647" s="725"/>
      <c r="R647" s="725"/>
      <c r="S647" s="725"/>
    </row>
    <row r="648" spans="1:19" x14ac:dyDescent="0.3">
      <c r="A648" s="725"/>
      <c r="C648" s="725"/>
      <c r="D648" s="725"/>
      <c r="E648" s="725"/>
      <c r="F648" s="741"/>
      <c r="G648" s="735"/>
      <c r="H648" s="725"/>
      <c r="I648" s="725"/>
      <c r="J648" s="725"/>
      <c r="K648" s="725"/>
      <c r="L648" s="725"/>
      <c r="M648" s="725"/>
      <c r="N648" s="725"/>
      <c r="O648" s="725"/>
      <c r="P648" s="725"/>
      <c r="Q648" s="725"/>
      <c r="R648" s="725"/>
      <c r="S648" s="725"/>
    </row>
    <row r="649" spans="1:19" x14ac:dyDescent="0.3">
      <c r="A649" s="725"/>
      <c r="C649" s="725"/>
      <c r="D649" s="725"/>
      <c r="E649" s="725"/>
      <c r="F649" s="741"/>
      <c r="G649" s="735"/>
      <c r="H649" s="725"/>
      <c r="I649" s="725"/>
      <c r="J649" s="725"/>
      <c r="K649" s="725"/>
      <c r="L649" s="725"/>
      <c r="M649" s="725"/>
      <c r="N649" s="725"/>
      <c r="O649" s="725"/>
      <c r="P649" s="725"/>
      <c r="Q649" s="725"/>
      <c r="R649" s="725"/>
      <c r="S649" s="725"/>
    </row>
    <row r="650" spans="1:19" x14ac:dyDescent="0.3">
      <c r="A650" s="725"/>
      <c r="C650" s="725"/>
      <c r="D650" s="725"/>
      <c r="E650" s="725"/>
      <c r="F650" s="741"/>
      <c r="G650" s="735"/>
      <c r="H650" s="725"/>
      <c r="I650" s="725"/>
      <c r="J650" s="725"/>
      <c r="K650" s="725"/>
      <c r="L650" s="725"/>
      <c r="M650" s="725"/>
      <c r="N650" s="725"/>
      <c r="O650" s="725"/>
      <c r="P650" s="725"/>
      <c r="Q650" s="725"/>
      <c r="R650" s="725"/>
      <c r="S650" s="725"/>
    </row>
    <row r="651" spans="1:19" x14ac:dyDescent="0.3">
      <c r="A651" s="725"/>
      <c r="C651" s="725"/>
      <c r="D651" s="725"/>
      <c r="E651" s="725"/>
      <c r="F651" s="741"/>
      <c r="G651" s="735"/>
      <c r="H651" s="725"/>
      <c r="I651" s="725"/>
      <c r="J651" s="725"/>
      <c r="K651" s="725"/>
      <c r="L651" s="725"/>
      <c r="M651" s="725"/>
      <c r="N651" s="725"/>
      <c r="O651" s="725"/>
      <c r="P651" s="725"/>
      <c r="Q651" s="725"/>
      <c r="R651" s="725"/>
      <c r="S651" s="725"/>
    </row>
    <row r="652" spans="1:19" x14ac:dyDescent="0.3">
      <c r="A652" s="725"/>
      <c r="C652" s="725"/>
      <c r="D652" s="725"/>
      <c r="E652" s="725"/>
      <c r="F652" s="741"/>
      <c r="G652" s="735"/>
      <c r="H652" s="725"/>
      <c r="I652" s="725"/>
      <c r="J652" s="725"/>
      <c r="K652" s="725"/>
      <c r="L652" s="725"/>
      <c r="M652" s="725"/>
      <c r="N652" s="725"/>
      <c r="O652" s="725"/>
      <c r="P652" s="725"/>
      <c r="Q652" s="725"/>
      <c r="R652" s="725"/>
      <c r="S652" s="725"/>
    </row>
    <row r="653" spans="1:19" x14ac:dyDescent="0.3">
      <c r="A653" s="725"/>
      <c r="C653" s="725"/>
      <c r="D653" s="725"/>
      <c r="E653" s="725"/>
      <c r="F653" s="741"/>
      <c r="G653" s="735"/>
      <c r="H653" s="725"/>
      <c r="I653" s="725"/>
      <c r="J653" s="725"/>
      <c r="K653" s="725"/>
      <c r="L653" s="725"/>
      <c r="M653" s="725"/>
      <c r="N653" s="725"/>
      <c r="O653" s="725"/>
      <c r="P653" s="725"/>
      <c r="Q653" s="725"/>
      <c r="R653" s="725"/>
      <c r="S653" s="725"/>
    </row>
    <row r="654" spans="1:19" x14ac:dyDescent="0.3">
      <c r="A654" s="725"/>
      <c r="C654" s="725"/>
      <c r="D654" s="725"/>
      <c r="E654" s="725"/>
      <c r="F654" s="741"/>
      <c r="G654" s="735"/>
      <c r="H654" s="725"/>
      <c r="I654" s="725"/>
      <c r="J654" s="725"/>
      <c r="K654" s="725"/>
      <c r="L654" s="725"/>
      <c r="M654" s="725"/>
      <c r="N654" s="725"/>
      <c r="O654" s="725"/>
      <c r="P654" s="725"/>
      <c r="Q654" s="725"/>
      <c r="R654" s="725"/>
      <c r="S654" s="725"/>
    </row>
    <row r="655" spans="1:19" x14ac:dyDescent="0.3">
      <c r="A655" s="725"/>
      <c r="C655" s="725"/>
      <c r="D655" s="725"/>
      <c r="E655" s="725"/>
      <c r="F655" s="741"/>
      <c r="G655" s="735"/>
      <c r="H655" s="725"/>
      <c r="I655" s="725"/>
      <c r="J655" s="725"/>
      <c r="K655" s="725"/>
      <c r="L655" s="725"/>
      <c r="M655" s="725"/>
      <c r="N655" s="725"/>
      <c r="O655" s="725"/>
      <c r="P655" s="725"/>
      <c r="Q655" s="725"/>
      <c r="R655" s="725"/>
      <c r="S655" s="725"/>
    </row>
    <row r="656" spans="1:19" x14ac:dyDescent="0.3">
      <c r="A656" s="725"/>
      <c r="C656" s="725"/>
      <c r="D656" s="725"/>
      <c r="E656" s="725"/>
      <c r="F656" s="741"/>
      <c r="G656" s="735"/>
      <c r="H656" s="725"/>
      <c r="I656" s="725"/>
      <c r="J656" s="725"/>
      <c r="K656" s="725"/>
      <c r="L656" s="725"/>
      <c r="M656" s="725"/>
      <c r="N656" s="725"/>
      <c r="O656" s="725"/>
      <c r="P656" s="725"/>
      <c r="Q656" s="725"/>
      <c r="R656" s="725"/>
      <c r="S656" s="725"/>
    </row>
    <row r="657" spans="1:19" x14ac:dyDescent="0.3">
      <c r="A657" s="725"/>
      <c r="C657" s="725"/>
      <c r="D657" s="725"/>
      <c r="E657" s="725"/>
      <c r="F657" s="741"/>
      <c r="G657" s="735"/>
      <c r="H657" s="725"/>
      <c r="I657" s="725"/>
      <c r="J657" s="725"/>
      <c r="K657" s="725"/>
      <c r="L657" s="725"/>
      <c r="M657" s="725"/>
      <c r="N657" s="725"/>
      <c r="O657" s="725"/>
      <c r="P657" s="725"/>
      <c r="Q657" s="725"/>
      <c r="R657" s="725"/>
      <c r="S657" s="725"/>
    </row>
    <row r="658" spans="1:19" x14ac:dyDescent="0.3">
      <c r="A658" s="725"/>
      <c r="C658" s="725"/>
      <c r="D658" s="725"/>
      <c r="E658" s="725"/>
      <c r="F658" s="741"/>
      <c r="G658" s="735"/>
      <c r="H658" s="725"/>
      <c r="I658" s="725"/>
      <c r="J658" s="725"/>
      <c r="K658" s="725"/>
      <c r="L658" s="725"/>
      <c r="M658" s="725"/>
      <c r="N658" s="725"/>
      <c r="O658" s="725"/>
      <c r="P658" s="725"/>
      <c r="Q658" s="725"/>
      <c r="R658" s="725"/>
      <c r="S658" s="725"/>
    </row>
    <row r="659" spans="1:19" x14ac:dyDescent="0.3">
      <c r="A659" s="725"/>
      <c r="C659" s="725"/>
      <c r="D659" s="725"/>
      <c r="E659" s="725"/>
      <c r="F659" s="741"/>
      <c r="G659" s="735"/>
      <c r="H659" s="725"/>
      <c r="I659" s="725"/>
      <c r="J659" s="725"/>
      <c r="K659" s="725"/>
      <c r="L659" s="725"/>
      <c r="M659" s="725"/>
      <c r="N659" s="725"/>
      <c r="O659" s="725"/>
      <c r="P659" s="725"/>
      <c r="Q659" s="725"/>
      <c r="R659" s="725"/>
      <c r="S659" s="725"/>
    </row>
    <row r="660" spans="1:19" x14ac:dyDescent="0.3">
      <c r="A660" s="725"/>
      <c r="C660" s="725"/>
      <c r="D660" s="725"/>
      <c r="E660" s="725"/>
      <c r="F660" s="741"/>
      <c r="G660" s="735"/>
      <c r="H660" s="725"/>
      <c r="I660" s="725"/>
      <c r="J660" s="725"/>
      <c r="K660" s="725"/>
      <c r="L660" s="725"/>
      <c r="M660" s="725"/>
      <c r="N660" s="725"/>
      <c r="O660" s="725"/>
      <c r="P660" s="725"/>
      <c r="Q660" s="725"/>
      <c r="R660" s="725"/>
      <c r="S660" s="725"/>
    </row>
    <row r="661" spans="1:19" x14ac:dyDescent="0.3">
      <c r="A661" s="725"/>
      <c r="C661" s="725"/>
      <c r="D661" s="725"/>
      <c r="E661" s="725"/>
      <c r="F661" s="741"/>
      <c r="G661" s="735"/>
      <c r="H661" s="725"/>
      <c r="I661" s="725"/>
      <c r="J661" s="725"/>
      <c r="K661" s="725"/>
      <c r="L661" s="725"/>
      <c r="M661" s="725"/>
      <c r="N661" s="725"/>
      <c r="O661" s="725"/>
      <c r="P661" s="725"/>
      <c r="Q661" s="725"/>
      <c r="R661" s="725"/>
      <c r="S661" s="725"/>
    </row>
    <row r="662" spans="1:19" x14ac:dyDescent="0.3">
      <c r="A662" s="725"/>
      <c r="C662" s="725"/>
      <c r="D662" s="725"/>
      <c r="E662" s="725"/>
      <c r="F662" s="741"/>
      <c r="G662" s="735"/>
      <c r="H662" s="725"/>
      <c r="I662" s="725"/>
      <c r="J662" s="725"/>
      <c r="K662" s="725"/>
      <c r="L662" s="725"/>
      <c r="M662" s="725"/>
      <c r="N662" s="725"/>
      <c r="O662" s="725"/>
      <c r="P662" s="725"/>
      <c r="Q662" s="725"/>
      <c r="R662" s="725"/>
      <c r="S662" s="725"/>
    </row>
    <row r="663" spans="1:19" x14ac:dyDescent="0.3">
      <c r="A663" s="725"/>
      <c r="C663" s="725"/>
      <c r="D663" s="725"/>
      <c r="E663" s="725"/>
      <c r="F663" s="741"/>
      <c r="G663" s="735"/>
      <c r="H663" s="725"/>
      <c r="I663" s="725"/>
      <c r="J663" s="725"/>
      <c r="K663" s="725"/>
      <c r="L663" s="725"/>
      <c r="M663" s="725"/>
      <c r="N663" s="725"/>
      <c r="O663" s="725"/>
      <c r="P663" s="725"/>
      <c r="Q663" s="725"/>
      <c r="R663" s="725"/>
      <c r="S663" s="725"/>
    </row>
    <row r="664" spans="1:19" x14ac:dyDescent="0.3">
      <c r="A664" s="725"/>
      <c r="C664" s="725"/>
      <c r="D664" s="725"/>
      <c r="E664" s="725"/>
      <c r="F664" s="741"/>
      <c r="G664" s="735"/>
      <c r="H664" s="725"/>
      <c r="I664" s="725"/>
      <c r="J664" s="725"/>
      <c r="K664" s="725"/>
      <c r="L664" s="725"/>
      <c r="M664" s="725"/>
      <c r="N664" s="725"/>
      <c r="O664" s="725"/>
      <c r="P664" s="725"/>
      <c r="Q664" s="725"/>
      <c r="R664" s="725"/>
      <c r="S664" s="725"/>
    </row>
    <row r="665" spans="1:19" x14ac:dyDescent="0.3">
      <c r="A665" s="725"/>
      <c r="C665" s="725"/>
      <c r="D665" s="725"/>
      <c r="E665" s="725"/>
      <c r="F665" s="741"/>
      <c r="G665" s="735"/>
      <c r="H665" s="725"/>
      <c r="I665" s="725"/>
      <c r="J665" s="725"/>
      <c r="K665" s="725"/>
      <c r="L665" s="725"/>
      <c r="M665" s="725"/>
      <c r="N665" s="725"/>
      <c r="O665" s="725"/>
      <c r="P665" s="725"/>
      <c r="Q665" s="725"/>
      <c r="R665" s="725"/>
      <c r="S665" s="725"/>
    </row>
    <row r="666" spans="1:19" x14ac:dyDescent="0.3">
      <c r="A666" s="725"/>
      <c r="C666" s="725"/>
      <c r="D666" s="725"/>
      <c r="E666" s="725"/>
      <c r="F666" s="741"/>
      <c r="G666" s="735"/>
      <c r="H666" s="725"/>
      <c r="I666" s="725"/>
      <c r="J666" s="725"/>
      <c r="K666" s="725"/>
      <c r="L666" s="725"/>
      <c r="M666" s="725"/>
      <c r="N666" s="725"/>
      <c r="O666" s="725"/>
      <c r="P666" s="725"/>
      <c r="Q666" s="725"/>
      <c r="R666" s="725"/>
      <c r="S666" s="725"/>
    </row>
    <row r="667" spans="1:19" x14ac:dyDescent="0.3">
      <c r="A667" s="725"/>
      <c r="C667" s="725"/>
      <c r="D667" s="725"/>
      <c r="E667" s="725"/>
      <c r="F667" s="741"/>
      <c r="G667" s="735"/>
      <c r="H667" s="725"/>
      <c r="I667" s="725"/>
      <c r="J667" s="725"/>
      <c r="K667" s="725"/>
      <c r="L667" s="725"/>
      <c r="M667" s="725"/>
      <c r="N667" s="725"/>
      <c r="O667" s="725"/>
      <c r="P667" s="725"/>
      <c r="Q667" s="725"/>
      <c r="R667" s="725"/>
      <c r="S667" s="725"/>
    </row>
    <row r="668" spans="1:19" x14ac:dyDescent="0.3">
      <c r="A668" s="725"/>
      <c r="C668" s="725"/>
      <c r="D668" s="725"/>
      <c r="E668" s="725"/>
      <c r="F668" s="741"/>
      <c r="G668" s="735"/>
      <c r="H668" s="725"/>
      <c r="I668" s="725"/>
      <c r="J668" s="725"/>
      <c r="K668" s="725"/>
      <c r="L668" s="725"/>
      <c r="M668" s="725"/>
      <c r="N668" s="725"/>
      <c r="O668" s="725"/>
      <c r="P668" s="725"/>
      <c r="Q668" s="725"/>
      <c r="R668" s="725"/>
      <c r="S668" s="725"/>
    </row>
    <row r="669" spans="1:19" x14ac:dyDescent="0.3">
      <c r="A669" s="725"/>
      <c r="C669" s="725"/>
      <c r="D669" s="725"/>
      <c r="E669" s="725"/>
      <c r="F669" s="741"/>
      <c r="G669" s="735"/>
      <c r="H669" s="725"/>
      <c r="I669" s="725"/>
      <c r="J669" s="725"/>
      <c r="K669" s="725"/>
      <c r="L669" s="725"/>
      <c r="M669" s="725"/>
      <c r="N669" s="725"/>
      <c r="O669" s="725"/>
      <c r="P669" s="725"/>
      <c r="Q669" s="725"/>
      <c r="R669" s="725"/>
      <c r="S669" s="725"/>
    </row>
    <row r="670" spans="1:19" x14ac:dyDescent="0.3">
      <c r="A670" s="725"/>
      <c r="C670" s="725"/>
      <c r="D670" s="725"/>
      <c r="E670" s="725"/>
      <c r="F670" s="741"/>
      <c r="G670" s="735"/>
      <c r="H670" s="725"/>
      <c r="I670" s="725"/>
      <c r="J670" s="725"/>
      <c r="K670" s="725"/>
      <c r="L670" s="725"/>
      <c r="M670" s="725"/>
      <c r="N670" s="725"/>
      <c r="O670" s="725"/>
      <c r="P670" s="725"/>
      <c r="Q670" s="725"/>
      <c r="R670" s="725"/>
      <c r="S670" s="725"/>
    </row>
    <row r="671" spans="1:19" x14ac:dyDescent="0.3">
      <c r="A671" s="725"/>
      <c r="C671" s="725"/>
      <c r="D671" s="725"/>
      <c r="E671" s="725"/>
      <c r="F671" s="741"/>
      <c r="G671" s="735"/>
      <c r="H671" s="725"/>
      <c r="I671" s="725"/>
      <c r="J671" s="725"/>
      <c r="K671" s="725"/>
      <c r="L671" s="725"/>
      <c r="M671" s="725"/>
      <c r="N671" s="725"/>
      <c r="O671" s="725"/>
      <c r="P671" s="725"/>
      <c r="Q671" s="725"/>
      <c r="R671" s="725"/>
      <c r="S671" s="725"/>
    </row>
    <row r="672" spans="1:19" x14ac:dyDescent="0.3">
      <c r="A672" s="725"/>
      <c r="C672" s="725"/>
      <c r="D672" s="725"/>
      <c r="E672" s="725"/>
      <c r="F672" s="741"/>
      <c r="G672" s="735"/>
      <c r="H672" s="725"/>
      <c r="I672" s="725"/>
      <c r="J672" s="725"/>
      <c r="K672" s="725"/>
      <c r="L672" s="725"/>
      <c r="M672" s="725"/>
      <c r="N672" s="725"/>
      <c r="O672" s="725"/>
      <c r="P672" s="725"/>
      <c r="Q672" s="725"/>
      <c r="R672" s="725"/>
      <c r="S672" s="725"/>
    </row>
    <row r="673" spans="1:19" x14ac:dyDescent="0.3">
      <c r="A673" s="725"/>
      <c r="C673" s="725"/>
      <c r="D673" s="725"/>
      <c r="E673" s="725"/>
      <c r="F673" s="741"/>
      <c r="G673" s="735"/>
      <c r="H673" s="725"/>
      <c r="I673" s="725"/>
      <c r="J673" s="725"/>
      <c r="K673" s="725"/>
      <c r="L673" s="725"/>
      <c r="M673" s="725"/>
      <c r="N673" s="725"/>
      <c r="O673" s="725"/>
      <c r="P673" s="725"/>
      <c r="Q673" s="725"/>
      <c r="R673" s="725"/>
      <c r="S673" s="725"/>
    </row>
    <row r="674" spans="1:19" x14ac:dyDescent="0.3">
      <c r="A674" s="725"/>
      <c r="C674" s="725"/>
      <c r="D674" s="725"/>
      <c r="E674" s="725"/>
      <c r="F674" s="741"/>
      <c r="G674" s="735"/>
      <c r="H674" s="725"/>
      <c r="I674" s="725"/>
      <c r="J674" s="725"/>
      <c r="K674" s="725"/>
      <c r="L674" s="725"/>
      <c r="M674" s="725"/>
      <c r="N674" s="725"/>
      <c r="O674" s="725"/>
      <c r="P674" s="725"/>
      <c r="Q674" s="725"/>
      <c r="R674" s="725"/>
      <c r="S674" s="725"/>
    </row>
    <row r="675" spans="1:19" x14ac:dyDescent="0.3">
      <c r="A675" s="725"/>
      <c r="C675" s="725"/>
      <c r="D675" s="725"/>
      <c r="E675" s="725"/>
      <c r="F675" s="741"/>
      <c r="G675" s="735"/>
      <c r="H675" s="725"/>
      <c r="I675" s="725"/>
      <c r="J675" s="725"/>
      <c r="K675" s="725"/>
      <c r="L675" s="725"/>
      <c r="M675" s="725"/>
      <c r="N675" s="725"/>
      <c r="O675" s="725"/>
      <c r="P675" s="725"/>
      <c r="Q675" s="725"/>
      <c r="R675" s="725"/>
      <c r="S675" s="725"/>
    </row>
    <row r="676" spans="1:19" x14ac:dyDescent="0.3">
      <c r="A676" s="725"/>
      <c r="C676" s="725"/>
      <c r="D676" s="725"/>
      <c r="E676" s="725"/>
      <c r="F676" s="741"/>
      <c r="G676" s="735"/>
      <c r="H676" s="725"/>
      <c r="I676" s="725"/>
      <c r="J676" s="725"/>
      <c r="K676" s="725"/>
      <c r="L676" s="725"/>
      <c r="M676" s="725"/>
      <c r="N676" s="725"/>
      <c r="O676" s="725"/>
      <c r="P676" s="725"/>
      <c r="Q676" s="725"/>
      <c r="R676" s="725"/>
      <c r="S676" s="725"/>
    </row>
    <row r="677" spans="1:19" x14ac:dyDescent="0.3">
      <c r="A677" s="725"/>
      <c r="C677" s="725"/>
      <c r="D677" s="725"/>
      <c r="E677" s="725"/>
      <c r="F677" s="741"/>
      <c r="G677" s="735"/>
      <c r="H677" s="725"/>
      <c r="I677" s="725"/>
      <c r="J677" s="725"/>
      <c r="K677" s="725"/>
      <c r="L677" s="725"/>
      <c r="M677" s="725"/>
      <c r="N677" s="725"/>
      <c r="O677" s="725"/>
      <c r="P677" s="725"/>
      <c r="Q677" s="725"/>
      <c r="R677" s="725"/>
      <c r="S677" s="725"/>
    </row>
    <row r="678" spans="1:19" x14ac:dyDescent="0.3">
      <c r="A678" s="725"/>
      <c r="C678" s="725"/>
      <c r="D678" s="725"/>
      <c r="E678" s="725"/>
      <c r="F678" s="741"/>
      <c r="G678" s="735"/>
      <c r="H678" s="725"/>
      <c r="I678" s="725"/>
      <c r="J678" s="725"/>
      <c r="K678" s="725"/>
      <c r="L678" s="725"/>
      <c r="M678" s="725"/>
      <c r="N678" s="725"/>
      <c r="O678" s="725"/>
      <c r="P678" s="725"/>
      <c r="Q678" s="725"/>
      <c r="R678" s="725"/>
      <c r="S678" s="725"/>
    </row>
    <row r="679" spans="1:19" x14ac:dyDescent="0.3">
      <c r="A679" s="725"/>
      <c r="C679" s="725"/>
      <c r="D679" s="725"/>
      <c r="E679" s="725"/>
      <c r="F679" s="741"/>
      <c r="G679" s="735"/>
      <c r="H679" s="725"/>
      <c r="I679" s="725"/>
      <c r="J679" s="725"/>
      <c r="K679" s="725"/>
      <c r="L679" s="725"/>
      <c r="M679" s="725"/>
      <c r="N679" s="725"/>
      <c r="O679" s="725"/>
      <c r="P679" s="725"/>
      <c r="Q679" s="725"/>
      <c r="R679" s="725"/>
      <c r="S679" s="725"/>
    </row>
    <row r="680" spans="1:19" x14ac:dyDescent="0.3">
      <c r="A680" s="725"/>
      <c r="C680" s="725"/>
      <c r="D680" s="725"/>
      <c r="E680" s="725"/>
      <c r="F680" s="741"/>
      <c r="G680" s="735"/>
      <c r="H680" s="725"/>
      <c r="I680" s="725"/>
      <c r="J680" s="725"/>
      <c r="K680" s="725"/>
      <c r="L680" s="725"/>
      <c r="M680" s="725"/>
      <c r="N680" s="725"/>
      <c r="O680" s="725"/>
      <c r="P680" s="725"/>
      <c r="Q680" s="725"/>
      <c r="R680" s="725"/>
      <c r="S680" s="725"/>
    </row>
    <row r="681" spans="1:19" x14ac:dyDescent="0.3">
      <c r="A681" s="725"/>
      <c r="C681" s="725"/>
      <c r="D681" s="725"/>
      <c r="E681" s="725"/>
      <c r="F681" s="741"/>
      <c r="G681" s="735"/>
      <c r="H681" s="725"/>
      <c r="I681" s="725"/>
      <c r="J681" s="725"/>
      <c r="K681" s="725"/>
      <c r="L681" s="725"/>
      <c r="M681" s="725"/>
      <c r="N681" s="725"/>
      <c r="O681" s="725"/>
      <c r="P681" s="725"/>
      <c r="Q681" s="725"/>
      <c r="R681" s="725"/>
      <c r="S681" s="725"/>
    </row>
    <row r="682" spans="1:19" x14ac:dyDescent="0.3">
      <c r="A682" s="725"/>
      <c r="C682" s="725"/>
      <c r="D682" s="725"/>
      <c r="E682" s="725"/>
      <c r="F682" s="741"/>
      <c r="G682" s="735"/>
      <c r="H682" s="725"/>
      <c r="I682" s="725"/>
      <c r="J682" s="725"/>
      <c r="K682" s="725"/>
      <c r="L682" s="725"/>
      <c r="M682" s="725"/>
      <c r="N682" s="725"/>
      <c r="O682" s="725"/>
      <c r="P682" s="725"/>
      <c r="Q682" s="725"/>
      <c r="R682" s="725"/>
      <c r="S682" s="725"/>
    </row>
    <row r="683" spans="1:19" x14ac:dyDescent="0.3">
      <c r="A683" s="725"/>
      <c r="C683" s="725"/>
      <c r="D683" s="725"/>
      <c r="E683" s="725"/>
      <c r="F683" s="741"/>
      <c r="G683" s="735"/>
      <c r="H683" s="725"/>
      <c r="I683" s="725"/>
      <c r="J683" s="725"/>
      <c r="K683" s="725"/>
      <c r="L683" s="725"/>
      <c r="M683" s="725"/>
      <c r="N683" s="725"/>
      <c r="O683" s="725"/>
      <c r="P683" s="725"/>
      <c r="Q683" s="725"/>
      <c r="R683" s="725"/>
      <c r="S683" s="725"/>
    </row>
    <row r="684" spans="1:19" x14ac:dyDescent="0.3">
      <c r="A684" s="725"/>
      <c r="C684" s="725"/>
      <c r="D684" s="725"/>
      <c r="E684" s="725"/>
      <c r="F684" s="741"/>
      <c r="G684" s="735"/>
      <c r="H684" s="725"/>
      <c r="I684" s="725"/>
      <c r="J684" s="725"/>
      <c r="K684" s="725"/>
      <c r="L684" s="725"/>
      <c r="M684" s="725"/>
      <c r="N684" s="725"/>
      <c r="O684" s="725"/>
      <c r="P684" s="725"/>
      <c r="Q684" s="725"/>
      <c r="R684" s="725"/>
      <c r="S684" s="725"/>
    </row>
    <row r="685" spans="1:19" x14ac:dyDescent="0.3">
      <c r="A685" s="725"/>
      <c r="C685" s="725"/>
      <c r="D685" s="725"/>
      <c r="E685" s="725"/>
      <c r="F685" s="741"/>
      <c r="G685" s="735"/>
      <c r="H685" s="725"/>
      <c r="I685" s="725"/>
      <c r="J685" s="725"/>
      <c r="K685" s="725"/>
      <c r="L685" s="725"/>
      <c r="M685" s="725"/>
      <c r="N685" s="725"/>
      <c r="O685" s="725"/>
      <c r="P685" s="725"/>
      <c r="Q685" s="725"/>
      <c r="R685" s="725"/>
      <c r="S685" s="725"/>
    </row>
    <row r="686" spans="1:19" x14ac:dyDescent="0.3">
      <c r="A686" s="725"/>
      <c r="C686" s="725"/>
      <c r="D686" s="725"/>
      <c r="E686" s="725"/>
      <c r="F686" s="741"/>
      <c r="G686" s="735"/>
      <c r="H686" s="725"/>
      <c r="I686" s="725"/>
      <c r="J686" s="725"/>
      <c r="K686" s="725"/>
      <c r="L686" s="725"/>
      <c r="M686" s="725"/>
      <c r="N686" s="725"/>
      <c r="O686" s="725"/>
      <c r="P686" s="725"/>
      <c r="Q686" s="725"/>
      <c r="R686" s="725"/>
      <c r="S686" s="725"/>
    </row>
    <row r="687" spans="1:19" x14ac:dyDescent="0.3">
      <c r="A687" s="725"/>
      <c r="C687" s="725"/>
      <c r="D687" s="725"/>
      <c r="E687" s="725"/>
      <c r="F687" s="741"/>
      <c r="G687" s="735"/>
      <c r="H687" s="725"/>
      <c r="I687" s="725"/>
      <c r="J687" s="725"/>
      <c r="K687" s="725"/>
      <c r="L687" s="725"/>
      <c r="M687" s="725"/>
      <c r="N687" s="725"/>
      <c r="O687" s="725"/>
      <c r="P687" s="725"/>
      <c r="Q687" s="725"/>
      <c r="R687" s="725"/>
      <c r="S687" s="725"/>
    </row>
    <row r="688" spans="1:19" x14ac:dyDescent="0.3">
      <c r="A688" s="725"/>
      <c r="C688" s="725"/>
      <c r="D688" s="725"/>
      <c r="E688" s="725"/>
      <c r="F688" s="741"/>
      <c r="G688" s="735"/>
      <c r="H688" s="725"/>
      <c r="I688" s="725"/>
      <c r="J688" s="725"/>
      <c r="K688" s="725"/>
      <c r="L688" s="725"/>
      <c r="M688" s="725"/>
      <c r="N688" s="725"/>
      <c r="O688" s="725"/>
      <c r="P688" s="725"/>
      <c r="Q688" s="725"/>
      <c r="R688" s="725"/>
      <c r="S688" s="725"/>
    </row>
    <row r="689" spans="1:19" x14ac:dyDescent="0.3">
      <c r="A689" s="725"/>
      <c r="C689" s="725"/>
      <c r="D689" s="725"/>
      <c r="E689" s="725"/>
      <c r="F689" s="741"/>
      <c r="G689" s="735"/>
      <c r="H689" s="725"/>
      <c r="I689" s="725"/>
      <c r="J689" s="725"/>
      <c r="K689" s="725"/>
      <c r="L689" s="725"/>
      <c r="M689" s="725"/>
      <c r="N689" s="725"/>
      <c r="O689" s="725"/>
      <c r="P689" s="725"/>
      <c r="Q689" s="725"/>
      <c r="R689" s="725"/>
      <c r="S689" s="725"/>
    </row>
    <row r="690" spans="1:19" x14ac:dyDescent="0.3">
      <c r="A690" s="725"/>
      <c r="C690" s="725"/>
      <c r="D690" s="725"/>
      <c r="E690" s="725"/>
      <c r="F690" s="741"/>
      <c r="G690" s="735"/>
      <c r="H690" s="725"/>
      <c r="I690" s="725"/>
      <c r="J690" s="725"/>
      <c r="K690" s="725"/>
      <c r="L690" s="725"/>
      <c r="M690" s="725"/>
      <c r="N690" s="725"/>
      <c r="O690" s="725"/>
      <c r="P690" s="725"/>
      <c r="Q690" s="725"/>
      <c r="R690" s="725"/>
      <c r="S690" s="725"/>
    </row>
    <row r="691" spans="1:19" x14ac:dyDescent="0.3">
      <c r="A691" s="725"/>
      <c r="C691" s="725"/>
      <c r="D691" s="725"/>
      <c r="E691" s="725"/>
      <c r="F691" s="741"/>
      <c r="G691" s="735"/>
      <c r="H691" s="725"/>
      <c r="I691" s="725"/>
      <c r="J691" s="725"/>
      <c r="K691" s="725"/>
      <c r="L691" s="725"/>
      <c r="M691" s="725"/>
      <c r="N691" s="725"/>
      <c r="O691" s="725"/>
      <c r="P691" s="725"/>
      <c r="Q691" s="725"/>
      <c r="R691" s="725"/>
      <c r="S691" s="725"/>
    </row>
    <row r="692" spans="1:19" x14ac:dyDescent="0.3">
      <c r="A692" s="725"/>
      <c r="C692" s="725"/>
      <c r="D692" s="725"/>
      <c r="E692" s="725"/>
      <c r="F692" s="741"/>
      <c r="G692" s="735"/>
      <c r="H692" s="725"/>
      <c r="I692" s="725"/>
      <c r="J692" s="725"/>
      <c r="K692" s="725"/>
      <c r="L692" s="725"/>
      <c r="M692" s="725"/>
      <c r="N692" s="725"/>
      <c r="O692" s="725"/>
      <c r="P692" s="725"/>
      <c r="Q692" s="725"/>
      <c r="R692" s="725"/>
      <c r="S692" s="725"/>
    </row>
    <row r="693" spans="1:19" x14ac:dyDescent="0.3">
      <c r="A693" s="725"/>
      <c r="C693" s="725"/>
      <c r="D693" s="725"/>
      <c r="E693" s="725"/>
      <c r="F693" s="741"/>
      <c r="G693" s="735"/>
      <c r="H693" s="725"/>
      <c r="I693" s="725"/>
      <c r="J693" s="725"/>
      <c r="K693" s="725"/>
      <c r="L693" s="725"/>
      <c r="M693" s="725"/>
      <c r="N693" s="725"/>
      <c r="O693" s="725"/>
      <c r="P693" s="725"/>
      <c r="Q693" s="725"/>
      <c r="R693" s="725"/>
      <c r="S693" s="725"/>
    </row>
    <row r="694" spans="1:19" x14ac:dyDescent="0.3">
      <c r="A694" s="725"/>
      <c r="C694" s="725"/>
      <c r="D694" s="725"/>
      <c r="E694" s="725"/>
      <c r="F694" s="741"/>
      <c r="G694" s="735"/>
      <c r="H694" s="725"/>
      <c r="I694" s="725"/>
      <c r="J694" s="725"/>
      <c r="K694" s="725"/>
      <c r="L694" s="725"/>
      <c r="M694" s="725"/>
      <c r="N694" s="725"/>
      <c r="O694" s="725"/>
      <c r="P694" s="725"/>
      <c r="Q694" s="725"/>
      <c r="R694" s="725"/>
      <c r="S694" s="725"/>
    </row>
    <row r="695" spans="1:19" x14ac:dyDescent="0.3">
      <c r="A695" s="725"/>
      <c r="C695" s="725"/>
      <c r="D695" s="725"/>
      <c r="E695" s="725"/>
      <c r="F695" s="741"/>
      <c r="G695" s="735"/>
      <c r="H695" s="725"/>
      <c r="I695" s="725"/>
      <c r="J695" s="725"/>
      <c r="K695" s="725"/>
      <c r="L695" s="725"/>
      <c r="M695" s="725"/>
      <c r="N695" s="725"/>
      <c r="O695" s="725"/>
      <c r="P695" s="725"/>
      <c r="Q695" s="725"/>
      <c r="R695" s="725"/>
      <c r="S695" s="725"/>
    </row>
    <row r="696" spans="1:19" x14ac:dyDescent="0.3">
      <c r="A696" s="725"/>
      <c r="C696" s="725"/>
      <c r="D696" s="725"/>
      <c r="E696" s="725"/>
      <c r="F696" s="741"/>
      <c r="G696" s="735"/>
      <c r="H696" s="725"/>
      <c r="I696" s="725"/>
      <c r="J696" s="725"/>
      <c r="K696" s="725"/>
      <c r="L696" s="725"/>
      <c r="M696" s="725"/>
      <c r="N696" s="725"/>
      <c r="O696" s="725"/>
      <c r="P696" s="725"/>
      <c r="Q696" s="725"/>
      <c r="R696" s="725"/>
      <c r="S696" s="725"/>
    </row>
    <row r="697" spans="1:19" x14ac:dyDescent="0.3">
      <c r="A697" s="725"/>
      <c r="C697" s="725"/>
      <c r="D697" s="725"/>
      <c r="E697" s="725"/>
      <c r="F697" s="741"/>
      <c r="G697" s="735"/>
      <c r="H697" s="725"/>
      <c r="I697" s="725"/>
      <c r="J697" s="725"/>
      <c r="K697" s="725"/>
      <c r="L697" s="725"/>
      <c r="M697" s="725"/>
      <c r="N697" s="725"/>
      <c r="O697" s="725"/>
      <c r="P697" s="725"/>
      <c r="Q697" s="725"/>
      <c r="R697" s="725"/>
      <c r="S697" s="725"/>
    </row>
    <row r="698" spans="1:19" x14ac:dyDescent="0.3">
      <c r="A698" s="725"/>
      <c r="C698" s="725"/>
      <c r="D698" s="725"/>
      <c r="E698" s="725"/>
      <c r="F698" s="741"/>
      <c r="G698" s="735"/>
      <c r="H698" s="725"/>
      <c r="I698" s="725"/>
      <c r="J698" s="725"/>
      <c r="K698" s="725"/>
      <c r="L698" s="725"/>
      <c r="M698" s="725"/>
      <c r="N698" s="725"/>
      <c r="O698" s="725"/>
      <c r="P698" s="725"/>
      <c r="Q698" s="725"/>
      <c r="R698" s="725"/>
      <c r="S698" s="725"/>
    </row>
    <row r="699" spans="1:19" x14ac:dyDescent="0.3">
      <c r="A699" s="725"/>
      <c r="C699" s="725"/>
      <c r="D699" s="725"/>
      <c r="E699" s="725"/>
      <c r="F699" s="741"/>
      <c r="G699" s="735"/>
      <c r="H699" s="725"/>
      <c r="I699" s="725"/>
      <c r="J699" s="725"/>
      <c r="K699" s="725"/>
      <c r="L699" s="725"/>
      <c r="M699" s="725"/>
      <c r="N699" s="725"/>
      <c r="O699" s="725"/>
      <c r="P699" s="725"/>
      <c r="Q699" s="725"/>
      <c r="R699" s="725"/>
      <c r="S699" s="725"/>
    </row>
    <row r="700" spans="1:19" x14ac:dyDescent="0.3">
      <c r="A700" s="725"/>
      <c r="C700" s="725"/>
      <c r="D700" s="725"/>
      <c r="E700" s="725"/>
      <c r="F700" s="741"/>
      <c r="G700" s="735"/>
      <c r="H700" s="725"/>
      <c r="I700" s="725"/>
      <c r="J700" s="725"/>
      <c r="K700" s="725"/>
      <c r="L700" s="725"/>
      <c r="M700" s="725"/>
      <c r="N700" s="725"/>
      <c r="O700" s="725"/>
      <c r="P700" s="725"/>
      <c r="Q700" s="725"/>
      <c r="R700" s="725"/>
      <c r="S700" s="725"/>
    </row>
    <row r="701" spans="1:19" x14ac:dyDescent="0.3">
      <c r="A701" s="725"/>
      <c r="C701" s="725"/>
      <c r="D701" s="725"/>
      <c r="E701" s="725"/>
      <c r="F701" s="741"/>
      <c r="G701" s="735"/>
      <c r="H701" s="725"/>
      <c r="I701" s="725"/>
      <c r="J701" s="725"/>
      <c r="K701" s="725"/>
      <c r="L701" s="725"/>
      <c r="M701" s="725"/>
      <c r="N701" s="725"/>
      <c r="O701" s="725"/>
      <c r="P701" s="725"/>
      <c r="Q701" s="725"/>
      <c r="R701" s="725"/>
      <c r="S701" s="725"/>
    </row>
    <row r="702" spans="1:19" x14ac:dyDescent="0.3">
      <c r="A702" s="725"/>
      <c r="C702" s="725"/>
      <c r="D702" s="725"/>
      <c r="E702" s="725"/>
      <c r="F702" s="741"/>
      <c r="G702" s="735"/>
      <c r="H702" s="725"/>
      <c r="I702" s="725"/>
      <c r="J702" s="725"/>
      <c r="K702" s="725"/>
      <c r="L702" s="725"/>
      <c r="M702" s="725"/>
      <c r="N702" s="725"/>
      <c r="O702" s="725"/>
      <c r="P702" s="725"/>
      <c r="Q702" s="725"/>
      <c r="R702" s="725"/>
      <c r="S702" s="725"/>
    </row>
    <row r="703" spans="1:19" x14ac:dyDescent="0.3">
      <c r="A703" s="725"/>
      <c r="C703" s="725"/>
      <c r="D703" s="725"/>
      <c r="E703" s="725"/>
      <c r="F703" s="741"/>
      <c r="G703" s="735"/>
      <c r="H703" s="725"/>
      <c r="I703" s="725"/>
      <c r="J703" s="725"/>
      <c r="K703" s="725"/>
      <c r="L703" s="725"/>
      <c r="M703" s="725"/>
      <c r="N703" s="725"/>
      <c r="O703" s="725"/>
      <c r="P703" s="725"/>
      <c r="Q703" s="725"/>
      <c r="R703" s="725"/>
      <c r="S703" s="725"/>
    </row>
    <row r="704" spans="1:19" x14ac:dyDescent="0.3">
      <c r="A704" s="725"/>
      <c r="C704" s="725"/>
      <c r="D704" s="725"/>
      <c r="E704" s="725"/>
      <c r="F704" s="741"/>
      <c r="G704" s="735"/>
      <c r="H704" s="725"/>
      <c r="I704" s="725"/>
      <c r="J704" s="725"/>
      <c r="K704" s="725"/>
      <c r="L704" s="725"/>
      <c r="M704" s="725"/>
      <c r="N704" s="725"/>
      <c r="O704" s="725"/>
      <c r="P704" s="725"/>
      <c r="Q704" s="725"/>
      <c r="R704" s="725"/>
      <c r="S704" s="725"/>
    </row>
    <row r="705" spans="1:19" x14ac:dyDescent="0.3">
      <c r="A705" s="725"/>
      <c r="C705" s="725"/>
      <c r="D705" s="725"/>
      <c r="E705" s="725"/>
      <c r="F705" s="741"/>
      <c r="G705" s="735"/>
      <c r="H705" s="725"/>
      <c r="I705" s="725"/>
      <c r="J705" s="725"/>
      <c r="K705" s="725"/>
      <c r="L705" s="725"/>
      <c r="M705" s="725"/>
      <c r="N705" s="725"/>
      <c r="O705" s="725"/>
      <c r="P705" s="725"/>
      <c r="Q705" s="725"/>
      <c r="R705" s="725"/>
      <c r="S705" s="725"/>
    </row>
    <row r="706" spans="1:19" x14ac:dyDescent="0.3">
      <c r="A706" s="725"/>
      <c r="C706" s="725"/>
      <c r="D706" s="725"/>
      <c r="E706" s="725"/>
      <c r="F706" s="741"/>
      <c r="G706" s="735"/>
      <c r="H706" s="725"/>
      <c r="I706" s="725"/>
      <c r="J706" s="725"/>
      <c r="K706" s="725"/>
      <c r="L706" s="725"/>
      <c r="M706" s="725"/>
      <c r="N706" s="725"/>
      <c r="O706" s="725"/>
      <c r="P706" s="725"/>
      <c r="Q706" s="725"/>
      <c r="R706" s="725"/>
      <c r="S706" s="725"/>
    </row>
    <row r="707" spans="1:19" x14ac:dyDescent="0.3">
      <c r="A707" s="725"/>
      <c r="C707" s="725"/>
      <c r="D707" s="725"/>
      <c r="E707" s="725"/>
      <c r="F707" s="741"/>
      <c r="G707" s="735"/>
      <c r="H707" s="725"/>
      <c r="I707" s="725"/>
      <c r="J707" s="725"/>
      <c r="K707" s="725"/>
      <c r="L707" s="725"/>
      <c r="M707" s="725"/>
      <c r="N707" s="725"/>
      <c r="O707" s="725"/>
      <c r="P707" s="725"/>
      <c r="Q707" s="725"/>
      <c r="R707" s="725"/>
      <c r="S707" s="725"/>
    </row>
    <row r="708" spans="1:19" x14ac:dyDescent="0.3">
      <c r="A708" s="725"/>
      <c r="C708" s="725"/>
      <c r="D708" s="725"/>
      <c r="E708" s="725"/>
      <c r="F708" s="741"/>
      <c r="G708" s="735"/>
      <c r="H708" s="725"/>
      <c r="I708" s="725"/>
      <c r="J708" s="725"/>
      <c r="K708" s="725"/>
      <c r="L708" s="725"/>
      <c r="M708" s="725"/>
      <c r="N708" s="725"/>
      <c r="O708" s="725"/>
      <c r="P708" s="725"/>
      <c r="Q708" s="725"/>
      <c r="R708" s="725"/>
      <c r="S708" s="725"/>
    </row>
    <row r="709" spans="1:19" x14ac:dyDescent="0.3">
      <c r="A709" s="725"/>
      <c r="C709" s="725"/>
      <c r="D709" s="725"/>
      <c r="E709" s="725"/>
      <c r="F709" s="741"/>
      <c r="G709" s="735"/>
      <c r="H709" s="725"/>
      <c r="I709" s="725"/>
      <c r="J709" s="725"/>
      <c r="K709" s="725"/>
      <c r="L709" s="725"/>
      <c r="M709" s="725"/>
      <c r="N709" s="725"/>
      <c r="O709" s="725"/>
      <c r="P709" s="725"/>
      <c r="Q709" s="725"/>
      <c r="R709" s="725"/>
      <c r="S709" s="725"/>
    </row>
    <row r="710" spans="1:19" x14ac:dyDescent="0.3">
      <c r="A710" s="725"/>
      <c r="C710" s="725"/>
      <c r="D710" s="725"/>
      <c r="E710" s="725"/>
      <c r="F710" s="741"/>
      <c r="G710" s="735"/>
      <c r="H710" s="725"/>
      <c r="I710" s="725"/>
      <c r="J710" s="725"/>
      <c r="K710" s="725"/>
      <c r="L710" s="725"/>
      <c r="M710" s="725"/>
      <c r="N710" s="725"/>
      <c r="O710" s="725"/>
      <c r="P710" s="725"/>
      <c r="Q710" s="725"/>
      <c r="R710" s="725"/>
      <c r="S710" s="725"/>
    </row>
    <row r="711" spans="1:19" x14ac:dyDescent="0.3">
      <c r="A711" s="725"/>
      <c r="C711" s="725"/>
      <c r="D711" s="725"/>
      <c r="E711" s="725"/>
      <c r="F711" s="741"/>
      <c r="G711" s="735"/>
      <c r="H711" s="725"/>
      <c r="I711" s="725"/>
      <c r="J711" s="725"/>
      <c r="K711" s="725"/>
      <c r="L711" s="725"/>
      <c r="M711" s="725"/>
      <c r="N711" s="725"/>
      <c r="O711" s="725"/>
      <c r="P711" s="725"/>
      <c r="Q711" s="725"/>
      <c r="R711" s="725"/>
      <c r="S711" s="725"/>
    </row>
    <row r="712" spans="1:19" x14ac:dyDescent="0.3">
      <c r="A712" s="725"/>
      <c r="C712" s="725"/>
      <c r="D712" s="725"/>
      <c r="E712" s="725"/>
      <c r="F712" s="741"/>
      <c r="G712" s="735"/>
      <c r="H712" s="725"/>
      <c r="I712" s="725"/>
      <c r="J712" s="725"/>
      <c r="K712" s="725"/>
      <c r="L712" s="725"/>
      <c r="M712" s="725"/>
      <c r="N712" s="725"/>
      <c r="O712" s="725"/>
      <c r="P712" s="725"/>
      <c r="Q712" s="725"/>
      <c r="R712" s="725"/>
      <c r="S712" s="725"/>
    </row>
    <row r="713" spans="1:19" x14ac:dyDescent="0.3">
      <c r="A713" s="725"/>
      <c r="C713" s="725"/>
      <c r="D713" s="725"/>
      <c r="E713" s="725"/>
      <c r="F713" s="741"/>
      <c r="G713" s="735"/>
      <c r="H713" s="725"/>
      <c r="I713" s="725"/>
      <c r="J713" s="725"/>
      <c r="K713" s="725"/>
      <c r="L713" s="725"/>
      <c r="M713" s="725"/>
      <c r="N713" s="725"/>
      <c r="O713" s="725"/>
      <c r="P713" s="725"/>
      <c r="Q713" s="725"/>
      <c r="R713" s="725"/>
      <c r="S713" s="725"/>
    </row>
    <row r="714" spans="1:19" x14ac:dyDescent="0.3">
      <c r="A714" s="725"/>
      <c r="C714" s="725"/>
      <c r="D714" s="725"/>
      <c r="E714" s="725"/>
      <c r="F714" s="741"/>
      <c r="G714" s="735"/>
      <c r="H714" s="725"/>
      <c r="I714" s="725"/>
      <c r="J714" s="725"/>
      <c r="K714" s="725"/>
      <c r="L714" s="725"/>
      <c r="M714" s="725"/>
      <c r="N714" s="725"/>
      <c r="O714" s="725"/>
      <c r="P714" s="725"/>
      <c r="Q714" s="725"/>
      <c r="R714" s="725"/>
      <c r="S714" s="725"/>
    </row>
    <row r="715" spans="1:19" x14ac:dyDescent="0.3">
      <c r="A715" s="725"/>
      <c r="C715" s="725"/>
      <c r="D715" s="725"/>
      <c r="E715" s="725"/>
      <c r="F715" s="741"/>
      <c r="G715" s="735"/>
      <c r="H715" s="725"/>
      <c r="I715" s="725"/>
      <c r="J715" s="725"/>
      <c r="K715" s="725"/>
      <c r="L715" s="725"/>
      <c r="M715" s="725"/>
      <c r="N715" s="725"/>
      <c r="O715" s="725"/>
      <c r="P715" s="725"/>
      <c r="Q715" s="725"/>
      <c r="R715" s="725"/>
      <c r="S715" s="725"/>
    </row>
    <row r="716" spans="1:19" x14ac:dyDescent="0.3">
      <c r="A716" s="725"/>
      <c r="C716" s="725"/>
      <c r="D716" s="725"/>
      <c r="E716" s="725"/>
      <c r="F716" s="741"/>
      <c r="G716" s="735"/>
      <c r="H716" s="725"/>
      <c r="I716" s="725"/>
      <c r="J716" s="725"/>
      <c r="K716" s="725"/>
      <c r="L716" s="725"/>
      <c r="M716" s="725"/>
      <c r="N716" s="725"/>
      <c r="O716" s="725"/>
      <c r="P716" s="725"/>
      <c r="Q716" s="725"/>
      <c r="R716" s="725"/>
      <c r="S716" s="725"/>
    </row>
    <row r="717" spans="1:19" x14ac:dyDescent="0.3">
      <c r="A717" s="725"/>
      <c r="C717" s="725"/>
      <c r="D717" s="725"/>
      <c r="E717" s="725"/>
      <c r="F717" s="741"/>
      <c r="G717" s="735"/>
      <c r="H717" s="725"/>
      <c r="I717" s="725"/>
      <c r="J717" s="725"/>
      <c r="K717" s="725"/>
      <c r="L717" s="725"/>
      <c r="M717" s="725"/>
      <c r="N717" s="725"/>
      <c r="O717" s="725"/>
      <c r="P717" s="725"/>
      <c r="Q717" s="725"/>
      <c r="R717" s="725"/>
      <c r="S717" s="725"/>
    </row>
    <row r="718" spans="1:19" x14ac:dyDescent="0.3">
      <c r="A718" s="725"/>
      <c r="C718" s="725"/>
      <c r="D718" s="725"/>
      <c r="E718" s="725"/>
      <c r="F718" s="741"/>
      <c r="G718" s="735"/>
      <c r="H718" s="725"/>
      <c r="I718" s="725"/>
      <c r="J718" s="725"/>
      <c r="K718" s="725"/>
      <c r="L718" s="725"/>
      <c r="M718" s="725"/>
      <c r="N718" s="725"/>
      <c r="O718" s="725"/>
      <c r="P718" s="725"/>
      <c r="Q718" s="725"/>
      <c r="R718" s="725"/>
      <c r="S718" s="725"/>
    </row>
    <row r="719" spans="1:19" x14ac:dyDescent="0.3">
      <c r="A719" s="725"/>
      <c r="C719" s="725"/>
      <c r="D719" s="725"/>
      <c r="E719" s="725"/>
      <c r="F719" s="741"/>
      <c r="G719" s="735"/>
      <c r="H719" s="725"/>
      <c r="I719" s="725"/>
      <c r="J719" s="725"/>
      <c r="K719" s="725"/>
      <c r="L719" s="725"/>
      <c r="M719" s="725"/>
      <c r="N719" s="725"/>
      <c r="O719" s="725"/>
      <c r="P719" s="725"/>
      <c r="Q719" s="725"/>
      <c r="R719" s="725"/>
      <c r="S719" s="725"/>
    </row>
    <row r="720" spans="1:19" x14ac:dyDescent="0.3">
      <c r="A720" s="725"/>
      <c r="C720" s="725"/>
      <c r="D720" s="725"/>
      <c r="E720" s="725"/>
      <c r="F720" s="741"/>
      <c r="G720" s="735"/>
      <c r="H720" s="725"/>
      <c r="I720" s="725"/>
      <c r="J720" s="725"/>
      <c r="K720" s="725"/>
      <c r="L720" s="725"/>
      <c r="M720" s="725"/>
      <c r="N720" s="725"/>
      <c r="O720" s="725"/>
      <c r="P720" s="725"/>
      <c r="Q720" s="725"/>
      <c r="R720" s="725"/>
      <c r="S720" s="725"/>
    </row>
    <row r="721" spans="1:19" x14ac:dyDescent="0.3">
      <c r="A721" s="725"/>
      <c r="C721" s="725"/>
      <c r="D721" s="725"/>
      <c r="E721" s="725"/>
      <c r="F721" s="741"/>
      <c r="G721" s="735"/>
      <c r="H721" s="725"/>
      <c r="I721" s="725"/>
      <c r="J721" s="725"/>
      <c r="K721" s="725"/>
      <c r="L721" s="725"/>
      <c r="M721" s="725"/>
      <c r="N721" s="725"/>
      <c r="O721" s="725"/>
      <c r="P721" s="725"/>
      <c r="Q721" s="725"/>
      <c r="R721" s="725"/>
      <c r="S721" s="725"/>
    </row>
    <row r="722" spans="1:19" x14ac:dyDescent="0.3">
      <c r="A722" s="725"/>
      <c r="C722" s="725"/>
      <c r="D722" s="725"/>
      <c r="E722" s="725"/>
      <c r="F722" s="741"/>
      <c r="G722" s="735"/>
      <c r="H722" s="725"/>
      <c r="I722" s="725"/>
      <c r="J722" s="725"/>
      <c r="K722" s="725"/>
      <c r="L722" s="725"/>
      <c r="M722" s="725"/>
      <c r="N722" s="725"/>
      <c r="O722" s="725"/>
      <c r="P722" s="725"/>
      <c r="Q722" s="725"/>
      <c r="R722" s="725"/>
      <c r="S722" s="725"/>
    </row>
    <row r="723" spans="1:19" x14ac:dyDescent="0.3">
      <c r="A723" s="725"/>
      <c r="C723" s="725"/>
      <c r="D723" s="725"/>
      <c r="E723" s="725"/>
      <c r="F723" s="741"/>
      <c r="G723" s="735"/>
      <c r="H723" s="725"/>
      <c r="I723" s="725"/>
      <c r="J723" s="725"/>
      <c r="K723" s="725"/>
      <c r="L723" s="725"/>
      <c r="M723" s="725"/>
      <c r="N723" s="725"/>
      <c r="O723" s="725"/>
      <c r="P723" s="725"/>
      <c r="Q723" s="725"/>
      <c r="R723" s="725"/>
      <c r="S723" s="725"/>
    </row>
    <row r="724" spans="1:19" x14ac:dyDescent="0.3">
      <c r="A724" s="725"/>
      <c r="C724" s="725"/>
      <c r="D724" s="725"/>
      <c r="E724" s="725"/>
      <c r="F724" s="741"/>
      <c r="G724" s="735"/>
      <c r="H724" s="725"/>
      <c r="I724" s="725"/>
      <c r="J724" s="725"/>
      <c r="K724" s="725"/>
      <c r="L724" s="725"/>
      <c r="M724" s="725"/>
      <c r="N724" s="725"/>
      <c r="O724" s="725"/>
      <c r="P724" s="725"/>
      <c r="Q724" s="725"/>
      <c r="R724" s="725"/>
      <c r="S724" s="725"/>
    </row>
    <row r="725" spans="1:19" x14ac:dyDescent="0.3">
      <c r="A725" s="725"/>
      <c r="C725" s="725"/>
      <c r="D725" s="725"/>
      <c r="E725" s="725"/>
      <c r="F725" s="741"/>
      <c r="G725" s="735"/>
      <c r="H725" s="725"/>
      <c r="I725" s="725"/>
      <c r="J725" s="725"/>
      <c r="K725" s="725"/>
      <c r="L725" s="725"/>
      <c r="M725" s="725"/>
      <c r="N725" s="725"/>
      <c r="O725" s="725"/>
      <c r="P725" s="725"/>
      <c r="Q725" s="725"/>
      <c r="R725" s="725"/>
      <c r="S725" s="725"/>
    </row>
    <row r="726" spans="1:19" x14ac:dyDescent="0.3">
      <c r="A726" s="725"/>
      <c r="C726" s="725"/>
      <c r="D726" s="725"/>
      <c r="E726" s="725"/>
      <c r="F726" s="741"/>
      <c r="G726" s="735"/>
      <c r="H726" s="725"/>
      <c r="I726" s="725"/>
      <c r="J726" s="725"/>
      <c r="K726" s="725"/>
      <c r="L726" s="725"/>
      <c r="M726" s="725"/>
      <c r="N726" s="725"/>
      <c r="O726" s="725"/>
      <c r="P726" s="725"/>
      <c r="Q726" s="725"/>
      <c r="R726" s="725"/>
      <c r="S726" s="725"/>
    </row>
    <row r="727" spans="1:19" x14ac:dyDescent="0.3">
      <c r="A727" s="725"/>
      <c r="C727" s="725"/>
      <c r="D727" s="725"/>
      <c r="E727" s="725"/>
      <c r="F727" s="741"/>
      <c r="G727" s="735"/>
      <c r="H727" s="725"/>
      <c r="I727" s="725"/>
      <c r="J727" s="725"/>
      <c r="K727" s="725"/>
      <c r="L727" s="725"/>
      <c r="M727" s="725"/>
      <c r="N727" s="725"/>
      <c r="O727" s="725"/>
      <c r="P727" s="725"/>
      <c r="Q727" s="725"/>
      <c r="R727" s="725"/>
      <c r="S727" s="725"/>
    </row>
    <row r="728" spans="1:19" x14ac:dyDescent="0.3">
      <c r="A728" s="725"/>
      <c r="C728" s="725"/>
      <c r="D728" s="725"/>
      <c r="E728" s="725"/>
      <c r="F728" s="741"/>
      <c r="G728" s="735"/>
      <c r="H728" s="725"/>
      <c r="I728" s="725"/>
      <c r="J728" s="725"/>
      <c r="K728" s="725"/>
      <c r="L728" s="725"/>
      <c r="M728" s="725"/>
      <c r="N728" s="725"/>
      <c r="O728" s="725"/>
      <c r="P728" s="725"/>
      <c r="Q728" s="725"/>
      <c r="R728" s="725"/>
      <c r="S728" s="725"/>
    </row>
    <row r="729" spans="1:19" x14ac:dyDescent="0.3">
      <c r="A729" s="725"/>
      <c r="C729" s="725"/>
      <c r="D729" s="725"/>
      <c r="E729" s="725"/>
      <c r="F729" s="741"/>
      <c r="G729" s="735"/>
      <c r="H729" s="725"/>
      <c r="I729" s="725"/>
      <c r="J729" s="725"/>
      <c r="K729" s="725"/>
      <c r="L729" s="725"/>
      <c r="M729" s="725"/>
      <c r="N729" s="725"/>
      <c r="O729" s="725"/>
      <c r="P729" s="725"/>
      <c r="Q729" s="725"/>
      <c r="R729" s="725"/>
      <c r="S729" s="725"/>
    </row>
    <row r="730" spans="1:19" x14ac:dyDescent="0.3">
      <c r="A730" s="725"/>
      <c r="C730" s="725"/>
      <c r="D730" s="725"/>
      <c r="E730" s="725"/>
      <c r="F730" s="741"/>
      <c r="G730" s="735"/>
      <c r="H730" s="725"/>
      <c r="I730" s="725"/>
      <c r="J730" s="725"/>
      <c r="K730" s="725"/>
      <c r="L730" s="725"/>
      <c r="M730" s="725"/>
      <c r="N730" s="725"/>
      <c r="O730" s="725"/>
      <c r="P730" s="725"/>
      <c r="Q730" s="725"/>
      <c r="R730" s="725"/>
      <c r="S730" s="725"/>
    </row>
    <row r="731" spans="1:19" x14ac:dyDescent="0.3">
      <c r="A731" s="725"/>
      <c r="C731" s="725"/>
      <c r="D731" s="725"/>
      <c r="E731" s="725"/>
      <c r="F731" s="741"/>
      <c r="G731" s="735"/>
      <c r="H731" s="725"/>
      <c r="I731" s="725"/>
      <c r="J731" s="725"/>
      <c r="K731" s="725"/>
      <c r="L731" s="725"/>
      <c r="M731" s="725"/>
      <c r="N731" s="725"/>
      <c r="O731" s="725"/>
      <c r="P731" s="725"/>
      <c r="Q731" s="725"/>
      <c r="R731" s="725"/>
      <c r="S731" s="725"/>
    </row>
    <row r="732" spans="1:19" x14ac:dyDescent="0.3">
      <c r="A732" s="725"/>
      <c r="C732" s="725"/>
      <c r="D732" s="725"/>
      <c r="E732" s="725"/>
      <c r="F732" s="741"/>
      <c r="G732" s="735"/>
      <c r="H732" s="725"/>
      <c r="I732" s="725"/>
      <c r="J732" s="725"/>
      <c r="K732" s="725"/>
      <c r="L732" s="725"/>
      <c r="M732" s="725"/>
      <c r="N732" s="725"/>
      <c r="O732" s="725"/>
      <c r="P732" s="725"/>
      <c r="Q732" s="725"/>
      <c r="R732" s="725"/>
      <c r="S732" s="725"/>
    </row>
    <row r="733" spans="1:19" x14ac:dyDescent="0.3">
      <c r="A733" s="725"/>
      <c r="C733" s="725"/>
      <c r="D733" s="725"/>
      <c r="E733" s="725"/>
      <c r="F733" s="741"/>
      <c r="G733" s="735"/>
      <c r="H733" s="725"/>
      <c r="I733" s="725"/>
      <c r="J733" s="725"/>
      <c r="K733" s="725"/>
      <c r="L733" s="725"/>
      <c r="M733" s="725"/>
      <c r="N733" s="725"/>
      <c r="O733" s="725"/>
      <c r="P733" s="725"/>
      <c r="Q733" s="725"/>
      <c r="R733" s="725"/>
      <c r="S733" s="725"/>
    </row>
    <row r="734" spans="1:19" x14ac:dyDescent="0.3">
      <c r="A734" s="725"/>
      <c r="C734" s="725"/>
      <c r="D734" s="725"/>
      <c r="E734" s="725"/>
      <c r="F734" s="741"/>
      <c r="G734" s="735"/>
      <c r="H734" s="725"/>
      <c r="I734" s="725"/>
      <c r="J734" s="725"/>
      <c r="K734" s="725"/>
      <c r="L734" s="725"/>
      <c r="M734" s="725"/>
      <c r="N734" s="725"/>
      <c r="O734" s="725"/>
      <c r="P734" s="725"/>
      <c r="Q734" s="725"/>
      <c r="R734" s="725"/>
      <c r="S734" s="725"/>
    </row>
    <row r="735" spans="1:19" x14ac:dyDescent="0.3">
      <c r="A735" s="725"/>
      <c r="C735" s="725"/>
      <c r="D735" s="725"/>
      <c r="E735" s="725"/>
      <c r="F735" s="741"/>
      <c r="G735" s="735"/>
      <c r="H735" s="725"/>
      <c r="I735" s="725"/>
      <c r="J735" s="725"/>
      <c r="K735" s="725"/>
      <c r="L735" s="725"/>
      <c r="M735" s="725"/>
      <c r="N735" s="725"/>
      <c r="O735" s="725"/>
      <c r="P735" s="725"/>
      <c r="Q735" s="725"/>
      <c r="R735" s="725"/>
      <c r="S735" s="725"/>
    </row>
    <row r="736" spans="1:19" x14ac:dyDescent="0.3">
      <c r="A736" s="725"/>
      <c r="C736" s="725"/>
      <c r="D736" s="725"/>
      <c r="E736" s="725"/>
      <c r="F736" s="741"/>
      <c r="G736" s="735"/>
      <c r="H736" s="725"/>
      <c r="I736" s="725"/>
      <c r="J736" s="725"/>
      <c r="K736" s="725"/>
      <c r="L736" s="725"/>
      <c r="M736" s="725"/>
      <c r="N736" s="725"/>
      <c r="O736" s="725"/>
      <c r="P736" s="725"/>
      <c r="Q736" s="725"/>
      <c r="R736" s="725"/>
      <c r="S736" s="725"/>
    </row>
    <row r="737" spans="1:19" x14ac:dyDescent="0.3">
      <c r="A737" s="725"/>
      <c r="C737" s="725"/>
      <c r="D737" s="725"/>
      <c r="E737" s="725"/>
      <c r="F737" s="741"/>
      <c r="G737" s="735"/>
      <c r="H737" s="725"/>
      <c r="I737" s="725"/>
      <c r="J737" s="725"/>
      <c r="K737" s="725"/>
      <c r="L737" s="725"/>
      <c r="M737" s="725"/>
      <c r="N737" s="725"/>
      <c r="O737" s="725"/>
      <c r="P737" s="725"/>
      <c r="Q737" s="725"/>
      <c r="R737" s="725"/>
      <c r="S737" s="725"/>
    </row>
    <row r="738" spans="1:19" x14ac:dyDescent="0.3">
      <c r="A738" s="725"/>
      <c r="C738" s="725"/>
      <c r="D738" s="725"/>
      <c r="E738" s="725"/>
      <c r="F738" s="741"/>
      <c r="G738" s="735"/>
      <c r="H738" s="725"/>
      <c r="I738" s="725"/>
      <c r="J738" s="725"/>
      <c r="K738" s="725"/>
      <c r="L738" s="725"/>
      <c r="M738" s="725"/>
      <c r="N738" s="725"/>
      <c r="O738" s="725"/>
      <c r="P738" s="725"/>
      <c r="Q738" s="725"/>
      <c r="R738" s="725"/>
      <c r="S738" s="725"/>
    </row>
    <row r="739" spans="1:19" x14ac:dyDescent="0.3">
      <c r="A739" s="725"/>
      <c r="C739" s="725"/>
      <c r="D739" s="725"/>
      <c r="E739" s="725"/>
      <c r="F739" s="741"/>
      <c r="G739" s="735"/>
      <c r="H739" s="725"/>
      <c r="I739" s="725"/>
      <c r="J739" s="725"/>
      <c r="K739" s="725"/>
      <c r="L739" s="725"/>
      <c r="M739" s="725"/>
      <c r="N739" s="725"/>
      <c r="O739" s="725"/>
      <c r="P739" s="725"/>
      <c r="Q739" s="725"/>
      <c r="R739" s="725"/>
      <c r="S739" s="725"/>
    </row>
    <row r="740" spans="1:19" x14ac:dyDescent="0.3">
      <c r="A740" s="725"/>
      <c r="C740" s="725"/>
      <c r="D740" s="725"/>
      <c r="E740" s="725"/>
      <c r="F740" s="741"/>
      <c r="G740" s="735"/>
      <c r="H740" s="725"/>
      <c r="I740" s="725"/>
      <c r="J740" s="725"/>
      <c r="K740" s="725"/>
      <c r="L740" s="725"/>
      <c r="M740" s="725"/>
      <c r="N740" s="725"/>
      <c r="O740" s="725"/>
      <c r="P740" s="725"/>
      <c r="Q740" s="725"/>
      <c r="R740" s="725"/>
      <c r="S740" s="725"/>
    </row>
    <row r="741" spans="1:19" x14ac:dyDescent="0.3">
      <c r="A741" s="725"/>
      <c r="C741" s="725"/>
      <c r="D741" s="725"/>
      <c r="E741" s="725"/>
      <c r="F741" s="741"/>
      <c r="G741" s="735"/>
      <c r="H741" s="725"/>
      <c r="I741" s="725"/>
      <c r="J741" s="725"/>
      <c r="K741" s="725"/>
      <c r="L741" s="725"/>
      <c r="M741" s="725"/>
      <c r="N741" s="725"/>
      <c r="O741" s="725"/>
      <c r="P741" s="725"/>
      <c r="Q741" s="725"/>
      <c r="R741" s="725"/>
      <c r="S741" s="725"/>
    </row>
    <row r="742" spans="1:19" x14ac:dyDescent="0.3">
      <c r="A742" s="725"/>
      <c r="C742" s="725"/>
      <c r="D742" s="725"/>
      <c r="E742" s="725"/>
      <c r="F742" s="741"/>
      <c r="G742" s="735"/>
      <c r="H742" s="725"/>
      <c r="I742" s="725"/>
      <c r="J742" s="725"/>
      <c r="K742" s="725"/>
      <c r="L742" s="725"/>
      <c r="M742" s="725"/>
      <c r="N742" s="725"/>
      <c r="O742" s="725"/>
      <c r="P742" s="725"/>
      <c r="Q742" s="725"/>
      <c r="R742" s="725"/>
      <c r="S742" s="725"/>
    </row>
    <row r="743" spans="1:19" x14ac:dyDescent="0.3">
      <c r="A743" s="725"/>
      <c r="C743" s="725"/>
      <c r="D743" s="725"/>
      <c r="E743" s="725"/>
      <c r="F743" s="741"/>
      <c r="G743" s="735"/>
      <c r="H743" s="725"/>
      <c r="I743" s="725"/>
      <c r="J743" s="725"/>
      <c r="K743" s="725"/>
      <c r="L743" s="725"/>
      <c r="M743" s="725"/>
      <c r="N743" s="725"/>
      <c r="O743" s="725"/>
      <c r="P743" s="725"/>
      <c r="Q743" s="725"/>
      <c r="R743" s="725"/>
      <c r="S743" s="725"/>
    </row>
    <row r="744" spans="1:19" x14ac:dyDescent="0.3">
      <c r="A744" s="725"/>
      <c r="C744" s="725"/>
      <c r="D744" s="725"/>
      <c r="E744" s="725"/>
      <c r="F744" s="741"/>
      <c r="G744" s="735"/>
      <c r="H744" s="725"/>
      <c r="I744" s="725"/>
      <c r="J744" s="725"/>
      <c r="K744" s="725"/>
      <c r="L744" s="725"/>
      <c r="M744" s="725"/>
      <c r="N744" s="725"/>
      <c r="O744" s="725"/>
      <c r="P744" s="725"/>
      <c r="Q744" s="725"/>
      <c r="R744" s="725"/>
      <c r="S744" s="725"/>
    </row>
    <row r="745" spans="1:19" x14ac:dyDescent="0.3">
      <c r="A745" s="725"/>
      <c r="C745" s="725"/>
      <c r="D745" s="725"/>
      <c r="E745" s="725"/>
      <c r="F745" s="741"/>
      <c r="G745" s="735"/>
      <c r="H745" s="725"/>
      <c r="I745" s="725"/>
      <c r="J745" s="725"/>
      <c r="K745" s="725"/>
      <c r="L745" s="725"/>
      <c r="M745" s="725"/>
      <c r="N745" s="725"/>
      <c r="O745" s="725"/>
      <c r="P745" s="725"/>
      <c r="Q745" s="725"/>
      <c r="R745" s="725"/>
      <c r="S745" s="725"/>
    </row>
    <row r="746" spans="1:19" x14ac:dyDescent="0.3">
      <c r="A746" s="725"/>
      <c r="C746" s="725"/>
      <c r="D746" s="725"/>
      <c r="E746" s="725"/>
      <c r="F746" s="741"/>
      <c r="G746" s="735"/>
      <c r="H746" s="725"/>
      <c r="I746" s="725"/>
      <c r="J746" s="725"/>
      <c r="K746" s="725"/>
      <c r="L746" s="725"/>
      <c r="M746" s="725"/>
      <c r="N746" s="725"/>
      <c r="O746" s="725"/>
      <c r="P746" s="725"/>
      <c r="Q746" s="725"/>
      <c r="R746" s="725"/>
      <c r="S746" s="725"/>
    </row>
    <row r="747" spans="1:19" x14ac:dyDescent="0.3">
      <c r="A747" s="725"/>
      <c r="C747" s="725"/>
      <c r="D747" s="725"/>
      <c r="E747" s="725"/>
      <c r="F747" s="741"/>
      <c r="G747" s="735"/>
      <c r="H747" s="725"/>
      <c r="I747" s="725"/>
      <c r="J747" s="725"/>
      <c r="K747" s="725"/>
      <c r="L747" s="725"/>
      <c r="M747" s="725"/>
      <c r="N747" s="725"/>
      <c r="O747" s="725"/>
      <c r="P747" s="725"/>
      <c r="Q747" s="725"/>
      <c r="R747" s="725"/>
      <c r="S747" s="725"/>
    </row>
    <row r="748" spans="1:19" x14ac:dyDescent="0.3">
      <c r="A748" s="725"/>
      <c r="C748" s="725"/>
      <c r="D748" s="725"/>
      <c r="E748" s="725"/>
      <c r="F748" s="741"/>
      <c r="G748" s="735"/>
      <c r="H748" s="725"/>
      <c r="I748" s="725"/>
      <c r="J748" s="725"/>
      <c r="K748" s="725"/>
      <c r="L748" s="725"/>
      <c r="M748" s="725"/>
      <c r="N748" s="725"/>
      <c r="O748" s="725"/>
      <c r="P748" s="725"/>
      <c r="Q748" s="725"/>
      <c r="R748" s="725"/>
      <c r="S748" s="725"/>
    </row>
    <row r="749" spans="1:19" x14ac:dyDescent="0.3">
      <c r="A749" s="725"/>
      <c r="C749" s="725"/>
      <c r="D749" s="725"/>
      <c r="E749" s="725"/>
      <c r="F749" s="741"/>
      <c r="G749" s="735"/>
      <c r="H749" s="725"/>
      <c r="I749" s="725"/>
      <c r="J749" s="725"/>
      <c r="K749" s="725"/>
      <c r="L749" s="725"/>
      <c r="M749" s="725"/>
      <c r="N749" s="725"/>
      <c r="O749" s="725"/>
      <c r="P749" s="725"/>
      <c r="Q749" s="725"/>
      <c r="R749" s="725"/>
      <c r="S749" s="725"/>
    </row>
    <row r="750" spans="1:19" x14ac:dyDescent="0.3">
      <c r="A750" s="725"/>
      <c r="C750" s="725"/>
      <c r="D750" s="725"/>
      <c r="E750" s="725"/>
      <c r="F750" s="741"/>
      <c r="G750" s="735"/>
      <c r="H750" s="725"/>
      <c r="I750" s="725"/>
      <c r="J750" s="725"/>
      <c r="K750" s="725"/>
      <c r="L750" s="725"/>
      <c r="M750" s="725"/>
      <c r="N750" s="725"/>
      <c r="O750" s="725"/>
      <c r="P750" s="725"/>
      <c r="Q750" s="725"/>
      <c r="R750" s="725"/>
      <c r="S750" s="725"/>
    </row>
    <row r="751" spans="1:19" x14ac:dyDescent="0.3">
      <c r="A751" s="725"/>
      <c r="C751" s="725"/>
      <c r="D751" s="725"/>
      <c r="E751" s="725"/>
      <c r="F751" s="741"/>
      <c r="G751" s="735"/>
      <c r="H751" s="725"/>
      <c r="I751" s="725"/>
      <c r="J751" s="725"/>
      <c r="K751" s="725"/>
      <c r="L751" s="725"/>
      <c r="M751" s="725"/>
      <c r="N751" s="725"/>
      <c r="O751" s="725"/>
      <c r="P751" s="725"/>
      <c r="Q751" s="725"/>
      <c r="R751" s="725"/>
      <c r="S751" s="725"/>
    </row>
    <row r="752" spans="1:19" x14ac:dyDescent="0.3">
      <c r="A752" s="725"/>
      <c r="C752" s="725"/>
      <c r="D752" s="725"/>
      <c r="E752" s="725"/>
      <c r="F752" s="741"/>
      <c r="G752" s="735"/>
      <c r="H752" s="725"/>
      <c r="I752" s="725"/>
      <c r="J752" s="725"/>
      <c r="K752" s="725"/>
      <c r="L752" s="725"/>
      <c r="M752" s="725"/>
      <c r="N752" s="725"/>
      <c r="O752" s="725"/>
      <c r="P752" s="725"/>
      <c r="Q752" s="725"/>
      <c r="R752" s="725"/>
      <c r="S752" s="725"/>
    </row>
    <row r="753" spans="1:19" x14ac:dyDescent="0.3">
      <c r="A753" s="725"/>
      <c r="C753" s="725"/>
      <c r="D753" s="725"/>
      <c r="E753" s="725"/>
      <c r="F753" s="741"/>
      <c r="G753" s="735"/>
      <c r="H753" s="725"/>
      <c r="I753" s="725"/>
      <c r="J753" s="725"/>
      <c r="K753" s="725"/>
      <c r="L753" s="725"/>
      <c r="M753" s="725"/>
      <c r="N753" s="725"/>
      <c r="O753" s="725"/>
      <c r="P753" s="725"/>
      <c r="Q753" s="725"/>
      <c r="R753" s="725"/>
      <c r="S753" s="725"/>
    </row>
    <row r="754" spans="1:19" x14ac:dyDescent="0.3">
      <c r="A754" s="725"/>
      <c r="C754" s="725"/>
      <c r="D754" s="725"/>
      <c r="E754" s="725"/>
      <c r="F754" s="741"/>
      <c r="G754" s="735"/>
      <c r="H754" s="725"/>
      <c r="I754" s="725"/>
      <c r="J754" s="725"/>
      <c r="K754" s="725"/>
      <c r="L754" s="725"/>
      <c r="M754" s="725"/>
      <c r="N754" s="725"/>
      <c r="O754" s="725"/>
      <c r="P754" s="725"/>
      <c r="Q754" s="725"/>
      <c r="R754" s="725"/>
      <c r="S754" s="725"/>
    </row>
    <row r="755" spans="1:19" x14ac:dyDescent="0.3">
      <c r="A755" s="725"/>
      <c r="C755" s="725"/>
      <c r="D755" s="725"/>
      <c r="E755" s="725"/>
      <c r="F755" s="741"/>
      <c r="G755" s="735"/>
      <c r="H755" s="725"/>
      <c r="I755" s="725"/>
      <c r="J755" s="725"/>
      <c r="K755" s="725"/>
      <c r="L755" s="725"/>
      <c r="M755" s="725"/>
      <c r="N755" s="725"/>
      <c r="O755" s="725"/>
      <c r="P755" s="725"/>
      <c r="Q755" s="725"/>
      <c r="R755" s="725"/>
      <c r="S755" s="725"/>
    </row>
    <row r="756" spans="1:19" x14ac:dyDescent="0.3">
      <c r="A756" s="725"/>
      <c r="C756" s="725"/>
      <c r="D756" s="725"/>
      <c r="E756" s="725"/>
      <c r="F756" s="741"/>
      <c r="G756" s="735"/>
      <c r="H756" s="725"/>
      <c r="I756" s="725"/>
      <c r="J756" s="725"/>
      <c r="K756" s="725"/>
      <c r="L756" s="725"/>
      <c r="M756" s="725"/>
      <c r="N756" s="725"/>
      <c r="O756" s="725"/>
      <c r="P756" s="725"/>
      <c r="Q756" s="725"/>
      <c r="R756" s="725"/>
      <c r="S756" s="725"/>
    </row>
    <row r="757" spans="1:19" x14ac:dyDescent="0.3">
      <c r="A757" s="725"/>
      <c r="C757" s="725"/>
      <c r="D757" s="725"/>
      <c r="E757" s="725"/>
      <c r="F757" s="741"/>
      <c r="G757" s="735"/>
      <c r="H757" s="725"/>
      <c r="I757" s="725"/>
      <c r="J757" s="725"/>
      <c r="K757" s="725"/>
      <c r="L757" s="725"/>
      <c r="M757" s="725"/>
      <c r="N757" s="725"/>
      <c r="O757" s="725"/>
      <c r="P757" s="725"/>
      <c r="Q757" s="725"/>
      <c r="R757" s="725"/>
      <c r="S757" s="725"/>
    </row>
    <row r="758" spans="1:19" x14ac:dyDescent="0.3">
      <c r="A758" s="725"/>
      <c r="C758" s="725"/>
      <c r="D758" s="725"/>
      <c r="E758" s="725"/>
      <c r="F758" s="741"/>
      <c r="G758" s="735"/>
      <c r="H758" s="725"/>
      <c r="I758" s="725"/>
      <c r="J758" s="725"/>
      <c r="K758" s="725"/>
      <c r="L758" s="725"/>
      <c r="M758" s="725"/>
      <c r="N758" s="725"/>
      <c r="O758" s="725"/>
      <c r="P758" s="725"/>
      <c r="Q758" s="725"/>
      <c r="R758" s="725"/>
      <c r="S758" s="725"/>
    </row>
    <row r="759" spans="1:19" x14ac:dyDescent="0.3">
      <c r="A759" s="725"/>
      <c r="C759" s="725"/>
      <c r="D759" s="725"/>
      <c r="E759" s="725"/>
      <c r="F759" s="741"/>
      <c r="G759" s="735"/>
      <c r="H759" s="725"/>
      <c r="I759" s="725"/>
      <c r="J759" s="725"/>
      <c r="K759" s="725"/>
      <c r="L759" s="725"/>
      <c r="M759" s="725"/>
      <c r="N759" s="725"/>
      <c r="O759" s="725"/>
      <c r="P759" s="725"/>
      <c r="Q759" s="725"/>
      <c r="R759" s="725"/>
      <c r="S759" s="725"/>
    </row>
    <row r="760" spans="1:19" x14ac:dyDescent="0.3">
      <c r="A760" s="725"/>
      <c r="C760" s="725"/>
      <c r="D760" s="725"/>
      <c r="E760" s="725"/>
      <c r="F760" s="741"/>
      <c r="G760" s="735"/>
      <c r="H760" s="725"/>
      <c r="I760" s="725"/>
      <c r="J760" s="725"/>
      <c r="K760" s="725"/>
      <c r="L760" s="725"/>
      <c r="M760" s="725"/>
      <c r="N760" s="725"/>
      <c r="O760" s="725"/>
      <c r="P760" s="725"/>
      <c r="Q760" s="725"/>
      <c r="R760" s="725"/>
      <c r="S760" s="725"/>
    </row>
    <row r="761" spans="1:19" x14ac:dyDescent="0.3">
      <c r="A761" s="725"/>
      <c r="C761" s="725"/>
      <c r="D761" s="725"/>
      <c r="E761" s="725"/>
      <c r="F761" s="741"/>
      <c r="G761" s="735"/>
      <c r="H761" s="725"/>
      <c r="I761" s="725"/>
      <c r="J761" s="725"/>
      <c r="K761" s="725"/>
      <c r="L761" s="725"/>
      <c r="M761" s="725"/>
      <c r="N761" s="725"/>
      <c r="O761" s="725"/>
      <c r="P761" s="725"/>
      <c r="Q761" s="725"/>
      <c r="R761" s="725"/>
      <c r="S761" s="725"/>
    </row>
    <row r="762" spans="1:19" x14ac:dyDescent="0.3">
      <c r="A762" s="725"/>
      <c r="C762" s="725"/>
      <c r="D762" s="725"/>
      <c r="E762" s="725"/>
      <c r="F762" s="741"/>
      <c r="G762" s="735"/>
      <c r="H762" s="725"/>
      <c r="I762" s="725"/>
      <c r="J762" s="725"/>
      <c r="K762" s="725"/>
      <c r="L762" s="725"/>
      <c r="M762" s="725"/>
      <c r="N762" s="725"/>
      <c r="O762" s="725"/>
      <c r="P762" s="725"/>
      <c r="Q762" s="725"/>
      <c r="R762" s="725"/>
      <c r="S762" s="725"/>
    </row>
    <row r="763" spans="1:19" x14ac:dyDescent="0.3">
      <c r="A763" s="725"/>
      <c r="C763" s="725"/>
      <c r="D763" s="725"/>
      <c r="E763" s="725"/>
      <c r="F763" s="741"/>
      <c r="G763" s="735"/>
      <c r="H763" s="725"/>
      <c r="I763" s="725"/>
      <c r="J763" s="725"/>
      <c r="K763" s="725"/>
      <c r="L763" s="725"/>
      <c r="M763" s="725"/>
      <c r="N763" s="725"/>
      <c r="O763" s="725"/>
      <c r="P763" s="725"/>
      <c r="Q763" s="725"/>
      <c r="R763" s="725"/>
      <c r="S763" s="725"/>
    </row>
    <row r="764" spans="1:19" x14ac:dyDescent="0.3">
      <c r="A764" s="725"/>
      <c r="C764" s="725"/>
      <c r="D764" s="725"/>
      <c r="E764" s="725"/>
      <c r="F764" s="741"/>
      <c r="G764" s="735"/>
      <c r="H764" s="725"/>
      <c r="I764" s="725"/>
      <c r="J764" s="725"/>
      <c r="K764" s="725"/>
      <c r="L764" s="725"/>
      <c r="M764" s="725"/>
      <c r="N764" s="725"/>
      <c r="O764" s="725"/>
      <c r="P764" s="725"/>
      <c r="Q764" s="725"/>
      <c r="R764" s="725"/>
      <c r="S764" s="725"/>
    </row>
    <row r="765" spans="1:19" x14ac:dyDescent="0.3">
      <c r="A765" s="725"/>
      <c r="C765" s="725"/>
      <c r="D765" s="725"/>
      <c r="E765" s="725"/>
      <c r="F765" s="741"/>
      <c r="G765" s="735"/>
      <c r="H765" s="725"/>
      <c r="I765" s="725"/>
      <c r="J765" s="725"/>
      <c r="K765" s="725"/>
      <c r="L765" s="725"/>
      <c r="M765" s="725"/>
      <c r="N765" s="725"/>
      <c r="O765" s="725"/>
      <c r="P765" s="725"/>
      <c r="Q765" s="725"/>
      <c r="R765" s="725"/>
      <c r="S765" s="725"/>
    </row>
    <row r="766" spans="1:19" x14ac:dyDescent="0.3">
      <c r="A766" s="725"/>
      <c r="C766" s="725"/>
      <c r="D766" s="725"/>
      <c r="E766" s="725"/>
      <c r="F766" s="741"/>
      <c r="G766" s="735"/>
      <c r="H766" s="725"/>
      <c r="I766" s="725"/>
      <c r="J766" s="725"/>
      <c r="K766" s="725"/>
      <c r="L766" s="725"/>
      <c r="M766" s="725"/>
      <c r="N766" s="725"/>
      <c r="O766" s="725"/>
      <c r="P766" s="725"/>
      <c r="Q766" s="725"/>
      <c r="R766" s="725"/>
      <c r="S766" s="725"/>
    </row>
    <row r="767" spans="1:19" x14ac:dyDescent="0.3">
      <c r="A767" s="725"/>
      <c r="C767" s="725"/>
      <c r="D767" s="725"/>
      <c r="E767" s="725"/>
      <c r="F767" s="741"/>
      <c r="G767" s="735"/>
      <c r="H767" s="725"/>
      <c r="I767" s="725"/>
      <c r="J767" s="725"/>
      <c r="K767" s="725"/>
      <c r="L767" s="725"/>
      <c r="M767" s="725"/>
      <c r="N767" s="725"/>
      <c r="O767" s="725"/>
      <c r="P767" s="725"/>
      <c r="Q767" s="725"/>
      <c r="R767" s="725"/>
      <c r="S767" s="725"/>
    </row>
    <row r="768" spans="1:19" x14ac:dyDescent="0.3">
      <c r="A768" s="725"/>
      <c r="C768" s="725"/>
      <c r="D768" s="725"/>
      <c r="E768" s="725"/>
      <c r="F768" s="741"/>
      <c r="G768" s="735"/>
      <c r="H768" s="725"/>
      <c r="I768" s="725"/>
      <c r="J768" s="725"/>
      <c r="K768" s="725"/>
      <c r="L768" s="725"/>
      <c r="M768" s="725"/>
      <c r="N768" s="725"/>
      <c r="O768" s="725"/>
      <c r="P768" s="725"/>
      <c r="Q768" s="725"/>
      <c r="R768" s="725"/>
      <c r="S768" s="725"/>
    </row>
    <row r="769" spans="1:19" x14ac:dyDescent="0.3">
      <c r="A769" s="725"/>
      <c r="C769" s="725"/>
      <c r="D769" s="725"/>
      <c r="E769" s="725"/>
      <c r="F769" s="741"/>
      <c r="G769" s="735"/>
      <c r="H769" s="725"/>
      <c r="I769" s="725"/>
      <c r="J769" s="725"/>
      <c r="K769" s="725"/>
      <c r="L769" s="725"/>
      <c r="M769" s="725"/>
      <c r="N769" s="725"/>
      <c r="O769" s="725"/>
      <c r="P769" s="725"/>
      <c r="Q769" s="725"/>
      <c r="R769" s="725"/>
      <c r="S769" s="725"/>
    </row>
    <row r="770" spans="1:19" x14ac:dyDescent="0.3">
      <c r="A770" s="725"/>
      <c r="C770" s="725"/>
      <c r="D770" s="725"/>
      <c r="E770" s="725"/>
      <c r="F770" s="741"/>
      <c r="G770" s="735"/>
      <c r="H770" s="725"/>
      <c r="I770" s="725"/>
      <c r="J770" s="725"/>
      <c r="K770" s="725"/>
      <c r="L770" s="725"/>
      <c r="M770" s="725"/>
      <c r="N770" s="725"/>
      <c r="O770" s="725"/>
      <c r="P770" s="725"/>
      <c r="Q770" s="725"/>
      <c r="R770" s="725"/>
      <c r="S770" s="725"/>
    </row>
    <row r="771" spans="1:19" x14ac:dyDescent="0.3">
      <c r="A771" s="725"/>
      <c r="C771" s="725"/>
      <c r="D771" s="725"/>
      <c r="E771" s="725"/>
      <c r="F771" s="741"/>
      <c r="G771" s="735"/>
      <c r="H771" s="725"/>
      <c r="I771" s="725"/>
      <c r="J771" s="725"/>
      <c r="K771" s="725"/>
      <c r="L771" s="725"/>
      <c r="M771" s="725"/>
      <c r="N771" s="725"/>
      <c r="O771" s="725"/>
      <c r="P771" s="725"/>
      <c r="Q771" s="725"/>
      <c r="R771" s="725"/>
      <c r="S771" s="725"/>
    </row>
    <row r="772" spans="1:19" x14ac:dyDescent="0.3">
      <c r="A772" s="725"/>
      <c r="C772" s="725"/>
      <c r="D772" s="725"/>
      <c r="E772" s="725"/>
      <c r="F772" s="741"/>
      <c r="G772" s="735"/>
      <c r="H772" s="725"/>
      <c r="I772" s="725"/>
      <c r="J772" s="725"/>
      <c r="K772" s="725"/>
      <c r="L772" s="725"/>
      <c r="M772" s="725"/>
      <c r="N772" s="725"/>
      <c r="O772" s="725"/>
      <c r="P772" s="725"/>
      <c r="Q772" s="725"/>
      <c r="R772" s="725"/>
      <c r="S772" s="725"/>
    </row>
    <row r="773" spans="1:19" x14ac:dyDescent="0.3">
      <c r="A773" s="725"/>
      <c r="C773" s="725"/>
      <c r="D773" s="725"/>
      <c r="E773" s="725"/>
      <c r="F773" s="741"/>
      <c r="G773" s="735"/>
      <c r="H773" s="725"/>
      <c r="I773" s="725"/>
      <c r="J773" s="725"/>
      <c r="K773" s="725"/>
      <c r="L773" s="725"/>
      <c r="M773" s="725"/>
      <c r="N773" s="725"/>
      <c r="O773" s="725"/>
      <c r="P773" s="725"/>
      <c r="Q773" s="725"/>
      <c r="R773" s="725"/>
      <c r="S773" s="725"/>
    </row>
    <row r="774" spans="1:19" x14ac:dyDescent="0.3">
      <c r="A774" s="725"/>
      <c r="C774" s="725"/>
      <c r="D774" s="725"/>
      <c r="E774" s="725"/>
      <c r="F774" s="741"/>
      <c r="G774" s="735"/>
      <c r="H774" s="725"/>
      <c r="I774" s="725"/>
      <c r="J774" s="725"/>
      <c r="K774" s="725"/>
      <c r="L774" s="725"/>
      <c r="M774" s="725"/>
      <c r="N774" s="725"/>
      <c r="O774" s="725"/>
      <c r="P774" s="725"/>
      <c r="Q774" s="725"/>
      <c r="R774" s="725"/>
      <c r="S774" s="725"/>
    </row>
    <row r="775" spans="1:19" x14ac:dyDescent="0.3">
      <c r="A775" s="725"/>
      <c r="C775" s="725"/>
      <c r="D775" s="725"/>
      <c r="E775" s="725"/>
      <c r="F775" s="741"/>
      <c r="G775" s="735"/>
      <c r="H775" s="725"/>
      <c r="I775" s="725"/>
      <c r="J775" s="725"/>
      <c r="K775" s="725"/>
      <c r="L775" s="725"/>
      <c r="M775" s="725"/>
      <c r="N775" s="725"/>
      <c r="O775" s="725"/>
      <c r="P775" s="725"/>
      <c r="Q775" s="725"/>
      <c r="R775" s="725"/>
      <c r="S775" s="725"/>
    </row>
    <row r="776" spans="1:19" x14ac:dyDescent="0.3">
      <c r="A776" s="725"/>
      <c r="C776" s="725"/>
      <c r="D776" s="725"/>
      <c r="E776" s="725"/>
      <c r="F776" s="741"/>
      <c r="G776" s="735"/>
      <c r="H776" s="725"/>
      <c r="I776" s="725"/>
      <c r="J776" s="725"/>
      <c r="K776" s="725"/>
      <c r="L776" s="725"/>
      <c r="M776" s="725"/>
      <c r="N776" s="725"/>
      <c r="O776" s="725"/>
      <c r="P776" s="725"/>
      <c r="Q776" s="725"/>
      <c r="R776" s="725"/>
      <c r="S776" s="725"/>
    </row>
    <row r="777" spans="1:19" x14ac:dyDescent="0.3">
      <c r="A777" s="725"/>
      <c r="C777" s="725"/>
      <c r="D777" s="725"/>
      <c r="E777" s="725"/>
      <c r="F777" s="741"/>
      <c r="G777" s="735"/>
      <c r="H777" s="725"/>
      <c r="I777" s="725"/>
      <c r="J777" s="725"/>
      <c r="K777" s="725"/>
      <c r="L777" s="725"/>
      <c r="M777" s="725"/>
      <c r="N777" s="725"/>
      <c r="O777" s="725"/>
      <c r="P777" s="725"/>
      <c r="Q777" s="725"/>
      <c r="R777" s="725"/>
      <c r="S777" s="725"/>
    </row>
    <row r="778" spans="1:19" x14ac:dyDescent="0.3">
      <c r="A778" s="725"/>
      <c r="C778" s="725"/>
      <c r="D778" s="725"/>
      <c r="E778" s="725"/>
      <c r="F778" s="741"/>
      <c r="G778" s="735"/>
      <c r="H778" s="725"/>
      <c r="I778" s="725"/>
      <c r="J778" s="725"/>
      <c r="K778" s="725"/>
      <c r="L778" s="725"/>
      <c r="M778" s="725"/>
      <c r="N778" s="725"/>
      <c r="O778" s="725"/>
      <c r="P778" s="725"/>
      <c r="Q778" s="725"/>
      <c r="R778" s="725"/>
      <c r="S778" s="725"/>
    </row>
    <row r="779" spans="1:19" x14ac:dyDescent="0.3">
      <c r="A779" s="725"/>
      <c r="C779" s="725"/>
      <c r="D779" s="725"/>
      <c r="E779" s="725"/>
      <c r="F779" s="741"/>
      <c r="G779" s="735"/>
      <c r="H779" s="725"/>
      <c r="I779" s="725"/>
      <c r="J779" s="725"/>
      <c r="K779" s="725"/>
      <c r="L779" s="725"/>
      <c r="M779" s="725"/>
      <c r="N779" s="725"/>
      <c r="O779" s="725"/>
      <c r="P779" s="725"/>
      <c r="Q779" s="725"/>
      <c r="R779" s="725"/>
      <c r="S779" s="725"/>
    </row>
    <row r="780" spans="1:19" x14ac:dyDescent="0.3">
      <c r="A780" s="725"/>
      <c r="C780" s="725"/>
      <c r="D780" s="725"/>
      <c r="E780" s="725"/>
      <c r="F780" s="741"/>
      <c r="G780" s="735"/>
      <c r="H780" s="725"/>
      <c r="I780" s="725"/>
      <c r="J780" s="725"/>
      <c r="K780" s="725"/>
      <c r="L780" s="725"/>
      <c r="M780" s="725"/>
      <c r="N780" s="725"/>
      <c r="O780" s="725"/>
      <c r="P780" s="725"/>
      <c r="Q780" s="725"/>
      <c r="R780" s="725"/>
      <c r="S780" s="725"/>
    </row>
    <row r="781" spans="1:19" x14ac:dyDescent="0.3">
      <c r="A781" s="725"/>
      <c r="C781" s="725"/>
      <c r="D781" s="725"/>
      <c r="E781" s="725"/>
      <c r="F781" s="741"/>
      <c r="G781" s="735"/>
      <c r="H781" s="725"/>
      <c r="I781" s="725"/>
      <c r="J781" s="725"/>
      <c r="K781" s="725"/>
      <c r="L781" s="725"/>
      <c r="M781" s="725"/>
      <c r="N781" s="725"/>
      <c r="O781" s="725"/>
      <c r="P781" s="725"/>
      <c r="Q781" s="725"/>
      <c r="R781" s="725"/>
      <c r="S781" s="725"/>
    </row>
    <row r="782" spans="1:19" x14ac:dyDescent="0.3">
      <c r="A782" s="725"/>
      <c r="C782" s="725"/>
      <c r="D782" s="725"/>
      <c r="E782" s="725"/>
      <c r="F782" s="741"/>
      <c r="G782" s="735"/>
      <c r="H782" s="725"/>
      <c r="I782" s="725"/>
      <c r="J782" s="725"/>
      <c r="K782" s="725"/>
      <c r="L782" s="725"/>
      <c r="M782" s="725"/>
      <c r="N782" s="725"/>
      <c r="O782" s="725"/>
      <c r="P782" s="725"/>
      <c r="Q782" s="725"/>
      <c r="R782" s="725"/>
      <c r="S782" s="725"/>
    </row>
    <row r="783" spans="1:19" x14ac:dyDescent="0.3">
      <c r="A783" s="725"/>
      <c r="C783" s="725"/>
      <c r="D783" s="725"/>
      <c r="E783" s="725"/>
      <c r="F783" s="741"/>
      <c r="G783" s="735"/>
      <c r="H783" s="725"/>
      <c r="I783" s="725"/>
      <c r="J783" s="725"/>
      <c r="K783" s="725"/>
      <c r="L783" s="725"/>
      <c r="M783" s="725"/>
      <c r="N783" s="725"/>
      <c r="O783" s="725"/>
      <c r="P783" s="725"/>
      <c r="Q783" s="725"/>
      <c r="R783" s="725"/>
      <c r="S783" s="725"/>
    </row>
    <row r="784" spans="1:19" x14ac:dyDescent="0.3">
      <c r="A784" s="725"/>
      <c r="C784" s="725"/>
      <c r="D784" s="725"/>
      <c r="E784" s="725"/>
      <c r="F784" s="741"/>
      <c r="G784" s="735"/>
      <c r="H784" s="725"/>
      <c r="I784" s="725"/>
      <c r="J784" s="725"/>
      <c r="K784" s="725"/>
      <c r="L784" s="725"/>
      <c r="M784" s="725"/>
      <c r="N784" s="725"/>
      <c r="O784" s="725"/>
      <c r="P784" s="725"/>
      <c r="Q784" s="725"/>
      <c r="R784" s="725"/>
      <c r="S784" s="725"/>
    </row>
    <row r="785" spans="1:19" x14ac:dyDescent="0.3">
      <c r="A785" s="725"/>
      <c r="C785" s="725"/>
      <c r="D785" s="725"/>
      <c r="E785" s="725"/>
      <c r="F785" s="741"/>
      <c r="G785" s="735"/>
      <c r="H785" s="725"/>
      <c r="I785" s="725"/>
      <c r="J785" s="725"/>
      <c r="K785" s="725"/>
      <c r="L785" s="725"/>
      <c r="M785" s="725"/>
      <c r="N785" s="725"/>
      <c r="O785" s="725"/>
      <c r="P785" s="725"/>
      <c r="Q785" s="725"/>
      <c r="R785" s="725"/>
      <c r="S785" s="725"/>
    </row>
    <row r="786" spans="1:19" x14ac:dyDescent="0.3">
      <c r="A786" s="725"/>
      <c r="C786" s="725"/>
      <c r="D786" s="725"/>
      <c r="E786" s="725"/>
      <c r="F786" s="741"/>
      <c r="G786" s="735"/>
      <c r="H786" s="725"/>
      <c r="I786" s="725"/>
      <c r="J786" s="725"/>
      <c r="K786" s="725"/>
      <c r="L786" s="725"/>
      <c r="M786" s="725"/>
      <c r="N786" s="725"/>
      <c r="O786" s="725"/>
      <c r="P786" s="725"/>
      <c r="Q786" s="725"/>
      <c r="R786" s="725"/>
      <c r="S786" s="725"/>
    </row>
    <row r="787" spans="1:19" x14ac:dyDescent="0.3">
      <c r="A787" s="725"/>
      <c r="C787" s="725"/>
      <c r="D787" s="725"/>
      <c r="E787" s="725"/>
      <c r="F787" s="741"/>
      <c r="G787" s="735"/>
      <c r="H787" s="725"/>
      <c r="I787" s="725"/>
      <c r="J787" s="725"/>
      <c r="K787" s="725"/>
      <c r="L787" s="725"/>
      <c r="M787" s="725"/>
      <c r="N787" s="725"/>
      <c r="O787" s="725"/>
      <c r="P787" s="725"/>
      <c r="Q787" s="725"/>
      <c r="R787" s="725"/>
      <c r="S787" s="725"/>
    </row>
    <row r="788" spans="1:19" x14ac:dyDescent="0.3">
      <c r="A788" s="725"/>
      <c r="C788" s="725"/>
      <c r="D788" s="725"/>
      <c r="E788" s="725"/>
      <c r="F788" s="741"/>
      <c r="G788" s="735"/>
      <c r="H788" s="725"/>
      <c r="I788" s="725"/>
      <c r="J788" s="725"/>
      <c r="K788" s="725"/>
      <c r="L788" s="725"/>
      <c r="M788" s="725"/>
      <c r="N788" s="725"/>
      <c r="O788" s="725"/>
      <c r="P788" s="725"/>
      <c r="Q788" s="725"/>
      <c r="R788" s="725"/>
      <c r="S788" s="725"/>
    </row>
    <row r="789" spans="1:19" x14ac:dyDescent="0.3">
      <c r="A789" s="725"/>
      <c r="C789" s="725"/>
      <c r="D789" s="725"/>
      <c r="E789" s="725"/>
      <c r="F789" s="741"/>
      <c r="G789" s="735"/>
      <c r="H789" s="725"/>
      <c r="I789" s="725"/>
      <c r="J789" s="725"/>
      <c r="K789" s="725"/>
      <c r="L789" s="725"/>
      <c r="M789" s="725"/>
      <c r="N789" s="725"/>
      <c r="O789" s="725"/>
      <c r="P789" s="725"/>
      <c r="Q789" s="725"/>
      <c r="R789" s="725"/>
      <c r="S789" s="725"/>
    </row>
    <row r="790" spans="1:19" x14ac:dyDescent="0.3">
      <c r="A790" s="725"/>
      <c r="C790" s="725"/>
      <c r="D790" s="725"/>
      <c r="E790" s="725"/>
      <c r="F790" s="741"/>
      <c r="G790" s="735"/>
      <c r="H790" s="725"/>
      <c r="I790" s="725"/>
      <c r="J790" s="725"/>
      <c r="K790" s="725"/>
      <c r="L790" s="725"/>
      <c r="M790" s="725"/>
      <c r="N790" s="725"/>
      <c r="O790" s="725"/>
      <c r="P790" s="725"/>
      <c r="Q790" s="725"/>
      <c r="R790" s="725"/>
      <c r="S790" s="725"/>
    </row>
    <row r="791" spans="1:19" x14ac:dyDescent="0.3">
      <c r="A791" s="725"/>
      <c r="C791" s="725"/>
      <c r="D791" s="725"/>
      <c r="E791" s="725"/>
      <c r="F791" s="741"/>
      <c r="G791" s="735"/>
      <c r="H791" s="725"/>
      <c r="I791" s="725"/>
      <c r="J791" s="725"/>
      <c r="K791" s="725"/>
      <c r="L791" s="725"/>
      <c r="M791" s="725"/>
      <c r="N791" s="725"/>
      <c r="O791" s="725"/>
      <c r="P791" s="725"/>
      <c r="Q791" s="725"/>
      <c r="R791" s="725"/>
      <c r="S791" s="725"/>
    </row>
    <row r="792" spans="1:19" x14ac:dyDescent="0.3">
      <c r="A792" s="725"/>
      <c r="C792" s="725"/>
      <c r="D792" s="725"/>
      <c r="E792" s="725"/>
      <c r="F792" s="741"/>
      <c r="G792" s="735"/>
      <c r="H792" s="725"/>
      <c r="I792" s="725"/>
      <c r="J792" s="725"/>
      <c r="K792" s="725"/>
      <c r="L792" s="725"/>
      <c r="M792" s="725"/>
      <c r="N792" s="725"/>
      <c r="O792" s="725"/>
      <c r="P792" s="725"/>
      <c r="Q792" s="725"/>
      <c r="R792" s="725"/>
      <c r="S792" s="725"/>
    </row>
    <row r="793" spans="1:19" x14ac:dyDescent="0.3">
      <c r="A793" s="725"/>
      <c r="C793" s="725"/>
      <c r="D793" s="725"/>
      <c r="E793" s="725"/>
      <c r="F793" s="741"/>
      <c r="G793" s="735"/>
      <c r="H793" s="725"/>
      <c r="I793" s="725"/>
      <c r="J793" s="725"/>
      <c r="K793" s="725"/>
      <c r="L793" s="725"/>
      <c r="M793" s="725"/>
      <c r="N793" s="725"/>
      <c r="O793" s="725"/>
      <c r="P793" s="725"/>
      <c r="Q793" s="725"/>
      <c r="R793" s="725"/>
      <c r="S793" s="725"/>
    </row>
    <row r="794" spans="1:19" x14ac:dyDescent="0.3">
      <c r="A794" s="725"/>
      <c r="C794" s="725"/>
      <c r="D794" s="725"/>
      <c r="E794" s="725"/>
      <c r="F794" s="741"/>
      <c r="G794" s="735"/>
      <c r="H794" s="725"/>
      <c r="I794" s="725"/>
      <c r="J794" s="725"/>
      <c r="K794" s="725"/>
      <c r="L794" s="725"/>
      <c r="M794" s="725"/>
      <c r="N794" s="725"/>
      <c r="O794" s="725"/>
      <c r="P794" s="725"/>
      <c r="Q794" s="725"/>
      <c r="R794" s="725"/>
      <c r="S794" s="725"/>
    </row>
    <row r="795" spans="1:19" x14ac:dyDescent="0.3">
      <c r="A795" s="725"/>
      <c r="C795" s="725"/>
      <c r="D795" s="725"/>
      <c r="E795" s="725"/>
      <c r="F795" s="741"/>
      <c r="G795" s="735"/>
      <c r="H795" s="725"/>
      <c r="I795" s="725"/>
      <c r="J795" s="725"/>
      <c r="K795" s="725"/>
      <c r="L795" s="725"/>
      <c r="M795" s="725"/>
      <c r="N795" s="725"/>
      <c r="O795" s="725"/>
      <c r="P795" s="725"/>
      <c r="Q795" s="725"/>
      <c r="R795" s="725"/>
      <c r="S795" s="725"/>
    </row>
    <row r="796" spans="1:19" x14ac:dyDescent="0.3">
      <c r="A796" s="725"/>
      <c r="C796" s="725"/>
      <c r="D796" s="725"/>
      <c r="E796" s="725"/>
      <c r="F796" s="741"/>
      <c r="G796" s="735"/>
      <c r="H796" s="725"/>
      <c r="I796" s="725"/>
      <c r="J796" s="725"/>
      <c r="K796" s="725"/>
      <c r="L796" s="725"/>
      <c r="M796" s="725"/>
      <c r="N796" s="725"/>
      <c r="O796" s="725"/>
      <c r="P796" s="725"/>
      <c r="Q796" s="725"/>
      <c r="R796" s="725"/>
      <c r="S796" s="725"/>
    </row>
    <row r="797" spans="1:19" x14ac:dyDescent="0.3">
      <c r="A797" s="725"/>
      <c r="C797" s="725"/>
      <c r="D797" s="725"/>
      <c r="E797" s="725"/>
      <c r="F797" s="741"/>
      <c r="G797" s="735"/>
      <c r="H797" s="725"/>
      <c r="I797" s="725"/>
      <c r="J797" s="725"/>
      <c r="K797" s="725"/>
      <c r="L797" s="725"/>
      <c r="M797" s="725"/>
      <c r="N797" s="725"/>
      <c r="O797" s="725"/>
      <c r="P797" s="725"/>
      <c r="Q797" s="725"/>
      <c r="R797" s="725"/>
      <c r="S797" s="725"/>
    </row>
    <row r="798" spans="1:19" x14ac:dyDescent="0.3">
      <c r="A798" s="725"/>
      <c r="C798" s="725"/>
      <c r="D798" s="725"/>
      <c r="E798" s="725"/>
      <c r="F798" s="741"/>
      <c r="G798" s="735"/>
      <c r="H798" s="725"/>
      <c r="I798" s="725"/>
      <c r="J798" s="725"/>
      <c r="K798" s="725"/>
      <c r="L798" s="725"/>
      <c r="M798" s="725"/>
      <c r="N798" s="725"/>
      <c r="O798" s="725"/>
      <c r="P798" s="725"/>
      <c r="Q798" s="725"/>
      <c r="R798" s="725"/>
      <c r="S798" s="725"/>
    </row>
    <row r="799" spans="1:19" x14ac:dyDescent="0.3">
      <c r="A799" s="725"/>
      <c r="C799" s="725"/>
      <c r="D799" s="725"/>
      <c r="E799" s="725"/>
      <c r="F799" s="741"/>
      <c r="G799" s="735"/>
      <c r="H799" s="725"/>
      <c r="I799" s="725"/>
      <c r="J799" s="725"/>
      <c r="K799" s="725"/>
      <c r="L799" s="725"/>
      <c r="M799" s="725"/>
      <c r="N799" s="725"/>
      <c r="O799" s="725"/>
      <c r="P799" s="725"/>
      <c r="Q799" s="725"/>
      <c r="R799" s="725"/>
      <c r="S799" s="725"/>
    </row>
    <row r="800" spans="1:19" x14ac:dyDescent="0.3">
      <c r="A800" s="725"/>
      <c r="C800" s="725"/>
      <c r="D800" s="725"/>
      <c r="E800" s="725"/>
      <c r="F800" s="741"/>
      <c r="G800" s="735"/>
      <c r="H800" s="725"/>
      <c r="I800" s="725"/>
      <c r="J800" s="725"/>
      <c r="K800" s="725"/>
      <c r="L800" s="725"/>
      <c r="M800" s="725"/>
      <c r="N800" s="725"/>
      <c r="O800" s="725"/>
      <c r="P800" s="725"/>
      <c r="Q800" s="725"/>
      <c r="R800" s="725"/>
      <c r="S800" s="725"/>
    </row>
    <row r="801" spans="1:19" x14ac:dyDescent="0.3">
      <c r="A801" s="725"/>
      <c r="C801" s="725"/>
      <c r="D801" s="725"/>
      <c r="E801" s="725"/>
      <c r="F801" s="741"/>
      <c r="G801" s="735"/>
      <c r="H801" s="725"/>
      <c r="I801" s="725"/>
      <c r="J801" s="725"/>
      <c r="K801" s="725"/>
      <c r="L801" s="725"/>
      <c r="M801" s="725"/>
      <c r="N801" s="725"/>
      <c r="O801" s="725"/>
      <c r="P801" s="725"/>
      <c r="Q801" s="725"/>
      <c r="R801" s="725"/>
      <c r="S801" s="725"/>
    </row>
    <row r="802" spans="1:19" x14ac:dyDescent="0.3">
      <c r="A802" s="725"/>
      <c r="C802" s="725"/>
      <c r="D802" s="725"/>
      <c r="E802" s="725"/>
      <c r="F802" s="741"/>
      <c r="G802" s="735"/>
      <c r="H802" s="725"/>
      <c r="I802" s="725"/>
      <c r="J802" s="725"/>
      <c r="K802" s="725"/>
      <c r="L802" s="725"/>
      <c r="M802" s="725"/>
      <c r="N802" s="725"/>
      <c r="O802" s="725"/>
      <c r="P802" s="725"/>
      <c r="Q802" s="725"/>
      <c r="R802" s="725"/>
      <c r="S802" s="725"/>
    </row>
    <row r="803" spans="1:19" x14ac:dyDescent="0.3">
      <c r="A803" s="725"/>
      <c r="C803" s="725"/>
      <c r="D803" s="725"/>
      <c r="E803" s="725"/>
      <c r="F803" s="741"/>
      <c r="G803" s="735"/>
      <c r="H803" s="725"/>
      <c r="I803" s="725"/>
      <c r="J803" s="725"/>
      <c r="K803" s="725"/>
      <c r="L803" s="725"/>
      <c r="M803" s="725"/>
      <c r="N803" s="725"/>
      <c r="O803" s="725"/>
      <c r="P803" s="725"/>
      <c r="Q803" s="725"/>
      <c r="R803" s="725"/>
      <c r="S803" s="725"/>
    </row>
    <row r="804" spans="1:19" x14ac:dyDescent="0.3">
      <c r="A804" s="725"/>
      <c r="C804" s="725"/>
      <c r="D804" s="725"/>
      <c r="E804" s="725"/>
      <c r="F804" s="741"/>
      <c r="G804" s="735"/>
      <c r="H804" s="725"/>
      <c r="I804" s="725"/>
      <c r="J804" s="725"/>
      <c r="K804" s="725"/>
      <c r="L804" s="725"/>
      <c r="M804" s="725"/>
      <c r="N804" s="725"/>
      <c r="O804" s="725"/>
      <c r="P804" s="725"/>
      <c r="Q804" s="725"/>
      <c r="R804" s="725"/>
      <c r="S804" s="725"/>
    </row>
    <row r="805" spans="1:19" x14ac:dyDescent="0.3">
      <c r="A805" s="725"/>
      <c r="C805" s="725"/>
      <c r="D805" s="725"/>
      <c r="E805" s="725"/>
      <c r="F805" s="741"/>
      <c r="G805" s="735"/>
      <c r="H805" s="725"/>
      <c r="I805" s="725"/>
      <c r="J805" s="725"/>
      <c r="K805" s="725"/>
      <c r="L805" s="725"/>
      <c r="M805" s="725"/>
      <c r="N805" s="725"/>
      <c r="O805" s="725"/>
      <c r="P805" s="725"/>
      <c r="Q805" s="725"/>
      <c r="R805" s="725"/>
      <c r="S805" s="725"/>
    </row>
    <row r="806" spans="1:19" x14ac:dyDescent="0.3">
      <c r="A806" s="725"/>
      <c r="C806" s="725"/>
      <c r="D806" s="725"/>
      <c r="E806" s="725"/>
      <c r="F806" s="741"/>
      <c r="G806" s="735"/>
      <c r="H806" s="725"/>
      <c r="I806" s="725"/>
      <c r="J806" s="725"/>
      <c r="K806" s="725"/>
      <c r="L806" s="725"/>
      <c r="M806" s="725"/>
      <c r="N806" s="725"/>
      <c r="O806" s="725"/>
      <c r="P806" s="725"/>
      <c r="Q806" s="725"/>
      <c r="R806" s="725"/>
      <c r="S806" s="725"/>
    </row>
    <row r="807" spans="1:19" x14ac:dyDescent="0.3">
      <c r="A807" s="725"/>
      <c r="C807" s="725"/>
      <c r="D807" s="725"/>
      <c r="E807" s="725"/>
      <c r="F807" s="741"/>
      <c r="G807" s="735"/>
      <c r="H807" s="725"/>
      <c r="I807" s="725"/>
      <c r="J807" s="725"/>
      <c r="K807" s="725"/>
      <c r="L807" s="725"/>
      <c r="M807" s="725"/>
      <c r="N807" s="725"/>
      <c r="O807" s="725"/>
      <c r="P807" s="725"/>
      <c r="Q807" s="725"/>
      <c r="R807" s="725"/>
      <c r="S807" s="725"/>
    </row>
    <row r="808" spans="1:19" x14ac:dyDescent="0.3">
      <c r="A808" s="725"/>
      <c r="C808" s="725"/>
      <c r="D808" s="725"/>
      <c r="E808" s="725"/>
      <c r="F808" s="741"/>
      <c r="G808" s="735"/>
      <c r="H808" s="725"/>
      <c r="I808" s="725"/>
      <c r="J808" s="725"/>
      <c r="K808" s="725"/>
      <c r="L808" s="725"/>
      <c r="M808" s="725"/>
      <c r="N808" s="725"/>
      <c r="O808" s="725"/>
      <c r="P808" s="725"/>
      <c r="Q808" s="725"/>
      <c r="R808" s="725"/>
      <c r="S808" s="725"/>
    </row>
    <row r="809" spans="1:19" x14ac:dyDescent="0.3">
      <c r="A809" s="725"/>
      <c r="C809" s="725"/>
      <c r="D809" s="725"/>
      <c r="E809" s="725"/>
      <c r="F809" s="741"/>
      <c r="G809" s="735"/>
      <c r="H809" s="725"/>
      <c r="I809" s="725"/>
      <c r="J809" s="725"/>
      <c r="K809" s="725"/>
      <c r="L809" s="725"/>
      <c r="M809" s="725"/>
      <c r="N809" s="725"/>
      <c r="O809" s="725"/>
      <c r="P809" s="725"/>
      <c r="Q809" s="725"/>
      <c r="R809" s="725"/>
      <c r="S809" s="725"/>
    </row>
    <row r="810" spans="1:19" x14ac:dyDescent="0.3">
      <c r="A810" s="725"/>
      <c r="C810" s="725"/>
      <c r="D810" s="725"/>
      <c r="E810" s="725"/>
      <c r="F810" s="741"/>
      <c r="G810" s="735"/>
      <c r="H810" s="725"/>
      <c r="I810" s="725"/>
      <c r="J810" s="725"/>
      <c r="K810" s="725"/>
      <c r="L810" s="725"/>
      <c r="M810" s="725"/>
      <c r="N810" s="725"/>
      <c r="O810" s="725"/>
      <c r="P810" s="725"/>
      <c r="Q810" s="725"/>
      <c r="R810" s="725"/>
      <c r="S810" s="725"/>
    </row>
    <row r="811" spans="1:19" x14ac:dyDescent="0.3">
      <c r="A811" s="725"/>
      <c r="C811" s="725"/>
      <c r="D811" s="725"/>
      <c r="E811" s="725"/>
      <c r="F811" s="741"/>
      <c r="G811" s="735"/>
      <c r="H811" s="725"/>
      <c r="I811" s="725"/>
      <c r="J811" s="725"/>
      <c r="K811" s="725"/>
      <c r="L811" s="725"/>
      <c r="M811" s="725"/>
      <c r="N811" s="725"/>
      <c r="O811" s="725"/>
      <c r="P811" s="725"/>
      <c r="Q811" s="725"/>
      <c r="R811" s="725"/>
      <c r="S811" s="725"/>
    </row>
    <row r="812" spans="1:19" x14ac:dyDescent="0.3">
      <c r="A812" s="725"/>
      <c r="C812" s="725"/>
      <c r="D812" s="725"/>
      <c r="E812" s="725"/>
      <c r="F812" s="741"/>
      <c r="G812" s="735"/>
      <c r="H812" s="725"/>
      <c r="I812" s="725"/>
      <c r="J812" s="725"/>
      <c r="K812" s="725"/>
      <c r="L812" s="725"/>
      <c r="M812" s="725"/>
      <c r="N812" s="725"/>
      <c r="O812" s="725"/>
      <c r="P812" s="725"/>
      <c r="Q812" s="725"/>
      <c r="R812" s="725"/>
      <c r="S812" s="725"/>
    </row>
    <row r="813" spans="1:19" x14ac:dyDescent="0.3">
      <c r="A813" s="725"/>
      <c r="C813" s="725"/>
      <c r="D813" s="725"/>
      <c r="E813" s="725"/>
      <c r="F813" s="741"/>
      <c r="G813" s="735"/>
      <c r="H813" s="725"/>
      <c r="I813" s="725"/>
      <c r="J813" s="725"/>
      <c r="K813" s="725"/>
      <c r="L813" s="725"/>
      <c r="M813" s="725"/>
      <c r="N813" s="725"/>
      <c r="O813" s="725"/>
      <c r="P813" s="725"/>
      <c r="Q813" s="725"/>
      <c r="R813" s="725"/>
      <c r="S813" s="725"/>
    </row>
    <row r="814" spans="1:19" x14ac:dyDescent="0.3">
      <c r="A814" s="725"/>
      <c r="C814" s="725"/>
      <c r="D814" s="725"/>
      <c r="E814" s="725"/>
      <c r="F814" s="741"/>
      <c r="G814" s="735"/>
      <c r="H814" s="725"/>
      <c r="I814" s="725"/>
      <c r="J814" s="725"/>
      <c r="K814" s="725"/>
      <c r="L814" s="725"/>
      <c r="M814" s="725"/>
      <c r="N814" s="725"/>
      <c r="O814" s="725"/>
      <c r="P814" s="725"/>
      <c r="Q814" s="725"/>
      <c r="R814" s="725"/>
      <c r="S814" s="725"/>
    </row>
    <row r="815" spans="1:19" x14ac:dyDescent="0.3">
      <c r="A815" s="725"/>
      <c r="C815" s="725"/>
      <c r="D815" s="725"/>
      <c r="E815" s="725"/>
      <c r="F815" s="741"/>
      <c r="G815" s="735"/>
      <c r="H815" s="725"/>
      <c r="I815" s="725"/>
      <c r="J815" s="725"/>
      <c r="K815" s="725"/>
      <c r="L815" s="725"/>
      <c r="M815" s="725"/>
      <c r="N815" s="725"/>
      <c r="O815" s="725"/>
      <c r="P815" s="725"/>
      <c r="Q815" s="725"/>
      <c r="R815" s="725"/>
      <c r="S815" s="725"/>
    </row>
    <row r="816" spans="1:19" x14ac:dyDescent="0.3">
      <c r="A816" s="725"/>
      <c r="C816" s="725"/>
      <c r="D816" s="725"/>
      <c r="E816" s="725"/>
      <c r="F816" s="741"/>
      <c r="G816" s="735"/>
      <c r="H816" s="725"/>
      <c r="I816" s="725"/>
      <c r="J816" s="725"/>
      <c r="K816" s="725"/>
      <c r="L816" s="725"/>
      <c r="M816" s="725"/>
      <c r="N816" s="725"/>
      <c r="O816" s="725"/>
      <c r="P816" s="725"/>
      <c r="Q816" s="725"/>
      <c r="R816" s="725"/>
      <c r="S816" s="725"/>
    </row>
    <row r="817" spans="1:19" x14ac:dyDescent="0.3">
      <c r="A817" s="725"/>
      <c r="C817" s="725"/>
      <c r="D817" s="725"/>
      <c r="E817" s="725"/>
      <c r="F817" s="741"/>
      <c r="G817" s="735"/>
      <c r="H817" s="725"/>
      <c r="I817" s="725"/>
      <c r="J817" s="725"/>
      <c r="K817" s="725"/>
      <c r="L817" s="725"/>
      <c r="M817" s="725"/>
      <c r="N817" s="725"/>
      <c r="O817" s="725"/>
      <c r="P817" s="725"/>
      <c r="Q817" s="725"/>
      <c r="R817" s="725"/>
      <c r="S817" s="725"/>
    </row>
    <row r="818" spans="1:19" x14ac:dyDescent="0.3">
      <c r="A818" s="725"/>
      <c r="C818" s="725"/>
      <c r="D818" s="725"/>
      <c r="E818" s="725"/>
      <c r="F818" s="741"/>
      <c r="G818" s="735"/>
      <c r="H818" s="725"/>
      <c r="I818" s="725"/>
      <c r="J818" s="725"/>
      <c r="K818" s="725"/>
      <c r="L818" s="725"/>
      <c r="M818" s="725"/>
      <c r="N818" s="725"/>
      <c r="O818" s="725"/>
      <c r="P818" s="725"/>
      <c r="Q818" s="725"/>
      <c r="R818" s="725"/>
      <c r="S818" s="725"/>
    </row>
    <row r="819" spans="1:19" x14ac:dyDescent="0.3">
      <c r="A819" s="725"/>
      <c r="C819" s="725"/>
      <c r="D819" s="725"/>
      <c r="E819" s="725"/>
      <c r="F819" s="741"/>
      <c r="G819" s="735"/>
      <c r="H819" s="725"/>
      <c r="I819" s="725"/>
      <c r="J819" s="725"/>
      <c r="K819" s="725"/>
      <c r="L819" s="725"/>
      <c r="M819" s="725"/>
      <c r="N819" s="725"/>
      <c r="O819" s="725"/>
      <c r="P819" s="725"/>
      <c r="Q819" s="725"/>
      <c r="R819" s="725"/>
      <c r="S819" s="725"/>
    </row>
    <row r="820" spans="1:19" x14ac:dyDescent="0.3">
      <c r="A820" s="725"/>
      <c r="C820" s="725"/>
      <c r="D820" s="725"/>
      <c r="E820" s="725"/>
      <c r="F820" s="741"/>
      <c r="G820" s="735"/>
      <c r="H820" s="725"/>
      <c r="I820" s="725"/>
      <c r="J820" s="725"/>
      <c r="K820" s="725"/>
      <c r="L820" s="725"/>
      <c r="M820" s="725"/>
      <c r="N820" s="725"/>
      <c r="O820" s="725"/>
      <c r="P820" s="725"/>
      <c r="Q820" s="725"/>
      <c r="R820" s="725"/>
      <c r="S820" s="725"/>
    </row>
    <row r="821" spans="1:19" x14ac:dyDescent="0.3">
      <c r="A821" s="725"/>
      <c r="C821" s="725"/>
      <c r="D821" s="725"/>
      <c r="E821" s="725"/>
      <c r="F821" s="741"/>
      <c r="G821" s="735"/>
      <c r="H821" s="725"/>
      <c r="I821" s="725"/>
      <c r="J821" s="725"/>
      <c r="K821" s="725"/>
      <c r="L821" s="725"/>
      <c r="M821" s="725"/>
      <c r="N821" s="725"/>
      <c r="O821" s="725"/>
      <c r="P821" s="725"/>
      <c r="Q821" s="725"/>
      <c r="R821" s="725"/>
      <c r="S821" s="725"/>
    </row>
    <row r="822" spans="1:19" x14ac:dyDescent="0.3">
      <c r="A822" s="725"/>
      <c r="C822" s="725"/>
      <c r="D822" s="725"/>
      <c r="E822" s="725"/>
      <c r="F822" s="741"/>
      <c r="G822" s="735"/>
      <c r="H822" s="725"/>
      <c r="I822" s="725"/>
      <c r="J822" s="725"/>
      <c r="K822" s="725"/>
      <c r="L822" s="725"/>
      <c r="M822" s="725"/>
      <c r="N822" s="725"/>
      <c r="O822" s="725"/>
      <c r="P822" s="725"/>
      <c r="Q822" s="725"/>
      <c r="R822" s="725"/>
      <c r="S822" s="725"/>
    </row>
    <row r="823" spans="1:19" x14ac:dyDescent="0.3">
      <c r="A823" s="725"/>
      <c r="C823" s="725"/>
      <c r="D823" s="725"/>
      <c r="E823" s="725"/>
      <c r="F823" s="741"/>
      <c r="G823" s="735"/>
      <c r="H823" s="725"/>
      <c r="I823" s="725"/>
      <c r="J823" s="725"/>
      <c r="K823" s="725"/>
      <c r="L823" s="725"/>
      <c r="M823" s="725"/>
      <c r="N823" s="725"/>
      <c r="O823" s="725"/>
      <c r="P823" s="725"/>
      <c r="Q823" s="725"/>
      <c r="R823" s="725"/>
      <c r="S823" s="725"/>
    </row>
    <row r="824" spans="1:19" x14ac:dyDescent="0.3">
      <c r="A824" s="725"/>
      <c r="C824" s="725"/>
      <c r="D824" s="725"/>
      <c r="E824" s="725"/>
      <c r="F824" s="741"/>
      <c r="G824" s="735"/>
      <c r="H824" s="725"/>
      <c r="I824" s="725"/>
      <c r="J824" s="725"/>
      <c r="K824" s="725"/>
      <c r="L824" s="725"/>
      <c r="M824" s="725"/>
      <c r="N824" s="725"/>
      <c r="O824" s="725"/>
      <c r="P824" s="725"/>
      <c r="Q824" s="725"/>
      <c r="R824" s="725"/>
      <c r="S824" s="725"/>
    </row>
    <row r="825" spans="1:19" x14ac:dyDescent="0.3">
      <c r="A825" s="725"/>
      <c r="C825" s="725"/>
      <c r="D825" s="725"/>
      <c r="E825" s="725"/>
      <c r="F825" s="741"/>
      <c r="G825" s="735"/>
      <c r="H825" s="725"/>
      <c r="I825" s="725"/>
      <c r="J825" s="725"/>
      <c r="K825" s="725"/>
      <c r="L825" s="725"/>
      <c r="M825" s="725"/>
      <c r="N825" s="725"/>
      <c r="O825" s="725"/>
      <c r="P825" s="725"/>
      <c r="Q825" s="725"/>
      <c r="R825" s="725"/>
      <c r="S825" s="725"/>
    </row>
    <row r="826" spans="1:19" x14ac:dyDescent="0.3">
      <c r="A826" s="725"/>
      <c r="C826" s="725"/>
      <c r="D826" s="725"/>
      <c r="E826" s="725"/>
      <c r="F826" s="741"/>
      <c r="G826" s="735"/>
      <c r="H826" s="725"/>
      <c r="I826" s="725"/>
      <c r="J826" s="725"/>
      <c r="K826" s="725"/>
      <c r="L826" s="725"/>
      <c r="M826" s="725"/>
      <c r="N826" s="725"/>
      <c r="O826" s="725"/>
      <c r="P826" s="725"/>
      <c r="Q826" s="725"/>
      <c r="R826" s="725"/>
      <c r="S826" s="725"/>
    </row>
    <row r="827" spans="1:19" x14ac:dyDescent="0.3">
      <c r="A827" s="725"/>
      <c r="C827" s="725"/>
      <c r="D827" s="725"/>
      <c r="E827" s="725"/>
      <c r="F827" s="741"/>
      <c r="G827" s="735"/>
      <c r="H827" s="725"/>
      <c r="I827" s="725"/>
      <c r="J827" s="725"/>
      <c r="K827" s="725"/>
      <c r="L827" s="725"/>
      <c r="M827" s="725"/>
      <c r="N827" s="725"/>
      <c r="O827" s="725"/>
      <c r="P827" s="725"/>
      <c r="Q827" s="725"/>
      <c r="R827" s="725"/>
      <c r="S827" s="725"/>
    </row>
    <row r="828" spans="1:19" x14ac:dyDescent="0.3">
      <c r="A828" s="725"/>
      <c r="C828" s="725"/>
      <c r="D828" s="725"/>
      <c r="E828" s="725"/>
      <c r="F828" s="741"/>
      <c r="G828" s="735"/>
      <c r="H828" s="725"/>
      <c r="I828" s="725"/>
      <c r="J828" s="725"/>
      <c r="K828" s="725"/>
      <c r="L828" s="725"/>
      <c r="M828" s="725"/>
      <c r="N828" s="725"/>
      <c r="O828" s="725"/>
      <c r="P828" s="725"/>
      <c r="Q828" s="725"/>
      <c r="R828" s="725"/>
      <c r="S828" s="725"/>
    </row>
    <row r="829" spans="1:19" x14ac:dyDescent="0.3">
      <c r="A829" s="725"/>
      <c r="C829" s="725"/>
      <c r="D829" s="725"/>
      <c r="E829" s="725"/>
      <c r="F829" s="741"/>
      <c r="G829" s="735"/>
      <c r="H829" s="725"/>
      <c r="I829" s="725"/>
      <c r="J829" s="725"/>
      <c r="K829" s="725"/>
      <c r="L829" s="725"/>
      <c r="M829" s="725"/>
      <c r="N829" s="725"/>
      <c r="O829" s="725"/>
      <c r="P829" s="725"/>
      <c r="Q829" s="725"/>
      <c r="R829" s="725"/>
      <c r="S829" s="725"/>
    </row>
    <row r="830" spans="1:19" x14ac:dyDescent="0.3">
      <c r="A830" s="725"/>
      <c r="C830" s="725"/>
      <c r="D830" s="725"/>
      <c r="E830" s="725"/>
      <c r="F830" s="741"/>
      <c r="G830" s="735"/>
      <c r="H830" s="725"/>
      <c r="I830" s="725"/>
      <c r="J830" s="725"/>
      <c r="K830" s="725"/>
      <c r="L830" s="725"/>
      <c r="M830" s="725"/>
      <c r="N830" s="725"/>
      <c r="O830" s="725"/>
      <c r="P830" s="725"/>
      <c r="Q830" s="725"/>
      <c r="R830" s="725"/>
      <c r="S830" s="725"/>
    </row>
    <row r="831" spans="1:19" x14ac:dyDescent="0.3">
      <c r="A831" s="725"/>
      <c r="C831" s="725"/>
      <c r="D831" s="725"/>
      <c r="E831" s="725"/>
      <c r="F831" s="741"/>
      <c r="G831" s="735"/>
      <c r="H831" s="725"/>
      <c r="I831" s="725"/>
      <c r="J831" s="725"/>
      <c r="K831" s="725"/>
      <c r="L831" s="725"/>
      <c r="M831" s="725"/>
      <c r="N831" s="725"/>
      <c r="O831" s="725"/>
      <c r="P831" s="725"/>
      <c r="Q831" s="725"/>
      <c r="R831" s="725"/>
      <c r="S831" s="725"/>
    </row>
    <row r="832" spans="1:19" x14ac:dyDescent="0.3">
      <c r="A832" s="725"/>
      <c r="C832" s="725"/>
      <c r="D832" s="725"/>
      <c r="E832" s="725"/>
      <c r="F832" s="741"/>
      <c r="G832" s="735"/>
      <c r="H832" s="725"/>
      <c r="I832" s="725"/>
      <c r="J832" s="725"/>
      <c r="K832" s="725"/>
      <c r="L832" s="725"/>
      <c r="M832" s="725"/>
      <c r="N832" s="725"/>
      <c r="O832" s="725"/>
      <c r="P832" s="725"/>
      <c r="Q832" s="725"/>
      <c r="R832" s="725"/>
      <c r="S832" s="725"/>
    </row>
    <row r="833" spans="1:19" x14ac:dyDescent="0.3">
      <c r="A833" s="725"/>
      <c r="C833" s="725"/>
      <c r="D833" s="725"/>
      <c r="E833" s="725"/>
      <c r="F833" s="741"/>
      <c r="G833" s="735"/>
      <c r="H833" s="725"/>
      <c r="I833" s="725"/>
      <c r="J833" s="725"/>
      <c r="K833" s="725"/>
      <c r="L833" s="725"/>
      <c r="M833" s="725"/>
      <c r="N833" s="725"/>
      <c r="O833" s="725"/>
      <c r="P833" s="725"/>
      <c r="Q833" s="725"/>
      <c r="R833" s="725"/>
      <c r="S833" s="725"/>
    </row>
    <row r="834" spans="1:19" x14ac:dyDescent="0.3">
      <c r="A834" s="725"/>
      <c r="C834" s="725"/>
      <c r="D834" s="725"/>
      <c r="E834" s="725"/>
      <c r="F834" s="741"/>
      <c r="G834" s="735"/>
      <c r="H834" s="725"/>
      <c r="I834" s="725"/>
      <c r="J834" s="725"/>
      <c r="K834" s="725"/>
      <c r="L834" s="725"/>
      <c r="M834" s="725"/>
      <c r="N834" s="725"/>
      <c r="O834" s="725"/>
      <c r="P834" s="725"/>
      <c r="Q834" s="725"/>
      <c r="R834" s="725"/>
      <c r="S834" s="725"/>
    </row>
    <row r="835" spans="1:19" x14ac:dyDescent="0.3">
      <c r="A835" s="725"/>
      <c r="C835" s="725"/>
      <c r="D835" s="725"/>
      <c r="E835" s="725"/>
      <c r="F835" s="741"/>
      <c r="G835" s="735"/>
      <c r="H835" s="725"/>
      <c r="I835" s="725"/>
      <c r="J835" s="725"/>
      <c r="K835" s="725"/>
      <c r="L835" s="725"/>
      <c r="M835" s="725"/>
      <c r="N835" s="725"/>
      <c r="O835" s="725"/>
      <c r="P835" s="725"/>
      <c r="Q835" s="725"/>
      <c r="R835" s="725"/>
      <c r="S835" s="725"/>
    </row>
    <row r="836" spans="1:19" x14ac:dyDescent="0.3">
      <c r="A836" s="725"/>
      <c r="C836" s="725"/>
      <c r="D836" s="725"/>
      <c r="E836" s="725"/>
      <c r="F836" s="741"/>
      <c r="G836" s="735"/>
      <c r="H836" s="725"/>
      <c r="I836" s="725"/>
      <c r="J836" s="725"/>
      <c r="K836" s="725"/>
      <c r="L836" s="725"/>
      <c r="M836" s="725"/>
      <c r="N836" s="725"/>
      <c r="O836" s="725"/>
      <c r="P836" s="725"/>
      <c r="Q836" s="725"/>
      <c r="R836" s="725"/>
      <c r="S836" s="725"/>
    </row>
    <row r="837" spans="1:19" x14ac:dyDescent="0.3">
      <c r="A837" s="725"/>
      <c r="C837" s="725"/>
      <c r="D837" s="725"/>
      <c r="E837" s="725"/>
      <c r="F837" s="741"/>
      <c r="G837" s="735"/>
      <c r="H837" s="725"/>
      <c r="I837" s="725"/>
      <c r="J837" s="725"/>
      <c r="K837" s="725"/>
      <c r="L837" s="725"/>
      <c r="M837" s="725"/>
      <c r="N837" s="725"/>
      <c r="O837" s="725"/>
      <c r="P837" s="725"/>
      <c r="Q837" s="725"/>
      <c r="R837" s="725"/>
      <c r="S837" s="725"/>
    </row>
    <row r="838" spans="1:19" x14ac:dyDescent="0.3">
      <c r="A838" s="725"/>
      <c r="C838" s="725"/>
      <c r="D838" s="725"/>
      <c r="E838" s="725"/>
      <c r="F838" s="741"/>
      <c r="G838" s="735"/>
      <c r="H838" s="725"/>
      <c r="I838" s="725"/>
      <c r="J838" s="725"/>
      <c r="K838" s="725"/>
      <c r="L838" s="725"/>
      <c r="M838" s="725"/>
      <c r="N838" s="725"/>
      <c r="O838" s="725"/>
      <c r="P838" s="725"/>
      <c r="Q838" s="725"/>
      <c r="R838" s="725"/>
      <c r="S838" s="725"/>
    </row>
    <row r="839" spans="1:19" x14ac:dyDescent="0.3">
      <c r="A839" s="725"/>
      <c r="C839" s="725"/>
      <c r="D839" s="725"/>
      <c r="E839" s="725"/>
      <c r="F839" s="741"/>
      <c r="G839" s="735"/>
      <c r="H839" s="725"/>
      <c r="I839" s="725"/>
      <c r="J839" s="725"/>
      <c r="K839" s="725"/>
      <c r="L839" s="725"/>
      <c r="M839" s="725"/>
      <c r="N839" s="725"/>
      <c r="O839" s="725"/>
      <c r="P839" s="725"/>
      <c r="Q839" s="725"/>
      <c r="R839" s="725"/>
      <c r="S839" s="725"/>
    </row>
    <row r="840" spans="1:19" x14ac:dyDescent="0.3">
      <c r="A840" s="725"/>
      <c r="C840" s="725"/>
      <c r="D840" s="725"/>
      <c r="E840" s="725"/>
      <c r="F840" s="741"/>
      <c r="G840" s="735"/>
      <c r="H840" s="725"/>
      <c r="I840" s="725"/>
      <c r="J840" s="725"/>
      <c r="K840" s="725"/>
      <c r="L840" s="725"/>
      <c r="M840" s="725"/>
      <c r="N840" s="725"/>
      <c r="O840" s="725"/>
      <c r="P840" s="725"/>
      <c r="Q840" s="725"/>
      <c r="R840" s="725"/>
      <c r="S840" s="725"/>
    </row>
    <row r="841" spans="1:19" x14ac:dyDescent="0.3">
      <c r="A841" s="725"/>
      <c r="C841" s="725"/>
      <c r="D841" s="725"/>
      <c r="E841" s="725"/>
      <c r="F841" s="741"/>
      <c r="G841" s="735"/>
      <c r="H841" s="725"/>
      <c r="I841" s="725"/>
      <c r="J841" s="725"/>
      <c r="K841" s="725"/>
      <c r="L841" s="725"/>
      <c r="M841" s="725"/>
      <c r="N841" s="725"/>
      <c r="O841" s="725"/>
      <c r="P841" s="725"/>
      <c r="Q841" s="725"/>
      <c r="R841" s="725"/>
      <c r="S841" s="725"/>
    </row>
    <row r="842" spans="1:19" x14ac:dyDescent="0.3">
      <c r="A842" s="725"/>
      <c r="C842" s="725"/>
      <c r="D842" s="725"/>
      <c r="E842" s="725"/>
      <c r="F842" s="741"/>
      <c r="G842" s="735"/>
      <c r="H842" s="725"/>
      <c r="I842" s="725"/>
      <c r="J842" s="725"/>
      <c r="K842" s="725"/>
      <c r="L842" s="725"/>
      <c r="M842" s="725"/>
      <c r="N842" s="725"/>
      <c r="O842" s="725"/>
      <c r="P842" s="725"/>
      <c r="Q842" s="725"/>
      <c r="R842" s="725"/>
      <c r="S842" s="725"/>
    </row>
    <row r="843" spans="1:19" x14ac:dyDescent="0.3">
      <c r="A843" s="725"/>
      <c r="C843" s="725"/>
      <c r="D843" s="725"/>
      <c r="E843" s="725"/>
      <c r="F843" s="741"/>
      <c r="G843" s="735"/>
      <c r="H843" s="725"/>
      <c r="I843" s="725"/>
      <c r="J843" s="725"/>
      <c r="K843" s="725"/>
      <c r="L843" s="725"/>
      <c r="M843" s="725"/>
      <c r="N843" s="725"/>
      <c r="O843" s="725"/>
      <c r="P843" s="725"/>
      <c r="Q843" s="725"/>
      <c r="R843" s="725"/>
      <c r="S843" s="725"/>
    </row>
    <row r="844" spans="1:19" x14ac:dyDescent="0.3">
      <c r="A844" s="725"/>
      <c r="C844" s="725"/>
      <c r="D844" s="725"/>
      <c r="E844" s="725"/>
      <c r="F844" s="741"/>
      <c r="G844" s="735"/>
      <c r="H844" s="725"/>
      <c r="I844" s="725"/>
      <c r="J844" s="725"/>
      <c r="K844" s="725"/>
      <c r="L844" s="725"/>
      <c r="M844" s="725"/>
      <c r="N844" s="725"/>
      <c r="O844" s="725"/>
      <c r="P844" s="725"/>
      <c r="Q844" s="725"/>
      <c r="R844" s="725"/>
      <c r="S844" s="725"/>
    </row>
    <row r="845" spans="1:19" x14ac:dyDescent="0.3">
      <c r="A845" s="725"/>
      <c r="C845" s="725"/>
      <c r="D845" s="725"/>
      <c r="E845" s="725"/>
      <c r="F845" s="741"/>
      <c r="G845" s="735"/>
      <c r="H845" s="725"/>
      <c r="I845" s="725"/>
      <c r="J845" s="725"/>
      <c r="K845" s="725"/>
      <c r="L845" s="725"/>
      <c r="M845" s="725"/>
      <c r="N845" s="725"/>
      <c r="O845" s="725"/>
      <c r="P845" s="725"/>
      <c r="Q845" s="725"/>
      <c r="R845" s="725"/>
      <c r="S845" s="725"/>
    </row>
    <row r="846" spans="1:19" x14ac:dyDescent="0.3">
      <c r="A846" s="725"/>
      <c r="C846" s="725"/>
      <c r="D846" s="725"/>
      <c r="E846" s="725"/>
      <c r="F846" s="741"/>
      <c r="G846" s="735"/>
      <c r="H846" s="725"/>
      <c r="I846" s="725"/>
      <c r="J846" s="725"/>
      <c r="K846" s="725"/>
      <c r="L846" s="725"/>
      <c r="M846" s="725"/>
      <c r="N846" s="725"/>
      <c r="O846" s="725"/>
      <c r="P846" s="725"/>
      <c r="Q846" s="725"/>
      <c r="R846" s="725"/>
      <c r="S846" s="725"/>
    </row>
    <row r="847" spans="1:19" x14ac:dyDescent="0.3">
      <c r="A847" s="725"/>
      <c r="C847" s="725"/>
      <c r="D847" s="725"/>
      <c r="E847" s="725"/>
      <c r="F847" s="741"/>
      <c r="G847" s="735"/>
      <c r="H847" s="725"/>
      <c r="I847" s="725"/>
      <c r="J847" s="725"/>
      <c r="K847" s="725"/>
      <c r="L847" s="725"/>
      <c r="M847" s="725"/>
      <c r="N847" s="725"/>
      <c r="O847" s="725"/>
      <c r="P847" s="725"/>
      <c r="Q847" s="725"/>
      <c r="R847" s="725"/>
      <c r="S847" s="725"/>
    </row>
    <row r="848" spans="1:19" x14ac:dyDescent="0.3">
      <c r="A848" s="725"/>
      <c r="C848" s="725"/>
      <c r="D848" s="725"/>
      <c r="E848" s="725"/>
      <c r="F848" s="741"/>
      <c r="G848" s="735"/>
      <c r="H848" s="725"/>
      <c r="I848" s="725"/>
      <c r="J848" s="725"/>
      <c r="K848" s="725"/>
      <c r="L848" s="725"/>
      <c r="M848" s="725"/>
      <c r="N848" s="725"/>
      <c r="O848" s="725"/>
      <c r="P848" s="725"/>
      <c r="Q848" s="725"/>
      <c r="R848" s="725"/>
      <c r="S848" s="725"/>
    </row>
    <row r="849" spans="1:19" x14ac:dyDescent="0.3">
      <c r="A849" s="725"/>
      <c r="C849" s="725"/>
      <c r="D849" s="725"/>
      <c r="E849" s="725"/>
      <c r="F849" s="741"/>
      <c r="G849" s="735"/>
      <c r="H849" s="725"/>
      <c r="I849" s="725"/>
      <c r="J849" s="725"/>
      <c r="K849" s="725"/>
      <c r="L849" s="725"/>
      <c r="M849" s="725"/>
      <c r="N849" s="725"/>
      <c r="O849" s="725"/>
      <c r="P849" s="725"/>
      <c r="Q849" s="725"/>
      <c r="R849" s="725"/>
      <c r="S849" s="725"/>
    </row>
    <row r="850" spans="1:19" x14ac:dyDescent="0.3">
      <c r="A850" s="725"/>
      <c r="C850" s="725"/>
      <c r="D850" s="725"/>
      <c r="E850" s="725"/>
      <c r="F850" s="741"/>
      <c r="G850" s="735"/>
      <c r="H850" s="725"/>
      <c r="I850" s="725"/>
      <c r="J850" s="725"/>
      <c r="K850" s="725"/>
      <c r="L850" s="725"/>
      <c r="M850" s="725"/>
      <c r="N850" s="725"/>
      <c r="O850" s="725"/>
      <c r="P850" s="725"/>
      <c r="Q850" s="725"/>
      <c r="R850" s="725"/>
      <c r="S850" s="725"/>
    </row>
    <row r="851" spans="1:19" x14ac:dyDescent="0.3">
      <c r="A851" s="725"/>
      <c r="C851" s="725"/>
      <c r="D851" s="725"/>
      <c r="E851" s="725"/>
      <c r="F851" s="741"/>
      <c r="G851" s="735"/>
      <c r="H851" s="725"/>
      <c r="I851" s="725"/>
      <c r="J851" s="725"/>
      <c r="K851" s="725"/>
      <c r="L851" s="725"/>
      <c r="M851" s="725"/>
      <c r="N851" s="725"/>
      <c r="O851" s="725"/>
      <c r="P851" s="725"/>
      <c r="Q851" s="725"/>
      <c r="R851" s="725"/>
      <c r="S851" s="725"/>
    </row>
    <row r="852" spans="1:19" x14ac:dyDescent="0.3">
      <c r="A852" s="725"/>
      <c r="C852" s="725"/>
      <c r="D852" s="725"/>
      <c r="E852" s="725"/>
      <c r="F852" s="741"/>
      <c r="G852" s="735"/>
      <c r="H852" s="725"/>
      <c r="I852" s="725"/>
      <c r="J852" s="725"/>
      <c r="K852" s="725"/>
      <c r="L852" s="725"/>
      <c r="M852" s="725"/>
      <c r="N852" s="725"/>
      <c r="O852" s="725"/>
      <c r="P852" s="725"/>
      <c r="Q852" s="725"/>
      <c r="R852" s="725"/>
      <c r="S852" s="725"/>
    </row>
    <row r="853" spans="1:19" x14ac:dyDescent="0.3">
      <c r="A853" s="725"/>
      <c r="C853" s="725"/>
      <c r="D853" s="725"/>
      <c r="E853" s="725"/>
      <c r="F853" s="741"/>
      <c r="G853" s="735"/>
      <c r="H853" s="725"/>
      <c r="I853" s="725"/>
      <c r="J853" s="725"/>
      <c r="K853" s="725"/>
      <c r="L853" s="725"/>
      <c r="M853" s="725"/>
      <c r="N853" s="725"/>
      <c r="O853" s="725"/>
      <c r="P853" s="725"/>
      <c r="Q853" s="725"/>
      <c r="R853" s="725"/>
      <c r="S853" s="725"/>
    </row>
    <row r="854" spans="1:19" x14ac:dyDescent="0.3">
      <c r="A854" s="725"/>
      <c r="C854" s="725"/>
      <c r="D854" s="725"/>
      <c r="E854" s="725"/>
      <c r="F854" s="741"/>
      <c r="G854" s="735"/>
      <c r="H854" s="725"/>
      <c r="I854" s="725"/>
      <c r="J854" s="725"/>
      <c r="K854" s="725"/>
      <c r="L854" s="725"/>
      <c r="M854" s="725"/>
      <c r="N854" s="725"/>
      <c r="O854" s="725"/>
      <c r="P854" s="725"/>
      <c r="Q854" s="725"/>
      <c r="R854" s="725"/>
      <c r="S854" s="725"/>
    </row>
    <row r="855" spans="1:19" x14ac:dyDescent="0.3">
      <c r="A855" s="725"/>
      <c r="C855" s="725"/>
      <c r="D855" s="725"/>
      <c r="E855" s="725"/>
      <c r="F855" s="741"/>
      <c r="G855" s="735"/>
      <c r="H855" s="725"/>
      <c r="I855" s="725"/>
      <c r="J855" s="725"/>
      <c r="K855" s="725"/>
      <c r="L855" s="725"/>
      <c r="M855" s="725"/>
      <c r="N855" s="725"/>
      <c r="O855" s="725"/>
      <c r="P855" s="725"/>
      <c r="Q855" s="725"/>
      <c r="R855" s="725"/>
      <c r="S855" s="725"/>
    </row>
    <row r="856" spans="1:19" x14ac:dyDescent="0.3">
      <c r="A856" s="725"/>
      <c r="C856" s="725"/>
      <c r="D856" s="725"/>
      <c r="E856" s="725"/>
      <c r="F856" s="741"/>
      <c r="G856" s="735"/>
      <c r="H856" s="725"/>
      <c r="I856" s="725"/>
      <c r="J856" s="725"/>
      <c r="K856" s="725"/>
      <c r="L856" s="725"/>
      <c r="M856" s="725"/>
      <c r="N856" s="725"/>
      <c r="O856" s="725"/>
      <c r="P856" s="725"/>
      <c r="Q856" s="725"/>
      <c r="R856" s="725"/>
      <c r="S856" s="725"/>
    </row>
    <row r="857" spans="1:19" x14ac:dyDescent="0.3">
      <c r="A857" s="725"/>
      <c r="C857" s="725"/>
      <c r="D857" s="725"/>
      <c r="E857" s="725"/>
      <c r="F857" s="741"/>
      <c r="G857" s="735"/>
      <c r="H857" s="725"/>
      <c r="I857" s="725"/>
      <c r="J857" s="725"/>
      <c r="K857" s="725"/>
      <c r="L857" s="725"/>
      <c r="M857" s="725"/>
      <c r="N857" s="725"/>
      <c r="O857" s="725"/>
      <c r="P857" s="725"/>
      <c r="Q857" s="725"/>
      <c r="R857" s="725"/>
      <c r="S857" s="725"/>
    </row>
    <row r="858" spans="1:19" x14ac:dyDescent="0.3">
      <c r="A858" s="725"/>
      <c r="C858" s="725"/>
      <c r="D858" s="725"/>
      <c r="E858" s="725"/>
      <c r="F858" s="741"/>
      <c r="G858" s="735"/>
      <c r="H858" s="725"/>
      <c r="I858" s="725"/>
      <c r="J858" s="725"/>
      <c r="K858" s="725"/>
      <c r="L858" s="725"/>
      <c r="M858" s="725"/>
      <c r="N858" s="725"/>
      <c r="O858" s="725"/>
      <c r="P858" s="725"/>
      <c r="Q858" s="725"/>
      <c r="R858" s="725"/>
      <c r="S858" s="725"/>
    </row>
    <row r="859" spans="1:19" x14ac:dyDescent="0.3">
      <c r="A859" s="725"/>
      <c r="C859" s="725"/>
      <c r="D859" s="725"/>
      <c r="E859" s="725"/>
      <c r="F859" s="741"/>
      <c r="G859" s="735"/>
      <c r="H859" s="725"/>
      <c r="I859" s="725"/>
      <c r="J859" s="725"/>
      <c r="K859" s="725"/>
      <c r="L859" s="725"/>
      <c r="M859" s="725"/>
      <c r="N859" s="725"/>
      <c r="O859" s="725"/>
      <c r="P859" s="725"/>
      <c r="Q859" s="725"/>
      <c r="R859" s="725"/>
      <c r="S859" s="725"/>
    </row>
    <row r="860" spans="1:19" x14ac:dyDescent="0.3">
      <c r="A860" s="725"/>
      <c r="C860" s="725"/>
      <c r="D860" s="725"/>
      <c r="E860" s="725"/>
      <c r="F860" s="741"/>
      <c r="G860" s="735"/>
      <c r="H860" s="725"/>
      <c r="I860" s="725"/>
      <c r="J860" s="725"/>
      <c r="K860" s="725"/>
      <c r="L860" s="725"/>
      <c r="M860" s="725"/>
      <c r="N860" s="725"/>
      <c r="O860" s="725"/>
      <c r="P860" s="725"/>
      <c r="Q860" s="725"/>
      <c r="R860" s="725"/>
      <c r="S860" s="725"/>
    </row>
    <row r="861" spans="1:19" x14ac:dyDescent="0.3">
      <c r="A861" s="725"/>
      <c r="C861" s="725"/>
      <c r="D861" s="725"/>
      <c r="E861" s="725"/>
      <c r="F861" s="741"/>
      <c r="G861" s="735"/>
      <c r="H861" s="725"/>
      <c r="I861" s="725"/>
      <c r="J861" s="725"/>
      <c r="K861" s="725"/>
      <c r="L861" s="725"/>
      <c r="M861" s="725"/>
      <c r="N861" s="725"/>
      <c r="O861" s="725"/>
      <c r="P861" s="725"/>
      <c r="Q861" s="725"/>
      <c r="R861" s="725"/>
      <c r="S861" s="725"/>
    </row>
    <row r="862" spans="1:19" x14ac:dyDescent="0.3">
      <c r="A862" s="725"/>
      <c r="C862" s="725"/>
      <c r="D862" s="725"/>
      <c r="E862" s="725"/>
      <c r="F862" s="741"/>
      <c r="G862" s="735"/>
      <c r="H862" s="725"/>
      <c r="I862" s="725"/>
      <c r="J862" s="725"/>
      <c r="K862" s="725"/>
      <c r="L862" s="725"/>
      <c r="M862" s="725"/>
      <c r="N862" s="725"/>
      <c r="O862" s="725"/>
      <c r="P862" s="725"/>
      <c r="Q862" s="725"/>
      <c r="R862" s="725"/>
      <c r="S862" s="725"/>
    </row>
    <row r="863" spans="1:19" x14ac:dyDescent="0.3">
      <c r="A863" s="725"/>
      <c r="C863" s="725"/>
      <c r="D863" s="725"/>
      <c r="E863" s="725"/>
      <c r="F863" s="741"/>
      <c r="G863" s="735"/>
      <c r="H863" s="725"/>
      <c r="I863" s="725"/>
      <c r="J863" s="725"/>
      <c r="K863" s="725"/>
      <c r="L863" s="725"/>
      <c r="M863" s="725"/>
      <c r="N863" s="725"/>
      <c r="O863" s="725"/>
      <c r="P863" s="725"/>
      <c r="Q863" s="725"/>
      <c r="R863" s="725"/>
      <c r="S863" s="725"/>
    </row>
    <row r="864" spans="1:19" x14ac:dyDescent="0.3">
      <c r="A864" s="725"/>
      <c r="C864" s="725"/>
      <c r="D864" s="725"/>
      <c r="E864" s="725"/>
      <c r="F864" s="741"/>
      <c r="G864" s="735"/>
      <c r="H864" s="725"/>
      <c r="I864" s="725"/>
      <c r="J864" s="725"/>
      <c r="K864" s="725"/>
      <c r="L864" s="725"/>
      <c r="M864" s="725"/>
      <c r="N864" s="725"/>
      <c r="O864" s="725"/>
      <c r="P864" s="725"/>
      <c r="Q864" s="725"/>
      <c r="R864" s="725"/>
      <c r="S864" s="725"/>
    </row>
    <row r="865" spans="1:19" x14ac:dyDescent="0.3">
      <c r="A865" s="725"/>
      <c r="C865" s="725"/>
      <c r="D865" s="725"/>
      <c r="E865" s="725"/>
      <c r="F865" s="741"/>
      <c r="G865" s="735"/>
      <c r="H865" s="725"/>
      <c r="I865" s="725"/>
      <c r="J865" s="725"/>
      <c r="K865" s="725"/>
      <c r="L865" s="725"/>
      <c r="M865" s="725"/>
      <c r="N865" s="725"/>
      <c r="O865" s="725"/>
      <c r="P865" s="725"/>
      <c r="Q865" s="725"/>
      <c r="R865" s="725"/>
      <c r="S865" s="725"/>
    </row>
    <row r="866" spans="1:19" x14ac:dyDescent="0.3">
      <c r="A866" s="725"/>
      <c r="C866" s="725"/>
      <c r="D866" s="725"/>
      <c r="E866" s="725"/>
      <c r="F866" s="741"/>
      <c r="G866" s="735"/>
      <c r="H866" s="725"/>
      <c r="I866" s="725"/>
      <c r="J866" s="725"/>
      <c r="K866" s="725"/>
      <c r="L866" s="725"/>
      <c r="M866" s="725"/>
      <c r="N866" s="725"/>
      <c r="O866" s="725"/>
      <c r="P866" s="725"/>
      <c r="Q866" s="725"/>
      <c r="R866" s="725"/>
      <c r="S866" s="725"/>
    </row>
    <row r="867" spans="1:19" x14ac:dyDescent="0.3">
      <c r="A867" s="725"/>
      <c r="C867" s="725"/>
      <c r="D867" s="725"/>
      <c r="E867" s="725"/>
      <c r="F867" s="741"/>
      <c r="G867" s="735"/>
      <c r="H867" s="725"/>
      <c r="I867" s="725"/>
      <c r="J867" s="725"/>
      <c r="K867" s="725"/>
      <c r="L867" s="725"/>
      <c r="M867" s="725"/>
      <c r="N867" s="725"/>
      <c r="O867" s="725"/>
      <c r="P867" s="725"/>
      <c r="Q867" s="725"/>
      <c r="R867" s="725"/>
      <c r="S867" s="725"/>
    </row>
    <row r="868" spans="1:19" x14ac:dyDescent="0.3">
      <c r="A868" s="725"/>
      <c r="C868" s="725"/>
      <c r="D868" s="725"/>
      <c r="E868" s="725"/>
      <c r="F868" s="741"/>
      <c r="G868" s="735"/>
      <c r="H868" s="725"/>
      <c r="I868" s="725"/>
      <c r="J868" s="725"/>
      <c r="K868" s="725"/>
      <c r="L868" s="725"/>
      <c r="M868" s="725"/>
      <c r="N868" s="725"/>
      <c r="O868" s="725"/>
      <c r="P868" s="725"/>
      <c r="Q868" s="725"/>
      <c r="R868" s="725"/>
      <c r="S868" s="725"/>
    </row>
    <row r="869" spans="1:19" x14ac:dyDescent="0.3">
      <c r="A869" s="725"/>
      <c r="C869" s="725"/>
      <c r="D869" s="725"/>
      <c r="E869" s="725"/>
      <c r="F869" s="741"/>
      <c r="G869" s="735"/>
      <c r="H869" s="725"/>
      <c r="I869" s="725"/>
      <c r="J869" s="725"/>
      <c r="K869" s="725"/>
      <c r="L869" s="725"/>
      <c r="M869" s="725"/>
      <c r="N869" s="725"/>
      <c r="O869" s="725"/>
      <c r="P869" s="725"/>
      <c r="Q869" s="725"/>
      <c r="R869" s="725"/>
      <c r="S869" s="725"/>
    </row>
    <row r="870" spans="1:19" x14ac:dyDescent="0.3">
      <c r="A870" s="725"/>
      <c r="C870" s="725"/>
      <c r="D870" s="725"/>
      <c r="E870" s="725"/>
      <c r="F870" s="741"/>
      <c r="G870" s="735"/>
      <c r="H870" s="725"/>
      <c r="I870" s="725"/>
      <c r="J870" s="725"/>
      <c r="K870" s="725"/>
      <c r="L870" s="725"/>
      <c r="M870" s="725"/>
      <c r="N870" s="725"/>
      <c r="O870" s="725"/>
      <c r="P870" s="725"/>
      <c r="Q870" s="725"/>
      <c r="R870" s="725"/>
      <c r="S870" s="725"/>
    </row>
    <row r="871" spans="1:19" x14ac:dyDescent="0.3">
      <c r="A871" s="725"/>
      <c r="C871" s="725"/>
      <c r="D871" s="725"/>
      <c r="E871" s="725"/>
      <c r="F871" s="741"/>
      <c r="G871" s="735"/>
      <c r="H871" s="725"/>
      <c r="I871" s="725"/>
      <c r="J871" s="725"/>
      <c r="K871" s="725"/>
      <c r="L871" s="725"/>
      <c r="M871" s="725"/>
      <c r="N871" s="725"/>
      <c r="O871" s="725"/>
      <c r="P871" s="725"/>
      <c r="Q871" s="725"/>
      <c r="R871" s="725"/>
      <c r="S871" s="725"/>
    </row>
    <row r="872" spans="1:19" x14ac:dyDescent="0.3">
      <c r="A872" s="725"/>
      <c r="C872" s="725"/>
      <c r="D872" s="725"/>
      <c r="E872" s="725"/>
      <c r="F872" s="741"/>
      <c r="G872" s="735"/>
      <c r="H872" s="725"/>
      <c r="I872" s="725"/>
      <c r="J872" s="725"/>
      <c r="K872" s="725"/>
      <c r="L872" s="725"/>
      <c r="M872" s="725"/>
      <c r="N872" s="725"/>
      <c r="O872" s="725"/>
      <c r="P872" s="725"/>
      <c r="Q872" s="725"/>
      <c r="R872" s="725"/>
      <c r="S872" s="725"/>
    </row>
    <row r="873" spans="1:19" x14ac:dyDescent="0.3">
      <c r="A873" s="725"/>
      <c r="C873" s="725"/>
      <c r="D873" s="725"/>
      <c r="E873" s="725"/>
      <c r="F873" s="741"/>
      <c r="G873" s="735"/>
      <c r="H873" s="725"/>
      <c r="I873" s="725"/>
      <c r="J873" s="725"/>
      <c r="K873" s="725"/>
      <c r="L873" s="725"/>
      <c r="M873" s="725"/>
      <c r="N873" s="725"/>
      <c r="O873" s="725"/>
      <c r="P873" s="725"/>
      <c r="Q873" s="725"/>
      <c r="R873" s="725"/>
      <c r="S873" s="725"/>
    </row>
    <row r="874" spans="1:19" x14ac:dyDescent="0.3">
      <c r="A874" s="725"/>
      <c r="C874" s="725"/>
      <c r="D874" s="725"/>
      <c r="E874" s="725"/>
      <c r="F874" s="741"/>
      <c r="G874" s="735"/>
      <c r="H874" s="725"/>
      <c r="I874" s="725"/>
      <c r="J874" s="725"/>
      <c r="K874" s="725"/>
      <c r="L874" s="725"/>
      <c r="M874" s="725"/>
      <c r="N874" s="725"/>
      <c r="O874" s="725"/>
      <c r="P874" s="725"/>
      <c r="Q874" s="725"/>
      <c r="R874" s="725"/>
      <c r="S874" s="725"/>
    </row>
    <row r="875" spans="1:19" x14ac:dyDescent="0.3">
      <c r="A875" s="725"/>
      <c r="C875" s="725"/>
      <c r="D875" s="725"/>
      <c r="E875" s="725"/>
      <c r="F875" s="741"/>
      <c r="G875" s="735"/>
      <c r="H875" s="725"/>
      <c r="I875" s="725"/>
      <c r="J875" s="725"/>
      <c r="K875" s="725"/>
      <c r="L875" s="725"/>
      <c r="M875" s="725"/>
      <c r="N875" s="725"/>
      <c r="O875" s="725"/>
      <c r="P875" s="725"/>
      <c r="Q875" s="725"/>
      <c r="R875" s="725"/>
      <c r="S875" s="725"/>
    </row>
    <row r="876" spans="1:19" x14ac:dyDescent="0.3">
      <c r="A876" s="725"/>
      <c r="C876" s="725"/>
      <c r="D876" s="725"/>
      <c r="E876" s="725"/>
      <c r="F876" s="741"/>
      <c r="G876" s="735"/>
      <c r="H876" s="725"/>
      <c r="I876" s="725"/>
      <c r="J876" s="725"/>
      <c r="K876" s="725"/>
      <c r="L876" s="725"/>
      <c r="M876" s="725"/>
      <c r="N876" s="725"/>
      <c r="O876" s="725"/>
      <c r="P876" s="725"/>
      <c r="Q876" s="725"/>
      <c r="R876" s="725"/>
      <c r="S876" s="725"/>
    </row>
    <row r="877" spans="1:19" x14ac:dyDescent="0.3">
      <c r="A877" s="725"/>
      <c r="C877" s="725"/>
      <c r="D877" s="725"/>
      <c r="E877" s="725"/>
      <c r="F877" s="741"/>
      <c r="G877" s="735"/>
      <c r="H877" s="725"/>
      <c r="I877" s="725"/>
      <c r="J877" s="725"/>
      <c r="K877" s="725"/>
      <c r="L877" s="725"/>
      <c r="M877" s="725"/>
      <c r="N877" s="725"/>
      <c r="O877" s="725"/>
      <c r="P877" s="725"/>
      <c r="Q877" s="725"/>
      <c r="R877" s="725"/>
      <c r="S877" s="725"/>
    </row>
    <row r="878" spans="1:19" x14ac:dyDescent="0.3">
      <c r="A878" s="725"/>
      <c r="C878" s="725"/>
      <c r="D878" s="725"/>
      <c r="E878" s="725"/>
      <c r="F878" s="741"/>
      <c r="G878" s="735"/>
      <c r="H878" s="725"/>
      <c r="I878" s="725"/>
      <c r="J878" s="725"/>
      <c r="K878" s="725"/>
      <c r="L878" s="725"/>
      <c r="M878" s="725"/>
      <c r="N878" s="725"/>
      <c r="O878" s="725"/>
      <c r="P878" s="725"/>
      <c r="Q878" s="725"/>
      <c r="R878" s="725"/>
      <c r="S878" s="725"/>
    </row>
    <row r="879" spans="1:19" x14ac:dyDescent="0.3">
      <c r="A879" s="725"/>
      <c r="C879" s="725"/>
      <c r="D879" s="725"/>
      <c r="E879" s="725"/>
      <c r="F879" s="741"/>
      <c r="G879" s="735"/>
      <c r="H879" s="725"/>
      <c r="I879" s="725"/>
      <c r="J879" s="725"/>
      <c r="K879" s="725"/>
      <c r="L879" s="725"/>
      <c r="M879" s="725"/>
      <c r="N879" s="725"/>
      <c r="O879" s="725"/>
      <c r="P879" s="725"/>
      <c r="Q879" s="725"/>
      <c r="R879" s="725"/>
      <c r="S879" s="725"/>
    </row>
    <row r="880" spans="1:19" x14ac:dyDescent="0.3">
      <c r="A880" s="725"/>
      <c r="C880" s="725"/>
      <c r="D880" s="725"/>
      <c r="E880" s="725"/>
      <c r="F880" s="741"/>
      <c r="G880" s="735"/>
      <c r="H880" s="725"/>
      <c r="I880" s="725"/>
      <c r="J880" s="725"/>
      <c r="K880" s="725"/>
      <c r="L880" s="725"/>
      <c r="M880" s="725"/>
      <c r="N880" s="725"/>
      <c r="O880" s="725"/>
      <c r="P880" s="725"/>
      <c r="Q880" s="725"/>
      <c r="R880" s="725"/>
      <c r="S880" s="725"/>
    </row>
    <row r="881" spans="1:19" x14ac:dyDescent="0.3">
      <c r="A881" s="725"/>
      <c r="C881" s="725"/>
      <c r="D881" s="725"/>
      <c r="E881" s="725"/>
      <c r="F881" s="741"/>
      <c r="G881" s="735"/>
      <c r="H881" s="725"/>
      <c r="I881" s="725"/>
      <c r="J881" s="725"/>
      <c r="K881" s="725"/>
      <c r="L881" s="725"/>
      <c r="M881" s="725"/>
      <c r="N881" s="725"/>
      <c r="O881" s="725"/>
      <c r="P881" s="725"/>
      <c r="Q881" s="725"/>
      <c r="R881" s="725"/>
      <c r="S881" s="725"/>
    </row>
    <row r="882" spans="1:19" x14ac:dyDescent="0.3">
      <c r="A882" s="725"/>
      <c r="C882" s="725"/>
      <c r="D882" s="725"/>
      <c r="E882" s="725"/>
      <c r="F882" s="741"/>
      <c r="G882" s="735"/>
      <c r="H882" s="725"/>
      <c r="I882" s="725"/>
      <c r="J882" s="725"/>
      <c r="K882" s="725"/>
      <c r="L882" s="725"/>
      <c r="M882" s="725"/>
      <c r="N882" s="725"/>
      <c r="O882" s="725"/>
      <c r="P882" s="725"/>
      <c r="Q882" s="725"/>
      <c r="R882" s="725"/>
      <c r="S882" s="725"/>
    </row>
    <row r="883" spans="1:19" x14ac:dyDescent="0.3">
      <c r="A883" s="725"/>
      <c r="C883" s="725"/>
      <c r="D883" s="725"/>
      <c r="E883" s="725"/>
      <c r="F883" s="741"/>
      <c r="G883" s="735"/>
      <c r="H883" s="725"/>
      <c r="I883" s="725"/>
      <c r="J883" s="725"/>
      <c r="K883" s="725"/>
      <c r="L883" s="725"/>
      <c r="M883" s="725"/>
      <c r="N883" s="725"/>
      <c r="O883" s="725"/>
      <c r="P883" s="725"/>
      <c r="Q883" s="725"/>
      <c r="R883" s="725"/>
      <c r="S883" s="725"/>
    </row>
    <row r="884" spans="1:19" x14ac:dyDescent="0.3">
      <c r="A884" s="725"/>
      <c r="C884" s="725"/>
      <c r="D884" s="725"/>
      <c r="E884" s="725"/>
      <c r="F884" s="741"/>
      <c r="G884" s="735"/>
      <c r="H884" s="725"/>
      <c r="I884" s="725"/>
      <c r="J884" s="725"/>
      <c r="K884" s="725"/>
      <c r="L884" s="725"/>
      <c r="M884" s="725"/>
      <c r="N884" s="725"/>
      <c r="O884" s="725"/>
      <c r="P884" s="725"/>
      <c r="Q884" s="725"/>
      <c r="R884" s="725"/>
      <c r="S884" s="725"/>
    </row>
    <row r="885" spans="1:19" x14ac:dyDescent="0.3">
      <c r="A885" s="725"/>
      <c r="C885" s="725"/>
      <c r="D885" s="725"/>
      <c r="E885" s="725"/>
      <c r="F885" s="741"/>
      <c r="G885" s="735"/>
      <c r="H885" s="725"/>
      <c r="I885" s="725"/>
      <c r="J885" s="725"/>
      <c r="K885" s="725"/>
      <c r="L885" s="725"/>
      <c r="M885" s="725"/>
      <c r="N885" s="725"/>
      <c r="O885" s="725"/>
      <c r="P885" s="725"/>
      <c r="Q885" s="725"/>
      <c r="R885" s="725"/>
      <c r="S885" s="725"/>
    </row>
    <row r="886" spans="1:19" x14ac:dyDescent="0.3">
      <c r="A886" s="725"/>
      <c r="C886" s="725"/>
      <c r="D886" s="725"/>
      <c r="E886" s="725"/>
      <c r="F886" s="741"/>
      <c r="G886" s="735"/>
      <c r="H886" s="725"/>
      <c r="I886" s="725"/>
      <c r="J886" s="725"/>
      <c r="K886" s="725"/>
      <c r="L886" s="725"/>
      <c r="M886" s="725"/>
      <c r="N886" s="725"/>
      <c r="O886" s="725"/>
      <c r="P886" s="725"/>
      <c r="Q886" s="725"/>
      <c r="R886" s="725"/>
      <c r="S886" s="725"/>
    </row>
    <row r="887" spans="1:19" x14ac:dyDescent="0.3">
      <c r="A887" s="725"/>
      <c r="C887" s="725"/>
      <c r="D887" s="725"/>
      <c r="E887" s="725"/>
      <c r="F887" s="741"/>
      <c r="G887" s="735"/>
      <c r="H887" s="725"/>
      <c r="I887" s="725"/>
      <c r="J887" s="725"/>
      <c r="K887" s="725"/>
      <c r="L887" s="725"/>
      <c r="M887" s="725"/>
      <c r="N887" s="725"/>
      <c r="O887" s="725"/>
      <c r="P887" s="725"/>
      <c r="Q887" s="725"/>
      <c r="R887" s="725"/>
      <c r="S887" s="725"/>
    </row>
    <row r="888" spans="1:19" x14ac:dyDescent="0.3">
      <c r="A888" s="725"/>
      <c r="C888" s="725"/>
      <c r="D888" s="725"/>
      <c r="E888" s="725"/>
      <c r="F888" s="741"/>
      <c r="G888" s="735"/>
      <c r="H888" s="725"/>
      <c r="I888" s="725"/>
      <c r="J888" s="725"/>
      <c r="K888" s="725"/>
      <c r="L888" s="725"/>
      <c r="M888" s="725"/>
      <c r="N888" s="725"/>
      <c r="O888" s="725"/>
      <c r="P888" s="725"/>
      <c r="Q888" s="725"/>
      <c r="R888" s="725"/>
      <c r="S888" s="725"/>
    </row>
    <row r="889" spans="1:19" x14ac:dyDescent="0.3">
      <c r="A889" s="725"/>
      <c r="C889" s="725"/>
      <c r="D889" s="725"/>
      <c r="E889" s="725"/>
      <c r="F889" s="741"/>
      <c r="G889" s="735"/>
      <c r="H889" s="725"/>
      <c r="I889" s="725"/>
      <c r="J889" s="725"/>
      <c r="K889" s="725"/>
      <c r="L889" s="725"/>
      <c r="M889" s="725"/>
      <c r="N889" s="725"/>
      <c r="O889" s="725"/>
      <c r="P889" s="725"/>
      <c r="Q889" s="725"/>
      <c r="R889" s="725"/>
      <c r="S889" s="725"/>
    </row>
    <row r="890" spans="1:19" x14ac:dyDescent="0.3">
      <c r="A890" s="725"/>
      <c r="C890" s="725"/>
      <c r="D890" s="725"/>
      <c r="E890" s="725"/>
      <c r="F890" s="741"/>
      <c r="G890" s="735"/>
      <c r="H890" s="725"/>
      <c r="I890" s="725"/>
      <c r="J890" s="725"/>
      <c r="K890" s="725"/>
      <c r="L890" s="725"/>
      <c r="M890" s="725"/>
      <c r="N890" s="725"/>
      <c r="O890" s="725"/>
      <c r="P890" s="725"/>
      <c r="Q890" s="725"/>
      <c r="R890" s="725"/>
      <c r="S890" s="725"/>
    </row>
    <row r="891" spans="1:19" x14ac:dyDescent="0.3">
      <c r="A891" s="725"/>
      <c r="C891" s="725"/>
      <c r="D891" s="725"/>
      <c r="E891" s="725"/>
      <c r="F891" s="741"/>
      <c r="G891" s="735"/>
      <c r="H891" s="725"/>
      <c r="I891" s="725"/>
      <c r="J891" s="725"/>
      <c r="K891" s="725"/>
      <c r="L891" s="725"/>
      <c r="M891" s="725"/>
      <c r="N891" s="725"/>
      <c r="O891" s="725"/>
      <c r="P891" s="725"/>
      <c r="Q891" s="725"/>
      <c r="R891" s="725"/>
      <c r="S891" s="725"/>
    </row>
    <row r="892" spans="1:19" x14ac:dyDescent="0.3">
      <c r="A892" s="725"/>
      <c r="C892" s="725"/>
      <c r="D892" s="725"/>
      <c r="E892" s="725"/>
      <c r="F892" s="741"/>
      <c r="G892" s="735"/>
      <c r="H892" s="725"/>
      <c r="I892" s="725"/>
      <c r="J892" s="725"/>
      <c r="K892" s="725"/>
      <c r="L892" s="725"/>
      <c r="M892" s="725"/>
      <c r="N892" s="725"/>
      <c r="O892" s="725"/>
      <c r="P892" s="725"/>
      <c r="Q892" s="725"/>
      <c r="R892" s="725"/>
      <c r="S892" s="725"/>
    </row>
    <row r="893" spans="1:19" x14ac:dyDescent="0.3">
      <c r="A893" s="725"/>
      <c r="C893" s="725"/>
      <c r="D893" s="725"/>
      <c r="E893" s="725"/>
      <c r="F893" s="741"/>
      <c r="G893" s="735"/>
      <c r="H893" s="725"/>
      <c r="I893" s="725"/>
      <c r="J893" s="725"/>
      <c r="K893" s="725"/>
      <c r="L893" s="725"/>
      <c r="M893" s="725"/>
      <c r="N893" s="725"/>
      <c r="O893" s="725"/>
      <c r="P893" s="725"/>
      <c r="Q893" s="725"/>
      <c r="R893" s="725"/>
      <c r="S893" s="725"/>
    </row>
    <row r="894" spans="1:19" x14ac:dyDescent="0.3">
      <c r="A894" s="725"/>
      <c r="C894" s="725"/>
      <c r="D894" s="725"/>
      <c r="E894" s="725"/>
      <c r="F894" s="741"/>
      <c r="G894" s="735"/>
      <c r="H894" s="725"/>
      <c r="I894" s="725"/>
      <c r="J894" s="725"/>
      <c r="K894" s="725"/>
      <c r="L894" s="725"/>
      <c r="M894" s="725"/>
      <c r="N894" s="725"/>
      <c r="O894" s="725"/>
      <c r="P894" s="725"/>
      <c r="Q894" s="725"/>
      <c r="R894" s="725"/>
      <c r="S894" s="725"/>
    </row>
    <row r="895" spans="1:19" x14ac:dyDescent="0.3">
      <c r="A895" s="725"/>
      <c r="C895" s="725"/>
      <c r="D895" s="725"/>
      <c r="E895" s="725"/>
      <c r="F895" s="741"/>
      <c r="G895" s="735"/>
      <c r="H895" s="725"/>
      <c r="I895" s="725"/>
      <c r="J895" s="725"/>
      <c r="K895" s="725"/>
      <c r="L895" s="725"/>
      <c r="M895" s="725"/>
      <c r="N895" s="725"/>
      <c r="O895" s="725"/>
      <c r="P895" s="725"/>
      <c r="Q895" s="725"/>
      <c r="R895" s="725"/>
      <c r="S895" s="725"/>
    </row>
    <row r="896" spans="1:19" x14ac:dyDescent="0.3">
      <c r="A896" s="725"/>
      <c r="C896" s="725"/>
      <c r="D896" s="725"/>
      <c r="E896" s="725"/>
      <c r="F896" s="741"/>
      <c r="G896" s="735"/>
      <c r="H896" s="725"/>
      <c r="I896" s="725"/>
      <c r="J896" s="725"/>
      <c r="K896" s="725"/>
      <c r="L896" s="725"/>
      <c r="M896" s="725"/>
      <c r="N896" s="725"/>
      <c r="O896" s="725"/>
      <c r="P896" s="725"/>
      <c r="Q896" s="725"/>
      <c r="R896" s="725"/>
      <c r="S896" s="725"/>
    </row>
    <row r="897" spans="1:19" x14ac:dyDescent="0.3">
      <c r="A897" s="725"/>
      <c r="C897" s="725"/>
      <c r="D897" s="725"/>
      <c r="E897" s="725"/>
      <c r="F897" s="741"/>
      <c r="G897" s="735"/>
      <c r="H897" s="725"/>
      <c r="I897" s="725"/>
      <c r="J897" s="725"/>
      <c r="K897" s="725"/>
      <c r="L897" s="725"/>
      <c r="M897" s="725"/>
      <c r="N897" s="725"/>
      <c r="O897" s="725"/>
      <c r="P897" s="725"/>
      <c r="Q897" s="725"/>
      <c r="R897" s="725"/>
      <c r="S897" s="725"/>
    </row>
    <row r="898" spans="1:19" x14ac:dyDescent="0.3">
      <c r="A898" s="725"/>
      <c r="C898" s="725"/>
      <c r="D898" s="725"/>
      <c r="E898" s="725"/>
      <c r="F898" s="741"/>
      <c r="G898" s="735"/>
      <c r="H898" s="725"/>
      <c r="I898" s="725"/>
      <c r="J898" s="725"/>
      <c r="K898" s="725"/>
      <c r="L898" s="725"/>
      <c r="M898" s="725"/>
      <c r="N898" s="725"/>
      <c r="O898" s="725"/>
      <c r="P898" s="725"/>
      <c r="Q898" s="725"/>
      <c r="R898" s="725"/>
      <c r="S898" s="725"/>
    </row>
    <row r="899" spans="1:19" x14ac:dyDescent="0.3">
      <c r="A899" s="725"/>
      <c r="C899" s="725"/>
      <c r="D899" s="725"/>
      <c r="E899" s="725"/>
      <c r="F899" s="741"/>
      <c r="G899" s="735"/>
      <c r="H899" s="725"/>
      <c r="I899" s="725"/>
      <c r="J899" s="725"/>
      <c r="K899" s="725"/>
      <c r="L899" s="725"/>
      <c r="M899" s="725"/>
      <c r="N899" s="725"/>
      <c r="O899" s="725"/>
      <c r="P899" s="725"/>
      <c r="Q899" s="725"/>
      <c r="R899" s="725"/>
      <c r="S899" s="725"/>
    </row>
    <row r="900" spans="1:19" x14ac:dyDescent="0.3">
      <c r="A900" s="725"/>
      <c r="C900" s="725"/>
      <c r="D900" s="725"/>
      <c r="E900" s="725"/>
      <c r="F900" s="741"/>
      <c r="G900" s="735"/>
      <c r="H900" s="725"/>
      <c r="I900" s="725"/>
      <c r="J900" s="725"/>
      <c r="K900" s="725"/>
      <c r="L900" s="725"/>
      <c r="M900" s="725"/>
      <c r="N900" s="725"/>
      <c r="O900" s="725"/>
      <c r="P900" s="725"/>
      <c r="Q900" s="725"/>
      <c r="R900" s="725"/>
      <c r="S900" s="725"/>
    </row>
    <row r="901" spans="1:19" x14ac:dyDescent="0.3">
      <c r="A901" s="725"/>
      <c r="C901" s="725"/>
      <c r="D901" s="725"/>
      <c r="E901" s="725"/>
      <c r="F901" s="741"/>
      <c r="G901" s="735"/>
      <c r="H901" s="725"/>
      <c r="I901" s="725"/>
      <c r="J901" s="725"/>
      <c r="K901" s="725"/>
      <c r="L901" s="725"/>
      <c r="M901" s="725"/>
      <c r="N901" s="725"/>
      <c r="O901" s="725"/>
      <c r="P901" s="725"/>
      <c r="Q901" s="725"/>
      <c r="R901" s="725"/>
      <c r="S901" s="725"/>
    </row>
    <row r="902" spans="1:19" x14ac:dyDescent="0.3">
      <c r="A902" s="725"/>
      <c r="C902" s="725"/>
      <c r="D902" s="725"/>
      <c r="E902" s="725"/>
      <c r="F902" s="741"/>
      <c r="G902" s="735"/>
      <c r="H902" s="725"/>
      <c r="I902" s="725"/>
      <c r="J902" s="725"/>
      <c r="K902" s="725"/>
      <c r="L902" s="725"/>
      <c r="M902" s="725"/>
      <c r="N902" s="725"/>
      <c r="O902" s="725"/>
      <c r="P902" s="725"/>
      <c r="Q902" s="725"/>
      <c r="R902" s="725"/>
      <c r="S902" s="725"/>
    </row>
    <row r="903" spans="1:19" x14ac:dyDescent="0.3">
      <c r="A903" s="725"/>
      <c r="C903" s="725"/>
      <c r="D903" s="725"/>
      <c r="E903" s="725"/>
      <c r="F903" s="741"/>
      <c r="G903" s="735"/>
      <c r="H903" s="725"/>
      <c r="I903" s="725"/>
      <c r="J903" s="725"/>
      <c r="K903" s="725"/>
      <c r="L903" s="725"/>
      <c r="M903" s="725"/>
      <c r="N903" s="725"/>
      <c r="O903" s="725"/>
      <c r="P903" s="725"/>
      <c r="Q903" s="725"/>
      <c r="R903" s="725"/>
      <c r="S903" s="725"/>
    </row>
    <row r="904" spans="1:19" x14ac:dyDescent="0.3">
      <c r="A904" s="725"/>
      <c r="C904" s="725"/>
      <c r="D904" s="725"/>
      <c r="E904" s="725"/>
      <c r="F904" s="741"/>
      <c r="G904" s="735"/>
      <c r="H904" s="725"/>
      <c r="I904" s="725"/>
      <c r="J904" s="725"/>
      <c r="K904" s="725"/>
      <c r="L904" s="725"/>
      <c r="M904" s="725"/>
      <c r="N904" s="725"/>
      <c r="O904" s="725"/>
      <c r="P904" s="725"/>
      <c r="Q904" s="725"/>
      <c r="R904" s="725"/>
      <c r="S904" s="725"/>
    </row>
    <row r="905" spans="1:19" x14ac:dyDescent="0.3">
      <c r="A905" s="725"/>
      <c r="C905" s="725"/>
      <c r="D905" s="725"/>
      <c r="E905" s="725"/>
      <c r="F905" s="741"/>
      <c r="G905" s="735"/>
      <c r="H905" s="725"/>
      <c r="I905" s="725"/>
      <c r="J905" s="725"/>
      <c r="K905" s="725"/>
      <c r="L905" s="725"/>
      <c r="M905" s="725"/>
      <c r="N905" s="725"/>
      <c r="O905" s="725"/>
      <c r="P905" s="725"/>
      <c r="Q905" s="725"/>
      <c r="R905" s="725"/>
      <c r="S905" s="725"/>
    </row>
    <row r="906" spans="1:19" x14ac:dyDescent="0.3">
      <c r="A906" s="725"/>
      <c r="C906" s="725"/>
      <c r="D906" s="725"/>
      <c r="E906" s="725"/>
      <c r="F906" s="741"/>
      <c r="G906" s="735"/>
      <c r="H906" s="725"/>
      <c r="I906" s="725"/>
      <c r="J906" s="725"/>
      <c r="K906" s="725"/>
      <c r="L906" s="725"/>
      <c r="M906" s="725"/>
      <c r="N906" s="725"/>
      <c r="O906" s="725"/>
      <c r="P906" s="725"/>
      <c r="Q906" s="725"/>
      <c r="R906" s="725"/>
      <c r="S906" s="725"/>
    </row>
    <row r="907" spans="1:19" x14ac:dyDescent="0.3">
      <c r="A907" s="725"/>
      <c r="C907" s="725"/>
      <c r="D907" s="725"/>
      <c r="E907" s="725"/>
      <c r="F907" s="741"/>
      <c r="G907" s="735"/>
      <c r="H907" s="725"/>
      <c r="I907" s="725"/>
      <c r="J907" s="725"/>
      <c r="K907" s="725"/>
      <c r="L907" s="725"/>
      <c r="M907" s="725"/>
      <c r="N907" s="725"/>
      <c r="O907" s="725"/>
      <c r="P907" s="725"/>
      <c r="Q907" s="725"/>
      <c r="R907" s="725"/>
      <c r="S907" s="725"/>
    </row>
    <row r="908" spans="1:19" x14ac:dyDescent="0.3">
      <c r="A908" s="725"/>
      <c r="C908" s="725"/>
      <c r="D908" s="725"/>
      <c r="E908" s="725"/>
      <c r="F908" s="741"/>
      <c r="G908" s="735"/>
      <c r="H908" s="725"/>
      <c r="I908" s="725"/>
      <c r="J908" s="725"/>
      <c r="K908" s="725"/>
      <c r="L908" s="725"/>
      <c r="M908" s="725"/>
      <c r="N908" s="725"/>
      <c r="O908" s="725"/>
      <c r="P908" s="725"/>
      <c r="Q908" s="725"/>
      <c r="R908" s="725"/>
      <c r="S908" s="725"/>
    </row>
    <row r="909" spans="1:19" x14ac:dyDescent="0.3">
      <c r="A909" s="725"/>
      <c r="C909" s="725"/>
      <c r="D909" s="725"/>
      <c r="E909" s="725"/>
      <c r="F909" s="741"/>
      <c r="G909" s="735"/>
      <c r="H909" s="725"/>
      <c r="I909" s="725"/>
      <c r="J909" s="725"/>
      <c r="K909" s="725"/>
      <c r="L909" s="725"/>
      <c r="M909" s="725"/>
      <c r="N909" s="725"/>
      <c r="O909" s="725"/>
      <c r="P909" s="725"/>
      <c r="Q909" s="725"/>
      <c r="R909" s="725"/>
      <c r="S909" s="725"/>
    </row>
    <row r="910" spans="1:19" x14ac:dyDescent="0.3">
      <c r="A910" s="725"/>
      <c r="C910" s="725"/>
      <c r="D910" s="725"/>
      <c r="E910" s="725"/>
      <c r="F910" s="741"/>
      <c r="G910" s="735"/>
      <c r="H910" s="725"/>
      <c r="I910" s="725"/>
      <c r="J910" s="725"/>
      <c r="K910" s="725"/>
      <c r="L910" s="725"/>
      <c r="M910" s="725"/>
      <c r="N910" s="725"/>
      <c r="O910" s="725"/>
      <c r="P910" s="725"/>
      <c r="Q910" s="725"/>
      <c r="R910" s="725"/>
      <c r="S910" s="725"/>
    </row>
    <row r="911" spans="1:19" x14ac:dyDescent="0.3">
      <c r="A911" s="725"/>
      <c r="C911" s="725"/>
      <c r="D911" s="725"/>
      <c r="E911" s="725"/>
      <c r="F911" s="741"/>
      <c r="G911" s="735"/>
      <c r="H911" s="725"/>
      <c r="I911" s="725"/>
      <c r="J911" s="725"/>
      <c r="K911" s="725"/>
      <c r="L911" s="725"/>
      <c r="M911" s="725"/>
      <c r="N911" s="725"/>
      <c r="O911" s="725"/>
      <c r="P911" s="725"/>
      <c r="Q911" s="725"/>
      <c r="R911" s="725"/>
      <c r="S911" s="725"/>
    </row>
    <row r="912" spans="1:19" x14ac:dyDescent="0.3">
      <c r="A912" s="725"/>
      <c r="C912" s="725"/>
      <c r="D912" s="725"/>
      <c r="E912" s="725"/>
      <c r="F912" s="741"/>
      <c r="G912" s="735"/>
      <c r="H912" s="725"/>
      <c r="I912" s="725"/>
      <c r="J912" s="725"/>
      <c r="K912" s="725"/>
      <c r="L912" s="725"/>
      <c r="M912" s="725"/>
      <c r="N912" s="725"/>
      <c r="O912" s="725"/>
      <c r="P912" s="725"/>
      <c r="Q912" s="725"/>
      <c r="R912" s="725"/>
      <c r="S912" s="725"/>
    </row>
    <row r="913" spans="1:19" x14ac:dyDescent="0.3">
      <c r="A913" s="725"/>
      <c r="C913" s="725"/>
      <c r="D913" s="725"/>
      <c r="E913" s="725"/>
      <c r="F913" s="741"/>
      <c r="G913" s="735"/>
      <c r="H913" s="725"/>
      <c r="I913" s="725"/>
      <c r="J913" s="725"/>
      <c r="K913" s="725"/>
      <c r="L913" s="725"/>
      <c r="M913" s="725"/>
      <c r="N913" s="725"/>
      <c r="O913" s="725"/>
      <c r="P913" s="725"/>
      <c r="Q913" s="725"/>
      <c r="R913" s="725"/>
      <c r="S913" s="725"/>
    </row>
    <row r="914" spans="1:19" x14ac:dyDescent="0.3">
      <c r="A914" s="725"/>
      <c r="C914" s="725"/>
      <c r="D914" s="725"/>
      <c r="E914" s="725"/>
      <c r="F914" s="741"/>
      <c r="G914" s="735"/>
      <c r="H914" s="725"/>
      <c r="I914" s="725"/>
      <c r="J914" s="725"/>
      <c r="K914" s="725"/>
      <c r="L914" s="725"/>
      <c r="M914" s="725"/>
      <c r="N914" s="725"/>
      <c r="O914" s="725"/>
      <c r="P914" s="725"/>
      <c r="Q914" s="725"/>
      <c r="R914" s="725"/>
      <c r="S914" s="725"/>
    </row>
    <row r="915" spans="1:19" x14ac:dyDescent="0.3">
      <c r="A915" s="725"/>
      <c r="C915" s="725"/>
      <c r="D915" s="725"/>
      <c r="E915" s="725"/>
      <c r="F915" s="741"/>
      <c r="G915" s="735"/>
      <c r="H915" s="725"/>
      <c r="I915" s="725"/>
      <c r="J915" s="725"/>
      <c r="K915" s="725"/>
      <c r="L915" s="725"/>
      <c r="M915" s="725"/>
      <c r="N915" s="725"/>
      <c r="O915" s="725"/>
      <c r="P915" s="725"/>
      <c r="Q915" s="725"/>
      <c r="R915" s="725"/>
      <c r="S915" s="725"/>
    </row>
    <row r="916" spans="1:19" x14ac:dyDescent="0.3">
      <c r="A916" s="725"/>
      <c r="C916" s="725"/>
      <c r="D916" s="725"/>
      <c r="E916" s="725"/>
      <c r="F916" s="741"/>
      <c r="G916" s="735"/>
      <c r="H916" s="725"/>
      <c r="I916" s="725"/>
      <c r="J916" s="725"/>
      <c r="K916" s="725"/>
      <c r="L916" s="725"/>
      <c r="M916" s="725"/>
      <c r="N916" s="725"/>
      <c r="O916" s="725"/>
      <c r="P916" s="725"/>
      <c r="Q916" s="725"/>
      <c r="R916" s="725"/>
      <c r="S916" s="725"/>
    </row>
    <row r="917" spans="1:19" x14ac:dyDescent="0.3">
      <c r="A917" s="725"/>
      <c r="C917" s="725"/>
      <c r="D917" s="725"/>
      <c r="E917" s="725"/>
      <c r="F917" s="741"/>
      <c r="G917" s="735"/>
      <c r="H917" s="725"/>
      <c r="I917" s="725"/>
      <c r="J917" s="725"/>
      <c r="K917" s="725"/>
      <c r="L917" s="725"/>
      <c r="M917" s="725"/>
      <c r="N917" s="725"/>
      <c r="O917" s="725"/>
      <c r="P917" s="725"/>
      <c r="Q917" s="725"/>
      <c r="R917" s="725"/>
      <c r="S917" s="725"/>
    </row>
    <row r="918" spans="1:19" x14ac:dyDescent="0.3">
      <c r="A918" s="725"/>
      <c r="C918" s="725"/>
      <c r="D918" s="725"/>
      <c r="E918" s="725"/>
      <c r="F918" s="741"/>
      <c r="G918" s="735"/>
      <c r="H918" s="725"/>
      <c r="I918" s="725"/>
      <c r="J918" s="725"/>
      <c r="K918" s="725"/>
      <c r="L918" s="725"/>
      <c r="M918" s="725"/>
      <c r="N918" s="725"/>
      <c r="O918" s="725"/>
      <c r="P918" s="725"/>
      <c r="Q918" s="725"/>
      <c r="R918" s="725"/>
      <c r="S918" s="725"/>
    </row>
    <row r="919" spans="1:19" x14ac:dyDescent="0.3">
      <c r="A919" s="725"/>
      <c r="C919" s="725"/>
      <c r="D919" s="725"/>
      <c r="E919" s="725"/>
      <c r="F919" s="741"/>
      <c r="G919" s="735"/>
      <c r="H919" s="725"/>
      <c r="I919" s="725"/>
      <c r="J919" s="725"/>
      <c r="K919" s="725"/>
      <c r="L919" s="725"/>
      <c r="M919" s="725"/>
      <c r="N919" s="725"/>
      <c r="O919" s="725"/>
      <c r="P919" s="725"/>
      <c r="Q919" s="725"/>
      <c r="R919" s="725"/>
      <c r="S919" s="725"/>
    </row>
    <row r="920" spans="1:19" x14ac:dyDescent="0.3">
      <c r="A920" s="725"/>
      <c r="C920" s="725"/>
      <c r="D920" s="725"/>
      <c r="E920" s="725"/>
      <c r="F920" s="741"/>
      <c r="G920" s="735"/>
      <c r="H920" s="725"/>
      <c r="I920" s="725"/>
      <c r="J920" s="725"/>
      <c r="K920" s="725"/>
      <c r="L920" s="725"/>
      <c r="M920" s="725"/>
      <c r="N920" s="725"/>
      <c r="O920" s="725"/>
      <c r="P920" s="725"/>
      <c r="Q920" s="725"/>
      <c r="R920" s="725"/>
      <c r="S920" s="725"/>
    </row>
    <row r="921" spans="1:19" x14ac:dyDescent="0.3">
      <c r="A921" s="725"/>
      <c r="C921" s="725"/>
      <c r="D921" s="725"/>
      <c r="E921" s="725"/>
      <c r="F921" s="741"/>
      <c r="G921" s="735"/>
      <c r="H921" s="725"/>
      <c r="I921" s="725"/>
      <c r="J921" s="725"/>
      <c r="K921" s="725"/>
      <c r="L921" s="725"/>
      <c r="M921" s="725"/>
      <c r="N921" s="725"/>
      <c r="O921" s="725"/>
      <c r="P921" s="725"/>
      <c r="Q921" s="725"/>
      <c r="R921" s="725"/>
      <c r="S921" s="725"/>
    </row>
    <row r="922" spans="1:19" x14ac:dyDescent="0.3">
      <c r="A922" s="725"/>
      <c r="C922" s="725"/>
      <c r="D922" s="725"/>
      <c r="E922" s="725"/>
      <c r="F922" s="741"/>
      <c r="G922" s="735"/>
      <c r="H922" s="725"/>
      <c r="I922" s="725"/>
      <c r="J922" s="725"/>
      <c r="K922" s="725"/>
      <c r="L922" s="725"/>
      <c r="M922" s="725"/>
      <c r="N922" s="725"/>
      <c r="O922" s="725"/>
      <c r="P922" s="725"/>
      <c r="Q922" s="725"/>
      <c r="R922" s="725"/>
      <c r="S922" s="725"/>
    </row>
    <row r="923" spans="1:19" x14ac:dyDescent="0.3">
      <c r="A923" s="725"/>
      <c r="C923" s="725"/>
      <c r="D923" s="725"/>
      <c r="E923" s="725"/>
      <c r="F923" s="741"/>
      <c r="G923" s="735"/>
      <c r="H923" s="725"/>
      <c r="I923" s="725"/>
      <c r="J923" s="725"/>
      <c r="K923" s="725"/>
      <c r="L923" s="725"/>
      <c r="M923" s="725"/>
      <c r="N923" s="725"/>
      <c r="O923" s="725"/>
      <c r="P923" s="725"/>
      <c r="Q923" s="725"/>
      <c r="R923" s="725"/>
      <c r="S923" s="725"/>
    </row>
    <row r="924" spans="1:19" x14ac:dyDescent="0.3">
      <c r="A924" s="725"/>
      <c r="C924" s="725"/>
      <c r="D924" s="725"/>
      <c r="E924" s="725"/>
      <c r="F924" s="741"/>
      <c r="G924" s="735"/>
      <c r="H924" s="725"/>
      <c r="I924" s="725"/>
      <c r="J924" s="725"/>
      <c r="K924" s="725"/>
      <c r="L924" s="725"/>
      <c r="M924" s="725"/>
      <c r="N924" s="725"/>
      <c r="O924" s="725"/>
      <c r="P924" s="725"/>
      <c r="Q924" s="725"/>
      <c r="R924" s="725"/>
      <c r="S924" s="725"/>
    </row>
    <row r="925" spans="1:19" x14ac:dyDescent="0.3">
      <c r="A925" s="725"/>
      <c r="C925" s="725"/>
      <c r="D925" s="725"/>
      <c r="E925" s="725"/>
      <c r="F925" s="741"/>
      <c r="G925" s="735"/>
      <c r="H925" s="725"/>
      <c r="I925" s="725"/>
      <c r="J925" s="725"/>
      <c r="K925" s="725"/>
      <c r="L925" s="725"/>
      <c r="M925" s="725"/>
      <c r="N925" s="725"/>
      <c r="O925" s="725"/>
      <c r="P925" s="725"/>
      <c r="Q925" s="725"/>
      <c r="R925" s="725"/>
      <c r="S925" s="725"/>
    </row>
    <row r="926" spans="1:19" x14ac:dyDescent="0.3">
      <c r="A926" s="725"/>
      <c r="C926" s="725"/>
      <c r="D926" s="725"/>
      <c r="E926" s="725"/>
      <c r="F926" s="741"/>
      <c r="G926" s="735"/>
      <c r="H926" s="725"/>
      <c r="I926" s="725"/>
      <c r="J926" s="725"/>
      <c r="K926" s="725"/>
      <c r="L926" s="725"/>
      <c r="M926" s="725"/>
      <c r="N926" s="725"/>
      <c r="O926" s="725"/>
      <c r="P926" s="725"/>
      <c r="Q926" s="725"/>
      <c r="R926" s="725"/>
      <c r="S926" s="725"/>
    </row>
    <row r="927" spans="1:19" x14ac:dyDescent="0.3">
      <c r="A927" s="725"/>
      <c r="C927" s="725"/>
      <c r="D927" s="725"/>
      <c r="E927" s="725"/>
      <c r="F927" s="741"/>
      <c r="G927" s="735"/>
      <c r="H927" s="725"/>
      <c r="I927" s="725"/>
      <c r="J927" s="725"/>
      <c r="K927" s="725"/>
      <c r="L927" s="725"/>
      <c r="M927" s="725"/>
      <c r="N927" s="725"/>
      <c r="O927" s="725"/>
      <c r="P927" s="725"/>
      <c r="Q927" s="725"/>
      <c r="R927" s="725"/>
      <c r="S927" s="725"/>
    </row>
    <row r="928" spans="1:19" x14ac:dyDescent="0.3">
      <c r="A928" s="725"/>
      <c r="C928" s="725"/>
      <c r="D928" s="725"/>
      <c r="E928" s="725"/>
      <c r="F928" s="741"/>
      <c r="G928" s="735"/>
      <c r="H928" s="725"/>
      <c r="I928" s="725"/>
      <c r="J928" s="725"/>
      <c r="K928" s="725"/>
      <c r="L928" s="725"/>
      <c r="M928" s="725"/>
      <c r="N928" s="725"/>
      <c r="O928" s="725"/>
      <c r="P928" s="725"/>
      <c r="Q928" s="725"/>
      <c r="R928" s="725"/>
      <c r="S928" s="725"/>
    </row>
    <row r="929" spans="1:19" x14ac:dyDescent="0.3">
      <c r="A929" s="725"/>
      <c r="C929" s="725"/>
      <c r="D929" s="725"/>
      <c r="E929" s="725"/>
      <c r="F929" s="741"/>
      <c r="G929" s="735"/>
      <c r="H929" s="725"/>
      <c r="I929" s="725"/>
      <c r="J929" s="725"/>
      <c r="K929" s="725"/>
      <c r="L929" s="725"/>
      <c r="M929" s="725"/>
      <c r="N929" s="725"/>
      <c r="O929" s="725"/>
      <c r="P929" s="725"/>
      <c r="Q929" s="725"/>
      <c r="R929" s="725"/>
      <c r="S929" s="725"/>
    </row>
    <row r="930" spans="1:19" x14ac:dyDescent="0.3">
      <c r="A930" s="725"/>
      <c r="C930" s="725"/>
      <c r="D930" s="725"/>
      <c r="E930" s="725"/>
      <c r="F930" s="741"/>
      <c r="G930" s="735"/>
      <c r="H930" s="725"/>
      <c r="I930" s="725"/>
      <c r="J930" s="725"/>
      <c r="K930" s="725"/>
      <c r="L930" s="725"/>
      <c r="M930" s="725"/>
      <c r="N930" s="725"/>
      <c r="O930" s="725"/>
      <c r="P930" s="725"/>
      <c r="Q930" s="725"/>
      <c r="R930" s="725"/>
      <c r="S930" s="725"/>
    </row>
    <row r="931" spans="1:19" x14ac:dyDescent="0.3">
      <c r="A931" s="725"/>
      <c r="C931" s="725"/>
      <c r="D931" s="725"/>
      <c r="E931" s="725"/>
      <c r="F931" s="741"/>
      <c r="G931" s="735"/>
      <c r="H931" s="725"/>
      <c r="I931" s="725"/>
      <c r="J931" s="725"/>
      <c r="K931" s="725"/>
      <c r="L931" s="725"/>
      <c r="M931" s="725"/>
      <c r="N931" s="725"/>
      <c r="O931" s="725"/>
      <c r="P931" s="725"/>
      <c r="Q931" s="725"/>
      <c r="R931" s="725"/>
      <c r="S931" s="725"/>
    </row>
    <row r="932" spans="1:19" x14ac:dyDescent="0.3">
      <c r="A932" s="725"/>
      <c r="C932" s="725"/>
      <c r="D932" s="725"/>
      <c r="E932" s="725"/>
      <c r="F932" s="741"/>
      <c r="G932" s="735"/>
      <c r="H932" s="725"/>
      <c r="I932" s="725"/>
      <c r="J932" s="725"/>
      <c r="K932" s="725"/>
      <c r="L932" s="725"/>
      <c r="M932" s="725"/>
      <c r="N932" s="725"/>
      <c r="O932" s="725"/>
      <c r="P932" s="725"/>
      <c r="Q932" s="725"/>
      <c r="R932" s="725"/>
      <c r="S932" s="725"/>
    </row>
    <row r="933" spans="1:19" x14ac:dyDescent="0.3">
      <c r="A933" s="725"/>
      <c r="C933" s="725"/>
      <c r="D933" s="725"/>
      <c r="E933" s="725"/>
      <c r="F933" s="741"/>
      <c r="G933" s="735"/>
      <c r="H933" s="725"/>
      <c r="I933" s="725"/>
      <c r="J933" s="725"/>
      <c r="K933" s="725"/>
      <c r="L933" s="725"/>
      <c r="M933" s="725"/>
      <c r="N933" s="725"/>
      <c r="O933" s="725"/>
      <c r="P933" s="725"/>
      <c r="Q933" s="725"/>
      <c r="R933" s="725"/>
      <c r="S933" s="725"/>
    </row>
    <row r="934" spans="1:19" x14ac:dyDescent="0.3">
      <c r="A934" s="725"/>
      <c r="C934" s="725"/>
      <c r="D934" s="725"/>
      <c r="E934" s="725"/>
      <c r="F934" s="741"/>
      <c r="G934" s="735"/>
      <c r="H934" s="725"/>
      <c r="I934" s="725"/>
      <c r="J934" s="725"/>
      <c r="K934" s="725"/>
      <c r="L934" s="725"/>
      <c r="M934" s="725"/>
      <c r="N934" s="725"/>
      <c r="O934" s="725"/>
      <c r="P934" s="725"/>
      <c r="Q934" s="725"/>
      <c r="R934" s="725"/>
      <c r="S934" s="725"/>
    </row>
    <row r="935" spans="1:19" x14ac:dyDescent="0.3">
      <c r="A935" s="725"/>
      <c r="C935" s="725"/>
      <c r="D935" s="725"/>
      <c r="E935" s="725"/>
      <c r="F935" s="741"/>
      <c r="G935" s="735"/>
      <c r="H935" s="725"/>
      <c r="I935" s="725"/>
      <c r="J935" s="725"/>
      <c r="K935" s="725"/>
      <c r="L935" s="725"/>
      <c r="M935" s="725"/>
      <c r="N935" s="725"/>
      <c r="O935" s="725"/>
      <c r="P935" s="725"/>
      <c r="Q935" s="725"/>
      <c r="R935" s="725"/>
      <c r="S935" s="725"/>
    </row>
    <row r="936" spans="1:19" x14ac:dyDescent="0.3">
      <c r="A936" s="725"/>
      <c r="C936" s="725"/>
      <c r="D936" s="725"/>
      <c r="E936" s="725"/>
      <c r="F936" s="741"/>
      <c r="G936" s="735"/>
      <c r="H936" s="725"/>
      <c r="I936" s="725"/>
      <c r="J936" s="725"/>
      <c r="K936" s="725"/>
      <c r="L936" s="725"/>
      <c r="M936" s="725"/>
      <c r="N936" s="725"/>
      <c r="O936" s="725"/>
      <c r="P936" s="725"/>
      <c r="Q936" s="725"/>
      <c r="R936" s="725"/>
      <c r="S936" s="725"/>
    </row>
    <row r="937" spans="1:19" x14ac:dyDescent="0.3">
      <c r="A937" s="725"/>
      <c r="C937" s="725"/>
      <c r="D937" s="725"/>
      <c r="E937" s="725"/>
      <c r="F937" s="741"/>
      <c r="G937" s="735"/>
      <c r="H937" s="725"/>
      <c r="I937" s="725"/>
      <c r="J937" s="725"/>
      <c r="K937" s="725"/>
      <c r="L937" s="725"/>
      <c r="M937" s="725"/>
      <c r="N937" s="725"/>
      <c r="O937" s="725"/>
      <c r="P937" s="725"/>
      <c r="Q937" s="725"/>
      <c r="R937" s="725"/>
      <c r="S937" s="725"/>
    </row>
    <row r="938" spans="1:19" x14ac:dyDescent="0.3">
      <c r="A938" s="725"/>
      <c r="C938" s="725"/>
      <c r="D938" s="725"/>
      <c r="E938" s="725"/>
      <c r="F938" s="741"/>
      <c r="G938" s="735"/>
      <c r="H938" s="725"/>
      <c r="I938" s="725"/>
      <c r="J938" s="725"/>
      <c r="K938" s="725"/>
      <c r="L938" s="725"/>
      <c r="M938" s="725"/>
      <c r="N938" s="725"/>
      <c r="O938" s="725"/>
      <c r="P938" s="725"/>
      <c r="Q938" s="725"/>
      <c r="R938" s="725"/>
      <c r="S938" s="725"/>
    </row>
    <row r="939" spans="1:19" x14ac:dyDescent="0.3">
      <c r="A939" s="725"/>
      <c r="C939" s="725"/>
      <c r="D939" s="725"/>
      <c r="E939" s="725"/>
      <c r="F939" s="741"/>
      <c r="G939" s="735"/>
      <c r="H939" s="725"/>
      <c r="I939" s="725"/>
      <c r="J939" s="725"/>
      <c r="K939" s="725"/>
      <c r="L939" s="725"/>
      <c r="M939" s="725"/>
      <c r="N939" s="725"/>
      <c r="O939" s="725"/>
      <c r="P939" s="725"/>
      <c r="Q939" s="725"/>
      <c r="R939" s="725"/>
      <c r="S939" s="725"/>
    </row>
    <row r="940" spans="1:19" x14ac:dyDescent="0.3">
      <c r="A940" s="725"/>
      <c r="C940" s="725"/>
      <c r="D940" s="725"/>
      <c r="E940" s="725"/>
      <c r="F940" s="741"/>
      <c r="G940" s="735"/>
      <c r="H940" s="725"/>
      <c r="I940" s="725"/>
      <c r="J940" s="725"/>
      <c r="K940" s="725"/>
      <c r="L940" s="725"/>
      <c r="M940" s="725"/>
      <c r="N940" s="725"/>
      <c r="O940" s="725"/>
      <c r="P940" s="725"/>
      <c r="Q940" s="725"/>
      <c r="R940" s="725"/>
      <c r="S940" s="725"/>
    </row>
    <row r="941" spans="1:19" x14ac:dyDescent="0.3">
      <c r="A941" s="725"/>
      <c r="C941" s="725"/>
      <c r="D941" s="725"/>
      <c r="E941" s="725"/>
      <c r="F941" s="741"/>
      <c r="G941" s="735"/>
      <c r="H941" s="725"/>
      <c r="I941" s="725"/>
      <c r="J941" s="725"/>
      <c r="K941" s="725"/>
      <c r="L941" s="725"/>
      <c r="M941" s="725"/>
      <c r="N941" s="725"/>
      <c r="O941" s="725"/>
      <c r="P941" s="725"/>
      <c r="Q941" s="725"/>
      <c r="R941" s="725"/>
      <c r="S941" s="725"/>
    </row>
    <row r="942" spans="1:19" x14ac:dyDescent="0.3">
      <c r="A942" s="725"/>
      <c r="C942" s="725"/>
      <c r="D942" s="725"/>
      <c r="E942" s="725"/>
      <c r="F942" s="741"/>
      <c r="G942" s="735"/>
      <c r="H942" s="725"/>
      <c r="I942" s="725"/>
      <c r="J942" s="725"/>
      <c r="K942" s="725"/>
      <c r="L942" s="725"/>
      <c r="M942" s="725"/>
      <c r="N942" s="725"/>
      <c r="O942" s="725"/>
      <c r="P942" s="725"/>
      <c r="Q942" s="725"/>
      <c r="R942" s="725"/>
      <c r="S942" s="725"/>
    </row>
    <row r="943" spans="1:19" x14ac:dyDescent="0.3">
      <c r="A943" s="725"/>
      <c r="C943" s="725"/>
      <c r="D943" s="725"/>
      <c r="E943" s="725"/>
      <c r="F943" s="741"/>
      <c r="G943" s="735"/>
      <c r="H943" s="725"/>
      <c r="I943" s="725"/>
      <c r="J943" s="725"/>
      <c r="K943" s="725"/>
      <c r="L943" s="725"/>
      <c r="M943" s="725"/>
      <c r="N943" s="725"/>
      <c r="O943" s="725"/>
      <c r="P943" s="725"/>
      <c r="Q943" s="725"/>
      <c r="R943" s="725"/>
      <c r="S943" s="725"/>
    </row>
    <row r="944" spans="1:19" x14ac:dyDescent="0.3">
      <c r="A944" s="725"/>
      <c r="C944" s="725"/>
      <c r="D944" s="725"/>
      <c r="E944" s="725"/>
      <c r="F944" s="741"/>
      <c r="G944" s="735"/>
      <c r="H944" s="725"/>
      <c r="I944" s="725"/>
      <c r="J944" s="725"/>
      <c r="K944" s="725"/>
      <c r="L944" s="725"/>
      <c r="M944" s="725"/>
      <c r="N944" s="725"/>
      <c r="O944" s="725"/>
      <c r="P944" s="725"/>
      <c r="Q944" s="725"/>
      <c r="R944" s="725"/>
      <c r="S944" s="725"/>
    </row>
    <row r="945" spans="1:19" x14ac:dyDescent="0.3">
      <c r="A945" s="725"/>
      <c r="C945" s="725"/>
      <c r="D945" s="725"/>
      <c r="E945" s="725"/>
      <c r="F945" s="741"/>
      <c r="G945" s="735"/>
      <c r="H945" s="725"/>
      <c r="I945" s="725"/>
      <c r="J945" s="725"/>
      <c r="K945" s="725"/>
      <c r="L945" s="725"/>
      <c r="M945" s="725"/>
      <c r="N945" s="725"/>
      <c r="O945" s="725"/>
      <c r="P945" s="725"/>
      <c r="Q945" s="725"/>
      <c r="R945" s="725"/>
      <c r="S945" s="725"/>
    </row>
    <row r="946" spans="1:19" x14ac:dyDescent="0.3">
      <c r="A946" s="725"/>
      <c r="C946" s="725"/>
      <c r="D946" s="725"/>
      <c r="E946" s="725"/>
      <c r="F946" s="741"/>
      <c r="G946" s="735"/>
      <c r="H946" s="725"/>
      <c r="I946" s="725"/>
      <c r="J946" s="725"/>
      <c r="K946" s="725"/>
      <c r="L946" s="725"/>
      <c r="M946" s="725"/>
      <c r="N946" s="725"/>
      <c r="O946" s="725"/>
      <c r="P946" s="725"/>
      <c r="Q946" s="725"/>
      <c r="R946" s="725"/>
      <c r="S946" s="725"/>
    </row>
    <row r="947" spans="1:19" x14ac:dyDescent="0.3">
      <c r="A947" s="725"/>
      <c r="C947" s="725"/>
      <c r="D947" s="725"/>
      <c r="E947" s="725"/>
      <c r="F947" s="741"/>
      <c r="G947" s="735"/>
      <c r="H947" s="725"/>
      <c r="I947" s="725"/>
      <c r="J947" s="725"/>
      <c r="K947" s="725"/>
      <c r="L947" s="725"/>
      <c r="M947" s="725"/>
      <c r="N947" s="725"/>
      <c r="O947" s="725"/>
      <c r="P947" s="725"/>
      <c r="Q947" s="725"/>
      <c r="R947" s="725"/>
      <c r="S947" s="725"/>
    </row>
    <row r="948" spans="1:19" x14ac:dyDescent="0.3">
      <c r="A948" s="725"/>
      <c r="C948" s="725"/>
      <c r="D948" s="725"/>
      <c r="E948" s="725"/>
      <c r="F948" s="741"/>
      <c r="G948" s="735"/>
      <c r="H948" s="725"/>
      <c r="I948" s="725"/>
      <c r="J948" s="725"/>
      <c r="K948" s="725"/>
      <c r="L948" s="725"/>
      <c r="M948" s="725"/>
      <c r="N948" s="725"/>
      <c r="O948" s="725"/>
      <c r="P948" s="725"/>
      <c r="Q948" s="725"/>
      <c r="R948" s="725"/>
      <c r="S948" s="725"/>
    </row>
    <row r="949" spans="1:19" x14ac:dyDescent="0.3">
      <c r="A949" s="725"/>
      <c r="C949" s="725"/>
      <c r="D949" s="725"/>
      <c r="E949" s="725"/>
      <c r="F949" s="741"/>
      <c r="G949" s="735"/>
      <c r="H949" s="725"/>
      <c r="I949" s="725"/>
      <c r="J949" s="725"/>
      <c r="K949" s="725"/>
      <c r="L949" s="725"/>
      <c r="M949" s="725"/>
      <c r="N949" s="725"/>
      <c r="O949" s="725"/>
      <c r="P949" s="725"/>
      <c r="Q949" s="725"/>
      <c r="R949" s="725"/>
      <c r="S949" s="725"/>
    </row>
    <row r="950" spans="1:19" x14ac:dyDescent="0.3">
      <c r="A950" s="725"/>
      <c r="C950" s="725"/>
      <c r="D950" s="725"/>
      <c r="E950" s="725"/>
      <c r="F950" s="741"/>
      <c r="G950" s="735"/>
      <c r="H950" s="725"/>
      <c r="I950" s="725"/>
      <c r="J950" s="725"/>
      <c r="K950" s="725"/>
      <c r="L950" s="725"/>
      <c r="M950" s="725"/>
      <c r="N950" s="725"/>
      <c r="O950" s="725"/>
      <c r="P950" s="725"/>
      <c r="Q950" s="725"/>
      <c r="R950" s="725"/>
      <c r="S950" s="725"/>
    </row>
    <row r="951" spans="1:19" x14ac:dyDescent="0.3">
      <c r="A951" s="725"/>
      <c r="C951" s="725"/>
      <c r="D951" s="725"/>
      <c r="E951" s="725"/>
      <c r="F951" s="741"/>
      <c r="G951" s="735"/>
      <c r="H951" s="725"/>
      <c r="I951" s="725"/>
      <c r="J951" s="725"/>
      <c r="K951" s="725"/>
      <c r="L951" s="725"/>
      <c r="M951" s="725"/>
      <c r="N951" s="725"/>
      <c r="O951" s="725"/>
      <c r="P951" s="725"/>
      <c r="Q951" s="725"/>
      <c r="R951" s="725"/>
      <c r="S951" s="725"/>
    </row>
    <row r="952" spans="1:19" x14ac:dyDescent="0.3">
      <c r="A952" s="725"/>
      <c r="C952" s="725"/>
      <c r="D952" s="725"/>
      <c r="E952" s="725"/>
      <c r="F952" s="741"/>
      <c r="G952" s="735"/>
      <c r="H952" s="725"/>
      <c r="I952" s="725"/>
      <c r="J952" s="725"/>
      <c r="K952" s="725"/>
      <c r="L952" s="725"/>
      <c r="M952" s="725"/>
      <c r="N952" s="725"/>
      <c r="O952" s="725"/>
      <c r="P952" s="725"/>
      <c r="Q952" s="725"/>
      <c r="R952" s="725"/>
      <c r="S952" s="725"/>
    </row>
    <row r="953" spans="1:19" x14ac:dyDescent="0.3">
      <c r="A953" s="725"/>
      <c r="C953" s="725"/>
      <c r="D953" s="725"/>
      <c r="E953" s="725"/>
      <c r="F953" s="741"/>
      <c r="G953" s="735"/>
      <c r="H953" s="725"/>
      <c r="I953" s="725"/>
      <c r="J953" s="725"/>
      <c r="K953" s="725"/>
      <c r="L953" s="725"/>
      <c r="M953" s="725"/>
      <c r="N953" s="725"/>
      <c r="O953" s="725"/>
      <c r="P953" s="725"/>
      <c r="Q953" s="725"/>
      <c r="R953" s="725"/>
      <c r="S953" s="725"/>
    </row>
    <row r="954" spans="1:19" x14ac:dyDescent="0.3">
      <c r="A954" s="725"/>
      <c r="C954" s="725"/>
      <c r="D954" s="725"/>
      <c r="E954" s="725"/>
      <c r="F954" s="741"/>
      <c r="G954" s="735"/>
      <c r="H954" s="725"/>
      <c r="I954" s="725"/>
      <c r="J954" s="725"/>
      <c r="K954" s="725"/>
      <c r="L954" s="725"/>
      <c r="M954" s="725"/>
      <c r="N954" s="725"/>
      <c r="O954" s="725"/>
      <c r="P954" s="725"/>
      <c r="Q954" s="725"/>
      <c r="R954" s="725"/>
      <c r="S954" s="725"/>
    </row>
    <row r="955" spans="1:19" x14ac:dyDescent="0.3">
      <c r="A955" s="725"/>
      <c r="C955" s="725"/>
      <c r="D955" s="725"/>
      <c r="E955" s="725"/>
      <c r="F955" s="741"/>
      <c r="G955" s="735"/>
      <c r="H955" s="725"/>
      <c r="I955" s="725"/>
      <c r="J955" s="725"/>
      <c r="K955" s="725"/>
      <c r="L955" s="725"/>
      <c r="M955" s="725"/>
      <c r="N955" s="725"/>
      <c r="O955" s="725"/>
      <c r="P955" s="725"/>
      <c r="Q955" s="725"/>
      <c r="R955" s="725"/>
      <c r="S955" s="725"/>
    </row>
    <row r="956" spans="1:19" x14ac:dyDescent="0.3">
      <c r="A956" s="725"/>
      <c r="C956" s="725"/>
      <c r="D956" s="725"/>
      <c r="E956" s="725"/>
      <c r="F956" s="741"/>
      <c r="G956" s="735"/>
      <c r="H956" s="725"/>
      <c r="I956" s="725"/>
      <c r="J956" s="725"/>
      <c r="K956" s="725"/>
      <c r="L956" s="725"/>
      <c r="M956" s="725"/>
      <c r="N956" s="725"/>
      <c r="O956" s="725"/>
      <c r="P956" s="725"/>
      <c r="Q956" s="725"/>
      <c r="R956" s="725"/>
      <c r="S956" s="725"/>
    </row>
    <row r="957" spans="1:19" x14ac:dyDescent="0.3">
      <c r="A957" s="725"/>
      <c r="C957" s="725"/>
      <c r="D957" s="725"/>
      <c r="E957" s="725"/>
      <c r="F957" s="741"/>
      <c r="G957" s="735"/>
      <c r="H957" s="725"/>
      <c r="I957" s="725"/>
      <c r="J957" s="725"/>
      <c r="K957" s="725"/>
      <c r="L957" s="725"/>
      <c r="M957" s="725"/>
      <c r="N957" s="725"/>
      <c r="O957" s="725"/>
      <c r="P957" s="725"/>
      <c r="Q957" s="725"/>
      <c r="R957" s="725"/>
      <c r="S957" s="725"/>
    </row>
    <row r="958" spans="1:19" x14ac:dyDescent="0.3">
      <c r="A958" s="725"/>
      <c r="C958" s="725"/>
      <c r="D958" s="725"/>
      <c r="E958" s="725"/>
      <c r="F958" s="741"/>
      <c r="G958" s="735"/>
      <c r="H958" s="725"/>
      <c r="I958" s="725"/>
      <c r="J958" s="725"/>
      <c r="K958" s="725"/>
      <c r="L958" s="725"/>
      <c r="M958" s="725"/>
      <c r="N958" s="725"/>
      <c r="O958" s="725"/>
      <c r="P958" s="725"/>
      <c r="Q958" s="725"/>
      <c r="R958" s="725"/>
      <c r="S958" s="725"/>
    </row>
    <row r="959" spans="1:19" x14ac:dyDescent="0.3">
      <c r="A959" s="725"/>
      <c r="C959" s="725"/>
      <c r="D959" s="725"/>
      <c r="E959" s="725"/>
      <c r="F959" s="741"/>
      <c r="G959" s="735"/>
      <c r="H959" s="725"/>
      <c r="I959" s="725"/>
      <c r="J959" s="725"/>
      <c r="K959" s="725"/>
      <c r="L959" s="725"/>
      <c r="M959" s="725"/>
      <c r="N959" s="725"/>
      <c r="O959" s="725"/>
      <c r="P959" s="725"/>
      <c r="Q959" s="725"/>
      <c r="R959" s="725"/>
      <c r="S959" s="725"/>
    </row>
    <row r="960" spans="1:19" x14ac:dyDescent="0.3">
      <c r="A960" s="725"/>
      <c r="C960" s="725"/>
      <c r="D960" s="725"/>
      <c r="E960" s="725"/>
      <c r="F960" s="741"/>
      <c r="G960" s="735"/>
      <c r="H960" s="725"/>
      <c r="I960" s="725"/>
      <c r="J960" s="725"/>
      <c r="K960" s="725"/>
      <c r="L960" s="725"/>
      <c r="M960" s="725"/>
      <c r="N960" s="725"/>
      <c r="O960" s="725"/>
      <c r="P960" s="725"/>
      <c r="Q960" s="725"/>
      <c r="R960" s="725"/>
      <c r="S960" s="725"/>
    </row>
    <row r="961" spans="1:19" x14ac:dyDescent="0.3">
      <c r="A961" s="725"/>
      <c r="C961" s="725"/>
      <c r="D961" s="725"/>
      <c r="E961" s="725"/>
      <c r="F961" s="741"/>
      <c r="G961" s="735"/>
      <c r="H961" s="725"/>
      <c r="I961" s="725"/>
      <c r="J961" s="725"/>
      <c r="K961" s="725"/>
      <c r="L961" s="725"/>
      <c r="M961" s="725"/>
      <c r="N961" s="725"/>
      <c r="O961" s="725"/>
      <c r="P961" s="725"/>
      <c r="Q961" s="725"/>
      <c r="R961" s="725"/>
      <c r="S961" s="725"/>
    </row>
    <row r="962" spans="1:19" x14ac:dyDescent="0.3">
      <c r="A962" s="725"/>
      <c r="C962" s="725"/>
      <c r="D962" s="725"/>
      <c r="E962" s="725"/>
      <c r="F962" s="741"/>
      <c r="G962" s="735"/>
      <c r="H962" s="725"/>
      <c r="I962" s="725"/>
      <c r="J962" s="725"/>
      <c r="K962" s="725"/>
      <c r="L962" s="725"/>
      <c r="M962" s="725"/>
      <c r="N962" s="725"/>
      <c r="O962" s="725"/>
      <c r="P962" s="725"/>
      <c r="Q962" s="725"/>
      <c r="R962" s="725"/>
      <c r="S962" s="725"/>
    </row>
    <row r="963" spans="1:19" x14ac:dyDescent="0.3">
      <c r="A963" s="725"/>
      <c r="C963" s="725"/>
      <c r="D963" s="725"/>
      <c r="E963" s="725"/>
      <c r="F963" s="741"/>
      <c r="G963" s="735"/>
      <c r="H963" s="725"/>
      <c r="I963" s="725"/>
      <c r="J963" s="725"/>
      <c r="K963" s="725"/>
      <c r="L963" s="725"/>
      <c r="M963" s="725"/>
      <c r="N963" s="725"/>
      <c r="O963" s="725"/>
      <c r="P963" s="725"/>
      <c r="Q963" s="725"/>
      <c r="R963" s="725"/>
      <c r="S963" s="725"/>
    </row>
    <row r="964" spans="1:19" x14ac:dyDescent="0.3">
      <c r="A964" s="725"/>
      <c r="C964" s="725"/>
      <c r="D964" s="725"/>
      <c r="E964" s="725"/>
      <c r="F964" s="741"/>
      <c r="G964" s="735"/>
      <c r="H964" s="725"/>
      <c r="I964" s="725"/>
      <c r="J964" s="725"/>
      <c r="K964" s="725"/>
      <c r="L964" s="725"/>
      <c r="M964" s="725"/>
      <c r="N964" s="725"/>
      <c r="O964" s="725"/>
      <c r="P964" s="725"/>
      <c r="Q964" s="725"/>
      <c r="R964" s="725"/>
      <c r="S964" s="725"/>
    </row>
    <row r="965" spans="1:19" x14ac:dyDescent="0.3">
      <c r="A965" s="725"/>
      <c r="C965" s="725"/>
      <c r="D965" s="725"/>
      <c r="E965" s="725"/>
      <c r="F965" s="741"/>
      <c r="G965" s="735"/>
      <c r="H965" s="725"/>
      <c r="I965" s="725"/>
      <c r="J965" s="725"/>
      <c r="K965" s="725"/>
      <c r="L965" s="725"/>
      <c r="M965" s="725"/>
      <c r="N965" s="725"/>
      <c r="O965" s="725"/>
      <c r="P965" s="725"/>
      <c r="Q965" s="725"/>
      <c r="R965" s="725"/>
      <c r="S965" s="725"/>
    </row>
    <row r="966" spans="1:19" x14ac:dyDescent="0.3">
      <c r="A966" s="725"/>
      <c r="C966" s="725"/>
      <c r="D966" s="725"/>
      <c r="E966" s="725"/>
      <c r="F966" s="741"/>
      <c r="G966" s="735"/>
      <c r="H966" s="725"/>
      <c r="I966" s="725"/>
      <c r="J966" s="725"/>
      <c r="K966" s="725"/>
      <c r="L966" s="725"/>
      <c r="M966" s="725"/>
      <c r="N966" s="725"/>
      <c r="O966" s="725"/>
      <c r="P966" s="725"/>
      <c r="Q966" s="725"/>
      <c r="R966" s="725"/>
      <c r="S966" s="725"/>
    </row>
    <row r="967" spans="1:19" x14ac:dyDescent="0.3">
      <c r="A967" s="725"/>
      <c r="C967" s="725"/>
      <c r="D967" s="725"/>
      <c r="E967" s="725"/>
      <c r="F967" s="741"/>
      <c r="G967" s="735"/>
      <c r="H967" s="725"/>
      <c r="I967" s="725"/>
      <c r="J967" s="725"/>
      <c r="K967" s="725"/>
      <c r="L967" s="725"/>
      <c r="M967" s="725"/>
      <c r="N967" s="725"/>
      <c r="O967" s="725"/>
      <c r="P967" s="725"/>
      <c r="Q967" s="725"/>
      <c r="R967" s="725"/>
      <c r="S967" s="725"/>
    </row>
    <row r="968" spans="1:19" x14ac:dyDescent="0.3">
      <c r="A968" s="725"/>
      <c r="C968" s="725"/>
      <c r="D968" s="725"/>
      <c r="E968" s="725"/>
      <c r="F968" s="741"/>
      <c r="G968" s="735"/>
      <c r="H968" s="725"/>
      <c r="I968" s="725"/>
      <c r="J968" s="725"/>
      <c r="K968" s="725"/>
      <c r="L968" s="725"/>
      <c r="M968" s="725"/>
      <c r="N968" s="725"/>
      <c r="O968" s="725"/>
      <c r="P968" s="725"/>
      <c r="Q968" s="725"/>
      <c r="R968" s="725"/>
      <c r="S968" s="725"/>
    </row>
    <row r="969" spans="1:19" x14ac:dyDescent="0.3">
      <c r="A969" s="725"/>
      <c r="C969" s="725"/>
      <c r="D969" s="725"/>
      <c r="E969" s="725"/>
      <c r="F969" s="741"/>
      <c r="G969" s="735"/>
      <c r="H969" s="725"/>
      <c r="I969" s="725"/>
      <c r="J969" s="725"/>
      <c r="K969" s="725"/>
      <c r="L969" s="725"/>
      <c r="M969" s="725"/>
      <c r="N969" s="725"/>
      <c r="O969" s="725"/>
      <c r="P969" s="725"/>
      <c r="Q969" s="725"/>
      <c r="R969" s="725"/>
      <c r="S969" s="725"/>
    </row>
    <row r="970" spans="1:19" x14ac:dyDescent="0.3">
      <c r="A970" s="725"/>
      <c r="C970" s="725"/>
      <c r="D970" s="725"/>
      <c r="E970" s="725"/>
      <c r="F970" s="741"/>
      <c r="G970" s="735"/>
      <c r="H970" s="725"/>
      <c r="I970" s="725"/>
      <c r="J970" s="725"/>
      <c r="K970" s="725"/>
      <c r="L970" s="725"/>
      <c r="M970" s="725"/>
      <c r="N970" s="725"/>
      <c r="O970" s="725"/>
      <c r="P970" s="725"/>
      <c r="Q970" s="725"/>
      <c r="R970" s="725"/>
      <c r="S970" s="725"/>
    </row>
    <row r="971" spans="1:19" x14ac:dyDescent="0.3">
      <c r="A971" s="725"/>
      <c r="C971" s="725"/>
      <c r="D971" s="725"/>
      <c r="E971" s="725"/>
      <c r="F971" s="741"/>
      <c r="G971" s="735"/>
      <c r="H971" s="725"/>
      <c r="I971" s="725"/>
      <c r="J971" s="725"/>
      <c r="K971" s="725"/>
      <c r="L971" s="725"/>
      <c r="M971" s="725"/>
      <c r="N971" s="725"/>
      <c r="O971" s="725"/>
      <c r="P971" s="725"/>
      <c r="Q971" s="725"/>
      <c r="R971" s="725"/>
      <c r="S971" s="725"/>
    </row>
    <row r="972" spans="1:19" x14ac:dyDescent="0.3">
      <c r="A972" s="725"/>
      <c r="C972" s="725"/>
      <c r="D972" s="725"/>
      <c r="E972" s="725"/>
      <c r="F972" s="741"/>
      <c r="G972" s="735"/>
      <c r="H972" s="725"/>
      <c r="I972" s="725"/>
      <c r="J972" s="725"/>
      <c r="K972" s="725"/>
      <c r="L972" s="725"/>
      <c r="M972" s="725"/>
      <c r="N972" s="725"/>
      <c r="O972" s="725"/>
      <c r="P972" s="725"/>
      <c r="Q972" s="725"/>
      <c r="R972" s="725"/>
      <c r="S972" s="725"/>
    </row>
    <row r="973" spans="1:19" x14ac:dyDescent="0.3">
      <c r="A973" s="725"/>
      <c r="C973" s="725"/>
      <c r="D973" s="725"/>
      <c r="E973" s="725"/>
      <c r="F973" s="741"/>
      <c r="G973" s="735"/>
      <c r="H973" s="725"/>
      <c r="I973" s="725"/>
      <c r="J973" s="725"/>
      <c r="K973" s="725"/>
      <c r="L973" s="725"/>
      <c r="M973" s="725"/>
      <c r="N973" s="725"/>
      <c r="O973" s="725"/>
      <c r="P973" s="725"/>
      <c r="Q973" s="725"/>
      <c r="R973" s="725"/>
      <c r="S973" s="725"/>
    </row>
    <row r="974" spans="1:19" x14ac:dyDescent="0.3">
      <c r="A974" s="725"/>
      <c r="C974" s="725"/>
      <c r="D974" s="725"/>
      <c r="E974" s="725"/>
      <c r="F974" s="741"/>
      <c r="G974" s="735"/>
      <c r="H974" s="725"/>
      <c r="I974" s="725"/>
      <c r="J974" s="725"/>
      <c r="K974" s="725"/>
      <c r="L974" s="725"/>
      <c r="M974" s="725"/>
      <c r="N974" s="725"/>
      <c r="O974" s="725"/>
      <c r="P974" s="725"/>
      <c r="Q974" s="725"/>
      <c r="R974" s="725"/>
      <c r="S974" s="725"/>
    </row>
    <row r="975" spans="1:19" x14ac:dyDescent="0.3">
      <c r="A975" s="725"/>
      <c r="C975" s="725"/>
      <c r="D975" s="725"/>
      <c r="E975" s="725"/>
      <c r="F975" s="741"/>
      <c r="G975" s="735"/>
      <c r="H975" s="725"/>
      <c r="I975" s="725"/>
      <c r="J975" s="725"/>
      <c r="K975" s="725"/>
      <c r="L975" s="725"/>
      <c r="M975" s="725"/>
      <c r="N975" s="725"/>
      <c r="O975" s="725"/>
      <c r="P975" s="725"/>
      <c r="Q975" s="725"/>
      <c r="R975" s="725"/>
      <c r="S975" s="725"/>
    </row>
    <row r="976" spans="1:19" x14ac:dyDescent="0.3">
      <c r="A976" s="725"/>
      <c r="C976" s="725"/>
      <c r="D976" s="725"/>
      <c r="E976" s="725"/>
      <c r="F976" s="741"/>
      <c r="G976" s="735"/>
      <c r="H976" s="725"/>
      <c r="I976" s="725"/>
      <c r="J976" s="725"/>
      <c r="K976" s="725"/>
      <c r="L976" s="725"/>
      <c r="M976" s="725"/>
      <c r="N976" s="725"/>
      <c r="O976" s="725"/>
      <c r="P976" s="725"/>
      <c r="Q976" s="725"/>
      <c r="R976" s="725"/>
      <c r="S976" s="725"/>
    </row>
    <row r="977" spans="1:19" x14ac:dyDescent="0.3">
      <c r="A977" s="725"/>
      <c r="C977" s="725"/>
      <c r="D977" s="725"/>
      <c r="E977" s="725"/>
      <c r="F977" s="741"/>
      <c r="G977" s="735"/>
      <c r="H977" s="725"/>
      <c r="I977" s="725"/>
      <c r="J977" s="725"/>
      <c r="K977" s="725"/>
      <c r="L977" s="725"/>
      <c r="M977" s="725"/>
      <c r="N977" s="725"/>
      <c r="O977" s="725"/>
      <c r="P977" s="725"/>
      <c r="Q977" s="725"/>
      <c r="R977" s="725"/>
      <c r="S977" s="725"/>
    </row>
    <row r="978" spans="1:19" x14ac:dyDescent="0.3">
      <c r="A978" s="725"/>
      <c r="C978" s="725"/>
      <c r="D978" s="725"/>
      <c r="E978" s="725"/>
      <c r="F978" s="741"/>
      <c r="G978" s="735"/>
      <c r="H978" s="725"/>
      <c r="I978" s="725"/>
      <c r="J978" s="725"/>
      <c r="K978" s="725"/>
      <c r="L978" s="725"/>
      <c r="M978" s="725"/>
      <c r="N978" s="725"/>
      <c r="O978" s="725"/>
      <c r="P978" s="725"/>
      <c r="Q978" s="725"/>
      <c r="R978" s="725"/>
      <c r="S978" s="725"/>
    </row>
    <row r="979" spans="1:19" x14ac:dyDescent="0.3">
      <c r="A979" s="725"/>
      <c r="C979" s="725"/>
      <c r="D979" s="725"/>
      <c r="E979" s="725"/>
      <c r="F979" s="741"/>
      <c r="G979" s="735"/>
      <c r="H979" s="725"/>
      <c r="I979" s="725"/>
      <c r="J979" s="725"/>
      <c r="K979" s="725"/>
      <c r="L979" s="725"/>
      <c r="M979" s="725"/>
      <c r="N979" s="725"/>
      <c r="O979" s="725"/>
      <c r="P979" s="725"/>
      <c r="Q979" s="725"/>
      <c r="R979" s="725"/>
      <c r="S979" s="725"/>
    </row>
    <row r="980" spans="1:19" x14ac:dyDescent="0.3">
      <c r="A980" s="725"/>
      <c r="C980" s="725"/>
      <c r="D980" s="725"/>
      <c r="E980" s="725"/>
      <c r="F980" s="741"/>
      <c r="G980" s="735"/>
      <c r="H980" s="725"/>
      <c r="I980" s="725"/>
      <c r="J980" s="725"/>
      <c r="K980" s="725"/>
      <c r="L980" s="725"/>
      <c r="M980" s="725"/>
      <c r="N980" s="725"/>
      <c r="O980" s="725"/>
      <c r="P980" s="725"/>
      <c r="Q980" s="725"/>
      <c r="R980" s="725"/>
      <c r="S980" s="725"/>
    </row>
    <row r="981" spans="1:19" x14ac:dyDescent="0.3">
      <c r="A981" s="725"/>
      <c r="C981" s="725"/>
      <c r="D981" s="725"/>
      <c r="E981" s="725"/>
      <c r="F981" s="741"/>
      <c r="G981" s="735"/>
      <c r="H981" s="725"/>
      <c r="I981" s="725"/>
      <c r="J981" s="725"/>
      <c r="K981" s="725"/>
      <c r="L981" s="725"/>
      <c r="M981" s="725"/>
      <c r="N981" s="725"/>
      <c r="O981" s="725"/>
      <c r="P981" s="725"/>
      <c r="Q981" s="725"/>
      <c r="R981" s="725"/>
      <c r="S981" s="725"/>
    </row>
    <row r="982" spans="1:19" x14ac:dyDescent="0.3">
      <c r="A982" s="725"/>
      <c r="C982" s="725"/>
      <c r="D982" s="725"/>
      <c r="E982" s="725"/>
      <c r="F982" s="741"/>
      <c r="G982" s="735"/>
      <c r="H982" s="725"/>
      <c r="I982" s="725"/>
      <c r="J982" s="725"/>
      <c r="K982" s="725"/>
      <c r="L982" s="725"/>
      <c r="M982" s="725"/>
      <c r="N982" s="725"/>
      <c r="O982" s="725"/>
      <c r="P982" s="725"/>
      <c r="Q982" s="725"/>
      <c r="R982" s="725"/>
      <c r="S982" s="725"/>
    </row>
    <row r="983" spans="1:19" x14ac:dyDescent="0.3">
      <c r="A983" s="725"/>
      <c r="C983" s="725"/>
      <c r="D983" s="725"/>
      <c r="E983" s="725"/>
      <c r="F983" s="741"/>
      <c r="G983" s="735"/>
      <c r="H983" s="725"/>
      <c r="I983" s="725"/>
      <c r="J983" s="725"/>
      <c r="K983" s="725"/>
      <c r="L983" s="725"/>
      <c r="M983" s="725"/>
      <c r="N983" s="725"/>
      <c r="O983" s="725"/>
      <c r="P983" s="725"/>
      <c r="Q983" s="725"/>
      <c r="R983" s="725"/>
      <c r="S983" s="725"/>
    </row>
    <row r="984" spans="1:19" x14ac:dyDescent="0.3">
      <c r="A984" s="725"/>
      <c r="C984" s="725"/>
      <c r="D984" s="725"/>
      <c r="E984" s="725"/>
      <c r="F984" s="741"/>
      <c r="G984" s="735"/>
      <c r="H984" s="725"/>
      <c r="I984" s="725"/>
      <c r="J984" s="725"/>
      <c r="K984" s="725"/>
      <c r="L984" s="725"/>
      <c r="M984" s="725"/>
      <c r="N984" s="725"/>
      <c r="O984" s="725"/>
      <c r="P984" s="725"/>
      <c r="Q984" s="725"/>
      <c r="R984" s="725"/>
      <c r="S984" s="725"/>
    </row>
    <row r="985" spans="1:19" x14ac:dyDescent="0.3">
      <c r="A985" s="725"/>
      <c r="C985" s="725"/>
      <c r="D985" s="725"/>
      <c r="E985" s="725"/>
      <c r="F985" s="741"/>
      <c r="G985" s="735"/>
      <c r="H985" s="725"/>
      <c r="I985" s="725"/>
      <c r="J985" s="725"/>
      <c r="K985" s="725"/>
      <c r="L985" s="725"/>
      <c r="M985" s="725"/>
      <c r="N985" s="725"/>
      <c r="O985" s="725"/>
      <c r="P985" s="725"/>
      <c r="Q985" s="725"/>
      <c r="R985" s="725"/>
      <c r="S985" s="725"/>
    </row>
    <row r="986" spans="1:19" x14ac:dyDescent="0.3">
      <c r="A986" s="725"/>
      <c r="C986" s="725"/>
      <c r="D986" s="725"/>
      <c r="E986" s="725"/>
      <c r="F986" s="741"/>
      <c r="G986" s="735"/>
      <c r="H986" s="725"/>
      <c r="I986" s="725"/>
      <c r="J986" s="725"/>
      <c r="K986" s="725"/>
      <c r="L986" s="725"/>
      <c r="M986" s="725"/>
      <c r="N986" s="725"/>
      <c r="O986" s="725"/>
      <c r="P986" s="725"/>
      <c r="Q986" s="725"/>
      <c r="R986" s="725"/>
      <c r="S986" s="725"/>
    </row>
    <row r="987" spans="1:19" x14ac:dyDescent="0.3">
      <c r="A987" s="725"/>
      <c r="C987" s="725"/>
      <c r="D987" s="725"/>
      <c r="E987" s="725"/>
      <c r="F987" s="741"/>
      <c r="G987" s="735"/>
      <c r="H987" s="725"/>
      <c r="I987" s="725"/>
      <c r="J987" s="725"/>
      <c r="K987" s="725"/>
      <c r="L987" s="725"/>
      <c r="M987" s="725"/>
      <c r="N987" s="725"/>
      <c r="O987" s="725"/>
      <c r="P987" s="725"/>
      <c r="Q987" s="725"/>
      <c r="R987" s="725"/>
      <c r="S987" s="725"/>
    </row>
    <row r="988" spans="1:19" x14ac:dyDescent="0.3">
      <c r="A988" s="725"/>
      <c r="C988" s="725"/>
      <c r="D988" s="725"/>
      <c r="E988" s="725"/>
      <c r="F988" s="741"/>
      <c r="G988" s="735"/>
      <c r="H988" s="725"/>
      <c r="I988" s="725"/>
      <c r="J988" s="725"/>
      <c r="K988" s="725"/>
      <c r="L988" s="725"/>
      <c r="M988" s="725"/>
      <c r="N988" s="725"/>
      <c r="O988" s="725"/>
      <c r="P988" s="725"/>
      <c r="Q988" s="725"/>
      <c r="R988" s="725"/>
      <c r="S988" s="725"/>
    </row>
    <row r="989" spans="1:19" x14ac:dyDescent="0.3">
      <c r="A989" s="725"/>
      <c r="C989" s="725"/>
      <c r="D989" s="725"/>
      <c r="E989" s="725"/>
      <c r="F989" s="741"/>
      <c r="G989" s="735"/>
      <c r="H989" s="725"/>
      <c r="I989" s="725"/>
      <c r="J989" s="725"/>
      <c r="K989" s="725"/>
      <c r="L989" s="725"/>
      <c r="M989" s="725"/>
      <c r="N989" s="725"/>
      <c r="O989" s="725"/>
      <c r="P989" s="725"/>
      <c r="Q989" s="725"/>
      <c r="R989" s="725"/>
      <c r="S989" s="725"/>
    </row>
    <row r="990" spans="1:19" x14ac:dyDescent="0.3">
      <c r="A990" s="725"/>
      <c r="C990" s="725"/>
      <c r="D990" s="725"/>
      <c r="E990" s="725"/>
      <c r="F990" s="741"/>
      <c r="G990" s="735"/>
      <c r="H990" s="725"/>
      <c r="I990" s="725"/>
      <c r="J990" s="725"/>
      <c r="K990" s="725"/>
      <c r="L990" s="725"/>
      <c r="M990" s="725"/>
      <c r="N990" s="725"/>
      <c r="O990" s="725"/>
      <c r="P990" s="725"/>
      <c r="Q990" s="725"/>
      <c r="R990" s="725"/>
      <c r="S990" s="725"/>
    </row>
    <row r="991" spans="1:19" x14ac:dyDescent="0.3">
      <c r="A991" s="725"/>
      <c r="C991" s="725"/>
      <c r="D991" s="725"/>
      <c r="E991" s="725"/>
      <c r="F991" s="741"/>
      <c r="G991" s="735"/>
      <c r="H991" s="725"/>
      <c r="I991" s="725"/>
      <c r="J991" s="725"/>
      <c r="K991" s="725"/>
      <c r="L991" s="725"/>
      <c r="M991" s="725"/>
      <c r="N991" s="725"/>
      <c r="O991" s="725"/>
      <c r="P991" s="725"/>
      <c r="Q991" s="725"/>
      <c r="R991" s="725"/>
      <c r="S991" s="725"/>
    </row>
    <row r="992" spans="1:19" x14ac:dyDescent="0.3">
      <c r="A992" s="725"/>
      <c r="C992" s="725"/>
      <c r="D992" s="725"/>
      <c r="E992" s="725"/>
      <c r="F992" s="741"/>
      <c r="G992" s="735"/>
      <c r="H992" s="725"/>
      <c r="I992" s="725"/>
      <c r="J992" s="725"/>
      <c r="K992" s="725"/>
      <c r="L992" s="725"/>
      <c r="M992" s="725"/>
      <c r="N992" s="725"/>
      <c r="O992" s="725"/>
      <c r="P992" s="725"/>
      <c r="Q992" s="725"/>
      <c r="R992" s="725"/>
      <c r="S992" s="725"/>
    </row>
    <row r="993" spans="1:19" x14ac:dyDescent="0.3">
      <c r="A993" s="725"/>
      <c r="C993" s="725"/>
      <c r="D993" s="725"/>
      <c r="E993" s="725"/>
      <c r="F993" s="741"/>
      <c r="G993" s="735"/>
      <c r="H993" s="725"/>
      <c r="I993" s="725"/>
      <c r="J993" s="725"/>
      <c r="K993" s="725"/>
      <c r="L993" s="725"/>
      <c r="M993" s="725"/>
      <c r="N993" s="725"/>
      <c r="O993" s="725"/>
      <c r="P993" s="725"/>
      <c r="Q993" s="725"/>
      <c r="R993" s="725"/>
      <c r="S993" s="725"/>
    </row>
    <row r="994" spans="1:19" x14ac:dyDescent="0.3">
      <c r="A994" s="725"/>
      <c r="C994" s="725"/>
      <c r="D994" s="725"/>
      <c r="E994" s="725"/>
      <c r="F994" s="741"/>
      <c r="G994" s="735"/>
      <c r="H994" s="725"/>
      <c r="I994" s="725"/>
      <c r="J994" s="725"/>
      <c r="K994" s="725"/>
      <c r="L994" s="725"/>
      <c r="M994" s="725"/>
      <c r="N994" s="725"/>
      <c r="O994" s="725"/>
      <c r="P994" s="725"/>
      <c r="Q994" s="725"/>
      <c r="R994" s="725"/>
      <c r="S994" s="725"/>
    </row>
    <row r="995" spans="1:19" x14ac:dyDescent="0.3">
      <c r="A995" s="725"/>
      <c r="C995" s="725"/>
      <c r="D995" s="725"/>
      <c r="E995" s="725"/>
      <c r="F995" s="741"/>
      <c r="G995" s="735"/>
      <c r="H995" s="725"/>
      <c r="I995" s="725"/>
      <c r="J995" s="725"/>
      <c r="K995" s="725"/>
      <c r="L995" s="725"/>
      <c r="M995" s="725"/>
      <c r="N995" s="725"/>
      <c r="O995" s="725"/>
      <c r="P995" s="725"/>
      <c r="Q995" s="725"/>
      <c r="R995" s="725"/>
      <c r="S995" s="725"/>
    </row>
    <row r="996" spans="1:19" x14ac:dyDescent="0.3">
      <c r="A996" s="725"/>
      <c r="C996" s="725"/>
      <c r="D996" s="725"/>
      <c r="E996" s="725"/>
      <c r="F996" s="741"/>
      <c r="G996" s="735"/>
      <c r="H996" s="725"/>
      <c r="I996" s="725"/>
      <c r="J996" s="725"/>
      <c r="K996" s="725"/>
      <c r="L996" s="725"/>
      <c r="M996" s="725"/>
      <c r="N996" s="725"/>
      <c r="O996" s="725"/>
      <c r="P996" s="725"/>
      <c r="Q996" s="725"/>
      <c r="R996" s="725"/>
      <c r="S996" s="725"/>
    </row>
    <row r="997" spans="1:19" x14ac:dyDescent="0.3">
      <c r="A997" s="725"/>
      <c r="C997" s="725"/>
      <c r="D997" s="725"/>
      <c r="E997" s="725"/>
      <c r="F997" s="741"/>
      <c r="G997" s="735"/>
      <c r="H997" s="725"/>
      <c r="I997" s="725"/>
      <c r="J997" s="725"/>
      <c r="K997" s="725"/>
      <c r="L997" s="725"/>
      <c r="M997" s="725"/>
      <c r="N997" s="725"/>
      <c r="O997" s="725"/>
      <c r="P997" s="725"/>
      <c r="Q997" s="725"/>
      <c r="R997" s="725"/>
      <c r="S997" s="725"/>
    </row>
    <row r="998" spans="1:19" x14ac:dyDescent="0.3">
      <c r="A998" s="725"/>
      <c r="C998" s="725"/>
      <c r="D998" s="725"/>
      <c r="E998" s="725"/>
      <c r="F998" s="741"/>
      <c r="G998" s="735"/>
      <c r="H998" s="725"/>
      <c r="I998" s="725"/>
      <c r="J998" s="725"/>
      <c r="K998" s="725"/>
      <c r="L998" s="725"/>
      <c r="M998" s="725"/>
      <c r="N998" s="725"/>
      <c r="O998" s="725"/>
      <c r="P998" s="725"/>
      <c r="Q998" s="725"/>
      <c r="R998" s="725"/>
      <c r="S998" s="725"/>
    </row>
    <row r="999" spans="1:19" x14ac:dyDescent="0.3">
      <c r="A999" s="725"/>
      <c r="C999" s="725"/>
      <c r="D999" s="725"/>
      <c r="E999" s="725"/>
      <c r="F999" s="741"/>
      <c r="G999" s="735"/>
      <c r="H999" s="725"/>
      <c r="I999" s="725"/>
      <c r="J999" s="725"/>
      <c r="K999" s="725"/>
      <c r="L999" s="725"/>
      <c r="M999" s="725"/>
      <c r="N999" s="725"/>
      <c r="O999" s="725"/>
      <c r="P999" s="725"/>
      <c r="Q999" s="725"/>
      <c r="R999" s="725"/>
      <c r="S999" s="725"/>
    </row>
    <row r="1000" spans="1:19" x14ac:dyDescent="0.3">
      <c r="A1000" s="725"/>
      <c r="C1000" s="725"/>
      <c r="D1000" s="725"/>
      <c r="E1000" s="725"/>
      <c r="F1000" s="741"/>
      <c r="G1000" s="735"/>
      <c r="H1000" s="725"/>
      <c r="I1000" s="725"/>
      <c r="J1000" s="725"/>
      <c r="K1000" s="725"/>
      <c r="L1000" s="725"/>
      <c r="M1000" s="725"/>
      <c r="N1000" s="725"/>
      <c r="O1000" s="725"/>
      <c r="P1000" s="725"/>
      <c r="Q1000" s="725"/>
      <c r="R1000" s="725"/>
      <c r="S1000" s="725"/>
    </row>
    <row r="1001" spans="1:19" x14ac:dyDescent="0.3">
      <c r="A1001" s="725"/>
      <c r="C1001" s="725"/>
      <c r="D1001" s="725"/>
      <c r="E1001" s="725"/>
      <c r="F1001" s="741"/>
      <c r="G1001" s="735"/>
      <c r="H1001" s="725"/>
      <c r="I1001" s="725"/>
      <c r="J1001" s="725"/>
      <c r="K1001" s="725"/>
      <c r="L1001" s="725"/>
      <c r="M1001" s="725"/>
      <c r="N1001" s="725"/>
      <c r="O1001" s="725"/>
      <c r="P1001" s="725"/>
      <c r="Q1001" s="725"/>
      <c r="R1001" s="725"/>
      <c r="S1001" s="725"/>
    </row>
    <row r="1002" spans="1:19" x14ac:dyDescent="0.3">
      <c r="A1002" s="725"/>
      <c r="C1002" s="725"/>
      <c r="D1002" s="725"/>
      <c r="E1002" s="725"/>
      <c r="F1002" s="741"/>
      <c r="G1002" s="735"/>
      <c r="H1002" s="725"/>
      <c r="I1002" s="725"/>
      <c r="J1002" s="725"/>
      <c r="K1002" s="725"/>
      <c r="L1002" s="725"/>
      <c r="M1002" s="725"/>
      <c r="N1002" s="725"/>
      <c r="O1002" s="725"/>
      <c r="P1002" s="725"/>
      <c r="Q1002" s="725"/>
      <c r="R1002" s="725"/>
      <c r="S1002" s="725"/>
    </row>
    <row r="1003" spans="1:19" x14ac:dyDescent="0.3">
      <c r="A1003" s="725"/>
      <c r="C1003" s="725"/>
      <c r="D1003" s="725"/>
      <c r="E1003" s="725"/>
      <c r="F1003" s="741"/>
      <c r="G1003" s="735"/>
      <c r="H1003" s="725"/>
      <c r="I1003" s="725"/>
      <c r="J1003" s="725"/>
      <c r="K1003" s="725"/>
      <c r="L1003" s="725"/>
      <c r="M1003" s="725"/>
      <c r="N1003" s="725"/>
      <c r="O1003" s="725"/>
      <c r="P1003" s="725"/>
      <c r="Q1003" s="725"/>
      <c r="R1003" s="725"/>
      <c r="S1003" s="725"/>
    </row>
    <row r="1004" spans="1:19" x14ac:dyDescent="0.3">
      <c r="A1004" s="725"/>
      <c r="C1004" s="725"/>
      <c r="D1004" s="725"/>
      <c r="E1004" s="725"/>
      <c r="F1004" s="741"/>
      <c r="G1004" s="735"/>
      <c r="H1004" s="725"/>
      <c r="I1004" s="725"/>
      <c r="J1004" s="725"/>
      <c r="K1004" s="725"/>
      <c r="L1004" s="725"/>
      <c r="M1004" s="725"/>
      <c r="N1004" s="725"/>
      <c r="O1004" s="725"/>
      <c r="P1004" s="725"/>
      <c r="Q1004" s="725"/>
      <c r="R1004" s="725"/>
      <c r="S1004" s="725"/>
    </row>
    <row r="1005" spans="1:19" x14ac:dyDescent="0.3">
      <c r="A1005" s="725"/>
      <c r="C1005" s="725"/>
      <c r="D1005" s="725"/>
      <c r="E1005" s="725"/>
      <c r="F1005" s="741"/>
      <c r="G1005" s="735"/>
      <c r="H1005" s="725"/>
      <c r="I1005" s="725"/>
      <c r="J1005" s="725"/>
      <c r="K1005" s="725"/>
      <c r="L1005" s="725"/>
      <c r="M1005" s="725"/>
      <c r="N1005" s="725"/>
      <c r="O1005" s="725"/>
      <c r="P1005" s="725"/>
      <c r="Q1005" s="725"/>
      <c r="R1005" s="725"/>
      <c r="S1005" s="725"/>
    </row>
    <row r="1006" spans="1:19" x14ac:dyDescent="0.3">
      <c r="A1006" s="725"/>
      <c r="C1006" s="725"/>
      <c r="D1006" s="725"/>
      <c r="E1006" s="725"/>
      <c r="F1006" s="741"/>
      <c r="G1006" s="735"/>
      <c r="H1006" s="725"/>
      <c r="I1006" s="725"/>
      <c r="J1006" s="725"/>
      <c r="K1006" s="725"/>
      <c r="L1006" s="725"/>
      <c r="M1006" s="725"/>
      <c r="N1006" s="725"/>
      <c r="O1006" s="725"/>
      <c r="P1006" s="725"/>
      <c r="Q1006" s="725"/>
      <c r="R1006" s="725"/>
      <c r="S1006" s="725"/>
    </row>
    <row r="1007" spans="1:19" x14ac:dyDescent="0.3">
      <c r="A1007" s="725"/>
      <c r="C1007" s="725"/>
      <c r="D1007" s="725"/>
      <c r="E1007" s="725"/>
      <c r="F1007" s="741"/>
      <c r="G1007" s="735"/>
      <c r="H1007" s="725"/>
      <c r="I1007" s="725"/>
      <c r="J1007" s="725"/>
      <c r="K1007" s="725"/>
      <c r="L1007" s="725"/>
      <c r="M1007" s="725"/>
      <c r="N1007" s="725"/>
      <c r="O1007" s="725"/>
      <c r="P1007" s="725"/>
      <c r="Q1007" s="725"/>
      <c r="R1007" s="725"/>
      <c r="S1007" s="725"/>
    </row>
    <row r="1008" spans="1:19" x14ac:dyDescent="0.3">
      <c r="A1008" s="725"/>
      <c r="C1008" s="725"/>
      <c r="D1008" s="725"/>
      <c r="E1008" s="725"/>
      <c r="F1008" s="741"/>
      <c r="G1008" s="735"/>
      <c r="H1008" s="725"/>
      <c r="I1008" s="725"/>
      <c r="J1008" s="725"/>
      <c r="K1008" s="725"/>
      <c r="L1008" s="725"/>
      <c r="M1008" s="725"/>
      <c r="N1008" s="725"/>
      <c r="O1008" s="725"/>
      <c r="P1008" s="725"/>
      <c r="Q1008" s="725"/>
      <c r="R1008" s="725"/>
      <c r="S1008" s="725"/>
    </row>
    <row r="1009" spans="1:19" x14ac:dyDescent="0.3">
      <c r="A1009" s="725"/>
      <c r="C1009" s="725"/>
      <c r="D1009" s="725"/>
      <c r="E1009" s="725"/>
      <c r="F1009" s="741"/>
      <c r="G1009" s="735"/>
      <c r="H1009" s="725"/>
      <c r="I1009" s="725"/>
      <c r="J1009" s="725"/>
      <c r="K1009" s="725"/>
      <c r="L1009" s="725"/>
      <c r="M1009" s="725"/>
      <c r="N1009" s="725"/>
      <c r="O1009" s="725"/>
      <c r="P1009" s="725"/>
      <c r="Q1009" s="725"/>
      <c r="R1009" s="725"/>
      <c r="S1009" s="725"/>
    </row>
    <row r="1010" spans="1:19" x14ac:dyDescent="0.3">
      <c r="A1010" s="725"/>
      <c r="C1010" s="725"/>
      <c r="D1010" s="725"/>
      <c r="E1010" s="725"/>
      <c r="F1010" s="741"/>
      <c r="G1010" s="735"/>
      <c r="H1010" s="725"/>
      <c r="I1010" s="725"/>
      <c r="J1010" s="725"/>
      <c r="K1010" s="725"/>
      <c r="L1010" s="725"/>
      <c r="M1010" s="725"/>
      <c r="N1010" s="725"/>
      <c r="O1010" s="725"/>
      <c r="P1010" s="725"/>
      <c r="Q1010" s="725"/>
      <c r="R1010" s="725"/>
      <c r="S1010" s="725"/>
    </row>
    <row r="1011" spans="1:19" x14ac:dyDescent="0.3">
      <c r="A1011" s="725"/>
      <c r="C1011" s="725"/>
      <c r="D1011" s="725"/>
      <c r="E1011" s="725"/>
      <c r="F1011" s="741"/>
      <c r="G1011" s="735"/>
      <c r="H1011" s="725"/>
      <c r="I1011" s="725"/>
      <c r="J1011" s="725"/>
      <c r="K1011" s="725"/>
      <c r="L1011" s="725"/>
      <c r="M1011" s="725"/>
      <c r="N1011" s="725"/>
      <c r="O1011" s="725"/>
      <c r="P1011" s="725"/>
      <c r="Q1011" s="725"/>
      <c r="R1011" s="725"/>
      <c r="S1011" s="725"/>
    </row>
    <row r="1012" spans="1:19" x14ac:dyDescent="0.3">
      <c r="A1012" s="725"/>
      <c r="C1012" s="725"/>
      <c r="D1012" s="725"/>
      <c r="E1012" s="725"/>
      <c r="F1012" s="741"/>
      <c r="G1012" s="735"/>
      <c r="H1012" s="725"/>
      <c r="I1012" s="725"/>
      <c r="J1012" s="725"/>
      <c r="K1012" s="725"/>
      <c r="L1012" s="725"/>
      <c r="M1012" s="725"/>
      <c r="N1012" s="725"/>
      <c r="O1012" s="725"/>
      <c r="P1012" s="725"/>
      <c r="Q1012" s="725"/>
      <c r="R1012" s="725"/>
      <c r="S1012" s="725"/>
    </row>
    <row r="1013" spans="1:19" x14ac:dyDescent="0.3">
      <c r="A1013" s="725"/>
      <c r="C1013" s="725"/>
      <c r="D1013" s="725"/>
      <c r="E1013" s="725"/>
      <c r="F1013" s="741"/>
      <c r="G1013" s="735"/>
      <c r="H1013" s="725"/>
      <c r="I1013" s="725"/>
      <c r="J1013" s="725"/>
      <c r="K1013" s="725"/>
      <c r="L1013" s="725"/>
      <c r="M1013" s="725"/>
      <c r="N1013" s="725"/>
      <c r="O1013" s="725"/>
      <c r="P1013" s="725"/>
      <c r="Q1013" s="725"/>
      <c r="R1013" s="725"/>
      <c r="S1013" s="725"/>
    </row>
    <row r="1014" spans="1:19" x14ac:dyDescent="0.3">
      <c r="A1014" s="725"/>
      <c r="C1014" s="725"/>
      <c r="D1014" s="725"/>
      <c r="E1014" s="725"/>
      <c r="F1014" s="741"/>
      <c r="G1014" s="735"/>
      <c r="H1014" s="725"/>
      <c r="I1014" s="725"/>
      <c r="J1014" s="725"/>
      <c r="K1014" s="725"/>
      <c r="L1014" s="725"/>
      <c r="M1014" s="725"/>
      <c r="N1014" s="725"/>
      <c r="O1014" s="725"/>
      <c r="P1014" s="725"/>
      <c r="Q1014" s="725"/>
      <c r="R1014" s="725"/>
      <c r="S1014" s="725"/>
    </row>
    <row r="1015" spans="1:19" x14ac:dyDescent="0.3">
      <c r="A1015" s="725"/>
      <c r="C1015" s="725"/>
      <c r="D1015" s="725"/>
      <c r="E1015" s="725"/>
      <c r="F1015" s="741"/>
      <c r="G1015" s="735"/>
      <c r="H1015" s="725"/>
      <c r="I1015" s="725"/>
      <c r="J1015" s="725"/>
      <c r="K1015" s="725"/>
      <c r="L1015" s="725"/>
      <c r="M1015" s="725"/>
      <c r="N1015" s="725"/>
      <c r="O1015" s="725"/>
      <c r="P1015" s="725"/>
      <c r="Q1015" s="725"/>
      <c r="R1015" s="725"/>
      <c r="S1015" s="725"/>
    </row>
    <row r="1016" spans="1:19" x14ac:dyDescent="0.3">
      <c r="A1016" s="725"/>
      <c r="C1016" s="725"/>
      <c r="D1016" s="725"/>
      <c r="E1016" s="725"/>
      <c r="F1016" s="741"/>
      <c r="G1016" s="735"/>
      <c r="H1016" s="725"/>
      <c r="I1016" s="725"/>
      <c r="J1016" s="725"/>
      <c r="K1016" s="725"/>
      <c r="L1016" s="725"/>
      <c r="M1016" s="725"/>
      <c r="N1016" s="725"/>
      <c r="O1016" s="725"/>
      <c r="P1016" s="725"/>
      <c r="Q1016" s="725"/>
      <c r="R1016" s="725"/>
      <c r="S1016" s="725"/>
    </row>
    <row r="1017" spans="1:19" x14ac:dyDescent="0.3">
      <c r="A1017" s="725"/>
      <c r="C1017" s="725"/>
      <c r="D1017" s="725"/>
      <c r="E1017" s="725"/>
      <c r="F1017" s="741"/>
      <c r="G1017" s="735"/>
      <c r="H1017" s="725"/>
      <c r="I1017" s="725"/>
      <c r="J1017" s="725"/>
      <c r="K1017" s="725"/>
      <c r="L1017" s="725"/>
      <c r="M1017" s="725"/>
      <c r="N1017" s="725"/>
      <c r="O1017" s="725"/>
      <c r="P1017" s="725"/>
      <c r="Q1017" s="725"/>
      <c r="R1017" s="725"/>
      <c r="S1017" s="725"/>
    </row>
    <row r="1018" spans="1:19" x14ac:dyDescent="0.3">
      <c r="A1018" s="725"/>
      <c r="C1018" s="725"/>
      <c r="D1018" s="725"/>
      <c r="E1018" s="725"/>
      <c r="F1018" s="741"/>
      <c r="G1018" s="735"/>
      <c r="H1018" s="725"/>
      <c r="I1018" s="725"/>
      <c r="J1018" s="725"/>
      <c r="K1018" s="725"/>
      <c r="L1018" s="725"/>
      <c r="M1018" s="725"/>
      <c r="N1018" s="725"/>
      <c r="O1018" s="725"/>
      <c r="P1018" s="725"/>
      <c r="Q1018" s="725"/>
      <c r="R1018" s="725"/>
      <c r="S1018" s="725"/>
    </row>
    <row r="1019" spans="1:19" x14ac:dyDescent="0.3">
      <c r="A1019" s="725"/>
      <c r="C1019" s="725"/>
      <c r="D1019" s="725"/>
      <c r="E1019" s="725"/>
      <c r="F1019" s="741"/>
      <c r="G1019" s="735"/>
      <c r="H1019" s="725"/>
      <c r="I1019" s="725"/>
      <c r="J1019" s="725"/>
      <c r="K1019" s="725"/>
      <c r="L1019" s="725"/>
      <c r="M1019" s="725"/>
      <c r="N1019" s="725"/>
      <c r="O1019" s="725"/>
      <c r="P1019" s="725"/>
      <c r="Q1019" s="725"/>
      <c r="R1019" s="725"/>
      <c r="S1019" s="725"/>
    </row>
    <row r="1020" spans="1:19" x14ac:dyDescent="0.3">
      <c r="A1020" s="725"/>
      <c r="C1020" s="725"/>
      <c r="D1020" s="725"/>
      <c r="E1020" s="725"/>
      <c r="F1020" s="741"/>
      <c r="G1020" s="735"/>
      <c r="H1020" s="725"/>
      <c r="I1020" s="725"/>
      <c r="J1020" s="725"/>
      <c r="K1020" s="725"/>
      <c r="L1020" s="725"/>
      <c r="M1020" s="725"/>
      <c r="N1020" s="725"/>
      <c r="O1020" s="725"/>
      <c r="P1020" s="725"/>
      <c r="Q1020" s="725"/>
      <c r="R1020" s="725"/>
      <c r="S1020" s="725"/>
    </row>
    <row r="1021" spans="1:19" x14ac:dyDescent="0.3">
      <c r="A1021" s="725"/>
      <c r="C1021" s="725"/>
      <c r="D1021" s="725"/>
      <c r="E1021" s="725"/>
      <c r="F1021" s="741"/>
      <c r="G1021" s="735"/>
      <c r="H1021" s="725"/>
      <c r="I1021" s="725"/>
      <c r="J1021" s="725"/>
      <c r="K1021" s="725"/>
      <c r="L1021" s="725"/>
      <c r="M1021" s="725"/>
      <c r="N1021" s="725"/>
      <c r="O1021" s="725"/>
      <c r="P1021" s="725"/>
      <c r="Q1021" s="725"/>
      <c r="R1021" s="725"/>
      <c r="S1021" s="725"/>
    </row>
    <row r="1022" spans="1:19" x14ac:dyDescent="0.3">
      <c r="A1022" s="725"/>
      <c r="C1022" s="725"/>
      <c r="D1022" s="725"/>
      <c r="E1022" s="725"/>
      <c r="F1022" s="741"/>
      <c r="G1022" s="735"/>
      <c r="H1022" s="725"/>
      <c r="I1022" s="725"/>
      <c r="J1022" s="725"/>
      <c r="K1022" s="725"/>
      <c r="L1022" s="725"/>
      <c r="M1022" s="725"/>
      <c r="N1022" s="725"/>
      <c r="O1022" s="725"/>
      <c r="P1022" s="725"/>
      <c r="Q1022" s="725"/>
      <c r="R1022" s="725"/>
      <c r="S1022" s="725"/>
    </row>
    <row r="1023" spans="1:19" x14ac:dyDescent="0.3">
      <c r="A1023" s="725"/>
      <c r="C1023" s="725"/>
      <c r="D1023" s="725"/>
      <c r="E1023" s="725"/>
      <c r="F1023" s="741"/>
      <c r="G1023" s="735"/>
      <c r="H1023" s="725"/>
      <c r="I1023" s="725"/>
      <c r="J1023" s="725"/>
      <c r="K1023" s="725"/>
      <c r="L1023" s="725"/>
      <c r="M1023" s="725"/>
      <c r="N1023" s="725"/>
      <c r="O1023" s="725"/>
      <c r="P1023" s="725"/>
      <c r="Q1023" s="725"/>
      <c r="R1023" s="725"/>
      <c r="S1023" s="725"/>
    </row>
    <row r="1024" spans="1:19" x14ac:dyDescent="0.3">
      <c r="A1024" s="725"/>
      <c r="C1024" s="725"/>
      <c r="D1024" s="725"/>
      <c r="E1024" s="725"/>
      <c r="F1024" s="741"/>
      <c r="G1024" s="735"/>
      <c r="H1024" s="725"/>
      <c r="I1024" s="725"/>
      <c r="J1024" s="725"/>
      <c r="K1024" s="725"/>
      <c r="L1024" s="725"/>
      <c r="M1024" s="725"/>
      <c r="N1024" s="725"/>
      <c r="O1024" s="725"/>
      <c r="P1024" s="725"/>
      <c r="Q1024" s="725"/>
      <c r="R1024" s="725"/>
      <c r="S1024" s="725"/>
    </row>
    <row r="1025" spans="1:19" x14ac:dyDescent="0.3">
      <c r="A1025" s="725"/>
      <c r="C1025" s="725"/>
      <c r="D1025" s="725"/>
      <c r="E1025" s="725"/>
      <c r="F1025" s="741"/>
      <c r="G1025" s="735"/>
      <c r="H1025" s="725"/>
      <c r="I1025" s="725"/>
      <c r="J1025" s="725"/>
      <c r="K1025" s="725"/>
      <c r="L1025" s="725"/>
      <c r="M1025" s="725"/>
      <c r="N1025" s="725"/>
      <c r="O1025" s="725"/>
      <c r="P1025" s="725"/>
      <c r="Q1025" s="725"/>
      <c r="R1025" s="725"/>
      <c r="S1025" s="725"/>
    </row>
    <row r="1026" spans="1:19" x14ac:dyDescent="0.3">
      <c r="A1026" s="725"/>
      <c r="C1026" s="725"/>
      <c r="D1026" s="725"/>
      <c r="E1026" s="725"/>
      <c r="F1026" s="741"/>
      <c r="G1026" s="735"/>
      <c r="H1026" s="725"/>
      <c r="I1026" s="725"/>
      <c r="J1026" s="725"/>
      <c r="K1026" s="725"/>
      <c r="L1026" s="725"/>
      <c r="M1026" s="725"/>
      <c r="N1026" s="725"/>
      <c r="O1026" s="725"/>
      <c r="P1026" s="725"/>
      <c r="Q1026" s="725"/>
      <c r="R1026" s="725"/>
      <c r="S1026" s="725"/>
    </row>
    <row r="1027" spans="1:19" x14ac:dyDescent="0.3">
      <c r="A1027" s="725"/>
      <c r="C1027" s="725"/>
      <c r="D1027" s="725"/>
      <c r="E1027" s="725"/>
      <c r="F1027" s="741"/>
      <c r="G1027" s="735"/>
      <c r="H1027" s="725"/>
      <c r="I1027" s="725"/>
      <c r="J1027" s="725"/>
      <c r="K1027" s="725"/>
      <c r="L1027" s="725"/>
      <c r="M1027" s="725"/>
      <c r="N1027" s="725"/>
      <c r="O1027" s="725"/>
      <c r="P1027" s="725"/>
      <c r="Q1027" s="725"/>
      <c r="R1027" s="725"/>
      <c r="S1027" s="725"/>
    </row>
    <row r="1028" spans="1:19" x14ac:dyDescent="0.3">
      <c r="A1028" s="725"/>
      <c r="C1028" s="725"/>
      <c r="D1028" s="725"/>
      <c r="E1028" s="725"/>
      <c r="F1028" s="741"/>
      <c r="G1028" s="735"/>
      <c r="H1028" s="725"/>
      <c r="I1028" s="725"/>
      <c r="J1028" s="725"/>
      <c r="K1028" s="725"/>
      <c r="L1028" s="725"/>
      <c r="M1028" s="725"/>
      <c r="N1028" s="725"/>
      <c r="O1028" s="725"/>
      <c r="P1028" s="725"/>
      <c r="Q1028" s="725"/>
      <c r="R1028" s="725"/>
      <c r="S1028" s="725"/>
    </row>
    <row r="1029" spans="1:19" x14ac:dyDescent="0.3">
      <c r="A1029" s="725"/>
      <c r="C1029" s="725"/>
      <c r="D1029" s="725"/>
      <c r="E1029" s="725"/>
      <c r="F1029" s="741"/>
      <c r="G1029" s="735"/>
      <c r="H1029" s="725"/>
      <c r="I1029" s="725"/>
      <c r="J1029" s="725"/>
      <c r="K1029" s="725"/>
      <c r="L1029" s="725"/>
      <c r="M1029" s="725"/>
      <c r="N1029" s="725"/>
      <c r="O1029" s="725"/>
      <c r="P1029" s="725"/>
      <c r="Q1029" s="725"/>
      <c r="R1029" s="725"/>
      <c r="S1029" s="725"/>
    </row>
    <row r="1030" spans="1:19" x14ac:dyDescent="0.3">
      <c r="A1030" s="725"/>
      <c r="C1030" s="725"/>
      <c r="D1030" s="725"/>
      <c r="E1030" s="725"/>
      <c r="F1030" s="741"/>
      <c r="G1030" s="735"/>
      <c r="H1030" s="725"/>
      <c r="I1030" s="725"/>
      <c r="J1030" s="725"/>
      <c r="K1030" s="725"/>
      <c r="L1030" s="725"/>
      <c r="M1030" s="725"/>
      <c r="N1030" s="725"/>
      <c r="O1030" s="725"/>
      <c r="P1030" s="725"/>
      <c r="Q1030" s="725"/>
      <c r="R1030" s="725"/>
      <c r="S1030" s="725"/>
    </row>
    <row r="1031" spans="1:19" x14ac:dyDescent="0.3">
      <c r="A1031" s="725"/>
      <c r="C1031" s="725"/>
      <c r="D1031" s="725"/>
      <c r="E1031" s="725"/>
      <c r="F1031" s="741"/>
      <c r="G1031" s="735"/>
      <c r="H1031" s="725"/>
      <c r="I1031" s="725"/>
      <c r="J1031" s="725"/>
      <c r="K1031" s="725"/>
      <c r="L1031" s="725"/>
      <c r="M1031" s="725"/>
      <c r="N1031" s="725"/>
      <c r="O1031" s="725"/>
      <c r="P1031" s="725"/>
      <c r="Q1031" s="725"/>
      <c r="R1031" s="725"/>
      <c r="S1031" s="725"/>
    </row>
    <row r="1032" spans="1:19" x14ac:dyDescent="0.3">
      <c r="A1032" s="725"/>
      <c r="C1032" s="725"/>
      <c r="D1032" s="725"/>
      <c r="E1032" s="725"/>
      <c r="F1032" s="741"/>
      <c r="G1032" s="735"/>
      <c r="H1032" s="725"/>
      <c r="I1032" s="725"/>
      <c r="J1032" s="725"/>
      <c r="K1032" s="725"/>
      <c r="L1032" s="725"/>
      <c r="M1032" s="725"/>
      <c r="N1032" s="725"/>
      <c r="O1032" s="725"/>
      <c r="P1032" s="725"/>
      <c r="Q1032" s="725"/>
      <c r="R1032" s="725"/>
      <c r="S1032" s="725"/>
    </row>
    <row r="1033" spans="1:19" x14ac:dyDescent="0.3">
      <c r="A1033" s="725"/>
      <c r="C1033" s="725"/>
      <c r="D1033" s="725"/>
      <c r="E1033" s="725"/>
      <c r="F1033" s="741"/>
      <c r="G1033" s="735"/>
      <c r="H1033" s="725"/>
      <c r="I1033" s="725"/>
      <c r="J1033" s="725"/>
      <c r="K1033" s="725"/>
      <c r="L1033" s="725"/>
      <c r="M1033" s="725"/>
      <c r="N1033" s="725"/>
      <c r="O1033" s="725"/>
      <c r="P1033" s="725"/>
      <c r="Q1033" s="725"/>
      <c r="R1033" s="725"/>
      <c r="S1033" s="725"/>
    </row>
    <row r="1034" spans="1:19" x14ac:dyDescent="0.3">
      <c r="A1034" s="725"/>
      <c r="C1034" s="725"/>
      <c r="D1034" s="725"/>
      <c r="E1034" s="725"/>
      <c r="F1034" s="741"/>
      <c r="G1034" s="735"/>
      <c r="H1034" s="725"/>
      <c r="I1034" s="725"/>
      <c r="J1034" s="725"/>
      <c r="K1034" s="725"/>
      <c r="L1034" s="725"/>
      <c r="M1034" s="725"/>
      <c r="N1034" s="725"/>
      <c r="O1034" s="725"/>
      <c r="P1034" s="725"/>
      <c r="Q1034" s="725"/>
      <c r="R1034" s="725"/>
      <c r="S1034" s="725"/>
    </row>
    <row r="1035" spans="1:19" x14ac:dyDescent="0.3">
      <c r="A1035" s="725"/>
      <c r="C1035" s="725"/>
      <c r="D1035" s="725"/>
      <c r="E1035" s="725"/>
      <c r="F1035" s="741"/>
      <c r="G1035" s="735"/>
      <c r="H1035" s="725"/>
      <c r="I1035" s="725"/>
      <c r="J1035" s="725"/>
      <c r="K1035" s="725"/>
      <c r="L1035" s="725"/>
      <c r="M1035" s="725"/>
      <c r="N1035" s="725"/>
      <c r="O1035" s="725"/>
      <c r="P1035" s="725"/>
      <c r="Q1035" s="725"/>
      <c r="R1035" s="725"/>
      <c r="S1035" s="725"/>
    </row>
    <row r="1036" spans="1:19" x14ac:dyDescent="0.3">
      <c r="A1036" s="725"/>
      <c r="C1036" s="725"/>
      <c r="D1036" s="725"/>
      <c r="E1036" s="725"/>
      <c r="F1036" s="741"/>
      <c r="G1036" s="735"/>
      <c r="H1036" s="725"/>
      <c r="I1036" s="725"/>
      <c r="J1036" s="725"/>
      <c r="K1036" s="725"/>
      <c r="L1036" s="725"/>
      <c r="M1036" s="725"/>
      <c r="N1036" s="725"/>
      <c r="O1036" s="725"/>
      <c r="P1036" s="725"/>
      <c r="Q1036" s="725"/>
      <c r="R1036" s="725"/>
      <c r="S1036" s="725"/>
    </row>
    <row r="1037" spans="1:19" x14ac:dyDescent="0.3">
      <c r="A1037" s="725"/>
      <c r="C1037" s="725"/>
      <c r="D1037" s="725"/>
      <c r="E1037" s="725"/>
      <c r="F1037" s="741"/>
      <c r="G1037" s="735"/>
      <c r="H1037" s="725"/>
      <c r="I1037" s="725"/>
      <c r="J1037" s="725"/>
      <c r="K1037" s="725"/>
      <c r="L1037" s="725"/>
      <c r="M1037" s="725"/>
      <c r="N1037" s="725"/>
      <c r="O1037" s="725"/>
      <c r="P1037" s="725"/>
      <c r="Q1037" s="725"/>
      <c r="R1037" s="725"/>
      <c r="S1037" s="725"/>
    </row>
    <row r="1038" spans="1:19" x14ac:dyDescent="0.3">
      <c r="A1038" s="725"/>
      <c r="C1038" s="725"/>
      <c r="D1038" s="725"/>
      <c r="E1038" s="725"/>
      <c r="F1038" s="741"/>
      <c r="G1038" s="735"/>
      <c r="H1038" s="725"/>
      <c r="I1038" s="725"/>
      <c r="J1038" s="725"/>
      <c r="K1038" s="725"/>
      <c r="L1038" s="725"/>
      <c r="M1038" s="725"/>
      <c r="N1038" s="725"/>
      <c r="O1038" s="725"/>
      <c r="P1038" s="725"/>
      <c r="Q1038" s="725"/>
      <c r="R1038" s="725"/>
      <c r="S1038" s="725"/>
    </row>
    <row r="1039" spans="1:19" x14ac:dyDescent="0.3">
      <c r="A1039" s="725"/>
      <c r="C1039" s="725"/>
      <c r="D1039" s="725"/>
      <c r="E1039" s="725"/>
      <c r="F1039" s="741"/>
      <c r="G1039" s="735"/>
      <c r="H1039" s="725"/>
      <c r="I1039" s="725"/>
      <c r="J1039" s="725"/>
      <c r="K1039" s="725"/>
      <c r="L1039" s="725"/>
      <c r="M1039" s="725"/>
      <c r="N1039" s="725"/>
      <c r="O1039" s="725"/>
      <c r="P1039" s="725"/>
      <c r="Q1039" s="725"/>
      <c r="R1039" s="725"/>
      <c r="S1039" s="725"/>
    </row>
    <row r="1040" spans="1:19" x14ac:dyDescent="0.3">
      <c r="A1040" s="725"/>
      <c r="C1040" s="725"/>
      <c r="D1040" s="725"/>
      <c r="E1040" s="725"/>
      <c r="F1040" s="741"/>
      <c r="G1040" s="735"/>
      <c r="H1040" s="725"/>
      <c r="I1040" s="725"/>
      <c r="J1040" s="725"/>
      <c r="K1040" s="725"/>
      <c r="L1040" s="725"/>
      <c r="M1040" s="725"/>
      <c r="N1040" s="725"/>
      <c r="O1040" s="725"/>
      <c r="P1040" s="725"/>
      <c r="Q1040" s="725"/>
      <c r="R1040" s="725"/>
      <c r="S1040" s="725"/>
    </row>
    <row r="1041" spans="1:19" x14ac:dyDescent="0.3">
      <c r="A1041" s="725"/>
      <c r="C1041" s="725"/>
      <c r="D1041" s="725"/>
      <c r="E1041" s="725"/>
      <c r="F1041" s="741"/>
      <c r="G1041" s="735"/>
      <c r="H1041" s="725"/>
      <c r="I1041" s="725"/>
      <c r="J1041" s="725"/>
      <c r="K1041" s="725"/>
      <c r="L1041" s="725"/>
      <c r="M1041" s="725"/>
      <c r="N1041" s="725"/>
      <c r="O1041" s="725"/>
      <c r="P1041" s="725"/>
      <c r="Q1041" s="725"/>
      <c r="R1041" s="725"/>
      <c r="S1041" s="725"/>
    </row>
    <row r="1042" spans="1:19" x14ac:dyDescent="0.3">
      <c r="A1042" s="725"/>
      <c r="C1042" s="725"/>
      <c r="D1042" s="725"/>
      <c r="E1042" s="725"/>
      <c r="F1042" s="741"/>
      <c r="G1042" s="735"/>
      <c r="H1042" s="725"/>
      <c r="I1042" s="725"/>
      <c r="J1042" s="725"/>
      <c r="K1042" s="725"/>
      <c r="L1042" s="725"/>
      <c r="M1042" s="725"/>
      <c r="N1042" s="725"/>
      <c r="O1042" s="725"/>
      <c r="P1042" s="725"/>
      <c r="Q1042" s="725"/>
      <c r="R1042" s="725"/>
      <c r="S1042" s="725"/>
    </row>
    <row r="1043" spans="1:19" x14ac:dyDescent="0.3">
      <c r="A1043" s="725"/>
      <c r="C1043" s="725"/>
      <c r="D1043" s="725"/>
      <c r="E1043" s="725"/>
      <c r="F1043" s="741"/>
      <c r="G1043" s="735"/>
      <c r="H1043" s="725"/>
      <c r="I1043" s="725"/>
      <c r="J1043" s="725"/>
      <c r="K1043" s="725"/>
      <c r="L1043" s="725"/>
      <c r="M1043" s="725"/>
      <c r="N1043" s="725"/>
      <c r="O1043" s="725"/>
      <c r="P1043" s="725"/>
      <c r="Q1043" s="725"/>
      <c r="R1043" s="725"/>
      <c r="S1043" s="725"/>
    </row>
    <row r="1044" spans="1:19" x14ac:dyDescent="0.3">
      <c r="A1044" s="725"/>
      <c r="C1044" s="725"/>
      <c r="D1044" s="725"/>
      <c r="E1044" s="725"/>
      <c r="F1044" s="741"/>
      <c r="G1044" s="735"/>
      <c r="H1044" s="725"/>
      <c r="I1044" s="725"/>
      <c r="J1044" s="725"/>
      <c r="K1044" s="725"/>
      <c r="L1044" s="725"/>
      <c r="M1044" s="725"/>
      <c r="N1044" s="725"/>
      <c r="O1044" s="725"/>
      <c r="P1044" s="725"/>
      <c r="Q1044" s="725"/>
      <c r="R1044" s="725"/>
      <c r="S1044" s="725"/>
    </row>
    <row r="1045" spans="1:19" x14ac:dyDescent="0.3">
      <c r="A1045" s="725"/>
      <c r="C1045" s="725"/>
      <c r="D1045" s="725"/>
      <c r="E1045" s="725"/>
      <c r="F1045" s="741"/>
      <c r="G1045" s="735"/>
      <c r="H1045" s="725"/>
      <c r="I1045" s="725"/>
      <c r="J1045" s="725"/>
      <c r="K1045" s="725"/>
      <c r="L1045" s="725"/>
      <c r="M1045" s="725"/>
      <c r="N1045" s="725"/>
      <c r="O1045" s="725"/>
      <c r="P1045" s="725"/>
      <c r="Q1045" s="725"/>
      <c r="R1045" s="725"/>
      <c r="S1045" s="725"/>
    </row>
    <row r="1046" spans="1:19" x14ac:dyDescent="0.3">
      <c r="A1046" s="725"/>
      <c r="C1046" s="725"/>
      <c r="D1046" s="725"/>
      <c r="E1046" s="725"/>
      <c r="F1046" s="741"/>
      <c r="G1046" s="735"/>
      <c r="H1046" s="725"/>
      <c r="I1046" s="725"/>
      <c r="J1046" s="725"/>
      <c r="K1046" s="725"/>
      <c r="L1046" s="725"/>
      <c r="M1046" s="725"/>
      <c r="N1046" s="725"/>
      <c r="O1046" s="725"/>
      <c r="P1046" s="725"/>
      <c r="Q1046" s="725"/>
      <c r="R1046" s="725"/>
      <c r="S1046" s="725"/>
    </row>
    <row r="1047" spans="1:19" x14ac:dyDescent="0.3">
      <c r="A1047" s="725"/>
      <c r="C1047" s="725"/>
      <c r="D1047" s="725"/>
      <c r="E1047" s="725"/>
      <c r="F1047" s="741"/>
      <c r="G1047" s="735"/>
      <c r="H1047" s="725"/>
      <c r="I1047" s="725"/>
      <c r="J1047" s="725"/>
      <c r="K1047" s="725"/>
      <c r="L1047" s="725"/>
      <c r="M1047" s="725"/>
      <c r="N1047" s="725"/>
      <c r="O1047" s="725"/>
      <c r="P1047" s="725"/>
      <c r="Q1047" s="725"/>
      <c r="R1047" s="725"/>
      <c r="S1047" s="725"/>
    </row>
    <row r="1048" spans="1:19" x14ac:dyDescent="0.3">
      <c r="A1048" s="725"/>
      <c r="C1048" s="725"/>
      <c r="D1048" s="725"/>
      <c r="E1048" s="725"/>
      <c r="F1048" s="741"/>
      <c r="G1048" s="735"/>
      <c r="H1048" s="725"/>
      <c r="I1048" s="725"/>
      <c r="J1048" s="725"/>
      <c r="K1048" s="725"/>
      <c r="L1048" s="725"/>
      <c r="M1048" s="725"/>
      <c r="N1048" s="725"/>
      <c r="O1048" s="725"/>
      <c r="P1048" s="725"/>
      <c r="Q1048" s="725"/>
      <c r="R1048" s="725"/>
      <c r="S1048" s="725"/>
    </row>
    <row r="1049" spans="1:19" x14ac:dyDescent="0.3">
      <c r="A1049" s="725"/>
      <c r="C1049" s="725"/>
      <c r="D1049" s="725"/>
      <c r="E1049" s="725"/>
      <c r="F1049" s="741"/>
      <c r="G1049" s="735"/>
      <c r="H1049" s="725"/>
      <c r="I1049" s="725"/>
      <c r="J1049" s="725"/>
      <c r="K1049" s="725"/>
      <c r="L1049" s="725"/>
      <c r="M1049" s="725"/>
      <c r="N1049" s="725"/>
      <c r="O1049" s="725"/>
      <c r="P1049" s="725"/>
      <c r="Q1049" s="725"/>
      <c r="R1049" s="725"/>
      <c r="S1049" s="725"/>
    </row>
    <row r="1050" spans="1:19" x14ac:dyDescent="0.3">
      <c r="A1050" s="725"/>
      <c r="C1050" s="725"/>
      <c r="D1050" s="725"/>
      <c r="E1050" s="725"/>
      <c r="F1050" s="741"/>
      <c r="G1050" s="735"/>
      <c r="H1050" s="725"/>
      <c r="I1050" s="725"/>
      <c r="J1050" s="725"/>
      <c r="K1050" s="725"/>
      <c r="L1050" s="725"/>
      <c r="M1050" s="725"/>
      <c r="N1050" s="725"/>
      <c r="O1050" s="725"/>
      <c r="P1050" s="725"/>
      <c r="Q1050" s="725"/>
      <c r="R1050" s="725"/>
      <c r="S1050" s="725"/>
    </row>
    <row r="1051" spans="1:19" x14ac:dyDescent="0.3">
      <c r="A1051" s="725"/>
      <c r="C1051" s="725"/>
      <c r="D1051" s="725"/>
      <c r="E1051" s="725"/>
      <c r="F1051" s="741"/>
      <c r="G1051" s="735"/>
      <c r="H1051" s="725"/>
      <c r="I1051" s="725"/>
      <c r="J1051" s="725"/>
      <c r="K1051" s="725"/>
      <c r="L1051" s="725"/>
      <c r="M1051" s="725"/>
      <c r="N1051" s="725"/>
      <c r="O1051" s="725"/>
      <c r="P1051" s="725"/>
      <c r="Q1051" s="725"/>
      <c r="R1051" s="725"/>
      <c r="S1051" s="725"/>
    </row>
    <row r="1052" spans="1:19" x14ac:dyDescent="0.3">
      <c r="A1052" s="725"/>
      <c r="C1052" s="725"/>
      <c r="D1052" s="725"/>
      <c r="E1052" s="725"/>
      <c r="F1052" s="741"/>
      <c r="G1052" s="735"/>
      <c r="H1052" s="725"/>
      <c r="I1052" s="725"/>
      <c r="J1052" s="725"/>
      <c r="K1052" s="725"/>
      <c r="L1052" s="725"/>
      <c r="M1052" s="725"/>
      <c r="N1052" s="725"/>
      <c r="O1052" s="725"/>
      <c r="P1052" s="725"/>
      <c r="Q1052" s="725"/>
      <c r="R1052" s="725"/>
      <c r="S1052" s="725"/>
    </row>
    <row r="1053" spans="1:19" x14ac:dyDescent="0.3">
      <c r="A1053" s="725"/>
      <c r="C1053" s="725"/>
      <c r="D1053" s="725"/>
      <c r="E1053" s="725"/>
      <c r="F1053" s="741"/>
      <c r="G1053" s="735"/>
      <c r="H1053" s="725"/>
      <c r="I1053" s="725"/>
      <c r="J1053" s="725"/>
      <c r="K1053" s="725"/>
      <c r="L1053" s="725"/>
      <c r="M1053" s="725"/>
      <c r="N1053" s="725"/>
      <c r="O1053" s="725"/>
      <c r="P1053" s="725"/>
      <c r="Q1053" s="725"/>
      <c r="R1053" s="725"/>
      <c r="S1053" s="725"/>
    </row>
    <row r="1054" spans="1:19" x14ac:dyDescent="0.3">
      <c r="A1054" s="725"/>
      <c r="C1054" s="725"/>
      <c r="D1054" s="725"/>
      <c r="E1054" s="725"/>
      <c r="F1054" s="741"/>
      <c r="G1054" s="735"/>
      <c r="H1054" s="725"/>
      <c r="I1054" s="725"/>
      <c r="J1054" s="725"/>
      <c r="K1054" s="725"/>
      <c r="L1054" s="725"/>
      <c r="M1054" s="725"/>
      <c r="N1054" s="725"/>
      <c r="O1054" s="725"/>
      <c r="P1054" s="725"/>
      <c r="Q1054" s="725"/>
      <c r="R1054" s="725"/>
      <c r="S1054" s="725"/>
    </row>
    <row r="1055" spans="1:19" x14ac:dyDescent="0.3">
      <c r="A1055" s="725"/>
      <c r="C1055" s="725"/>
      <c r="D1055" s="725"/>
      <c r="E1055" s="725"/>
      <c r="F1055" s="741"/>
      <c r="G1055" s="735"/>
      <c r="H1055" s="725"/>
      <c r="I1055" s="725"/>
      <c r="J1055" s="725"/>
      <c r="K1055" s="725"/>
      <c r="L1055" s="725"/>
      <c r="M1055" s="725"/>
      <c r="N1055" s="725"/>
      <c r="O1055" s="725"/>
      <c r="P1055" s="725"/>
      <c r="Q1055" s="725"/>
      <c r="R1055" s="725"/>
      <c r="S1055" s="725"/>
    </row>
    <row r="1056" spans="1:19" x14ac:dyDescent="0.3">
      <c r="A1056" s="725"/>
      <c r="C1056" s="725"/>
      <c r="D1056" s="725"/>
      <c r="E1056" s="725"/>
      <c r="F1056" s="741"/>
      <c r="G1056" s="735"/>
      <c r="H1056" s="725"/>
      <c r="I1056" s="725"/>
      <c r="J1056" s="725"/>
      <c r="K1056" s="725"/>
      <c r="L1056" s="725"/>
      <c r="M1056" s="725"/>
      <c r="N1056" s="725"/>
      <c r="O1056" s="725"/>
      <c r="P1056" s="725"/>
      <c r="Q1056" s="725"/>
      <c r="R1056" s="725"/>
      <c r="S1056" s="725"/>
    </row>
    <row r="1057" spans="1:19" x14ac:dyDescent="0.3">
      <c r="A1057" s="725"/>
      <c r="C1057" s="725"/>
      <c r="D1057" s="725"/>
      <c r="E1057" s="725"/>
      <c r="F1057" s="741"/>
      <c r="G1057" s="735"/>
      <c r="H1057" s="725"/>
      <c r="I1057" s="725"/>
      <c r="J1057" s="725"/>
      <c r="K1057" s="725"/>
      <c r="L1057" s="725"/>
      <c r="M1057" s="725"/>
      <c r="N1057" s="725"/>
      <c r="O1057" s="725"/>
      <c r="P1057" s="725"/>
      <c r="Q1057" s="725"/>
      <c r="R1057" s="725"/>
      <c r="S1057" s="725"/>
    </row>
    <row r="1058" spans="1:19" x14ac:dyDescent="0.3">
      <c r="A1058" s="725"/>
      <c r="C1058" s="725"/>
      <c r="D1058" s="725"/>
      <c r="E1058" s="725"/>
      <c r="F1058" s="741"/>
      <c r="G1058" s="735"/>
      <c r="H1058" s="725"/>
      <c r="I1058" s="725"/>
      <c r="J1058" s="725"/>
      <c r="K1058" s="725"/>
      <c r="L1058" s="725"/>
      <c r="M1058" s="725"/>
      <c r="N1058" s="725"/>
      <c r="O1058" s="725"/>
      <c r="P1058" s="725"/>
      <c r="Q1058" s="725"/>
      <c r="R1058" s="725"/>
      <c r="S1058" s="725"/>
    </row>
    <row r="1059" spans="1:19" x14ac:dyDescent="0.3">
      <c r="A1059" s="725"/>
      <c r="C1059" s="725"/>
      <c r="D1059" s="725"/>
      <c r="E1059" s="725"/>
      <c r="F1059" s="741"/>
      <c r="G1059" s="735"/>
      <c r="H1059" s="725"/>
      <c r="I1059" s="725"/>
      <c r="J1059" s="725"/>
      <c r="K1059" s="725"/>
      <c r="L1059" s="725"/>
      <c r="M1059" s="725"/>
      <c r="N1059" s="725"/>
      <c r="O1059" s="725"/>
      <c r="P1059" s="725"/>
      <c r="Q1059" s="725"/>
      <c r="R1059" s="725"/>
      <c r="S1059" s="725"/>
    </row>
    <row r="1060" spans="1:19" x14ac:dyDescent="0.3">
      <c r="A1060" s="725"/>
      <c r="C1060" s="725"/>
      <c r="D1060" s="725"/>
      <c r="E1060" s="725"/>
      <c r="F1060" s="741"/>
      <c r="G1060" s="735"/>
      <c r="H1060" s="725"/>
      <c r="I1060" s="725"/>
      <c r="J1060" s="725"/>
      <c r="K1060" s="725"/>
      <c r="L1060" s="725"/>
      <c r="M1060" s="725"/>
      <c r="N1060" s="725"/>
      <c r="O1060" s="725"/>
      <c r="P1060" s="725"/>
      <c r="Q1060" s="725"/>
      <c r="R1060" s="725"/>
      <c r="S1060" s="725"/>
    </row>
    <row r="1061" spans="1:19" x14ac:dyDescent="0.3">
      <c r="A1061" s="725"/>
      <c r="C1061" s="725"/>
      <c r="D1061" s="725"/>
      <c r="E1061" s="725"/>
      <c r="F1061" s="741"/>
      <c r="G1061" s="735"/>
      <c r="H1061" s="725"/>
      <c r="I1061" s="725"/>
      <c r="J1061" s="725"/>
      <c r="K1061" s="725"/>
      <c r="L1061" s="725"/>
      <c r="M1061" s="725"/>
      <c r="N1061" s="725"/>
      <c r="O1061" s="725"/>
      <c r="P1061" s="725"/>
      <c r="Q1061" s="725"/>
      <c r="R1061" s="725"/>
      <c r="S1061" s="725"/>
    </row>
    <row r="1062" spans="1:19" x14ac:dyDescent="0.3">
      <c r="A1062" s="725"/>
      <c r="C1062" s="725"/>
      <c r="D1062" s="725"/>
      <c r="E1062" s="725"/>
      <c r="F1062" s="741"/>
      <c r="G1062" s="735"/>
      <c r="H1062" s="725"/>
      <c r="I1062" s="725"/>
      <c r="J1062" s="725"/>
      <c r="K1062" s="725"/>
      <c r="L1062" s="725"/>
      <c r="M1062" s="725"/>
      <c r="N1062" s="725"/>
      <c r="O1062" s="725"/>
      <c r="P1062" s="725"/>
      <c r="Q1062" s="725"/>
      <c r="R1062" s="725"/>
      <c r="S1062" s="725"/>
    </row>
    <row r="1063" spans="1:19" x14ac:dyDescent="0.3">
      <c r="A1063" s="725"/>
      <c r="C1063" s="725"/>
      <c r="D1063" s="725"/>
      <c r="E1063" s="725"/>
      <c r="F1063" s="741"/>
      <c r="G1063" s="735"/>
      <c r="H1063" s="725"/>
      <c r="I1063" s="725"/>
      <c r="J1063" s="725"/>
      <c r="K1063" s="725"/>
      <c r="L1063" s="725"/>
      <c r="M1063" s="725"/>
      <c r="N1063" s="725"/>
      <c r="O1063" s="725"/>
      <c r="P1063" s="725"/>
      <c r="Q1063" s="725"/>
      <c r="R1063" s="725"/>
      <c r="S1063" s="725"/>
    </row>
    <row r="1064" spans="1:19" x14ac:dyDescent="0.3">
      <c r="A1064" s="725"/>
      <c r="C1064" s="725"/>
      <c r="D1064" s="725"/>
      <c r="E1064" s="725"/>
      <c r="F1064" s="741"/>
      <c r="G1064" s="735"/>
      <c r="H1064" s="725"/>
      <c r="I1064" s="725"/>
      <c r="J1064" s="725"/>
      <c r="K1064" s="725"/>
      <c r="L1064" s="725"/>
      <c r="M1064" s="725"/>
      <c r="N1064" s="725"/>
      <c r="O1064" s="725"/>
      <c r="P1064" s="725"/>
      <c r="Q1064" s="725"/>
      <c r="R1064" s="725"/>
      <c r="S1064" s="725"/>
    </row>
    <row r="1065" spans="1:19" x14ac:dyDescent="0.3">
      <c r="A1065" s="725"/>
      <c r="C1065" s="725"/>
      <c r="D1065" s="725"/>
      <c r="E1065" s="725"/>
      <c r="F1065" s="741"/>
      <c r="G1065" s="735"/>
      <c r="H1065" s="725"/>
      <c r="I1065" s="725"/>
      <c r="J1065" s="725"/>
      <c r="K1065" s="725"/>
      <c r="L1065" s="725"/>
      <c r="M1065" s="725"/>
      <c r="N1065" s="725"/>
      <c r="O1065" s="725"/>
      <c r="P1065" s="725"/>
      <c r="Q1065" s="725"/>
      <c r="R1065" s="725"/>
      <c r="S1065" s="725"/>
    </row>
    <row r="1066" spans="1:19" x14ac:dyDescent="0.3">
      <c r="A1066" s="725"/>
      <c r="C1066" s="725"/>
      <c r="D1066" s="725"/>
      <c r="E1066" s="725"/>
      <c r="F1066" s="741"/>
      <c r="G1066" s="735"/>
      <c r="H1066" s="725"/>
      <c r="I1066" s="725"/>
      <c r="J1066" s="725"/>
      <c r="K1066" s="725"/>
      <c r="L1066" s="725"/>
      <c r="M1066" s="725"/>
      <c r="N1066" s="725"/>
      <c r="O1066" s="725"/>
      <c r="P1066" s="725"/>
      <c r="Q1066" s="725"/>
      <c r="R1066" s="725"/>
      <c r="S1066" s="725"/>
    </row>
    <row r="1067" spans="1:19" x14ac:dyDescent="0.3">
      <c r="A1067" s="725"/>
      <c r="C1067" s="725"/>
      <c r="D1067" s="725"/>
      <c r="E1067" s="725"/>
      <c r="F1067" s="741"/>
      <c r="G1067" s="735"/>
      <c r="H1067" s="725"/>
      <c r="I1067" s="725"/>
      <c r="J1067" s="725"/>
      <c r="K1067" s="725"/>
      <c r="L1067" s="725"/>
      <c r="M1067" s="725"/>
      <c r="N1067" s="725"/>
      <c r="O1067" s="725"/>
      <c r="P1067" s="725"/>
      <c r="Q1067" s="725"/>
      <c r="R1067" s="725"/>
      <c r="S1067" s="725"/>
    </row>
    <row r="1068" spans="1:19" x14ac:dyDescent="0.3">
      <c r="A1068" s="725"/>
      <c r="C1068" s="725"/>
      <c r="D1068" s="725"/>
      <c r="E1068" s="725"/>
      <c r="F1068" s="741"/>
      <c r="G1068" s="735"/>
      <c r="H1068" s="725"/>
      <c r="I1068" s="725"/>
      <c r="J1068" s="725"/>
      <c r="K1068" s="725"/>
      <c r="L1068" s="725"/>
      <c r="M1068" s="725"/>
      <c r="N1068" s="725"/>
      <c r="O1068" s="725"/>
      <c r="P1068" s="725"/>
      <c r="Q1068" s="725"/>
      <c r="R1068" s="725"/>
      <c r="S1068" s="725"/>
    </row>
    <row r="1069" spans="1:19" x14ac:dyDescent="0.3">
      <c r="A1069" s="725"/>
      <c r="C1069" s="725"/>
      <c r="D1069" s="725"/>
      <c r="E1069" s="725"/>
      <c r="F1069" s="741"/>
      <c r="G1069" s="735"/>
      <c r="H1069" s="725"/>
      <c r="I1069" s="725"/>
      <c r="J1069" s="725"/>
      <c r="K1069" s="725"/>
      <c r="L1069" s="725"/>
      <c r="M1069" s="725"/>
      <c r="N1069" s="725"/>
      <c r="O1069" s="725"/>
      <c r="P1069" s="725"/>
      <c r="Q1069" s="725"/>
      <c r="R1069" s="725"/>
      <c r="S1069" s="725"/>
    </row>
    <row r="1070" spans="1:19" x14ac:dyDescent="0.3">
      <c r="A1070" s="725"/>
      <c r="C1070" s="725"/>
      <c r="D1070" s="725"/>
      <c r="E1070" s="725"/>
      <c r="F1070" s="741"/>
      <c r="G1070" s="735"/>
      <c r="H1070" s="725"/>
      <c r="I1070" s="725"/>
      <c r="J1070" s="725"/>
      <c r="K1070" s="725"/>
      <c r="L1070" s="725"/>
      <c r="M1070" s="725"/>
      <c r="N1070" s="725"/>
      <c r="O1070" s="725"/>
      <c r="P1070" s="725"/>
      <c r="Q1070" s="725"/>
      <c r="R1070" s="725"/>
      <c r="S1070" s="725"/>
    </row>
    <row r="1071" spans="1:19" x14ac:dyDescent="0.3">
      <c r="A1071" s="725"/>
      <c r="C1071" s="725"/>
      <c r="D1071" s="725"/>
      <c r="E1071" s="725"/>
      <c r="F1071" s="741"/>
      <c r="G1071" s="735"/>
      <c r="H1071" s="725"/>
      <c r="I1071" s="725"/>
      <c r="J1071" s="725"/>
      <c r="K1071" s="725"/>
      <c r="L1071" s="725"/>
      <c r="M1071" s="725"/>
      <c r="N1071" s="725"/>
      <c r="O1071" s="725"/>
      <c r="P1071" s="725"/>
      <c r="Q1071" s="725"/>
      <c r="R1071" s="725"/>
      <c r="S1071" s="725"/>
    </row>
    <row r="1072" spans="1:19" x14ac:dyDescent="0.3">
      <c r="A1072" s="725"/>
      <c r="C1072" s="725"/>
      <c r="D1072" s="725"/>
      <c r="E1072" s="725"/>
      <c r="F1072" s="741"/>
      <c r="G1072" s="735"/>
      <c r="H1072" s="725"/>
      <c r="I1072" s="725"/>
      <c r="J1072" s="725"/>
      <c r="K1072" s="725"/>
      <c r="L1072" s="725"/>
      <c r="M1072" s="725"/>
      <c r="N1072" s="725"/>
      <c r="O1072" s="725"/>
      <c r="P1072" s="725"/>
      <c r="Q1072" s="725"/>
      <c r="R1072" s="725"/>
      <c r="S1072" s="725"/>
    </row>
    <row r="1073" spans="1:19" x14ac:dyDescent="0.3">
      <c r="A1073" s="725"/>
      <c r="C1073" s="725"/>
      <c r="D1073" s="725"/>
      <c r="E1073" s="725"/>
      <c r="F1073" s="741"/>
      <c r="G1073" s="735"/>
      <c r="H1073" s="725"/>
      <c r="I1073" s="725"/>
      <c r="J1073" s="725"/>
      <c r="K1073" s="725"/>
      <c r="L1073" s="725"/>
      <c r="M1073" s="725"/>
      <c r="N1073" s="725"/>
      <c r="O1073" s="725"/>
      <c r="P1073" s="725"/>
      <c r="Q1073" s="725"/>
      <c r="R1073" s="725"/>
      <c r="S1073" s="725"/>
    </row>
    <row r="1074" spans="1:19" x14ac:dyDescent="0.3">
      <c r="A1074" s="725"/>
      <c r="C1074" s="725"/>
      <c r="D1074" s="725"/>
      <c r="E1074" s="725"/>
      <c r="F1074" s="741"/>
      <c r="G1074" s="735"/>
      <c r="H1074" s="725"/>
      <c r="I1074" s="725"/>
      <c r="J1074" s="725"/>
      <c r="K1074" s="725"/>
      <c r="L1074" s="725"/>
      <c r="M1074" s="725"/>
      <c r="N1074" s="725"/>
      <c r="O1074" s="725"/>
      <c r="P1074" s="725"/>
      <c r="Q1074" s="725"/>
      <c r="R1074" s="725"/>
      <c r="S1074" s="725"/>
    </row>
    <row r="1075" spans="1:19" x14ac:dyDescent="0.3">
      <c r="A1075" s="725"/>
      <c r="C1075" s="725"/>
      <c r="D1075" s="725"/>
      <c r="E1075" s="725"/>
      <c r="F1075" s="741"/>
      <c r="G1075" s="735"/>
      <c r="H1075" s="725"/>
      <c r="I1075" s="725"/>
      <c r="J1075" s="725"/>
      <c r="K1075" s="725"/>
      <c r="L1075" s="725"/>
      <c r="M1075" s="725"/>
      <c r="N1075" s="725"/>
      <c r="O1075" s="725"/>
      <c r="P1075" s="725"/>
      <c r="Q1075" s="725"/>
      <c r="R1075" s="725"/>
      <c r="S1075" s="725"/>
    </row>
    <row r="1076" spans="1:19" x14ac:dyDescent="0.3">
      <c r="A1076" s="725"/>
      <c r="C1076" s="725"/>
      <c r="D1076" s="725"/>
      <c r="E1076" s="725"/>
      <c r="F1076" s="741"/>
      <c r="G1076" s="735"/>
      <c r="H1076" s="725"/>
      <c r="I1076" s="725"/>
      <c r="J1076" s="725"/>
      <c r="K1076" s="725"/>
      <c r="L1076" s="725"/>
      <c r="M1076" s="725"/>
      <c r="N1076" s="725"/>
      <c r="O1076" s="725"/>
      <c r="P1076" s="725"/>
      <c r="Q1076" s="725"/>
      <c r="R1076" s="725"/>
      <c r="S1076" s="725"/>
    </row>
    <row r="1077" spans="1:19" x14ac:dyDescent="0.3">
      <c r="A1077" s="725"/>
      <c r="C1077" s="725"/>
      <c r="D1077" s="725"/>
      <c r="E1077" s="725"/>
      <c r="F1077" s="741"/>
      <c r="G1077" s="735"/>
      <c r="H1077" s="725"/>
      <c r="I1077" s="725"/>
      <c r="J1077" s="725"/>
      <c r="K1077" s="725"/>
      <c r="L1077" s="725"/>
      <c r="M1077" s="725"/>
      <c r="N1077" s="725"/>
      <c r="O1077" s="725"/>
      <c r="P1077" s="725"/>
      <c r="Q1077" s="725"/>
      <c r="R1077" s="725"/>
      <c r="S1077" s="725"/>
    </row>
    <row r="1078" spans="1:19" x14ac:dyDescent="0.3">
      <c r="A1078" s="725"/>
      <c r="C1078" s="725"/>
      <c r="D1078" s="725"/>
      <c r="E1078" s="725"/>
      <c r="F1078" s="741"/>
      <c r="G1078" s="735"/>
      <c r="H1078" s="725"/>
      <c r="I1078" s="725"/>
      <c r="J1078" s="725"/>
      <c r="K1078" s="725"/>
      <c r="L1078" s="725"/>
      <c r="M1078" s="725"/>
      <c r="N1078" s="725"/>
      <c r="O1078" s="725"/>
      <c r="P1078" s="725"/>
      <c r="Q1078" s="725"/>
      <c r="R1078" s="725"/>
      <c r="S1078" s="725"/>
    </row>
    <row r="1079" spans="1:19" x14ac:dyDescent="0.3">
      <c r="A1079" s="725"/>
      <c r="C1079" s="725"/>
      <c r="D1079" s="725"/>
      <c r="E1079" s="725"/>
      <c r="F1079" s="741"/>
      <c r="G1079" s="735"/>
      <c r="H1079" s="725"/>
      <c r="I1079" s="725"/>
      <c r="J1079" s="725"/>
      <c r="K1079" s="725"/>
      <c r="L1079" s="725"/>
      <c r="M1079" s="725"/>
      <c r="N1079" s="725"/>
      <c r="O1079" s="725"/>
      <c r="P1079" s="725"/>
      <c r="Q1079" s="725"/>
      <c r="R1079" s="725"/>
      <c r="S1079" s="725"/>
    </row>
    <row r="1080" spans="1:19" x14ac:dyDescent="0.3">
      <c r="A1080" s="725"/>
      <c r="C1080" s="725"/>
      <c r="D1080" s="725"/>
      <c r="E1080" s="725"/>
      <c r="F1080" s="741"/>
      <c r="G1080" s="735"/>
      <c r="H1080" s="725"/>
      <c r="I1080" s="725"/>
      <c r="J1080" s="725"/>
      <c r="K1080" s="725"/>
      <c r="L1080" s="725"/>
      <c r="M1080" s="725"/>
      <c r="N1080" s="725"/>
      <c r="O1080" s="725"/>
      <c r="P1080" s="725"/>
      <c r="Q1080" s="725"/>
      <c r="R1080" s="725"/>
      <c r="S1080" s="725"/>
    </row>
    <row r="1081" spans="1:19" x14ac:dyDescent="0.3">
      <c r="A1081" s="725"/>
      <c r="C1081" s="725"/>
      <c r="D1081" s="725"/>
      <c r="E1081" s="725"/>
      <c r="F1081" s="741"/>
      <c r="G1081" s="735"/>
      <c r="H1081" s="725"/>
      <c r="I1081" s="725"/>
      <c r="J1081" s="725"/>
      <c r="K1081" s="725"/>
      <c r="L1081" s="725"/>
      <c r="M1081" s="725"/>
      <c r="N1081" s="725"/>
      <c r="O1081" s="725"/>
      <c r="P1081" s="725"/>
      <c r="Q1081" s="725"/>
      <c r="R1081" s="725"/>
      <c r="S1081" s="725"/>
    </row>
    <row r="1082" spans="1:19" x14ac:dyDescent="0.3">
      <c r="A1082" s="725"/>
      <c r="C1082" s="725"/>
      <c r="D1082" s="725"/>
      <c r="E1082" s="725"/>
      <c r="F1082" s="741"/>
      <c r="G1082" s="735"/>
      <c r="H1082" s="725"/>
      <c r="I1082" s="725"/>
      <c r="J1082" s="725"/>
      <c r="K1082" s="725"/>
      <c r="L1082" s="725"/>
      <c r="M1082" s="725"/>
      <c r="N1082" s="725"/>
      <c r="O1082" s="725"/>
      <c r="P1082" s="725"/>
      <c r="Q1082" s="725"/>
      <c r="R1082" s="725"/>
      <c r="S1082" s="725"/>
    </row>
    <row r="1083" spans="1:19" x14ac:dyDescent="0.3">
      <c r="A1083" s="725"/>
      <c r="C1083" s="725"/>
      <c r="D1083" s="725"/>
      <c r="E1083" s="725"/>
      <c r="F1083" s="741"/>
      <c r="G1083" s="735"/>
      <c r="H1083" s="725"/>
      <c r="I1083" s="725"/>
      <c r="J1083" s="725"/>
      <c r="K1083" s="725"/>
      <c r="L1083" s="725"/>
      <c r="M1083" s="725"/>
      <c r="N1083" s="725"/>
      <c r="O1083" s="725"/>
      <c r="P1083" s="725"/>
      <c r="Q1083" s="725"/>
      <c r="R1083" s="725"/>
      <c r="S1083" s="725"/>
    </row>
    <row r="1084" spans="1:19" x14ac:dyDescent="0.3">
      <c r="A1084" s="725"/>
      <c r="C1084" s="725"/>
      <c r="D1084" s="725"/>
      <c r="E1084" s="725"/>
      <c r="F1084" s="741"/>
      <c r="G1084" s="735"/>
      <c r="H1084" s="725"/>
      <c r="I1084" s="725"/>
      <c r="J1084" s="725"/>
      <c r="K1084" s="725"/>
      <c r="L1084" s="725"/>
      <c r="M1084" s="725"/>
      <c r="N1084" s="725"/>
      <c r="O1084" s="725"/>
      <c r="P1084" s="725"/>
      <c r="Q1084" s="725"/>
      <c r="R1084" s="725"/>
      <c r="S1084" s="725"/>
    </row>
    <row r="1085" spans="1:19" x14ac:dyDescent="0.3">
      <c r="A1085" s="725"/>
      <c r="C1085" s="725"/>
      <c r="D1085" s="725"/>
      <c r="E1085" s="725"/>
      <c r="F1085" s="741"/>
      <c r="G1085" s="735"/>
      <c r="H1085" s="725"/>
      <c r="I1085" s="725"/>
      <c r="J1085" s="725"/>
      <c r="K1085" s="725"/>
      <c r="L1085" s="725"/>
      <c r="M1085" s="725"/>
      <c r="N1085" s="725"/>
      <c r="O1085" s="725"/>
      <c r="P1085" s="725"/>
      <c r="Q1085" s="725"/>
      <c r="R1085" s="725"/>
      <c r="S1085" s="725"/>
    </row>
    <row r="1086" spans="1:19" x14ac:dyDescent="0.3">
      <c r="A1086" s="725"/>
      <c r="C1086" s="725"/>
      <c r="D1086" s="725"/>
      <c r="E1086" s="725"/>
      <c r="F1086" s="741"/>
      <c r="G1086" s="735"/>
      <c r="H1086" s="725"/>
      <c r="I1086" s="725"/>
      <c r="J1086" s="725"/>
      <c r="K1086" s="725"/>
      <c r="L1086" s="725"/>
      <c r="M1086" s="725"/>
      <c r="N1086" s="725"/>
      <c r="O1086" s="725"/>
      <c r="P1086" s="725"/>
      <c r="Q1086" s="725"/>
      <c r="R1086" s="725"/>
      <c r="S1086" s="725"/>
    </row>
    <row r="1087" spans="1:19" x14ac:dyDescent="0.3">
      <c r="A1087" s="725"/>
      <c r="C1087" s="725"/>
      <c r="D1087" s="725"/>
      <c r="E1087" s="725"/>
      <c r="F1087" s="741"/>
      <c r="G1087" s="735"/>
      <c r="H1087" s="725"/>
      <c r="I1087" s="725"/>
      <c r="J1087" s="725"/>
      <c r="K1087" s="725"/>
      <c r="L1087" s="725"/>
      <c r="M1087" s="725"/>
      <c r="N1087" s="725"/>
      <c r="O1087" s="725"/>
      <c r="P1087" s="725"/>
      <c r="Q1087" s="725"/>
      <c r="R1087" s="725"/>
      <c r="S1087" s="725"/>
    </row>
    <row r="1088" spans="1:19" x14ac:dyDescent="0.3">
      <c r="A1088" s="725"/>
      <c r="C1088" s="725"/>
      <c r="D1088" s="725"/>
      <c r="E1088" s="725"/>
      <c r="F1088" s="741"/>
      <c r="G1088" s="735"/>
      <c r="H1088" s="725"/>
      <c r="I1088" s="725"/>
      <c r="J1088" s="725"/>
      <c r="K1088" s="725"/>
      <c r="L1088" s="725"/>
      <c r="M1088" s="725"/>
      <c r="N1088" s="725"/>
      <c r="O1088" s="725"/>
      <c r="P1088" s="725"/>
      <c r="Q1088" s="725"/>
      <c r="R1088" s="725"/>
      <c r="S1088" s="725"/>
    </row>
    <row r="1089" spans="1:19" x14ac:dyDescent="0.3">
      <c r="A1089" s="725"/>
      <c r="C1089" s="725"/>
      <c r="D1089" s="725"/>
      <c r="E1089" s="725"/>
      <c r="F1089" s="741"/>
      <c r="G1089" s="735"/>
      <c r="H1089" s="725"/>
      <c r="I1089" s="725"/>
      <c r="J1089" s="725"/>
      <c r="K1089" s="725"/>
      <c r="L1089" s="725"/>
      <c r="M1089" s="725"/>
      <c r="N1089" s="725"/>
      <c r="O1089" s="725"/>
      <c r="P1089" s="725"/>
      <c r="Q1089" s="725"/>
      <c r="R1089" s="725"/>
      <c r="S1089" s="725"/>
    </row>
    <row r="1090" spans="1:19" x14ac:dyDescent="0.3">
      <c r="A1090" s="725"/>
      <c r="C1090" s="725"/>
      <c r="D1090" s="725"/>
      <c r="E1090" s="725"/>
      <c r="F1090" s="741"/>
      <c r="G1090" s="735"/>
      <c r="H1090" s="725"/>
      <c r="I1090" s="725"/>
      <c r="J1090" s="725"/>
      <c r="K1090" s="725"/>
      <c r="L1090" s="725"/>
      <c r="M1090" s="725"/>
      <c r="N1090" s="725"/>
      <c r="O1090" s="725"/>
      <c r="P1090" s="725"/>
      <c r="Q1090" s="725"/>
      <c r="R1090" s="725"/>
      <c r="S1090" s="725"/>
    </row>
    <row r="1091" spans="1:19" x14ac:dyDescent="0.3">
      <c r="A1091" s="725"/>
      <c r="C1091" s="725"/>
      <c r="D1091" s="725"/>
      <c r="E1091" s="725"/>
      <c r="F1091" s="741"/>
      <c r="G1091" s="735"/>
      <c r="H1091" s="725"/>
      <c r="I1091" s="725"/>
      <c r="J1091" s="725"/>
      <c r="K1091" s="725"/>
      <c r="L1091" s="725"/>
      <c r="M1091" s="725"/>
      <c r="N1091" s="725"/>
      <c r="O1091" s="725"/>
      <c r="P1091" s="725"/>
      <c r="Q1091" s="725"/>
      <c r="R1091" s="725"/>
      <c r="S1091" s="725"/>
    </row>
    <row r="1092" spans="1:19" x14ac:dyDescent="0.3">
      <c r="A1092" s="725"/>
      <c r="C1092" s="725"/>
      <c r="D1092" s="725"/>
      <c r="E1092" s="725"/>
      <c r="F1092" s="741"/>
      <c r="G1092" s="735"/>
      <c r="H1092" s="725"/>
      <c r="I1092" s="725"/>
      <c r="J1092" s="725"/>
      <c r="K1092" s="725"/>
      <c r="L1092" s="725"/>
      <c r="M1092" s="725"/>
      <c r="N1092" s="725"/>
      <c r="O1092" s="725"/>
      <c r="P1092" s="725"/>
      <c r="Q1092" s="725"/>
      <c r="R1092" s="725"/>
      <c r="S1092" s="725"/>
    </row>
    <row r="1093" spans="1:19" x14ac:dyDescent="0.3">
      <c r="A1093" s="725"/>
      <c r="C1093" s="725"/>
      <c r="D1093" s="725"/>
      <c r="E1093" s="725"/>
      <c r="F1093" s="741"/>
      <c r="G1093" s="735"/>
      <c r="H1093" s="725"/>
      <c r="I1093" s="725"/>
      <c r="J1093" s="725"/>
      <c r="K1093" s="725"/>
      <c r="L1093" s="725"/>
      <c r="M1093" s="725"/>
      <c r="N1093" s="725"/>
      <c r="O1093" s="725"/>
      <c r="P1093" s="725"/>
      <c r="Q1093" s="725"/>
      <c r="R1093" s="725"/>
      <c r="S1093" s="725"/>
    </row>
    <row r="1094" spans="1:19" x14ac:dyDescent="0.3">
      <c r="A1094" s="725"/>
      <c r="C1094" s="725"/>
      <c r="D1094" s="725"/>
      <c r="E1094" s="725"/>
      <c r="F1094" s="741"/>
      <c r="G1094" s="735"/>
      <c r="H1094" s="725"/>
      <c r="I1094" s="725"/>
      <c r="J1094" s="725"/>
      <c r="K1094" s="725"/>
      <c r="L1094" s="725"/>
      <c r="M1094" s="725"/>
      <c r="N1094" s="725"/>
      <c r="O1094" s="725"/>
      <c r="P1094" s="725"/>
      <c r="Q1094" s="725"/>
      <c r="R1094" s="725"/>
      <c r="S1094" s="725"/>
    </row>
    <row r="1095" spans="1:19" x14ac:dyDescent="0.3">
      <c r="A1095" s="725"/>
      <c r="C1095" s="725"/>
      <c r="D1095" s="725"/>
      <c r="E1095" s="725"/>
      <c r="F1095" s="741"/>
      <c r="G1095" s="735"/>
      <c r="H1095" s="725"/>
      <c r="I1095" s="725"/>
      <c r="J1095" s="725"/>
      <c r="K1095" s="725"/>
      <c r="L1095" s="725"/>
      <c r="M1095" s="725"/>
      <c r="N1095" s="725"/>
      <c r="O1095" s="725"/>
      <c r="P1095" s="725"/>
      <c r="Q1095" s="725"/>
      <c r="R1095" s="725"/>
      <c r="S1095" s="725"/>
    </row>
    <row r="1096" spans="1:19" x14ac:dyDescent="0.3">
      <c r="A1096" s="725"/>
      <c r="C1096" s="725"/>
      <c r="D1096" s="725"/>
      <c r="E1096" s="725"/>
      <c r="F1096" s="741"/>
      <c r="G1096" s="735"/>
      <c r="H1096" s="725"/>
      <c r="I1096" s="725"/>
      <c r="J1096" s="725"/>
      <c r="K1096" s="725"/>
      <c r="L1096" s="725"/>
      <c r="M1096" s="725"/>
      <c r="N1096" s="725"/>
      <c r="O1096" s="725"/>
      <c r="P1096" s="725"/>
      <c r="Q1096" s="725"/>
      <c r="R1096" s="725"/>
      <c r="S1096" s="725"/>
    </row>
    <row r="1097" spans="1:19" x14ac:dyDescent="0.3">
      <c r="A1097" s="725"/>
      <c r="C1097" s="725"/>
      <c r="D1097" s="725"/>
      <c r="E1097" s="725"/>
      <c r="F1097" s="741"/>
      <c r="G1097" s="735"/>
      <c r="H1097" s="725"/>
      <c r="I1097" s="725"/>
      <c r="J1097" s="725"/>
      <c r="K1097" s="725"/>
      <c r="L1097" s="725"/>
      <c r="M1097" s="725"/>
      <c r="N1097" s="725"/>
      <c r="O1097" s="725"/>
      <c r="P1097" s="725"/>
      <c r="Q1097" s="725"/>
      <c r="R1097" s="725"/>
      <c r="S1097" s="725"/>
    </row>
    <row r="1098" spans="1:19" x14ac:dyDescent="0.3">
      <c r="A1098" s="725"/>
      <c r="C1098" s="725"/>
      <c r="D1098" s="725"/>
      <c r="E1098" s="725"/>
      <c r="F1098" s="741"/>
      <c r="G1098" s="735"/>
      <c r="H1098" s="725"/>
      <c r="I1098" s="725"/>
      <c r="J1098" s="725"/>
      <c r="K1098" s="725"/>
      <c r="L1098" s="725"/>
      <c r="M1098" s="725"/>
      <c r="N1098" s="725"/>
      <c r="O1098" s="725"/>
      <c r="P1098" s="725"/>
      <c r="Q1098" s="725"/>
      <c r="R1098" s="725"/>
      <c r="S1098" s="725"/>
    </row>
    <row r="1099" spans="1:19" x14ac:dyDescent="0.3">
      <c r="A1099" s="725"/>
      <c r="C1099" s="725"/>
      <c r="D1099" s="725"/>
      <c r="E1099" s="725"/>
      <c r="F1099" s="741"/>
      <c r="G1099" s="735"/>
      <c r="H1099" s="725"/>
      <c r="I1099" s="725"/>
      <c r="J1099" s="725"/>
      <c r="K1099" s="725"/>
      <c r="L1099" s="725"/>
      <c r="M1099" s="725"/>
      <c r="N1099" s="725"/>
      <c r="O1099" s="725"/>
      <c r="P1099" s="725"/>
      <c r="Q1099" s="725"/>
      <c r="R1099" s="725"/>
      <c r="S1099" s="725"/>
    </row>
    <row r="1100" spans="1:19" x14ac:dyDescent="0.3">
      <c r="A1100" s="725"/>
      <c r="C1100" s="725"/>
      <c r="D1100" s="725"/>
      <c r="E1100" s="725"/>
      <c r="F1100" s="741"/>
      <c r="G1100" s="735"/>
      <c r="H1100" s="725"/>
      <c r="I1100" s="725"/>
      <c r="J1100" s="725"/>
      <c r="K1100" s="725"/>
      <c r="L1100" s="725"/>
      <c r="M1100" s="725"/>
      <c r="N1100" s="725"/>
      <c r="O1100" s="725"/>
      <c r="P1100" s="725"/>
      <c r="Q1100" s="725"/>
      <c r="R1100" s="725"/>
      <c r="S1100" s="725"/>
    </row>
    <row r="1101" spans="1:19" x14ac:dyDescent="0.3">
      <c r="A1101" s="725"/>
      <c r="C1101" s="725"/>
      <c r="D1101" s="725"/>
      <c r="E1101" s="725"/>
      <c r="F1101" s="741"/>
      <c r="G1101" s="735"/>
      <c r="H1101" s="725"/>
      <c r="I1101" s="725"/>
      <c r="J1101" s="725"/>
      <c r="K1101" s="725"/>
      <c r="L1101" s="725"/>
      <c r="M1101" s="725"/>
      <c r="N1101" s="725"/>
      <c r="O1101" s="725"/>
      <c r="P1101" s="725"/>
      <c r="Q1101" s="725"/>
      <c r="R1101" s="725"/>
      <c r="S1101" s="725"/>
    </row>
    <row r="1102" spans="1:19" x14ac:dyDescent="0.3">
      <c r="A1102" s="725"/>
      <c r="C1102" s="725"/>
      <c r="D1102" s="725"/>
      <c r="E1102" s="725"/>
      <c r="F1102" s="741"/>
      <c r="G1102" s="735"/>
      <c r="H1102" s="725"/>
      <c r="I1102" s="725"/>
      <c r="J1102" s="725"/>
      <c r="K1102" s="725"/>
      <c r="L1102" s="725"/>
      <c r="M1102" s="725"/>
      <c r="N1102" s="725"/>
      <c r="O1102" s="725"/>
      <c r="P1102" s="725"/>
      <c r="Q1102" s="725"/>
      <c r="R1102" s="725"/>
      <c r="S1102" s="725"/>
    </row>
    <row r="1103" spans="1:19" x14ac:dyDescent="0.3">
      <c r="A1103" s="725"/>
      <c r="C1103" s="725"/>
      <c r="D1103" s="725"/>
      <c r="E1103" s="725"/>
      <c r="F1103" s="741"/>
      <c r="G1103" s="735"/>
      <c r="H1103" s="725"/>
      <c r="I1103" s="725"/>
      <c r="J1103" s="725"/>
      <c r="K1103" s="725"/>
      <c r="L1103" s="725"/>
      <c r="M1103" s="725"/>
      <c r="N1103" s="725"/>
      <c r="O1103" s="725"/>
      <c r="P1103" s="725"/>
      <c r="Q1103" s="725"/>
      <c r="R1103" s="725"/>
      <c r="S1103" s="725"/>
    </row>
    <row r="1104" spans="1:19" x14ac:dyDescent="0.3">
      <c r="A1104" s="725"/>
      <c r="C1104" s="725"/>
      <c r="D1104" s="725"/>
      <c r="E1104" s="725"/>
      <c r="F1104" s="741"/>
      <c r="G1104" s="735"/>
      <c r="H1104" s="725"/>
      <c r="I1104" s="725"/>
      <c r="J1104" s="725"/>
      <c r="K1104" s="725"/>
      <c r="L1104" s="725"/>
      <c r="M1104" s="725"/>
      <c r="N1104" s="725"/>
      <c r="O1104" s="725"/>
      <c r="P1104" s="725"/>
      <c r="Q1104" s="725"/>
      <c r="R1104" s="725"/>
      <c r="S1104" s="725"/>
    </row>
    <row r="1105" spans="1:19" x14ac:dyDescent="0.3">
      <c r="A1105" s="725"/>
      <c r="C1105" s="725"/>
      <c r="D1105" s="725"/>
      <c r="E1105" s="725"/>
      <c r="F1105" s="741"/>
      <c r="G1105" s="735"/>
      <c r="H1105" s="725"/>
      <c r="I1105" s="725"/>
      <c r="J1105" s="725"/>
      <c r="K1105" s="725"/>
      <c r="L1105" s="725"/>
      <c r="M1105" s="725"/>
      <c r="N1105" s="725"/>
      <c r="O1105" s="725"/>
      <c r="P1105" s="725"/>
      <c r="Q1105" s="725"/>
      <c r="R1105" s="725"/>
      <c r="S1105" s="725"/>
    </row>
    <row r="1106" spans="1:19" x14ac:dyDescent="0.3">
      <c r="A1106" s="725"/>
      <c r="C1106" s="725"/>
      <c r="D1106" s="725"/>
      <c r="E1106" s="725"/>
      <c r="F1106" s="741"/>
      <c r="G1106" s="735"/>
      <c r="H1106" s="725"/>
      <c r="I1106" s="725"/>
      <c r="J1106" s="725"/>
      <c r="K1106" s="725"/>
      <c r="L1106" s="725"/>
      <c r="M1106" s="725"/>
      <c r="N1106" s="725"/>
      <c r="O1106" s="725"/>
      <c r="P1106" s="725"/>
      <c r="Q1106" s="725"/>
      <c r="R1106" s="725"/>
      <c r="S1106" s="725"/>
    </row>
    <row r="1107" spans="1:19" x14ac:dyDescent="0.3">
      <c r="A1107" s="725"/>
      <c r="C1107" s="725"/>
      <c r="D1107" s="725"/>
      <c r="E1107" s="725"/>
      <c r="F1107" s="741"/>
      <c r="G1107" s="735"/>
      <c r="H1107" s="725"/>
      <c r="I1107" s="725"/>
      <c r="J1107" s="725"/>
      <c r="K1107" s="725"/>
      <c r="L1107" s="725"/>
      <c r="M1107" s="725"/>
      <c r="N1107" s="725"/>
      <c r="O1107" s="725"/>
      <c r="P1107" s="725"/>
      <c r="Q1107" s="725"/>
      <c r="R1107" s="725"/>
      <c r="S1107" s="725"/>
    </row>
    <row r="1108" spans="1:19" x14ac:dyDescent="0.3">
      <c r="A1108" s="725"/>
      <c r="C1108" s="725"/>
      <c r="D1108" s="725"/>
      <c r="E1108" s="725"/>
      <c r="F1108" s="741"/>
      <c r="G1108" s="735"/>
      <c r="H1108" s="725"/>
      <c r="I1108" s="725"/>
      <c r="J1108" s="725"/>
      <c r="K1108" s="725"/>
      <c r="L1108" s="725"/>
      <c r="M1108" s="725"/>
      <c r="N1108" s="725"/>
      <c r="O1108" s="725"/>
      <c r="P1108" s="725"/>
      <c r="Q1108" s="725"/>
      <c r="R1108" s="725"/>
      <c r="S1108" s="725"/>
    </row>
    <row r="1109" spans="1:19" x14ac:dyDescent="0.3">
      <c r="A1109" s="725"/>
      <c r="C1109" s="725"/>
      <c r="D1109" s="725"/>
      <c r="E1109" s="725"/>
      <c r="F1109" s="741"/>
      <c r="G1109" s="735"/>
      <c r="H1109" s="725"/>
      <c r="I1109" s="725"/>
      <c r="J1109" s="725"/>
      <c r="K1109" s="725"/>
      <c r="L1109" s="725"/>
      <c r="M1109" s="725"/>
      <c r="N1109" s="725"/>
      <c r="O1109" s="725"/>
      <c r="P1109" s="725"/>
      <c r="Q1109" s="725"/>
      <c r="R1109" s="725"/>
      <c r="S1109" s="725"/>
    </row>
    <row r="1110" spans="1:19" x14ac:dyDescent="0.3">
      <c r="A1110" s="725"/>
      <c r="C1110" s="725"/>
      <c r="D1110" s="725"/>
      <c r="E1110" s="725"/>
      <c r="F1110" s="741"/>
      <c r="G1110" s="735"/>
      <c r="H1110" s="725"/>
      <c r="I1110" s="725"/>
      <c r="J1110" s="725"/>
      <c r="K1110" s="725"/>
      <c r="L1110" s="725"/>
      <c r="M1110" s="725"/>
      <c r="N1110" s="725"/>
      <c r="O1110" s="725"/>
      <c r="P1110" s="725"/>
      <c r="Q1110" s="725"/>
      <c r="R1110" s="725"/>
      <c r="S1110" s="725"/>
    </row>
    <row r="1111" spans="1:19" x14ac:dyDescent="0.3">
      <c r="A1111" s="725"/>
      <c r="C1111" s="725"/>
      <c r="D1111" s="725"/>
      <c r="E1111" s="725"/>
      <c r="F1111" s="741"/>
      <c r="G1111" s="735"/>
      <c r="H1111" s="725"/>
      <c r="I1111" s="725"/>
      <c r="J1111" s="725"/>
      <c r="K1111" s="725"/>
      <c r="L1111" s="725"/>
      <c r="M1111" s="725"/>
      <c r="N1111" s="725"/>
      <c r="O1111" s="725"/>
      <c r="P1111" s="725"/>
      <c r="Q1111" s="725"/>
      <c r="R1111" s="725"/>
      <c r="S1111" s="725"/>
    </row>
    <row r="1112" spans="1:19" x14ac:dyDescent="0.3">
      <c r="A1112" s="725"/>
      <c r="C1112" s="725"/>
      <c r="D1112" s="725"/>
      <c r="E1112" s="725"/>
      <c r="F1112" s="741"/>
      <c r="G1112" s="735"/>
      <c r="H1112" s="725"/>
      <c r="I1112" s="725"/>
      <c r="J1112" s="725"/>
      <c r="K1112" s="725"/>
      <c r="L1112" s="725"/>
      <c r="M1112" s="725"/>
      <c r="N1112" s="725"/>
      <c r="O1112" s="725"/>
      <c r="P1112" s="725"/>
      <c r="Q1112" s="725"/>
      <c r="R1112" s="725"/>
      <c r="S1112" s="725"/>
    </row>
    <row r="1113" spans="1:19" x14ac:dyDescent="0.3">
      <c r="A1113" s="725"/>
      <c r="C1113" s="725"/>
      <c r="D1113" s="725"/>
      <c r="E1113" s="725"/>
      <c r="F1113" s="741"/>
      <c r="G1113" s="735"/>
      <c r="H1113" s="725"/>
      <c r="I1113" s="725"/>
      <c r="J1113" s="725"/>
      <c r="K1113" s="725"/>
      <c r="L1113" s="725"/>
      <c r="M1113" s="725"/>
      <c r="N1113" s="725"/>
      <c r="O1113" s="725"/>
      <c r="P1113" s="725"/>
      <c r="Q1113" s="725"/>
      <c r="R1113" s="725"/>
      <c r="S1113" s="725"/>
    </row>
    <row r="1114" spans="1:19" x14ac:dyDescent="0.3">
      <c r="A1114" s="725"/>
      <c r="C1114" s="725"/>
      <c r="D1114" s="725"/>
      <c r="E1114" s="725"/>
      <c r="F1114" s="741"/>
      <c r="G1114" s="735"/>
      <c r="H1114" s="725"/>
      <c r="I1114" s="725"/>
      <c r="J1114" s="725"/>
      <c r="K1114" s="725"/>
      <c r="L1114" s="725"/>
      <c r="M1114" s="725"/>
      <c r="N1114" s="725"/>
      <c r="O1114" s="725"/>
      <c r="P1114" s="725"/>
      <c r="Q1114" s="725"/>
      <c r="R1114" s="725"/>
      <c r="S1114" s="725"/>
    </row>
    <row r="1115" spans="1:19" x14ac:dyDescent="0.3">
      <c r="A1115" s="725"/>
      <c r="C1115" s="725"/>
      <c r="D1115" s="725"/>
      <c r="E1115" s="725"/>
      <c r="F1115" s="741"/>
      <c r="G1115" s="735"/>
      <c r="H1115" s="725"/>
      <c r="I1115" s="725"/>
      <c r="J1115" s="725"/>
      <c r="K1115" s="725"/>
      <c r="L1115" s="725"/>
      <c r="M1115" s="725"/>
      <c r="N1115" s="725"/>
      <c r="O1115" s="725"/>
      <c r="P1115" s="725"/>
      <c r="Q1115" s="725"/>
      <c r="R1115" s="725"/>
      <c r="S1115" s="725"/>
    </row>
    <row r="1116" spans="1:19" x14ac:dyDescent="0.3">
      <c r="A1116" s="725"/>
      <c r="C1116" s="725"/>
      <c r="D1116" s="725"/>
      <c r="E1116" s="725"/>
      <c r="F1116" s="741"/>
      <c r="G1116" s="735"/>
      <c r="H1116" s="725"/>
      <c r="I1116" s="725"/>
      <c r="J1116" s="725"/>
      <c r="K1116" s="725"/>
      <c r="L1116" s="725"/>
      <c r="M1116" s="725"/>
      <c r="N1116" s="725"/>
      <c r="O1116" s="725"/>
      <c r="P1116" s="725"/>
      <c r="Q1116" s="725"/>
      <c r="R1116" s="725"/>
      <c r="S1116" s="725"/>
    </row>
    <row r="1117" spans="1:19" x14ac:dyDescent="0.3">
      <c r="A1117" s="725"/>
      <c r="C1117" s="725"/>
      <c r="D1117" s="725"/>
      <c r="E1117" s="725"/>
      <c r="F1117" s="741"/>
      <c r="G1117" s="735"/>
      <c r="H1117" s="725"/>
      <c r="I1117" s="725"/>
      <c r="J1117" s="725"/>
      <c r="K1117" s="725"/>
      <c r="L1117" s="725"/>
      <c r="M1117" s="725"/>
      <c r="N1117" s="725"/>
      <c r="O1117" s="725"/>
      <c r="P1117" s="725"/>
      <c r="Q1117" s="725"/>
      <c r="R1117" s="725"/>
      <c r="S1117" s="725"/>
    </row>
    <row r="1118" spans="1:19" x14ac:dyDescent="0.3">
      <c r="A1118" s="725"/>
      <c r="C1118" s="725"/>
      <c r="D1118" s="725"/>
      <c r="E1118" s="725"/>
      <c r="F1118" s="741"/>
      <c r="G1118" s="735"/>
      <c r="H1118" s="725"/>
      <c r="I1118" s="725"/>
      <c r="J1118" s="725"/>
      <c r="K1118" s="725"/>
      <c r="L1118" s="725"/>
      <c r="M1118" s="725"/>
      <c r="N1118" s="725"/>
      <c r="O1118" s="725"/>
      <c r="P1118" s="725"/>
      <c r="Q1118" s="725"/>
      <c r="R1118" s="725"/>
      <c r="S1118" s="725"/>
    </row>
    <row r="1119" spans="1:19" x14ac:dyDescent="0.3">
      <c r="A1119" s="725"/>
      <c r="C1119" s="725"/>
      <c r="D1119" s="725"/>
      <c r="E1119" s="725"/>
      <c r="F1119" s="741"/>
      <c r="G1119" s="735"/>
      <c r="H1119" s="725"/>
      <c r="I1119" s="725"/>
      <c r="J1119" s="725"/>
      <c r="K1119" s="725"/>
      <c r="L1119" s="725"/>
      <c r="M1119" s="725"/>
      <c r="N1119" s="725"/>
      <c r="O1119" s="725"/>
      <c r="P1119" s="725"/>
      <c r="Q1119" s="725"/>
      <c r="R1119" s="725"/>
      <c r="S1119" s="725"/>
    </row>
    <row r="1120" spans="1:19" x14ac:dyDescent="0.3">
      <c r="A1120" s="725"/>
      <c r="C1120" s="725"/>
      <c r="D1120" s="725"/>
      <c r="E1120" s="725"/>
      <c r="F1120" s="741"/>
      <c r="G1120" s="735"/>
      <c r="H1120" s="725"/>
      <c r="I1120" s="725"/>
      <c r="J1120" s="725"/>
      <c r="K1120" s="725"/>
      <c r="L1120" s="725"/>
      <c r="M1120" s="725"/>
      <c r="N1120" s="725"/>
      <c r="O1120" s="725"/>
      <c r="P1120" s="725"/>
      <c r="Q1120" s="725"/>
      <c r="R1120" s="725"/>
      <c r="S1120" s="725"/>
    </row>
    <row r="1121" spans="1:19" x14ac:dyDescent="0.3">
      <c r="A1121" s="725"/>
      <c r="C1121" s="725"/>
      <c r="D1121" s="725"/>
      <c r="E1121" s="725"/>
      <c r="F1121" s="741"/>
      <c r="G1121" s="735"/>
      <c r="H1121" s="725"/>
      <c r="I1121" s="725"/>
      <c r="J1121" s="725"/>
      <c r="K1121" s="725"/>
      <c r="L1121" s="725"/>
      <c r="M1121" s="725"/>
      <c r="N1121" s="725"/>
      <c r="O1121" s="725"/>
      <c r="P1121" s="725"/>
      <c r="Q1121" s="725"/>
      <c r="R1121" s="725"/>
      <c r="S1121" s="725"/>
    </row>
    <row r="1122" spans="1:19" x14ac:dyDescent="0.3">
      <c r="A1122" s="725"/>
      <c r="C1122" s="725"/>
      <c r="D1122" s="725"/>
      <c r="E1122" s="725"/>
      <c r="F1122" s="741"/>
      <c r="G1122" s="735"/>
      <c r="H1122" s="725"/>
      <c r="I1122" s="725"/>
      <c r="J1122" s="725"/>
      <c r="K1122" s="725"/>
      <c r="L1122" s="725"/>
      <c r="M1122" s="725"/>
      <c r="N1122" s="725"/>
      <c r="O1122" s="725"/>
      <c r="P1122" s="725"/>
      <c r="Q1122" s="725"/>
      <c r="R1122" s="725"/>
      <c r="S1122" s="725"/>
    </row>
    <row r="1123" spans="1:19" x14ac:dyDescent="0.3">
      <c r="A1123" s="725"/>
      <c r="C1123" s="725"/>
      <c r="D1123" s="725"/>
      <c r="E1123" s="725"/>
      <c r="F1123" s="741"/>
      <c r="G1123" s="735"/>
      <c r="H1123" s="725"/>
      <c r="I1123" s="725"/>
      <c r="J1123" s="725"/>
      <c r="K1123" s="725"/>
      <c r="L1123" s="725"/>
      <c r="M1123" s="725"/>
      <c r="N1123" s="725"/>
      <c r="O1123" s="725"/>
      <c r="P1123" s="725"/>
      <c r="Q1123" s="725"/>
      <c r="R1123" s="725"/>
      <c r="S1123" s="725"/>
    </row>
    <row r="1124" spans="1:19" x14ac:dyDescent="0.3">
      <c r="A1124" s="725"/>
      <c r="C1124" s="725"/>
      <c r="D1124" s="725"/>
      <c r="E1124" s="725"/>
      <c r="F1124" s="741"/>
      <c r="G1124" s="735"/>
      <c r="H1124" s="725"/>
      <c r="I1124" s="725"/>
      <c r="J1124" s="725"/>
      <c r="K1124" s="725"/>
      <c r="L1124" s="725"/>
      <c r="M1124" s="725"/>
      <c r="N1124" s="725"/>
      <c r="O1124" s="725"/>
      <c r="P1124" s="725"/>
      <c r="Q1124" s="725"/>
      <c r="R1124" s="725"/>
      <c r="S1124" s="725"/>
    </row>
    <row r="1125" spans="1:19" x14ac:dyDescent="0.3">
      <c r="A1125" s="725"/>
      <c r="C1125" s="725"/>
      <c r="D1125" s="725"/>
      <c r="E1125" s="725"/>
      <c r="F1125" s="741"/>
      <c r="G1125" s="735"/>
      <c r="H1125" s="725"/>
      <c r="I1125" s="725"/>
      <c r="J1125" s="725"/>
      <c r="K1125" s="725"/>
      <c r="L1125" s="725"/>
      <c r="M1125" s="725"/>
      <c r="N1125" s="725"/>
      <c r="O1125" s="725"/>
      <c r="P1125" s="725"/>
      <c r="Q1125" s="725"/>
      <c r="R1125" s="725"/>
      <c r="S1125" s="725"/>
    </row>
    <row r="1126" spans="1:19" x14ac:dyDescent="0.3">
      <c r="A1126" s="725"/>
      <c r="C1126" s="725"/>
      <c r="D1126" s="725"/>
      <c r="E1126" s="725"/>
      <c r="F1126" s="741"/>
      <c r="G1126" s="735"/>
      <c r="H1126" s="725"/>
      <c r="I1126" s="725"/>
      <c r="J1126" s="725"/>
      <c r="K1126" s="725"/>
      <c r="L1126" s="725"/>
      <c r="M1126" s="725"/>
      <c r="N1126" s="725"/>
      <c r="O1126" s="725"/>
      <c r="P1126" s="725"/>
      <c r="Q1126" s="725"/>
      <c r="R1126" s="725"/>
      <c r="S1126" s="725"/>
    </row>
    <row r="1127" spans="1:19" x14ac:dyDescent="0.3">
      <c r="A1127" s="725"/>
      <c r="C1127" s="725"/>
      <c r="D1127" s="725"/>
      <c r="E1127" s="725"/>
      <c r="F1127" s="741"/>
      <c r="G1127" s="735"/>
      <c r="H1127" s="725"/>
      <c r="I1127" s="725"/>
      <c r="J1127" s="725"/>
      <c r="K1127" s="725"/>
      <c r="L1127" s="725"/>
      <c r="M1127" s="725"/>
      <c r="N1127" s="725"/>
      <c r="O1127" s="725"/>
      <c r="P1127" s="725"/>
      <c r="Q1127" s="725"/>
      <c r="R1127" s="725"/>
      <c r="S1127" s="725"/>
    </row>
    <row r="1128" spans="1:19" x14ac:dyDescent="0.3">
      <c r="A1128" s="725"/>
      <c r="C1128" s="725"/>
      <c r="D1128" s="725"/>
      <c r="E1128" s="725"/>
      <c r="F1128" s="741"/>
      <c r="G1128" s="735"/>
      <c r="H1128" s="725"/>
      <c r="I1128" s="725"/>
      <c r="J1128" s="725"/>
      <c r="K1128" s="725"/>
      <c r="L1128" s="725"/>
      <c r="M1128" s="725"/>
      <c r="N1128" s="725"/>
      <c r="O1128" s="725"/>
      <c r="P1128" s="725"/>
      <c r="Q1128" s="725"/>
      <c r="R1128" s="725"/>
      <c r="S1128" s="725"/>
    </row>
    <row r="1129" spans="1:19" x14ac:dyDescent="0.3">
      <c r="A1129" s="725"/>
      <c r="C1129" s="725"/>
      <c r="D1129" s="725"/>
      <c r="E1129" s="725"/>
      <c r="F1129" s="741"/>
      <c r="G1129" s="735"/>
      <c r="H1129" s="725"/>
      <c r="I1129" s="725"/>
      <c r="J1129" s="725"/>
      <c r="K1129" s="725"/>
      <c r="L1129" s="725"/>
      <c r="M1129" s="725"/>
      <c r="N1129" s="725"/>
      <c r="O1129" s="725"/>
      <c r="P1129" s="725"/>
      <c r="Q1129" s="725"/>
      <c r="R1129" s="725"/>
      <c r="S1129" s="725"/>
    </row>
    <row r="1130" spans="1:19" x14ac:dyDescent="0.3">
      <c r="A1130" s="725"/>
      <c r="C1130" s="725"/>
      <c r="D1130" s="725"/>
      <c r="E1130" s="725"/>
      <c r="F1130" s="741"/>
      <c r="G1130" s="735"/>
      <c r="H1130" s="725"/>
      <c r="I1130" s="725"/>
      <c r="J1130" s="725"/>
      <c r="K1130" s="725"/>
      <c r="L1130" s="725"/>
      <c r="M1130" s="725"/>
      <c r="N1130" s="725"/>
      <c r="O1130" s="725"/>
      <c r="P1130" s="725"/>
      <c r="Q1130" s="725"/>
      <c r="R1130" s="725"/>
      <c r="S1130" s="725"/>
    </row>
    <row r="1131" spans="1:19" x14ac:dyDescent="0.3">
      <c r="A1131" s="725"/>
      <c r="C1131" s="725"/>
      <c r="D1131" s="725"/>
      <c r="E1131" s="725"/>
      <c r="F1131" s="741"/>
      <c r="G1131" s="735"/>
      <c r="H1131" s="725"/>
      <c r="I1131" s="725"/>
      <c r="J1131" s="725"/>
      <c r="K1131" s="725"/>
      <c r="L1131" s="725"/>
      <c r="M1131" s="725"/>
      <c r="N1131" s="725"/>
      <c r="O1131" s="725"/>
      <c r="P1131" s="725"/>
      <c r="Q1131" s="725"/>
      <c r="R1131" s="725"/>
      <c r="S1131" s="725"/>
    </row>
    <row r="1132" spans="1:19" x14ac:dyDescent="0.3">
      <c r="A1132" s="725"/>
      <c r="C1132" s="725"/>
      <c r="D1132" s="725"/>
      <c r="E1132" s="725"/>
      <c r="F1132" s="741"/>
      <c r="G1132" s="735"/>
      <c r="H1132" s="725"/>
      <c r="I1132" s="725"/>
      <c r="J1132" s="725"/>
      <c r="K1132" s="725"/>
      <c r="L1132" s="725"/>
      <c r="M1132" s="725"/>
      <c r="N1132" s="725"/>
      <c r="O1132" s="725"/>
      <c r="P1132" s="725"/>
      <c r="Q1132" s="725"/>
      <c r="R1132" s="725"/>
      <c r="S1132" s="725"/>
    </row>
    <row r="1133" spans="1:19" x14ac:dyDescent="0.3">
      <c r="A1133" s="725"/>
      <c r="C1133" s="725"/>
      <c r="D1133" s="725"/>
      <c r="E1133" s="725"/>
      <c r="F1133" s="741"/>
      <c r="G1133" s="735"/>
      <c r="H1133" s="725"/>
      <c r="I1133" s="725"/>
      <c r="J1133" s="725"/>
      <c r="K1133" s="725"/>
      <c r="L1133" s="725"/>
      <c r="M1133" s="725"/>
      <c r="N1133" s="725"/>
      <c r="O1133" s="725"/>
      <c r="P1133" s="725"/>
      <c r="Q1133" s="725"/>
      <c r="R1133" s="725"/>
      <c r="S1133" s="725"/>
    </row>
    <row r="1134" spans="1:19" x14ac:dyDescent="0.3">
      <c r="A1134" s="725"/>
      <c r="C1134" s="725"/>
      <c r="D1134" s="725"/>
      <c r="E1134" s="725"/>
      <c r="F1134" s="741"/>
      <c r="G1134" s="735"/>
      <c r="H1134" s="725"/>
      <c r="I1134" s="725"/>
      <c r="J1134" s="725"/>
      <c r="K1134" s="725"/>
      <c r="L1134" s="725"/>
      <c r="M1134" s="725"/>
      <c r="N1134" s="725"/>
      <c r="O1134" s="725"/>
      <c r="P1134" s="725"/>
      <c r="Q1134" s="725"/>
      <c r="R1134" s="725"/>
      <c r="S1134" s="725"/>
    </row>
    <row r="1135" spans="1:19" x14ac:dyDescent="0.3">
      <c r="A1135" s="725"/>
      <c r="C1135" s="725"/>
      <c r="D1135" s="725"/>
      <c r="E1135" s="725"/>
      <c r="F1135" s="741"/>
      <c r="G1135" s="735"/>
      <c r="H1135" s="725"/>
      <c r="I1135" s="725"/>
      <c r="J1135" s="725"/>
      <c r="K1135" s="725"/>
      <c r="L1135" s="725"/>
      <c r="M1135" s="725"/>
      <c r="N1135" s="725"/>
      <c r="O1135" s="725"/>
      <c r="P1135" s="725"/>
      <c r="Q1135" s="725"/>
      <c r="R1135" s="725"/>
      <c r="S1135" s="725"/>
    </row>
    <row r="1136" spans="1:19" x14ac:dyDescent="0.3">
      <c r="A1136" s="725"/>
      <c r="C1136" s="725"/>
      <c r="D1136" s="725"/>
      <c r="E1136" s="725"/>
      <c r="F1136" s="741"/>
      <c r="G1136" s="735"/>
      <c r="H1136" s="725"/>
      <c r="I1136" s="725"/>
      <c r="J1136" s="725"/>
      <c r="K1136" s="725"/>
      <c r="L1136" s="725"/>
      <c r="M1136" s="725"/>
      <c r="N1136" s="725"/>
      <c r="O1136" s="725"/>
      <c r="P1136" s="725"/>
      <c r="Q1136" s="725"/>
      <c r="R1136" s="725"/>
      <c r="S1136" s="725"/>
    </row>
    <row r="1137" spans="1:19" x14ac:dyDescent="0.3">
      <c r="A1137" s="725"/>
      <c r="C1137" s="725"/>
      <c r="D1137" s="725"/>
      <c r="E1137" s="725"/>
      <c r="F1137" s="741"/>
      <c r="G1137" s="735"/>
      <c r="H1137" s="725"/>
      <c r="I1137" s="725"/>
      <c r="J1137" s="725"/>
      <c r="K1137" s="725"/>
      <c r="L1137" s="725"/>
      <c r="M1137" s="725"/>
      <c r="N1137" s="725"/>
      <c r="O1137" s="725"/>
      <c r="P1137" s="725"/>
      <c r="Q1137" s="725"/>
      <c r="R1137" s="725"/>
      <c r="S1137" s="725"/>
    </row>
  </sheetData>
  <customSheetViews>
    <customSheetView guid="{7DDEA387-EEC9-4633-99BE-C0D9299FB093}" scale="60" showPageBreaks="1" printArea="1" hiddenRows="1" hiddenColumns="1" view="pageBreakPreview" topLeftCell="A321">
      <selection activeCell="B393" sqref="B393"/>
      <rowBreaks count="1" manualBreakCount="1">
        <brk id="445" max="11" man="1"/>
      </rowBreaks>
      <pageMargins left="0.7" right="0.7" top="0.75" bottom="0.75" header="0.3" footer="0.3"/>
      <pageSetup paperSize="9" scale="38" orientation="portrait" r:id="rId1"/>
    </customSheetView>
    <customSheetView guid="{6592EBC0-D945-4F6F-93D1-49FCB588A4A0}" scale="60" showPageBreaks="1" printArea="1" hiddenRows="1" hiddenColumns="1" view="pageBreakPreview" topLeftCell="A37">
      <selection activeCell="O20" sqref="O20"/>
      <rowBreaks count="1" manualBreakCount="1">
        <brk id="445" max="11" man="1"/>
      </rowBreaks>
      <pageMargins left="0.7" right="0.7" top="0.75" bottom="0.75" header="0.3" footer="0.3"/>
      <pageSetup paperSize="9" scale="38" orientation="portrait" r:id="rId2"/>
    </customSheetView>
    <customSheetView guid="{001F394D-7E32-49E0-9108-A9790B233A9D}" scale="60" showPageBreaks="1" printArea="1" hiddenRows="1" hiddenColumns="1" view="pageBreakPreview">
      <selection activeCell="B393" sqref="B393"/>
      <rowBreaks count="1" manualBreakCount="1">
        <brk id="445" max="11" man="1"/>
      </rowBreaks>
      <pageMargins left="0.7" right="0.7" top="0.75" bottom="0.75" header="0.3" footer="0.3"/>
      <pageSetup paperSize="9" scale="38" orientation="portrait" r:id="rId3"/>
    </customSheetView>
    <customSheetView guid="{F08E63B0-D6C4-4E18-B2B6-E1E751FE7DF2}" scale="60" showPageBreaks="1" printArea="1" hiddenRows="1" hiddenColumns="1" view="pageBreakPreview" topLeftCell="A321">
      <selection activeCell="B393" sqref="B393"/>
      <rowBreaks count="1" manualBreakCount="1">
        <brk id="445" max="11" man="1"/>
      </rowBreaks>
      <pageMargins left="0.7" right="0.7" top="0.75" bottom="0.75" header="0.3" footer="0.3"/>
      <pageSetup paperSize="9" scale="38" orientation="portrait" r:id="rId4"/>
    </customSheetView>
    <customSheetView guid="{D32E4BC6-6FD7-4441-855E-C6B8F80A132E}" scale="60" showPageBreaks="1" printArea="1" hiddenRows="1" hiddenColumns="1" view="pageBreakPreview" topLeftCell="A476">
      <selection activeCell="B527" sqref="B527"/>
      <rowBreaks count="1" manualBreakCount="1">
        <brk id="445" max="11" man="1"/>
      </rowBreaks>
      <pageMargins left="0.7" right="0.7" top="0.75" bottom="0.75" header="0.3" footer="0.3"/>
      <pageSetup paperSize="9" scale="38" orientation="portrait" r:id="rId5"/>
    </customSheetView>
  </customSheetViews>
  <mergeCells count="11">
    <mergeCell ref="B503:B505"/>
    <mergeCell ref="B442:B444"/>
    <mergeCell ref="G14:L14"/>
    <mergeCell ref="A6:B6"/>
    <mergeCell ref="A12:S12"/>
    <mergeCell ref="A13:S13"/>
    <mergeCell ref="B16:B18"/>
    <mergeCell ref="A501:I501"/>
    <mergeCell ref="A7:L7"/>
    <mergeCell ref="B287:B289"/>
    <mergeCell ref="B378:B380"/>
  </mergeCells>
  <pageMargins left="0.7" right="0.7" top="0.75" bottom="0.75" header="0.3" footer="0.3"/>
  <pageSetup paperSize="9" scale="38" orientation="portrait" r:id="rId6"/>
  <rowBreaks count="1" manualBreakCount="1">
    <brk id="445" max="11" man="1"/>
  </rowBreaks>
  <ignoredErrors>
    <ignoredError sqref="J16" formulaRange="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
  <sheetViews>
    <sheetView view="pageBreakPreview" zoomScaleNormal="85" zoomScaleSheetLayoutView="100" workbookViewId="0">
      <selection activeCell="D6" sqref="D6:I8"/>
    </sheetView>
  </sheetViews>
  <sheetFormatPr defaultRowHeight="14.4" x14ac:dyDescent="0.3"/>
  <cols>
    <col min="1" max="1" width="12.6640625" customWidth="1"/>
    <col min="2" max="2" width="20" customWidth="1"/>
    <col min="3" max="3" width="24.88671875" customWidth="1"/>
    <col min="4" max="4" width="12" customWidth="1"/>
    <col min="5" max="5" width="11.6640625" customWidth="1"/>
    <col min="6" max="6" width="11.5546875" customWidth="1"/>
    <col min="7" max="7" width="8.88671875" customWidth="1"/>
    <col min="8" max="8" width="8.44140625" customWidth="1"/>
    <col min="9" max="9" width="14.5546875" customWidth="1"/>
    <col min="12" max="12" width="11.88671875" customWidth="1"/>
    <col min="13" max="13" width="19.88671875" customWidth="1"/>
    <col min="14" max="14" width="24.5546875" customWidth="1"/>
    <col min="15" max="15" width="20.6640625" customWidth="1"/>
  </cols>
  <sheetData>
    <row r="1" spans="1:15" ht="15" customHeight="1" x14ac:dyDescent="0.3">
      <c r="A1" s="2524" t="s">
        <v>437</v>
      </c>
      <c r="B1" s="2524"/>
      <c r="C1" s="2524"/>
      <c r="D1" s="2524"/>
      <c r="E1" s="2524"/>
      <c r="F1" s="2524"/>
      <c r="G1" s="2524"/>
      <c r="H1" s="2524"/>
      <c r="I1" s="2524"/>
    </row>
    <row r="2" spans="1:15" x14ac:dyDescent="0.3">
      <c r="A2" s="2525"/>
      <c r="B2" s="2525"/>
      <c r="C2" s="2525"/>
      <c r="D2" s="2525"/>
      <c r="E2" s="2525"/>
      <c r="F2" s="2525"/>
      <c r="G2" s="2525"/>
      <c r="H2" s="2525"/>
      <c r="I2" s="2525"/>
    </row>
    <row r="3" spans="1:15" ht="36" customHeight="1" x14ac:dyDescent="0.3">
      <c r="A3" s="164" t="s">
        <v>31</v>
      </c>
      <c r="B3" s="2526" t="s">
        <v>434</v>
      </c>
      <c r="C3" s="2527"/>
      <c r="D3" s="2527"/>
      <c r="E3" s="2527"/>
      <c r="F3" s="2527"/>
      <c r="G3" s="2527"/>
      <c r="H3" s="2527"/>
      <c r="I3" s="2528"/>
    </row>
    <row r="4" spans="1:15" ht="21" customHeight="1" x14ac:dyDescent="0.3">
      <c r="A4" s="2529" t="s">
        <v>435</v>
      </c>
      <c r="B4" s="2529" t="s">
        <v>61</v>
      </c>
      <c r="C4" s="2529" t="s">
        <v>62</v>
      </c>
      <c r="D4" s="2526" t="s">
        <v>41</v>
      </c>
      <c r="E4" s="2527"/>
      <c r="F4" s="2527"/>
      <c r="G4" s="2527"/>
      <c r="H4" s="2527"/>
      <c r="I4" s="2528"/>
    </row>
    <row r="5" spans="1:15" ht="45" customHeight="1" x14ac:dyDescent="0.3">
      <c r="A5" s="2530"/>
      <c r="B5" s="2531"/>
      <c r="C5" s="2531"/>
      <c r="D5" s="165">
        <v>2018</v>
      </c>
      <c r="E5" s="165">
        <v>2019</v>
      </c>
      <c r="F5" s="165">
        <v>2020</v>
      </c>
      <c r="G5" s="165">
        <v>2021</v>
      </c>
      <c r="H5" s="165">
        <v>2022</v>
      </c>
      <c r="I5" s="164" t="s">
        <v>12</v>
      </c>
      <c r="M5" s="1438" t="s">
        <v>1680</v>
      </c>
    </row>
    <row r="6" spans="1:15" ht="39" customHeight="1" x14ac:dyDescent="0.3">
      <c r="A6" s="2530"/>
      <c r="B6" s="185"/>
      <c r="C6" s="164" t="s">
        <v>759</v>
      </c>
      <c r="D6" s="166">
        <f>SUM(D7:D8)</f>
        <v>4665223.57</v>
      </c>
      <c r="E6" s="166">
        <f>SUM(E7:E8)</f>
        <v>4172050.85</v>
      </c>
      <c r="F6" s="166">
        <f>SUM(F7:F8)</f>
        <v>3772789.52</v>
      </c>
      <c r="G6" s="166">
        <f>SUM(G7:G8)</f>
        <v>0</v>
      </c>
      <c r="H6" s="166">
        <f>SUM(H7:H8)</f>
        <v>0</v>
      </c>
      <c r="I6" s="166">
        <f>SUM(D6:H6)</f>
        <v>12610063.939999999</v>
      </c>
      <c r="L6" s="166">
        <f>SUM(L7:L8)</f>
        <v>12602690.939999999</v>
      </c>
      <c r="M6" s="1439">
        <f>SUM(M7:M8)</f>
        <v>7373</v>
      </c>
      <c r="N6" s="1438" t="s">
        <v>759</v>
      </c>
      <c r="O6" s="1440"/>
    </row>
    <row r="7" spans="1:15" ht="39" customHeight="1" x14ac:dyDescent="0.3">
      <c r="A7" s="2530"/>
      <c r="B7" s="164" t="s">
        <v>159</v>
      </c>
      <c r="C7" s="164" t="s">
        <v>13</v>
      </c>
      <c r="D7" s="170">
        <f>'МП 4'!G6</f>
        <v>126790</v>
      </c>
      <c r="E7" s="170">
        <f>'МП 4'!H6</f>
        <v>250806</v>
      </c>
      <c r="F7" s="170">
        <f>'МП 4'!I6</f>
        <v>0</v>
      </c>
      <c r="G7" s="170">
        <f>'МП 4'!J6</f>
        <v>0</v>
      </c>
      <c r="H7" s="170">
        <f>'МП 4'!K6</f>
        <v>0</v>
      </c>
      <c r="I7" s="170">
        <f>SUM(D7:H7)</f>
        <v>377596</v>
      </c>
      <c r="L7" s="166">
        <v>370223</v>
      </c>
      <c r="M7" s="166">
        <f>I7-L7</f>
        <v>7373</v>
      </c>
      <c r="N7" s="1438" t="s">
        <v>13</v>
      </c>
      <c r="O7" s="1438" t="s">
        <v>159</v>
      </c>
    </row>
    <row r="8" spans="1:15" ht="39" customHeight="1" x14ac:dyDescent="0.3">
      <c r="A8" s="2531"/>
      <c r="B8" s="186"/>
      <c r="C8" s="169" t="s">
        <v>231</v>
      </c>
      <c r="D8" s="170">
        <f>'МП 4'!G14+'МП 4'!G20+'МП 4'!G40</f>
        <v>4538433.57</v>
      </c>
      <c r="E8" s="170">
        <f>'МП 4'!H14+'МП 4'!H20+'МП 4'!H40</f>
        <v>3921244.85</v>
      </c>
      <c r="F8" s="170">
        <f>'МП 4'!I14+'МП 4'!I20+'МП 4'!I40</f>
        <v>3772789.52</v>
      </c>
      <c r="G8" s="170">
        <f>'МП 4'!J14+'МП 4'!J20+'МП 4'!J40</f>
        <v>0</v>
      </c>
      <c r="H8" s="170">
        <f>'МП 4'!K14+'МП 4'!K20+'МП 4'!K40</f>
        <v>0</v>
      </c>
      <c r="I8" s="170">
        <f>SUM(D8:H8)</f>
        <v>12232467.939999999</v>
      </c>
      <c r="L8" s="166">
        <v>12232467.939999999</v>
      </c>
      <c r="M8" s="166">
        <f>I8-L8</f>
        <v>0</v>
      </c>
      <c r="N8" s="1441" t="s">
        <v>231</v>
      </c>
      <c r="O8" s="1440"/>
    </row>
  </sheetData>
  <customSheetViews>
    <customSheetView guid="{7DDEA387-EEC9-4633-99BE-C0D9299FB093}" showPageBreaks="1" view="pageBreakPreview">
      <selection activeCell="D6" sqref="D6:I8"/>
      <pageMargins left="0.70866141732283472" right="0.70866141732283472" top="0.74803149606299213" bottom="0.74803149606299213" header="0.31496062992125984" footer="0.31496062992125984"/>
      <pageSetup paperSize="9" scale="80" orientation="landscape" r:id="rId1"/>
    </customSheetView>
    <customSheetView guid="{6592EBC0-D945-4F6F-93D1-49FCB588A4A0}" showPageBreaks="1" view="pageBreakPreview">
      <selection activeCell="G8" sqref="G8"/>
      <pageMargins left="0.70866141732283472" right="0.70866141732283472" top="0.74803149606299213" bottom="0.74803149606299213" header="0.31496062992125984" footer="0.31496062992125984"/>
      <pageSetup paperSize="9" scale="80" orientation="landscape" r:id="rId2"/>
    </customSheetView>
    <customSheetView guid="{001F394D-7E32-49E0-9108-A9790B233A9D}" showPageBreaks="1" view="pageBreakPreview">
      <selection activeCell="E6" sqref="E6"/>
      <pageMargins left="0.70866141732283472" right="0.70866141732283472" top="0.74803149606299213" bottom="0.74803149606299213" header="0.31496062992125984" footer="0.31496062992125984"/>
      <pageSetup paperSize="9" scale="80" orientation="landscape" r:id="rId3"/>
    </customSheetView>
    <customSheetView guid="{F08E63B0-D6C4-4E18-B2B6-E1E751FE7DF2}" showPageBreaks="1" view="pageBreakPreview">
      <selection activeCell="D6" sqref="D6:I8"/>
      <pageMargins left="0.70866141732283472" right="0.70866141732283472" top="0.74803149606299213" bottom="0.74803149606299213" header="0.31496062992125984" footer="0.31496062992125984"/>
      <pageSetup paperSize="9" scale="80" orientation="landscape" r:id="rId4"/>
    </customSheetView>
    <customSheetView guid="{D32E4BC6-6FD7-4441-855E-C6B8F80A132E}" showPageBreaks="1" view="pageBreakPreview">
      <selection activeCell="G8" sqref="G8"/>
      <pageMargins left="0.70866141732283472" right="0.70866141732283472" top="0.74803149606299213" bottom="0.74803149606299213" header="0.31496062992125984" footer="0.31496062992125984"/>
      <pageSetup paperSize="9" scale="80" orientation="landscape" r:id="rId5"/>
    </customSheetView>
  </customSheetViews>
  <mergeCells count="6">
    <mergeCell ref="A1:I2"/>
    <mergeCell ref="B3:I3"/>
    <mergeCell ref="A4:A8"/>
    <mergeCell ref="B4:B5"/>
    <mergeCell ref="C4:C5"/>
    <mergeCell ref="D4:I4"/>
  </mergeCells>
  <pageMargins left="0.70866141732283472" right="0.70866141732283472" top="0.74803149606299213" bottom="0.74803149606299213" header="0.31496062992125984" footer="0.31496062992125984"/>
  <pageSetup paperSize="9" scale="80" orientation="landscape"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
  <sheetViews>
    <sheetView view="pageBreakPreview" zoomScale="80" zoomScaleNormal="85" zoomScaleSheetLayoutView="80" workbookViewId="0">
      <pane ySplit="4" topLeftCell="A5" activePane="bottomLeft" state="frozen"/>
      <selection pane="bottomLeft" activeCell="G6" sqref="G6"/>
    </sheetView>
  </sheetViews>
  <sheetFormatPr defaultRowHeight="14.4" x14ac:dyDescent="0.3"/>
  <cols>
    <col min="1" max="1" width="9.109375" style="236"/>
    <col min="2" max="2" width="37" customWidth="1"/>
    <col min="3" max="3" width="15.44140625" customWidth="1"/>
    <col min="4" max="4" width="11.6640625" customWidth="1"/>
    <col min="5" max="5" width="21.88671875" customWidth="1"/>
    <col min="6" max="6" width="18.88671875" customWidth="1"/>
    <col min="7" max="7" width="18.109375" customWidth="1"/>
    <col min="8" max="8" width="14" customWidth="1"/>
    <col min="9" max="9" width="13.109375" customWidth="1"/>
    <col min="12" max="12" width="34.44140625" customWidth="1"/>
    <col min="13" max="13" width="34.109375" customWidth="1"/>
  </cols>
  <sheetData>
    <row r="1" spans="1:13" ht="26.25" customHeight="1" x14ac:dyDescent="0.3">
      <c r="A1" s="2534" t="s">
        <v>496</v>
      </c>
      <c r="B1" s="2534"/>
      <c r="C1" s="2534"/>
      <c r="D1" s="2534"/>
      <c r="E1" s="2534"/>
      <c r="F1" s="2534"/>
      <c r="G1" s="2534"/>
      <c r="H1" s="2534"/>
      <c r="I1" s="2534"/>
      <c r="J1" s="2534"/>
      <c r="K1" s="2534"/>
      <c r="L1" s="2534"/>
      <c r="M1" s="2534"/>
    </row>
    <row r="2" spans="1:13" s="508" customFormat="1" ht="39" customHeight="1" x14ac:dyDescent="0.3">
      <c r="A2" s="2264" t="s">
        <v>46</v>
      </c>
      <c r="B2" s="2264" t="s">
        <v>224</v>
      </c>
      <c r="C2" s="2264" t="s">
        <v>48</v>
      </c>
      <c r="D2" s="2264" t="s">
        <v>6</v>
      </c>
      <c r="E2" s="2535" t="s">
        <v>225</v>
      </c>
      <c r="F2" s="2265" t="s">
        <v>8</v>
      </c>
      <c r="G2" s="2265" t="s">
        <v>9</v>
      </c>
      <c r="H2" s="2536"/>
      <c r="I2" s="2536"/>
      <c r="J2" s="2536"/>
      <c r="K2" s="2536"/>
      <c r="L2" s="2268" t="s">
        <v>102</v>
      </c>
      <c r="M2" s="2268" t="s">
        <v>11</v>
      </c>
    </row>
    <row r="3" spans="1:13" s="508" customFormat="1" ht="29.25" customHeight="1" x14ac:dyDescent="0.3">
      <c r="A3" s="2264"/>
      <c r="B3" s="2264"/>
      <c r="C3" s="2264"/>
      <c r="D3" s="2264"/>
      <c r="E3" s="2535"/>
      <c r="F3" s="2265"/>
      <c r="G3" s="617" t="s">
        <v>4</v>
      </c>
      <c r="H3" s="618" t="s">
        <v>91</v>
      </c>
      <c r="I3" s="618" t="s">
        <v>90</v>
      </c>
      <c r="J3" s="618" t="s">
        <v>89</v>
      </c>
      <c r="K3" s="618" t="s">
        <v>221</v>
      </c>
      <c r="L3" s="2269"/>
      <c r="M3" s="2269"/>
    </row>
    <row r="4" spans="1:13" s="578" customFormat="1" ht="15" customHeight="1" x14ac:dyDescent="0.3">
      <c r="A4" s="619">
        <v>1</v>
      </c>
      <c r="B4" s="619">
        <v>2</v>
      </c>
      <c r="C4" s="619">
        <v>3</v>
      </c>
      <c r="D4" s="619">
        <v>4</v>
      </c>
      <c r="E4" s="619">
        <v>5</v>
      </c>
      <c r="F4" s="620">
        <v>6</v>
      </c>
      <c r="G4" s="620">
        <v>7</v>
      </c>
      <c r="H4" s="620">
        <v>8</v>
      </c>
      <c r="I4" s="620">
        <v>9</v>
      </c>
      <c r="J4" s="620">
        <v>10</v>
      </c>
      <c r="K4" s="620">
        <v>11</v>
      </c>
      <c r="L4" s="619">
        <v>12</v>
      </c>
      <c r="M4" s="619">
        <v>13</v>
      </c>
    </row>
    <row r="5" spans="1:13" s="1" customFormat="1" x14ac:dyDescent="0.3">
      <c r="A5" s="1488">
        <v>1</v>
      </c>
      <c r="B5" s="2230" t="s">
        <v>911</v>
      </c>
      <c r="C5" s="1488" t="s">
        <v>208</v>
      </c>
      <c r="D5" s="226" t="s">
        <v>12</v>
      </c>
      <c r="E5" s="197">
        <f>E6</f>
        <v>41609</v>
      </c>
      <c r="F5" s="197">
        <f>F6</f>
        <v>377596</v>
      </c>
      <c r="G5" s="197">
        <f>G6</f>
        <v>126790</v>
      </c>
      <c r="H5" s="197">
        <f t="shared" ref="H5:K5" si="0">H6</f>
        <v>250806</v>
      </c>
      <c r="I5" s="197">
        <f t="shared" si="0"/>
        <v>0</v>
      </c>
      <c r="J5" s="197">
        <f t="shared" si="0"/>
        <v>0</v>
      </c>
      <c r="K5" s="197">
        <f t="shared" si="0"/>
        <v>0</v>
      </c>
      <c r="L5" s="2532"/>
      <c r="M5" s="1488"/>
    </row>
    <row r="6" spans="1:13" s="1" customFormat="1" ht="48" customHeight="1" x14ac:dyDescent="0.3">
      <c r="A6" s="1488"/>
      <c r="B6" s="2230"/>
      <c r="C6" s="1488"/>
      <c r="D6" s="226" t="s">
        <v>13</v>
      </c>
      <c r="E6" s="197">
        <f>E8+E10</f>
        <v>41609</v>
      </c>
      <c r="F6" s="197">
        <f>F8+F10</f>
        <v>377596</v>
      </c>
      <c r="G6" s="197">
        <f>G8+G10</f>
        <v>126790</v>
      </c>
      <c r="H6" s="197">
        <f t="shared" ref="H6:K6" si="1">H8+H10</f>
        <v>250806</v>
      </c>
      <c r="I6" s="197">
        <f t="shared" si="1"/>
        <v>0</v>
      </c>
      <c r="J6" s="197">
        <f t="shared" si="1"/>
        <v>0</v>
      </c>
      <c r="K6" s="197">
        <f t="shared" si="1"/>
        <v>0</v>
      </c>
      <c r="L6" s="2533"/>
      <c r="M6" s="1488"/>
    </row>
    <row r="7" spans="1:13" s="1" customFormat="1" ht="24" customHeight="1" x14ac:dyDescent="0.3">
      <c r="A7" s="2537" t="s">
        <v>115</v>
      </c>
      <c r="B7" s="1488" t="s">
        <v>485</v>
      </c>
      <c r="C7" s="1488">
        <v>2018</v>
      </c>
      <c r="D7" s="226" t="s">
        <v>12</v>
      </c>
      <c r="E7" s="197">
        <f t="shared" ref="E7:K9" si="2">E8</f>
        <v>5129</v>
      </c>
      <c r="F7" s="197">
        <f t="shared" si="2"/>
        <v>66000</v>
      </c>
      <c r="G7" s="197">
        <f t="shared" si="2"/>
        <v>66000</v>
      </c>
      <c r="H7" s="232">
        <f t="shared" si="2"/>
        <v>0</v>
      </c>
      <c r="I7" s="232">
        <f t="shared" si="2"/>
        <v>0</v>
      </c>
      <c r="J7" s="232">
        <f t="shared" si="2"/>
        <v>0</v>
      </c>
      <c r="K7" s="232">
        <f t="shared" si="2"/>
        <v>0</v>
      </c>
      <c r="L7" s="2532" t="s">
        <v>488</v>
      </c>
      <c r="M7" s="1488" t="s">
        <v>483</v>
      </c>
    </row>
    <row r="8" spans="1:13" s="1" customFormat="1" ht="48.75" customHeight="1" x14ac:dyDescent="0.3">
      <c r="A8" s="2537"/>
      <c r="B8" s="1488"/>
      <c r="C8" s="1488"/>
      <c r="D8" s="226" t="s">
        <v>13</v>
      </c>
      <c r="E8" s="197">
        <v>5129</v>
      </c>
      <c r="F8" s="197">
        <f>SUM(G8:K8)</f>
        <v>66000</v>
      </c>
      <c r="G8" s="197">
        <v>66000</v>
      </c>
      <c r="H8" s="232">
        <v>0</v>
      </c>
      <c r="I8" s="232">
        <v>0</v>
      </c>
      <c r="J8" s="232">
        <v>0</v>
      </c>
      <c r="K8" s="232">
        <v>0</v>
      </c>
      <c r="L8" s="2533"/>
      <c r="M8" s="1488"/>
    </row>
    <row r="9" spans="1:13" s="1" customFormat="1" ht="15" customHeight="1" x14ac:dyDescent="0.3">
      <c r="A9" s="2538" t="s">
        <v>831</v>
      </c>
      <c r="B9" s="2539" t="s">
        <v>912</v>
      </c>
      <c r="C9" s="1495" t="s">
        <v>908</v>
      </c>
      <c r="D9" s="1036" t="s">
        <v>12</v>
      </c>
      <c r="E9" s="1081">
        <f t="shared" ref="E9:H9" si="3">E10</f>
        <v>36480</v>
      </c>
      <c r="F9" s="1081">
        <f t="shared" si="3"/>
        <v>311596</v>
      </c>
      <c r="G9" s="1081">
        <f t="shared" si="3"/>
        <v>60790</v>
      </c>
      <c r="H9" s="1081">
        <f t="shared" si="3"/>
        <v>250806</v>
      </c>
      <c r="I9" s="1082">
        <f t="shared" si="2"/>
        <v>0</v>
      </c>
      <c r="J9" s="1082">
        <f t="shared" si="2"/>
        <v>0</v>
      </c>
      <c r="K9" s="1082">
        <f t="shared" si="2"/>
        <v>0</v>
      </c>
      <c r="L9" s="2541" t="s">
        <v>488</v>
      </c>
      <c r="M9" s="1495" t="s">
        <v>487</v>
      </c>
    </row>
    <row r="10" spans="1:13" s="1" customFormat="1" ht="63" customHeight="1" x14ac:dyDescent="0.3">
      <c r="A10" s="2538"/>
      <c r="B10" s="2540"/>
      <c r="C10" s="1495"/>
      <c r="D10" s="1036" t="s">
        <v>13</v>
      </c>
      <c r="E10" s="1081">
        <v>36480</v>
      </c>
      <c r="F10" s="1081">
        <f>SUM(G10:K10)</f>
        <v>311596</v>
      </c>
      <c r="G10" s="1081">
        <v>60790</v>
      </c>
      <c r="H10" s="1081">
        <v>250806</v>
      </c>
      <c r="I10" s="1082">
        <v>0</v>
      </c>
      <c r="J10" s="1082">
        <v>0</v>
      </c>
      <c r="K10" s="1082">
        <v>0</v>
      </c>
      <c r="L10" s="2541"/>
      <c r="M10" s="1495"/>
    </row>
    <row r="11" spans="1:13" s="1" customFormat="1" ht="55.2" x14ac:dyDescent="0.3">
      <c r="A11" s="226">
        <v>2</v>
      </c>
      <c r="B11" s="262" t="s">
        <v>913</v>
      </c>
      <c r="C11" s="226" t="s">
        <v>227</v>
      </c>
      <c r="D11" s="226"/>
      <c r="E11" s="2542"/>
      <c r="F11" s="2543"/>
      <c r="G11" s="2543"/>
      <c r="H11" s="2543"/>
      <c r="I11" s="2543"/>
      <c r="J11" s="2543"/>
      <c r="K11" s="2544"/>
      <c r="L11" s="197"/>
      <c r="M11" s="226"/>
    </row>
    <row r="12" spans="1:13" s="1" customFormat="1" ht="63" customHeight="1" x14ac:dyDescent="0.3">
      <c r="A12" s="234" t="s">
        <v>149</v>
      </c>
      <c r="B12" s="226" t="s">
        <v>909</v>
      </c>
      <c r="C12" s="226" t="s">
        <v>227</v>
      </c>
      <c r="D12" s="226"/>
      <c r="E12" s="2542" t="s">
        <v>483</v>
      </c>
      <c r="F12" s="2543"/>
      <c r="G12" s="2543"/>
      <c r="H12" s="2543"/>
      <c r="I12" s="2543"/>
      <c r="J12" s="2543"/>
      <c r="K12" s="2544"/>
      <c r="L12" s="197" t="s">
        <v>480</v>
      </c>
      <c r="M12" s="226" t="s">
        <v>910</v>
      </c>
    </row>
    <row r="13" spans="1:13" s="1" customFormat="1" x14ac:dyDescent="0.3">
      <c r="A13" s="1488">
        <v>3</v>
      </c>
      <c r="B13" s="2230" t="s">
        <v>907</v>
      </c>
      <c r="C13" s="1488" t="s">
        <v>441</v>
      </c>
      <c r="D13" s="195" t="s">
        <v>12</v>
      </c>
      <c r="E13" s="197">
        <f>E14</f>
        <v>502119.05</v>
      </c>
      <c r="F13" s="197">
        <f>F14</f>
        <v>1506357.15</v>
      </c>
      <c r="G13" s="197">
        <f>G14</f>
        <v>502119.05</v>
      </c>
      <c r="H13" s="198">
        <f t="shared" ref="H13:K14" si="4">H15</f>
        <v>502119.05</v>
      </c>
      <c r="I13" s="198">
        <f t="shared" si="4"/>
        <v>502119.05</v>
      </c>
      <c r="J13" s="232">
        <f t="shared" si="4"/>
        <v>0</v>
      </c>
      <c r="K13" s="232">
        <f t="shared" si="4"/>
        <v>0</v>
      </c>
      <c r="L13" s="2532"/>
      <c r="M13" s="1488"/>
    </row>
    <row r="14" spans="1:13" s="1" customFormat="1" ht="30.75" customHeight="1" x14ac:dyDescent="0.3">
      <c r="A14" s="1488"/>
      <c r="B14" s="2230"/>
      <c r="C14" s="1488"/>
      <c r="D14" s="195" t="s">
        <v>15</v>
      </c>
      <c r="E14" s="197">
        <f>E16</f>
        <v>502119.05</v>
      </c>
      <c r="F14" s="197">
        <f>SUM(G14:I14)</f>
        <v>1506357.15</v>
      </c>
      <c r="G14" s="197">
        <f>G16</f>
        <v>502119.05</v>
      </c>
      <c r="H14" s="198">
        <f t="shared" si="4"/>
        <v>502119.05</v>
      </c>
      <c r="I14" s="198">
        <f t="shared" si="4"/>
        <v>502119.05</v>
      </c>
      <c r="J14" s="232">
        <f t="shared" si="4"/>
        <v>0</v>
      </c>
      <c r="K14" s="232">
        <f t="shared" si="4"/>
        <v>0</v>
      </c>
      <c r="L14" s="2533"/>
      <c r="M14" s="1488"/>
    </row>
    <row r="15" spans="1:13" s="1" customFormat="1" x14ac:dyDescent="0.3">
      <c r="A15" s="2537" t="s">
        <v>486</v>
      </c>
      <c r="B15" s="1488" t="s">
        <v>485</v>
      </c>
      <c r="C15" s="1488" t="s">
        <v>441</v>
      </c>
      <c r="D15" s="195" t="s">
        <v>12</v>
      </c>
      <c r="E15" s="197">
        <f t="shared" ref="E15:K15" si="5">E16</f>
        <v>502119.05</v>
      </c>
      <c r="F15" s="197">
        <f t="shared" si="5"/>
        <v>1506357.15</v>
      </c>
      <c r="G15" s="197">
        <f>G16</f>
        <v>502119.05</v>
      </c>
      <c r="H15" s="198">
        <f t="shared" si="5"/>
        <v>502119.05</v>
      </c>
      <c r="I15" s="198">
        <f t="shared" si="5"/>
        <v>502119.05</v>
      </c>
      <c r="J15" s="232">
        <f t="shared" si="5"/>
        <v>0</v>
      </c>
      <c r="K15" s="232">
        <f t="shared" si="5"/>
        <v>0</v>
      </c>
      <c r="L15" s="2532" t="s">
        <v>484</v>
      </c>
      <c r="M15" s="1488" t="s">
        <v>483</v>
      </c>
    </row>
    <row r="16" spans="1:13" s="1" customFormat="1" ht="124.5" customHeight="1" x14ac:dyDescent="0.3">
      <c r="A16" s="2537"/>
      <c r="B16" s="1488"/>
      <c r="C16" s="1488"/>
      <c r="D16" s="195" t="s">
        <v>15</v>
      </c>
      <c r="E16" s="197">
        <v>502119.05</v>
      </c>
      <c r="F16" s="197">
        <f>SUM(G16:I16)</f>
        <v>1506357.15</v>
      </c>
      <c r="G16" s="197">
        <v>502119.05</v>
      </c>
      <c r="H16" s="198">
        <v>502119.05</v>
      </c>
      <c r="I16" s="198">
        <v>502119.05</v>
      </c>
      <c r="J16" s="232">
        <v>0</v>
      </c>
      <c r="K16" s="232">
        <v>0</v>
      </c>
      <c r="L16" s="2533"/>
      <c r="M16" s="1488"/>
    </row>
    <row r="17" spans="1:13" s="1" customFormat="1" ht="41.4" x14ac:dyDescent="0.3">
      <c r="A17" s="226">
        <v>4</v>
      </c>
      <c r="B17" s="262" t="s">
        <v>946</v>
      </c>
      <c r="C17" s="226" t="s">
        <v>441</v>
      </c>
      <c r="D17" s="226"/>
      <c r="E17" s="233"/>
      <c r="F17" s="233"/>
      <c r="G17" s="233"/>
      <c r="H17" s="233"/>
      <c r="I17" s="233"/>
      <c r="J17" s="233"/>
      <c r="K17" s="233"/>
      <c r="L17" s="228"/>
      <c r="M17" s="226"/>
    </row>
    <row r="18" spans="1:13" s="1" customFormat="1" ht="66" customHeight="1" x14ac:dyDescent="0.3">
      <c r="A18" s="235" t="s">
        <v>482</v>
      </c>
      <c r="B18" s="226" t="s">
        <v>481</v>
      </c>
      <c r="C18" s="226" t="s">
        <v>441</v>
      </c>
      <c r="D18" s="226"/>
      <c r="E18" s="2545" t="s">
        <v>478</v>
      </c>
      <c r="F18" s="2546"/>
      <c r="G18" s="2546"/>
      <c r="H18" s="2546"/>
      <c r="I18" s="2546"/>
      <c r="J18" s="2546"/>
      <c r="K18" s="2547"/>
      <c r="L18" s="228" t="s">
        <v>480</v>
      </c>
      <c r="M18" s="229" t="s">
        <v>479</v>
      </c>
    </row>
    <row r="19" spans="1:13" s="1" customFormat="1" x14ac:dyDescent="0.3">
      <c r="A19" s="2537" t="s">
        <v>477</v>
      </c>
      <c r="B19" s="2230" t="s">
        <v>947</v>
      </c>
      <c r="C19" s="1488" t="s">
        <v>441</v>
      </c>
      <c r="D19" s="195" t="s">
        <v>12</v>
      </c>
      <c r="E19" s="198">
        <f t="shared" ref="E19:K19" si="6">E20</f>
        <v>4075113.36</v>
      </c>
      <c r="F19" s="198">
        <f t="shared" si="6"/>
        <v>10345746.789999999</v>
      </c>
      <c r="G19" s="198">
        <f t="shared" si="6"/>
        <v>3909526.52</v>
      </c>
      <c r="H19" s="198">
        <f t="shared" si="6"/>
        <v>3292337.8</v>
      </c>
      <c r="I19" s="198">
        <f t="shared" si="6"/>
        <v>3143882.47</v>
      </c>
      <c r="J19" s="232">
        <f t="shared" si="6"/>
        <v>0</v>
      </c>
      <c r="K19" s="232">
        <f t="shared" si="6"/>
        <v>0</v>
      </c>
      <c r="L19" s="2532"/>
      <c r="M19" s="1488"/>
    </row>
    <row r="20" spans="1:13" s="1" customFormat="1" ht="39" customHeight="1" x14ac:dyDescent="0.3">
      <c r="A20" s="2537"/>
      <c r="B20" s="2230"/>
      <c r="C20" s="1488"/>
      <c r="D20" s="195" t="s">
        <v>15</v>
      </c>
      <c r="E20" s="198">
        <f>E22+E24+E26+E28+E30+E32+E34+E36+E38</f>
        <v>4075113.36</v>
      </c>
      <c r="F20" s="198">
        <f>SUM(G20:K20)</f>
        <v>10345746.789999999</v>
      </c>
      <c r="G20" s="198">
        <f>G22+G24+G26+G28+G30+G32+G34+G36+G38</f>
        <v>3909526.52</v>
      </c>
      <c r="H20" s="198">
        <f>H22+H24+H26+H28+H30+H32+H34+H36+H38</f>
        <v>3292337.8</v>
      </c>
      <c r="I20" s="198">
        <f>I22+I24+I26+I28+I30+I32+I34+I36+I38</f>
        <v>3143882.47</v>
      </c>
      <c r="J20" s="232">
        <v>0</v>
      </c>
      <c r="K20" s="232">
        <v>0</v>
      </c>
      <c r="L20" s="2533"/>
      <c r="M20" s="1488"/>
    </row>
    <row r="21" spans="1:13" s="1" customFormat="1" ht="39" customHeight="1" x14ac:dyDescent="0.3">
      <c r="A21" s="2537" t="s">
        <v>476</v>
      </c>
      <c r="B21" s="1488" t="s">
        <v>475</v>
      </c>
      <c r="C21" s="1488" t="s">
        <v>441</v>
      </c>
      <c r="D21" s="195" t="s">
        <v>12</v>
      </c>
      <c r="E21" s="198">
        <f t="shared" ref="E21:K21" si="7">E22</f>
        <v>517943.24</v>
      </c>
      <c r="F21" s="198">
        <f t="shared" si="7"/>
        <v>1553829.72</v>
      </c>
      <c r="G21" s="198">
        <f t="shared" si="7"/>
        <v>517943.24</v>
      </c>
      <c r="H21" s="198">
        <f t="shared" si="7"/>
        <v>517943.24</v>
      </c>
      <c r="I21" s="198">
        <f t="shared" si="7"/>
        <v>517943.24</v>
      </c>
      <c r="J21" s="232">
        <f t="shared" si="7"/>
        <v>0</v>
      </c>
      <c r="K21" s="232">
        <f t="shared" si="7"/>
        <v>0</v>
      </c>
      <c r="L21" s="2532" t="s">
        <v>459</v>
      </c>
      <c r="M21" s="1488" t="s">
        <v>474</v>
      </c>
    </row>
    <row r="22" spans="1:13" s="1" customFormat="1" ht="72.75" customHeight="1" x14ac:dyDescent="0.3">
      <c r="A22" s="2537"/>
      <c r="B22" s="1488"/>
      <c r="C22" s="1488"/>
      <c r="D22" s="195" t="s">
        <v>15</v>
      </c>
      <c r="E22" s="198">
        <v>517943.24</v>
      </c>
      <c r="F22" s="198">
        <f>SUM(G22:K22)</f>
        <v>1553829.72</v>
      </c>
      <c r="G22" s="198">
        <v>517943.24</v>
      </c>
      <c r="H22" s="198">
        <v>517943.24</v>
      </c>
      <c r="I22" s="198">
        <v>517943.24</v>
      </c>
      <c r="J22" s="232">
        <f>J24</f>
        <v>0</v>
      </c>
      <c r="K22" s="232">
        <f>K24</f>
        <v>0</v>
      </c>
      <c r="L22" s="2533"/>
      <c r="M22" s="1488"/>
    </row>
    <row r="23" spans="1:13" s="1" customFormat="1" ht="20.25" customHeight="1" x14ac:dyDescent="0.3">
      <c r="A23" s="2537" t="s">
        <v>473</v>
      </c>
      <c r="B23" s="1488" t="s">
        <v>472</v>
      </c>
      <c r="C23" s="1488" t="s">
        <v>441</v>
      </c>
      <c r="D23" s="195" t="s">
        <v>12</v>
      </c>
      <c r="E23" s="198">
        <f t="shared" ref="E23:K23" si="8">E24</f>
        <v>998560</v>
      </c>
      <c r="F23" s="198">
        <f t="shared" si="8"/>
        <v>2995680</v>
      </c>
      <c r="G23" s="198">
        <f t="shared" si="8"/>
        <v>998560</v>
      </c>
      <c r="H23" s="198">
        <f t="shared" si="8"/>
        <v>998560</v>
      </c>
      <c r="I23" s="198">
        <f t="shared" si="8"/>
        <v>998560</v>
      </c>
      <c r="J23" s="232">
        <f t="shared" si="8"/>
        <v>0</v>
      </c>
      <c r="K23" s="232">
        <f t="shared" si="8"/>
        <v>0</v>
      </c>
      <c r="L23" s="2532" t="s">
        <v>459</v>
      </c>
      <c r="M23" s="1488" t="s">
        <v>471</v>
      </c>
    </row>
    <row r="24" spans="1:13" s="1" customFormat="1" ht="69.75" customHeight="1" x14ac:dyDescent="0.3">
      <c r="A24" s="2537"/>
      <c r="B24" s="1488"/>
      <c r="C24" s="1488"/>
      <c r="D24" s="195" t="s">
        <v>15</v>
      </c>
      <c r="E24" s="198">
        <v>998560</v>
      </c>
      <c r="F24" s="198">
        <f>SUM(G24:K24)</f>
        <v>2995680</v>
      </c>
      <c r="G24" s="198">
        <v>998560</v>
      </c>
      <c r="H24" s="198">
        <v>998560</v>
      </c>
      <c r="I24" s="198">
        <v>998560</v>
      </c>
      <c r="J24" s="232">
        <v>0</v>
      </c>
      <c r="K24" s="232">
        <v>0</v>
      </c>
      <c r="L24" s="2533"/>
      <c r="M24" s="1488"/>
    </row>
    <row r="25" spans="1:13" s="1" customFormat="1" ht="70.5" customHeight="1" x14ac:dyDescent="0.3">
      <c r="A25" s="2537" t="s">
        <v>470</v>
      </c>
      <c r="B25" s="1488" t="s">
        <v>469</v>
      </c>
      <c r="C25" s="1488" t="s">
        <v>441</v>
      </c>
      <c r="D25" s="195" t="s">
        <v>12</v>
      </c>
      <c r="E25" s="198">
        <f t="shared" ref="E25:K25" si="9">E26</f>
        <v>10836.49</v>
      </c>
      <c r="F25" s="198">
        <f t="shared" si="9"/>
        <v>32509.47</v>
      </c>
      <c r="G25" s="198">
        <f t="shared" si="9"/>
        <v>10836.49</v>
      </c>
      <c r="H25" s="198">
        <f t="shared" si="9"/>
        <v>10836.49</v>
      </c>
      <c r="I25" s="198">
        <f t="shared" si="9"/>
        <v>10836.49</v>
      </c>
      <c r="J25" s="232">
        <f t="shared" si="9"/>
        <v>0</v>
      </c>
      <c r="K25" s="232">
        <f t="shared" si="9"/>
        <v>0</v>
      </c>
      <c r="L25" s="2532" t="s">
        <v>459</v>
      </c>
      <c r="M25" s="1488" t="s">
        <v>468</v>
      </c>
    </row>
    <row r="26" spans="1:13" s="1" customFormat="1" ht="21.75" customHeight="1" x14ac:dyDescent="0.3">
      <c r="A26" s="2537"/>
      <c r="B26" s="1488"/>
      <c r="C26" s="1488"/>
      <c r="D26" s="195" t="s">
        <v>15</v>
      </c>
      <c r="E26" s="198">
        <v>10836.49</v>
      </c>
      <c r="F26" s="198">
        <f>SUM(G26:K26)</f>
        <v>32509.47</v>
      </c>
      <c r="G26" s="198">
        <v>10836.49</v>
      </c>
      <c r="H26" s="198">
        <v>10836.49</v>
      </c>
      <c r="I26" s="198">
        <v>10836.49</v>
      </c>
      <c r="J26" s="232">
        <v>0</v>
      </c>
      <c r="K26" s="232">
        <v>0</v>
      </c>
      <c r="L26" s="2533"/>
      <c r="M26" s="1488"/>
    </row>
    <row r="27" spans="1:13" s="1" customFormat="1" x14ac:dyDescent="0.3">
      <c r="A27" s="2537" t="s">
        <v>467</v>
      </c>
      <c r="B27" s="1488" t="s">
        <v>466</v>
      </c>
      <c r="C27" s="1488" t="s">
        <v>441</v>
      </c>
      <c r="D27" s="195" t="s">
        <v>12</v>
      </c>
      <c r="E27" s="198">
        <f t="shared" ref="E27:K27" si="10">E28</f>
        <v>1017794.42</v>
      </c>
      <c r="F27" s="198">
        <f t="shared" si="10"/>
        <v>3053383.26</v>
      </c>
      <c r="G27" s="198">
        <f t="shared" si="10"/>
        <v>1017794.42</v>
      </c>
      <c r="H27" s="198">
        <f t="shared" si="10"/>
        <v>1017794.42</v>
      </c>
      <c r="I27" s="198">
        <f t="shared" si="10"/>
        <v>1017794.42</v>
      </c>
      <c r="J27" s="232">
        <f t="shared" si="10"/>
        <v>0</v>
      </c>
      <c r="K27" s="232">
        <f t="shared" si="10"/>
        <v>0</v>
      </c>
      <c r="L27" s="2532" t="s">
        <v>459</v>
      </c>
      <c r="M27" s="1488" t="s">
        <v>465</v>
      </c>
    </row>
    <row r="28" spans="1:13" s="1" customFormat="1" ht="77.25" customHeight="1" x14ac:dyDescent="0.3">
      <c r="A28" s="2537"/>
      <c r="B28" s="1488"/>
      <c r="C28" s="1488"/>
      <c r="D28" s="195" t="s">
        <v>15</v>
      </c>
      <c r="E28" s="198">
        <v>1017794.42</v>
      </c>
      <c r="F28" s="198">
        <f>SUM(G28:K28)</f>
        <v>3053383.26</v>
      </c>
      <c r="G28" s="198">
        <v>1017794.42</v>
      </c>
      <c r="H28" s="198">
        <v>1017794.42</v>
      </c>
      <c r="I28" s="198">
        <v>1017794.42</v>
      </c>
      <c r="J28" s="232">
        <v>0</v>
      </c>
      <c r="K28" s="232">
        <v>0</v>
      </c>
      <c r="L28" s="2533"/>
      <c r="M28" s="1488"/>
    </row>
    <row r="29" spans="1:13" s="1" customFormat="1" x14ac:dyDescent="0.3">
      <c r="A29" s="2537" t="s">
        <v>464</v>
      </c>
      <c r="B29" s="1488" t="s">
        <v>463</v>
      </c>
      <c r="C29" s="1488" t="s">
        <v>441</v>
      </c>
      <c r="D29" s="195" t="s">
        <v>12</v>
      </c>
      <c r="E29" s="198">
        <f t="shared" ref="E29:K29" si="11">E30</f>
        <v>478401</v>
      </c>
      <c r="F29" s="198">
        <f t="shared" si="11"/>
        <v>1435203</v>
      </c>
      <c r="G29" s="198">
        <f t="shared" si="11"/>
        <v>478401</v>
      </c>
      <c r="H29" s="198">
        <f t="shared" si="11"/>
        <v>478401</v>
      </c>
      <c r="I29" s="198">
        <f t="shared" si="11"/>
        <v>478401</v>
      </c>
      <c r="J29" s="232">
        <f t="shared" si="11"/>
        <v>0</v>
      </c>
      <c r="K29" s="232">
        <f t="shared" si="11"/>
        <v>0</v>
      </c>
      <c r="L29" s="2532" t="s">
        <v>459</v>
      </c>
      <c r="M29" s="1488" t="s">
        <v>462</v>
      </c>
    </row>
    <row r="30" spans="1:13" s="1" customFormat="1" ht="78" customHeight="1" x14ac:dyDescent="0.3">
      <c r="A30" s="2537"/>
      <c r="B30" s="1488"/>
      <c r="C30" s="1488"/>
      <c r="D30" s="195" t="s">
        <v>15</v>
      </c>
      <c r="E30" s="198">
        <v>478401</v>
      </c>
      <c r="F30" s="198">
        <f>SUM(G30:K30)</f>
        <v>1435203</v>
      </c>
      <c r="G30" s="198">
        <v>478401</v>
      </c>
      <c r="H30" s="198">
        <v>478401</v>
      </c>
      <c r="I30" s="198">
        <v>478401</v>
      </c>
      <c r="J30" s="232">
        <v>0</v>
      </c>
      <c r="K30" s="232">
        <v>0</v>
      </c>
      <c r="L30" s="2533"/>
      <c r="M30" s="1488"/>
    </row>
    <row r="31" spans="1:13" s="1" customFormat="1" x14ac:dyDescent="0.3">
      <c r="A31" s="2537" t="s">
        <v>461</v>
      </c>
      <c r="B31" s="1488" t="s">
        <v>460</v>
      </c>
      <c r="C31" s="1488" t="s">
        <v>441</v>
      </c>
      <c r="D31" s="195" t="s">
        <v>12</v>
      </c>
      <c r="E31" s="198">
        <f t="shared" ref="E31:K31" si="12">E32</f>
        <v>67966.649999999994</v>
      </c>
      <c r="F31" s="198">
        <f t="shared" si="12"/>
        <v>203899.95</v>
      </c>
      <c r="G31" s="198">
        <f t="shared" si="12"/>
        <v>67966.649999999994</v>
      </c>
      <c r="H31" s="198">
        <f t="shared" si="12"/>
        <v>67966.649999999994</v>
      </c>
      <c r="I31" s="198">
        <f t="shared" si="12"/>
        <v>67966.649999999994</v>
      </c>
      <c r="J31" s="232">
        <f t="shared" si="12"/>
        <v>0</v>
      </c>
      <c r="K31" s="232">
        <f t="shared" si="12"/>
        <v>0</v>
      </c>
      <c r="L31" s="2532" t="s">
        <v>459</v>
      </c>
      <c r="M31" s="1488" t="s">
        <v>458</v>
      </c>
    </row>
    <row r="32" spans="1:13" s="1" customFormat="1" ht="78" customHeight="1" x14ac:dyDescent="0.3">
      <c r="A32" s="2537"/>
      <c r="B32" s="1488"/>
      <c r="C32" s="1488"/>
      <c r="D32" s="195" t="s">
        <v>15</v>
      </c>
      <c r="E32" s="198">
        <v>67966.649999999994</v>
      </c>
      <c r="F32" s="198">
        <f>SUM(G32:K32)</f>
        <v>203899.95</v>
      </c>
      <c r="G32" s="198">
        <v>67966.649999999994</v>
      </c>
      <c r="H32" s="198">
        <v>67966.649999999994</v>
      </c>
      <c r="I32" s="198">
        <v>67966.649999999994</v>
      </c>
      <c r="J32" s="232">
        <v>0</v>
      </c>
      <c r="K32" s="232">
        <v>0</v>
      </c>
      <c r="L32" s="2533"/>
      <c r="M32" s="1488"/>
    </row>
    <row r="33" spans="1:13" s="1" customFormat="1" x14ac:dyDescent="0.3">
      <c r="A33" s="2537" t="s">
        <v>457</v>
      </c>
      <c r="B33" s="1488" t="s">
        <v>456</v>
      </c>
      <c r="C33" s="1488" t="s">
        <v>441</v>
      </c>
      <c r="D33" s="195" t="s">
        <v>12</v>
      </c>
      <c r="E33" s="198">
        <f t="shared" ref="E33:K33" si="13">E34</f>
        <v>974828.89</v>
      </c>
      <c r="F33" s="198">
        <f t="shared" si="13"/>
        <v>995488.21</v>
      </c>
      <c r="G33" s="198">
        <f t="shared" si="13"/>
        <v>742271.54</v>
      </c>
      <c r="H33" s="198">
        <f t="shared" si="13"/>
        <v>200836</v>
      </c>
      <c r="I33" s="198">
        <f t="shared" si="13"/>
        <v>52380.67</v>
      </c>
      <c r="J33" s="232">
        <f t="shared" si="13"/>
        <v>0</v>
      </c>
      <c r="K33" s="232">
        <f t="shared" si="13"/>
        <v>0</v>
      </c>
      <c r="L33" s="2532" t="s">
        <v>452</v>
      </c>
      <c r="M33" s="1488" t="s">
        <v>455</v>
      </c>
    </row>
    <row r="34" spans="1:13" s="1" customFormat="1" ht="103.5" customHeight="1" x14ac:dyDescent="0.3">
      <c r="A34" s="2537"/>
      <c r="B34" s="1488"/>
      <c r="C34" s="1488"/>
      <c r="D34" s="195" t="s">
        <v>15</v>
      </c>
      <c r="E34" s="198">
        <v>974828.89</v>
      </c>
      <c r="F34" s="198">
        <f>SUM(G34:K34)</f>
        <v>995488.21</v>
      </c>
      <c r="G34" s="199">
        <v>742271.54</v>
      </c>
      <c r="H34" s="199">
        <v>200836</v>
      </c>
      <c r="I34" s="199">
        <v>52380.67</v>
      </c>
      <c r="J34" s="232">
        <v>0</v>
      </c>
      <c r="K34" s="232">
        <v>0</v>
      </c>
      <c r="L34" s="2533"/>
      <c r="M34" s="1488"/>
    </row>
    <row r="35" spans="1:13" x14ac:dyDescent="0.3">
      <c r="A35" s="2537" t="s">
        <v>454</v>
      </c>
      <c r="B35" s="1488" t="s">
        <v>453</v>
      </c>
      <c r="C35" s="1488" t="s">
        <v>448</v>
      </c>
      <c r="D35" s="195" t="s">
        <v>12</v>
      </c>
      <c r="E35" s="198">
        <f t="shared" ref="E35:K35" si="14">E36</f>
        <v>8782.67</v>
      </c>
      <c r="F35" s="198">
        <f t="shared" si="14"/>
        <v>71829.179999999993</v>
      </c>
      <c r="G35" s="198">
        <f t="shared" si="14"/>
        <v>71829.179999999993</v>
      </c>
      <c r="H35" s="233">
        <f t="shared" si="14"/>
        <v>0</v>
      </c>
      <c r="I35" s="233">
        <f t="shared" si="14"/>
        <v>0</v>
      </c>
      <c r="J35" s="233">
        <f t="shared" si="14"/>
        <v>0</v>
      </c>
      <c r="K35" s="233">
        <f t="shared" si="14"/>
        <v>0</v>
      </c>
      <c r="L35" s="2532" t="s">
        <v>452</v>
      </c>
      <c r="M35" s="1488" t="s">
        <v>451</v>
      </c>
    </row>
    <row r="36" spans="1:13" ht="23.25" customHeight="1" x14ac:dyDescent="0.3">
      <c r="A36" s="2537"/>
      <c r="B36" s="1488"/>
      <c r="C36" s="1488"/>
      <c r="D36" s="195" t="s">
        <v>15</v>
      </c>
      <c r="E36" s="198">
        <v>8782.67</v>
      </c>
      <c r="F36" s="198">
        <f>SUM(G36:K36)</f>
        <v>71829.179999999993</v>
      </c>
      <c r="G36" s="198">
        <v>71829.179999999993</v>
      </c>
      <c r="H36" s="233">
        <v>0</v>
      </c>
      <c r="I36" s="233">
        <v>0</v>
      </c>
      <c r="J36" s="233">
        <v>0</v>
      </c>
      <c r="K36" s="233">
        <v>0</v>
      </c>
      <c r="L36" s="2533"/>
      <c r="M36" s="1488"/>
    </row>
    <row r="37" spans="1:13" x14ac:dyDescent="0.3">
      <c r="A37" s="2537" t="s">
        <v>450</v>
      </c>
      <c r="B37" s="1488" t="s">
        <v>449</v>
      </c>
      <c r="C37" s="1488" t="s">
        <v>448</v>
      </c>
      <c r="D37" s="195" t="s">
        <v>12</v>
      </c>
      <c r="E37" s="227"/>
      <c r="F37" s="198">
        <f t="shared" ref="F37:K37" si="15">F38</f>
        <v>3924</v>
      </c>
      <c r="G37" s="198">
        <f t="shared" si="15"/>
        <v>3924</v>
      </c>
      <c r="H37" s="233">
        <f t="shared" si="15"/>
        <v>0</v>
      </c>
      <c r="I37" s="233">
        <f t="shared" si="15"/>
        <v>0</v>
      </c>
      <c r="J37" s="233">
        <f t="shared" si="15"/>
        <v>0</v>
      </c>
      <c r="K37" s="233">
        <f t="shared" si="15"/>
        <v>0</v>
      </c>
      <c r="L37" s="2532" t="s">
        <v>446</v>
      </c>
      <c r="M37" s="1488" t="s">
        <v>445</v>
      </c>
    </row>
    <row r="38" spans="1:13" ht="36" customHeight="1" x14ac:dyDescent="0.3">
      <c r="A38" s="2537"/>
      <c r="B38" s="1488"/>
      <c r="C38" s="1488"/>
      <c r="D38" s="195" t="s">
        <v>15</v>
      </c>
      <c r="E38" s="227"/>
      <c r="F38" s="198">
        <f>SUM(G38:K38)</f>
        <v>3924</v>
      </c>
      <c r="G38" s="198">
        <v>3924</v>
      </c>
      <c r="H38" s="233">
        <v>0</v>
      </c>
      <c r="I38" s="233">
        <v>0</v>
      </c>
      <c r="J38" s="233">
        <v>0</v>
      </c>
      <c r="K38" s="233">
        <v>0</v>
      </c>
      <c r="L38" s="2533"/>
      <c r="M38" s="1488"/>
    </row>
    <row r="39" spans="1:13" x14ac:dyDescent="0.3">
      <c r="A39" s="2537" t="s">
        <v>444</v>
      </c>
      <c r="B39" s="2230" t="s">
        <v>948</v>
      </c>
      <c r="C39" s="1488" t="s">
        <v>441</v>
      </c>
      <c r="D39" s="195" t="s">
        <v>12</v>
      </c>
      <c r="E39" s="198">
        <f t="shared" ref="E39:K39" si="16">E40</f>
        <v>126788</v>
      </c>
      <c r="F39" s="198">
        <f t="shared" si="16"/>
        <v>380364</v>
      </c>
      <c r="G39" s="198">
        <f t="shared" si="16"/>
        <v>126788</v>
      </c>
      <c r="H39" s="198">
        <f t="shared" si="16"/>
        <v>126788</v>
      </c>
      <c r="I39" s="198">
        <f t="shared" si="16"/>
        <v>126788</v>
      </c>
      <c r="J39" s="232">
        <f t="shared" si="16"/>
        <v>0</v>
      </c>
      <c r="K39" s="232">
        <f t="shared" si="16"/>
        <v>0</v>
      </c>
      <c r="L39" s="2532"/>
      <c r="M39" s="1488"/>
    </row>
    <row r="40" spans="1:13" ht="30.75" customHeight="1" x14ac:dyDescent="0.3">
      <c r="A40" s="2537"/>
      <c r="B40" s="2230"/>
      <c r="C40" s="1488"/>
      <c r="D40" s="195" t="s">
        <v>15</v>
      </c>
      <c r="E40" s="198">
        <f t="shared" ref="E40:K40" si="17">E42</f>
        <v>126788</v>
      </c>
      <c r="F40" s="198">
        <f t="shared" si="17"/>
        <v>380364</v>
      </c>
      <c r="G40" s="198">
        <f>G42</f>
        <v>126788</v>
      </c>
      <c r="H40" s="198">
        <f t="shared" si="17"/>
        <v>126788</v>
      </c>
      <c r="I40" s="198">
        <f t="shared" si="17"/>
        <v>126788</v>
      </c>
      <c r="J40" s="232">
        <f t="shared" si="17"/>
        <v>0</v>
      </c>
      <c r="K40" s="232">
        <f t="shared" si="17"/>
        <v>0</v>
      </c>
      <c r="L40" s="2533"/>
      <c r="M40" s="1488"/>
    </row>
    <row r="41" spans="1:13" x14ac:dyDescent="0.3">
      <c r="A41" s="2537" t="s">
        <v>443</v>
      </c>
      <c r="B41" s="1488" t="s">
        <v>442</v>
      </c>
      <c r="C41" s="1488" t="s">
        <v>441</v>
      </c>
      <c r="D41" s="195" t="s">
        <v>12</v>
      </c>
      <c r="E41" s="198">
        <f t="shared" ref="E41:K41" si="18">E42</f>
        <v>126788</v>
      </c>
      <c r="F41" s="198">
        <f t="shared" si="18"/>
        <v>380364</v>
      </c>
      <c r="G41" s="198">
        <f t="shared" si="18"/>
        <v>126788</v>
      </c>
      <c r="H41" s="198">
        <f t="shared" si="18"/>
        <v>126788</v>
      </c>
      <c r="I41" s="198">
        <f t="shared" si="18"/>
        <v>126788</v>
      </c>
      <c r="J41" s="232">
        <f t="shared" si="18"/>
        <v>0</v>
      </c>
      <c r="K41" s="232">
        <f t="shared" si="18"/>
        <v>0</v>
      </c>
      <c r="L41" s="2532" t="s">
        <v>440</v>
      </c>
      <c r="M41" s="1488" t="s">
        <v>439</v>
      </c>
    </row>
    <row r="42" spans="1:13" ht="78" customHeight="1" x14ac:dyDescent="0.3">
      <c r="A42" s="2537"/>
      <c r="B42" s="1488"/>
      <c r="C42" s="1488"/>
      <c r="D42" s="195" t="s">
        <v>15</v>
      </c>
      <c r="E42" s="198">
        <v>126788</v>
      </c>
      <c r="F42" s="198">
        <f>SUM(G42:K42)</f>
        <v>380364</v>
      </c>
      <c r="G42" s="198">
        <v>126788</v>
      </c>
      <c r="H42" s="198">
        <v>126788</v>
      </c>
      <c r="I42" s="198">
        <v>126788</v>
      </c>
      <c r="J42" s="232">
        <v>0</v>
      </c>
      <c r="K42" s="232">
        <v>0</v>
      </c>
      <c r="L42" s="2533"/>
      <c r="M42" s="1488"/>
    </row>
    <row r="44" spans="1:13" x14ac:dyDescent="0.3">
      <c r="E44" s="237"/>
      <c r="F44" s="237">
        <f>G44+H44+I44+J44+K44</f>
        <v>12232467.939999999</v>
      </c>
      <c r="G44" s="237">
        <f>G40+G20+G14</f>
        <v>4538433.57</v>
      </c>
      <c r="H44" s="237">
        <f t="shared" ref="H44:K44" si="19">H40+H20+H14</f>
        <v>3921244.85</v>
      </c>
      <c r="I44" s="237">
        <f t="shared" si="19"/>
        <v>3772789.52</v>
      </c>
      <c r="J44" s="237">
        <f t="shared" si="19"/>
        <v>0</v>
      </c>
      <c r="K44" s="237">
        <f t="shared" si="19"/>
        <v>0</v>
      </c>
    </row>
  </sheetData>
  <customSheetViews>
    <customSheetView guid="{7DDEA387-EEC9-4633-99BE-C0D9299FB093}" scale="80" showPageBreaks="1" printArea="1" view="pageBreakPreview">
      <pane ySplit="4" topLeftCell="A5" activePane="bottomLeft" state="frozen"/>
      <selection pane="bottomLeft" activeCell="G6" sqref="G6"/>
      <rowBreaks count="1" manualBreakCount="1">
        <brk id="20" max="16383" man="1"/>
      </rowBreaks>
      <pageMargins left="0.70866141732283472" right="0.70866141732283472" top="0.74803149606299213" bottom="0.74803149606299213" header="0.31496062992125984" footer="0.31496062992125984"/>
      <pageSetup paperSize="9" scale="46" orientation="landscape" r:id="rId1"/>
    </customSheetView>
    <customSheetView guid="{6592EBC0-D945-4F6F-93D1-49FCB588A4A0}" scale="80" showPageBreaks="1" printArea="1" view="pageBreakPreview">
      <pane ySplit="4" topLeftCell="A5" activePane="bottomLeft" state="frozen"/>
      <selection pane="bottomLeft" activeCell="L41" sqref="L41:L42"/>
      <rowBreaks count="1" manualBreakCount="1">
        <brk id="20" max="16383" man="1"/>
      </rowBreaks>
      <pageMargins left="0.70866141732283472" right="0.70866141732283472" top="0.74803149606299213" bottom="0.74803149606299213" header="0.31496062992125984" footer="0.31496062992125984"/>
      <pageSetup paperSize="9" scale="46" orientation="landscape" r:id="rId2"/>
    </customSheetView>
    <customSheetView guid="{001F394D-7E32-49E0-9108-A9790B233A9D}" scale="80" showPageBreaks="1" printArea="1" view="pageBreakPreview">
      <pane ySplit="4" topLeftCell="A5" activePane="bottomLeft" state="frozen"/>
      <selection pane="bottomLeft" activeCell="G6" sqref="G6"/>
      <rowBreaks count="1" manualBreakCount="1">
        <brk id="20" max="16383" man="1"/>
      </rowBreaks>
      <pageMargins left="0.70866141732283472" right="0.70866141732283472" top="0.74803149606299213" bottom="0.74803149606299213" header="0.31496062992125984" footer="0.31496062992125984"/>
      <pageSetup paperSize="9" scale="46" orientation="landscape" r:id="rId3"/>
    </customSheetView>
    <customSheetView guid="{F08E63B0-D6C4-4E18-B2B6-E1E751FE7DF2}" scale="80" showPageBreaks="1" printArea="1" view="pageBreakPreview">
      <pane ySplit="4" topLeftCell="A5" activePane="bottomLeft" state="frozen"/>
      <selection pane="bottomLeft" activeCell="G6" sqref="G6"/>
      <rowBreaks count="1" manualBreakCount="1">
        <brk id="20" max="16383" man="1"/>
      </rowBreaks>
      <pageMargins left="0.70866141732283472" right="0.70866141732283472" top="0.74803149606299213" bottom="0.74803149606299213" header="0.31496062992125984" footer="0.31496062992125984"/>
      <pageSetup paperSize="9" scale="46" orientation="landscape" r:id="rId4"/>
    </customSheetView>
    <customSheetView guid="{D32E4BC6-6FD7-4441-855E-C6B8F80A132E}" scale="80" showPageBreaks="1" printArea="1" view="pageBreakPreview">
      <pane ySplit="4" topLeftCell="A20" activePane="bottomLeft" state="frozen"/>
      <selection pane="bottomLeft" activeCell="B21" sqref="B21:B22"/>
      <rowBreaks count="1" manualBreakCount="1">
        <brk id="20" max="16383" man="1"/>
      </rowBreaks>
      <pageMargins left="0.70866141732283472" right="0.70866141732283472" top="0.74803149606299213" bottom="0.74803149606299213" header="0.31496062992125984" footer="0.31496062992125984"/>
      <pageSetup paperSize="9" scale="46" orientation="landscape" r:id="rId5"/>
    </customSheetView>
  </customSheetViews>
  <mergeCells count="98">
    <mergeCell ref="E12:K12"/>
    <mergeCell ref="E11:K11"/>
    <mergeCell ref="E18:K18"/>
    <mergeCell ref="A41:A42"/>
    <mergeCell ref="B41:B42"/>
    <mergeCell ref="C41:C42"/>
    <mergeCell ref="A31:A32"/>
    <mergeCell ref="B31:B32"/>
    <mergeCell ref="C31:C32"/>
    <mergeCell ref="A27:A28"/>
    <mergeCell ref="B27:B28"/>
    <mergeCell ref="C27:C28"/>
    <mergeCell ref="A23:A24"/>
    <mergeCell ref="B23:B24"/>
    <mergeCell ref="C23:C24"/>
    <mergeCell ref="A19:A20"/>
    <mergeCell ref="L41:L42"/>
    <mergeCell ref="M41:M42"/>
    <mergeCell ref="M35:M36"/>
    <mergeCell ref="A39:A40"/>
    <mergeCell ref="B39:B40"/>
    <mergeCell ref="C39:C40"/>
    <mergeCell ref="L39:L40"/>
    <mergeCell ref="M39:M40"/>
    <mergeCell ref="L31:L32"/>
    <mergeCell ref="M31:M32"/>
    <mergeCell ref="A37:A38"/>
    <mergeCell ref="B37:B38"/>
    <mergeCell ref="C37:C38"/>
    <mergeCell ref="L37:L38"/>
    <mergeCell ref="M37:M38"/>
    <mergeCell ref="A33:A34"/>
    <mergeCell ref="B33:B34"/>
    <mergeCell ref="C33:C34"/>
    <mergeCell ref="L33:L34"/>
    <mergeCell ref="M33:M34"/>
    <mergeCell ref="A35:A36"/>
    <mergeCell ref="B35:B36"/>
    <mergeCell ref="C35:C36"/>
    <mergeCell ref="L35:L36"/>
    <mergeCell ref="L27:L28"/>
    <mergeCell ref="M27:M28"/>
    <mergeCell ref="A29:A30"/>
    <mergeCell ref="B29:B30"/>
    <mergeCell ref="C29:C30"/>
    <mergeCell ref="L29:L30"/>
    <mergeCell ref="M29:M30"/>
    <mergeCell ref="L23:L24"/>
    <mergeCell ref="M23:M24"/>
    <mergeCell ref="A25:A26"/>
    <mergeCell ref="B25:B26"/>
    <mergeCell ref="C25:C26"/>
    <mergeCell ref="L25:L26"/>
    <mergeCell ref="M25:M26"/>
    <mergeCell ref="B19:B20"/>
    <mergeCell ref="C19:C20"/>
    <mergeCell ref="L19:L20"/>
    <mergeCell ref="M19:M20"/>
    <mergeCell ref="A21:A22"/>
    <mergeCell ref="B21:B22"/>
    <mergeCell ref="C21:C22"/>
    <mergeCell ref="L21:L22"/>
    <mergeCell ref="M21:M22"/>
    <mergeCell ref="A13:A14"/>
    <mergeCell ref="B13:B14"/>
    <mergeCell ref="C13:C14"/>
    <mergeCell ref="L13:L14"/>
    <mergeCell ref="M13:M14"/>
    <mergeCell ref="A15:A16"/>
    <mergeCell ref="B15:B16"/>
    <mergeCell ref="C15:C16"/>
    <mergeCell ref="L15:L16"/>
    <mergeCell ref="M15:M16"/>
    <mergeCell ref="A9:A10"/>
    <mergeCell ref="B9:B10"/>
    <mergeCell ref="C9:C10"/>
    <mergeCell ref="L9:L10"/>
    <mergeCell ref="M9:M10"/>
    <mergeCell ref="A7:A8"/>
    <mergeCell ref="B7:B8"/>
    <mergeCell ref="C7:C8"/>
    <mergeCell ref="L7:L8"/>
    <mergeCell ref="M7:M8"/>
    <mergeCell ref="A1:M1"/>
    <mergeCell ref="A2:A3"/>
    <mergeCell ref="B2:B3"/>
    <mergeCell ref="C2:C3"/>
    <mergeCell ref="D2:D3"/>
    <mergeCell ref="E2:E3"/>
    <mergeCell ref="F2:F3"/>
    <mergeCell ref="G2:K2"/>
    <mergeCell ref="L2:L3"/>
    <mergeCell ref="M2:M3"/>
    <mergeCell ref="A5:A6"/>
    <mergeCell ref="B5:B6"/>
    <mergeCell ref="C5:C6"/>
    <mergeCell ref="L5:L6"/>
    <mergeCell ref="M5:M6"/>
  </mergeCells>
  <pageMargins left="0.70866141732283472" right="0.70866141732283472" top="0.74803149606299213" bottom="0.74803149606299213" header="0.31496062992125984" footer="0.31496062992125984"/>
  <pageSetup paperSize="9" scale="46" orientation="landscape" r:id="rId6"/>
  <rowBreaks count="1" manualBreakCount="1">
    <brk id="20"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I8"/>
  <sheetViews>
    <sheetView view="pageBreakPreview" zoomScaleNormal="100" zoomScaleSheetLayoutView="100" workbookViewId="0">
      <selection activeCell="F23" sqref="F23"/>
    </sheetView>
  </sheetViews>
  <sheetFormatPr defaultRowHeight="14.4" x14ac:dyDescent="0.3"/>
  <cols>
    <col min="1" max="1" width="16" customWidth="1"/>
    <col min="2" max="2" width="12.6640625" customWidth="1"/>
    <col min="3" max="3" width="13.33203125" customWidth="1"/>
    <col min="4" max="9" width="18.109375" customWidth="1"/>
  </cols>
  <sheetData>
    <row r="1" spans="1:9" x14ac:dyDescent="0.3">
      <c r="A1" s="2548" t="s">
        <v>730</v>
      </c>
      <c r="B1" s="2548"/>
      <c r="C1" s="2548"/>
      <c r="D1" s="2548"/>
      <c r="E1" s="2548"/>
      <c r="F1" s="2548"/>
      <c r="G1" s="2548"/>
      <c r="H1" s="2548"/>
      <c r="I1" s="2548"/>
    </row>
    <row r="2" spans="1:9" x14ac:dyDescent="0.3">
      <c r="A2" s="2549"/>
      <c r="B2" s="2549"/>
      <c r="C2" s="2549"/>
      <c r="D2" s="2549"/>
      <c r="E2" s="2549"/>
      <c r="F2" s="2549"/>
      <c r="G2" s="2549"/>
      <c r="H2" s="2549"/>
      <c r="I2" s="2549"/>
    </row>
    <row r="3" spans="1:9" ht="41.25" customHeight="1" x14ac:dyDescent="0.3">
      <c r="A3" s="715" t="s">
        <v>31</v>
      </c>
      <c r="B3" s="2550" t="s">
        <v>434</v>
      </c>
      <c r="C3" s="2550"/>
      <c r="D3" s="2550"/>
      <c r="E3" s="2550"/>
      <c r="F3" s="2550"/>
      <c r="G3" s="2550"/>
      <c r="H3" s="2550"/>
      <c r="I3" s="2550"/>
    </row>
    <row r="4" spans="1:9" ht="16.8" x14ac:dyDescent="0.3">
      <c r="A4" s="2551" t="s">
        <v>435</v>
      </c>
      <c r="B4" s="2550" t="s">
        <v>61</v>
      </c>
      <c r="C4" s="2550" t="s">
        <v>62</v>
      </c>
      <c r="D4" s="2550" t="s">
        <v>41</v>
      </c>
      <c r="E4" s="2550"/>
      <c r="F4" s="2550"/>
      <c r="G4" s="2550"/>
      <c r="H4" s="2550"/>
      <c r="I4" s="2550"/>
    </row>
    <row r="5" spans="1:9" ht="16.8" x14ac:dyDescent="0.3">
      <c r="A5" s="2551"/>
      <c r="B5" s="2550"/>
      <c r="C5" s="2550"/>
      <c r="D5" s="713">
        <v>2018</v>
      </c>
      <c r="E5" s="713">
        <v>2019</v>
      </c>
      <c r="F5" s="713">
        <v>2020</v>
      </c>
      <c r="G5" s="713">
        <v>2021</v>
      </c>
      <c r="H5" s="713">
        <v>2022</v>
      </c>
      <c r="I5" s="712" t="s">
        <v>12</v>
      </c>
    </row>
    <row r="6" spans="1:9" ht="50.4" x14ac:dyDescent="0.3">
      <c r="A6" s="2551"/>
      <c r="B6" s="2550"/>
      <c r="C6" s="712" t="s">
        <v>759</v>
      </c>
      <c r="D6" s="714">
        <f>D7</f>
        <v>20469267</v>
      </c>
      <c r="E6" s="714">
        <f>E7</f>
        <v>18876540.5</v>
      </c>
      <c r="F6" s="714">
        <f>F7</f>
        <v>19469267.359999999</v>
      </c>
      <c r="G6" s="714">
        <f>G7</f>
        <v>19469267.359999999</v>
      </c>
      <c r="H6" s="714">
        <f>H7</f>
        <v>19469267.359999999</v>
      </c>
      <c r="I6" s="714">
        <f>H6+G6+F6+E6+D6</f>
        <v>97753609.579999998</v>
      </c>
    </row>
    <row r="7" spans="1:9" ht="76.5" customHeight="1" x14ac:dyDescent="0.3">
      <c r="A7" s="2551"/>
      <c r="B7" s="2550"/>
      <c r="C7" s="712" t="s">
        <v>231</v>
      </c>
      <c r="D7" s="714">
        <f>'МП 5'!G6</f>
        <v>20469267</v>
      </c>
      <c r="E7" s="714">
        <f>'МП 5'!H6</f>
        <v>18876540.5</v>
      </c>
      <c r="F7" s="714">
        <f>'МП 5'!I6</f>
        <v>19469267.359999999</v>
      </c>
      <c r="G7" s="714">
        <f>'МП 5'!J6</f>
        <v>19469267.359999999</v>
      </c>
      <c r="H7" s="714">
        <f>'МП 5'!K6</f>
        <v>19469267.359999999</v>
      </c>
      <c r="I7" s="714">
        <f>H7+G7+F7+E7+D7</f>
        <v>97753609.579999998</v>
      </c>
    </row>
    <row r="8" spans="1:9" x14ac:dyDescent="0.3">
      <c r="A8" s="99"/>
      <c r="B8" s="99"/>
      <c r="C8" s="99"/>
      <c r="D8" s="99"/>
      <c r="E8" s="99"/>
      <c r="F8" s="99"/>
      <c r="G8" s="99"/>
      <c r="H8" s="99"/>
      <c r="I8" s="99"/>
    </row>
  </sheetData>
  <customSheetViews>
    <customSheetView guid="{7DDEA387-EEC9-4633-99BE-C0D9299FB093}" showPageBreaks="1" view="pageBreakPreview">
      <selection activeCell="F23" sqref="F23"/>
      <pageMargins left="0.70866141732283472" right="0.70866141732283472" top="0.74803149606299213" bottom="0.74803149606299213" header="0.31496062992125984" footer="0.31496062992125984"/>
      <pageSetup paperSize="9" scale="86" orientation="landscape" r:id="rId1"/>
    </customSheetView>
    <customSheetView guid="{6592EBC0-D945-4F6F-93D1-49FCB588A4A0}" showPageBreaks="1" view="pageBreakPreview">
      <selection activeCell="F23" sqref="F23"/>
      <pageMargins left="0.70866141732283472" right="0.70866141732283472" top="0.74803149606299213" bottom="0.74803149606299213" header="0.31496062992125984" footer="0.31496062992125984"/>
      <pageSetup paperSize="9" scale="86" orientation="landscape" r:id="rId2"/>
    </customSheetView>
    <customSheetView guid="{001F394D-7E32-49E0-9108-A9790B233A9D}" showPageBreaks="1" view="pageBreakPreview">
      <selection activeCell="F23" sqref="F23"/>
      <pageMargins left="0.70866141732283472" right="0.70866141732283472" top="0.74803149606299213" bottom="0.74803149606299213" header="0.31496062992125984" footer="0.31496062992125984"/>
      <pageSetup paperSize="9" scale="86" orientation="landscape" r:id="rId3"/>
    </customSheetView>
    <customSheetView guid="{F08E63B0-D6C4-4E18-B2B6-E1E751FE7DF2}" showPageBreaks="1" view="pageBreakPreview">
      <selection activeCell="F23" sqref="F23"/>
      <pageMargins left="0.70866141732283472" right="0.70866141732283472" top="0.74803149606299213" bottom="0.74803149606299213" header="0.31496062992125984" footer="0.31496062992125984"/>
      <pageSetup paperSize="9" scale="86" orientation="landscape" r:id="rId4"/>
    </customSheetView>
    <customSheetView guid="{D32E4BC6-6FD7-4441-855E-C6B8F80A132E}" showPageBreaks="1" view="pageBreakPreview">
      <selection activeCell="F23" sqref="F23"/>
      <pageMargins left="0.70866141732283472" right="0.70866141732283472" top="0.74803149606299213" bottom="0.74803149606299213" header="0.31496062992125984" footer="0.31496062992125984"/>
      <pageSetup paperSize="9" scale="86" orientation="landscape" r:id="rId5"/>
    </customSheetView>
  </customSheetViews>
  <mergeCells count="7">
    <mergeCell ref="A1:I2"/>
    <mergeCell ref="B3:I3"/>
    <mergeCell ref="A4:A7"/>
    <mergeCell ref="B4:B5"/>
    <mergeCell ref="C4:C5"/>
    <mergeCell ref="D4:I4"/>
    <mergeCell ref="B6:B7"/>
  </mergeCells>
  <pageMargins left="0.70866141732283472" right="0.70866141732283472" top="0.74803149606299213" bottom="0.74803149606299213" header="0.31496062992125984" footer="0.31496062992125984"/>
  <pageSetup paperSize="9" scale="86" orientation="landscape"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M29"/>
  <sheetViews>
    <sheetView view="pageBreakPreview" zoomScale="85" zoomScaleNormal="80" zoomScaleSheetLayoutView="85" workbookViewId="0">
      <pane ySplit="4" topLeftCell="A5" activePane="bottomLeft" state="frozen"/>
      <selection pane="bottomLeft" activeCell="K10" sqref="K10"/>
    </sheetView>
  </sheetViews>
  <sheetFormatPr defaultRowHeight="14.4" x14ac:dyDescent="0.3"/>
  <cols>
    <col min="1" max="1" width="6.33203125" customWidth="1"/>
    <col min="2" max="2" width="25" customWidth="1"/>
    <col min="4" max="4" width="15.109375" customWidth="1"/>
    <col min="5" max="5" width="17.109375" customWidth="1"/>
    <col min="6" max="11" width="14.88671875" customWidth="1"/>
    <col min="12" max="12" width="23.5546875" customWidth="1"/>
    <col min="13" max="13" width="18.109375" customWidth="1"/>
  </cols>
  <sheetData>
    <row r="1" spans="1:13" s="545" customFormat="1" ht="22.8" x14ac:dyDescent="0.3">
      <c r="A1" s="2552" t="s">
        <v>890</v>
      </c>
      <c r="B1" s="2552"/>
      <c r="C1" s="2552"/>
      <c r="D1" s="2552"/>
      <c r="E1" s="2552"/>
      <c r="F1" s="2552"/>
      <c r="G1" s="2552"/>
      <c r="H1" s="2552"/>
      <c r="I1" s="2552"/>
      <c r="J1" s="2552"/>
      <c r="K1" s="2552"/>
      <c r="L1" s="2552"/>
      <c r="M1" s="2552"/>
    </row>
    <row r="2" spans="1:13" s="545" customFormat="1" ht="19.5" customHeight="1" x14ac:dyDescent="0.3">
      <c r="A2" s="2553" t="s">
        <v>46</v>
      </c>
      <c r="B2" s="2553" t="s">
        <v>224</v>
      </c>
      <c r="C2" s="2553" t="s">
        <v>495</v>
      </c>
      <c r="D2" s="2553" t="s">
        <v>494</v>
      </c>
      <c r="E2" s="2553" t="s">
        <v>493</v>
      </c>
      <c r="F2" s="2553" t="s">
        <v>492</v>
      </c>
      <c r="G2" s="2553" t="s">
        <v>491</v>
      </c>
      <c r="H2" s="2553"/>
      <c r="I2" s="2553"/>
      <c r="J2" s="2553"/>
      <c r="K2" s="2553"/>
      <c r="L2" s="2553" t="s">
        <v>490</v>
      </c>
      <c r="M2" s="2553" t="s">
        <v>489</v>
      </c>
    </row>
    <row r="3" spans="1:13" s="545" customFormat="1" ht="50.25" customHeight="1" x14ac:dyDescent="0.3">
      <c r="A3" s="2553"/>
      <c r="B3" s="2553"/>
      <c r="C3" s="2553"/>
      <c r="D3" s="2553"/>
      <c r="E3" s="2553"/>
      <c r="F3" s="2553"/>
      <c r="G3" s="716">
        <v>2018</v>
      </c>
      <c r="H3" s="716">
        <v>2019</v>
      </c>
      <c r="I3" s="716">
        <v>2020</v>
      </c>
      <c r="J3" s="716">
        <v>2021</v>
      </c>
      <c r="K3" s="716">
        <v>2022</v>
      </c>
      <c r="L3" s="2553"/>
      <c r="M3" s="2553"/>
    </row>
    <row r="4" spans="1:13" s="545" customFormat="1" ht="13.5" customHeight="1" x14ac:dyDescent="0.3">
      <c r="A4" s="716">
        <v>1</v>
      </c>
      <c r="B4" s="716">
        <v>2</v>
      </c>
      <c r="C4" s="716">
        <v>3</v>
      </c>
      <c r="D4" s="716">
        <v>4</v>
      </c>
      <c r="E4" s="716">
        <v>5</v>
      </c>
      <c r="F4" s="716">
        <v>6</v>
      </c>
      <c r="G4" s="716">
        <v>7</v>
      </c>
      <c r="H4" s="716">
        <v>8</v>
      </c>
      <c r="I4" s="716">
        <v>9</v>
      </c>
      <c r="J4" s="716">
        <v>10</v>
      </c>
      <c r="K4" s="716">
        <v>11</v>
      </c>
      <c r="L4" s="716">
        <v>12</v>
      </c>
      <c r="M4" s="716">
        <v>13</v>
      </c>
    </row>
    <row r="5" spans="1:13" s="100" customFormat="1" ht="22.5" customHeight="1" x14ac:dyDescent="0.3">
      <c r="A5" s="2555">
        <v>1</v>
      </c>
      <c r="B5" s="2556" t="s">
        <v>925</v>
      </c>
      <c r="C5" s="2557" t="s">
        <v>227</v>
      </c>
      <c r="D5" s="177" t="s">
        <v>12</v>
      </c>
      <c r="E5" s="178">
        <f t="shared" ref="E5:K7" si="0">E6</f>
        <v>107341592.83</v>
      </c>
      <c r="F5" s="178">
        <f>F6</f>
        <v>97753609.579999998</v>
      </c>
      <c r="G5" s="178">
        <f t="shared" si="0"/>
        <v>20469267</v>
      </c>
      <c r="H5" s="178">
        <f t="shared" si="0"/>
        <v>18876540.5</v>
      </c>
      <c r="I5" s="178">
        <f t="shared" si="0"/>
        <v>19469267.359999999</v>
      </c>
      <c r="J5" s="178">
        <f t="shared" si="0"/>
        <v>19469267.359999999</v>
      </c>
      <c r="K5" s="178">
        <f t="shared" si="0"/>
        <v>19469267.359999999</v>
      </c>
      <c r="L5" s="2558" t="s">
        <v>509</v>
      </c>
      <c r="M5" s="2557" t="s">
        <v>508</v>
      </c>
    </row>
    <row r="6" spans="1:13" s="100" customFormat="1" ht="60.75" customHeight="1" x14ac:dyDescent="0.3">
      <c r="A6" s="2555"/>
      <c r="B6" s="2556"/>
      <c r="C6" s="2557"/>
      <c r="D6" s="177" t="s">
        <v>231</v>
      </c>
      <c r="E6" s="178">
        <f t="shared" si="0"/>
        <v>107341592.83</v>
      </c>
      <c r="F6" s="178">
        <f>F7</f>
        <v>97753609.579999998</v>
      </c>
      <c r="G6" s="178">
        <f t="shared" si="0"/>
        <v>20469267</v>
      </c>
      <c r="H6" s="178">
        <f t="shared" si="0"/>
        <v>18876540.5</v>
      </c>
      <c r="I6" s="178">
        <f t="shared" si="0"/>
        <v>19469267.359999999</v>
      </c>
      <c r="J6" s="178">
        <f t="shared" si="0"/>
        <v>19469267.359999999</v>
      </c>
      <c r="K6" s="178">
        <f t="shared" si="0"/>
        <v>19469267.359999999</v>
      </c>
      <c r="L6" s="2560"/>
      <c r="M6" s="2557"/>
    </row>
    <row r="7" spans="1:13" s="100" customFormat="1" ht="22.5" customHeight="1" x14ac:dyDescent="0.3">
      <c r="A7" s="2561" t="s">
        <v>115</v>
      </c>
      <c r="B7" s="2563" t="s">
        <v>906</v>
      </c>
      <c r="C7" s="2554" t="s">
        <v>227</v>
      </c>
      <c r="D7" s="179" t="s">
        <v>12</v>
      </c>
      <c r="E7" s="180">
        <f>E8</f>
        <v>107341592.83</v>
      </c>
      <c r="F7" s="180">
        <f t="shared" si="0"/>
        <v>97753609.579999998</v>
      </c>
      <c r="G7" s="180">
        <f t="shared" si="0"/>
        <v>20469267</v>
      </c>
      <c r="H7" s="180">
        <f t="shared" si="0"/>
        <v>18876540.5</v>
      </c>
      <c r="I7" s="180">
        <f t="shared" si="0"/>
        <v>19469267.359999999</v>
      </c>
      <c r="J7" s="180">
        <f t="shared" si="0"/>
        <v>19469267.359999999</v>
      </c>
      <c r="K7" s="180">
        <f t="shared" si="0"/>
        <v>19469267.359999999</v>
      </c>
      <c r="L7" s="2558" t="s">
        <v>434</v>
      </c>
      <c r="M7" s="2554" t="s">
        <v>508</v>
      </c>
    </row>
    <row r="8" spans="1:13" s="100" customFormat="1" ht="38.25" customHeight="1" x14ac:dyDescent="0.3">
      <c r="A8" s="2562"/>
      <c r="B8" s="2564"/>
      <c r="C8" s="2565"/>
      <c r="D8" s="181" t="s">
        <v>231</v>
      </c>
      <c r="E8" s="182">
        <f>' АП П 5'!F11</f>
        <v>107341592.83</v>
      </c>
      <c r="F8" s="183">
        <f>G8+H8+I8+J8+K8</f>
        <v>97753609.579999998</v>
      </c>
      <c r="G8" s="182">
        <f>' АП П 5'!I12</f>
        <v>20469267</v>
      </c>
      <c r="H8" s="182">
        <f>' АП П 5'!J12</f>
        <v>18876540.5</v>
      </c>
      <c r="I8" s="182">
        <f>' АП П 5'!K12</f>
        <v>19469267.359999999</v>
      </c>
      <c r="J8" s="182">
        <f>' АП П 5'!L12</f>
        <v>19469267.359999999</v>
      </c>
      <c r="K8" s="182">
        <f>' АП П 5'!M12</f>
        <v>19469267.359999999</v>
      </c>
      <c r="L8" s="2559"/>
      <c r="M8" s="2554"/>
    </row>
    <row r="9" spans="1:13" s="100" customFormat="1" ht="57" customHeight="1" x14ac:dyDescent="0.3">
      <c r="A9" s="165">
        <v>2</v>
      </c>
      <c r="B9" s="179" t="s">
        <v>949</v>
      </c>
      <c r="C9" s="179" t="s">
        <v>506</v>
      </c>
      <c r="D9" s="179" t="s">
        <v>507</v>
      </c>
      <c r="E9" s="179" t="s">
        <v>123</v>
      </c>
      <c r="F9" s="179" t="s">
        <v>123</v>
      </c>
      <c r="G9" s="179" t="s">
        <v>123</v>
      </c>
      <c r="H9" s="179" t="s">
        <v>123</v>
      </c>
      <c r="I9" s="179" t="s">
        <v>123</v>
      </c>
      <c r="J9" s="179" t="s">
        <v>123</v>
      </c>
      <c r="K9" s="184"/>
      <c r="L9" s="179"/>
      <c r="M9" s="179"/>
    </row>
    <row r="10" spans="1:13" s="100" customFormat="1" ht="171" customHeight="1" x14ac:dyDescent="0.3">
      <c r="A10" s="176" t="s">
        <v>149</v>
      </c>
      <c r="B10" s="179" t="s">
        <v>667</v>
      </c>
      <c r="C10" s="179" t="s">
        <v>506</v>
      </c>
      <c r="D10" s="179" t="s">
        <v>500</v>
      </c>
      <c r="E10" s="179" t="s">
        <v>123</v>
      </c>
      <c r="F10" s="179" t="s">
        <v>123</v>
      </c>
      <c r="G10" s="179" t="s">
        <v>123</v>
      </c>
      <c r="H10" s="179" t="s">
        <v>123</v>
      </c>
      <c r="I10" s="179" t="s">
        <v>123</v>
      </c>
      <c r="J10" s="179" t="s">
        <v>123</v>
      </c>
      <c r="K10" s="184"/>
      <c r="L10" s="179" t="s">
        <v>505</v>
      </c>
      <c r="M10" s="179" t="s">
        <v>504</v>
      </c>
    </row>
    <row r="11" spans="1:13" s="100" customFormat="1" ht="44.25" customHeight="1" x14ac:dyDescent="0.3">
      <c r="A11" s="243" t="s">
        <v>503</v>
      </c>
      <c r="B11" s="244" t="s">
        <v>502</v>
      </c>
      <c r="C11" s="244" t="s">
        <v>227</v>
      </c>
      <c r="D11" s="244" t="s">
        <v>500</v>
      </c>
      <c r="E11" s="244" t="s">
        <v>123</v>
      </c>
      <c r="F11" s="244" t="s">
        <v>123</v>
      </c>
      <c r="G11" s="244" t="s">
        <v>123</v>
      </c>
      <c r="H11" s="244" t="s">
        <v>123</v>
      </c>
      <c r="I11" s="244" t="s">
        <v>123</v>
      </c>
      <c r="J11" s="244" t="s">
        <v>123</v>
      </c>
      <c r="K11" s="245"/>
      <c r="L11" s="244"/>
      <c r="M11" s="244"/>
    </row>
    <row r="12" spans="1:13" s="100" customFormat="1" ht="159.75" customHeight="1" x14ac:dyDescent="0.3">
      <c r="A12" s="243" t="s">
        <v>486</v>
      </c>
      <c r="B12" s="244" t="s">
        <v>501</v>
      </c>
      <c r="C12" s="244" t="s">
        <v>227</v>
      </c>
      <c r="D12" s="244" t="s">
        <v>500</v>
      </c>
      <c r="E12" s="244" t="s">
        <v>123</v>
      </c>
      <c r="F12" s="244" t="s">
        <v>123</v>
      </c>
      <c r="G12" s="244" t="s">
        <v>123</v>
      </c>
      <c r="H12" s="244" t="s">
        <v>123</v>
      </c>
      <c r="I12" s="244" t="s">
        <v>123</v>
      </c>
      <c r="J12" s="244" t="s">
        <v>123</v>
      </c>
      <c r="K12" s="245"/>
      <c r="L12" s="244" t="s">
        <v>499</v>
      </c>
      <c r="M12" s="244" t="s">
        <v>498</v>
      </c>
    </row>
    <row r="13" spans="1:13" s="100" customFormat="1" x14ac:dyDescent="0.3">
      <c r="C13" s="101"/>
    </row>
    <row r="14" spans="1:13" s="100" customFormat="1" x14ac:dyDescent="0.3">
      <c r="C14" s="101"/>
    </row>
    <row r="15" spans="1:13" s="100" customFormat="1" x14ac:dyDescent="0.3">
      <c r="C15" s="101"/>
    </row>
    <row r="16" spans="1:13" s="100" customFormat="1" x14ac:dyDescent="0.3">
      <c r="C16" s="101"/>
    </row>
    <row r="17" spans="3:3" s="100" customFormat="1" x14ac:dyDescent="0.3">
      <c r="C17" s="101"/>
    </row>
    <row r="18" spans="3:3" s="100" customFormat="1" x14ac:dyDescent="0.3">
      <c r="C18" s="101"/>
    </row>
    <row r="19" spans="3:3" s="100" customFormat="1" x14ac:dyDescent="0.3">
      <c r="C19" s="101"/>
    </row>
    <row r="20" spans="3:3" s="100" customFormat="1" x14ac:dyDescent="0.3">
      <c r="C20" s="101"/>
    </row>
    <row r="21" spans="3:3" s="100" customFormat="1" x14ac:dyDescent="0.3"/>
    <row r="22" spans="3:3" s="100" customFormat="1" x14ac:dyDescent="0.3"/>
    <row r="23" spans="3:3" s="100" customFormat="1" x14ac:dyDescent="0.3"/>
    <row r="24" spans="3:3" s="100" customFormat="1" x14ac:dyDescent="0.3"/>
    <row r="25" spans="3:3" s="100" customFormat="1" x14ac:dyDescent="0.3"/>
    <row r="26" spans="3:3" s="100" customFormat="1" x14ac:dyDescent="0.3"/>
    <row r="27" spans="3:3" s="100" customFormat="1" x14ac:dyDescent="0.3"/>
    <row r="28" spans="3:3" s="100" customFormat="1" x14ac:dyDescent="0.3"/>
    <row r="29" spans="3:3" s="100" customFormat="1" x14ac:dyDescent="0.3"/>
  </sheetData>
  <customSheetViews>
    <customSheetView guid="{7DDEA387-EEC9-4633-99BE-C0D9299FB093}" scale="85" showPageBreaks="1" printArea="1" view="pageBreakPreview">
      <pane ySplit="4" topLeftCell="A5" activePane="bottomLeft" state="frozen"/>
      <selection pane="bottomLeft" activeCell="K10" sqref="K10"/>
      <pageMargins left="0.31496062992125984" right="0.31496062992125984" top="0.74803149606299213" bottom="0.74803149606299213" header="0.31496062992125984" footer="0.31496062992125984"/>
      <pageSetup paperSize="9" scale="69" orientation="landscape" r:id="rId1"/>
    </customSheetView>
    <customSheetView guid="{6592EBC0-D945-4F6F-93D1-49FCB588A4A0}" scale="85" showPageBreaks="1" printArea="1" view="pageBreakPreview">
      <pane ySplit="4" topLeftCell="A5" activePane="bottomLeft" state="frozen"/>
      <selection pane="bottomLeft" activeCell="K10" sqref="K10"/>
      <pageMargins left="0.31496062992125984" right="0.31496062992125984" top="0.74803149606299213" bottom="0.74803149606299213" header="0.31496062992125984" footer="0.31496062992125984"/>
      <pageSetup paperSize="9" scale="69" orientation="landscape" r:id="rId2"/>
    </customSheetView>
    <customSheetView guid="{001F394D-7E32-49E0-9108-A9790B233A9D}" scale="85" showPageBreaks="1" printArea="1" view="pageBreakPreview">
      <pane ySplit="4" topLeftCell="A5" activePane="bottomLeft" state="frozen"/>
      <selection pane="bottomLeft" activeCell="K10" sqref="K10"/>
      <pageMargins left="0.31496062992125984" right="0.31496062992125984" top="0.74803149606299213" bottom="0.74803149606299213" header="0.31496062992125984" footer="0.31496062992125984"/>
      <pageSetup paperSize="9" scale="69" orientation="landscape" r:id="rId3"/>
    </customSheetView>
    <customSheetView guid="{F08E63B0-D6C4-4E18-B2B6-E1E751FE7DF2}" scale="85" showPageBreaks="1" printArea="1" view="pageBreakPreview">
      <pane ySplit="4" topLeftCell="A5" activePane="bottomLeft" state="frozen"/>
      <selection pane="bottomLeft" activeCell="K10" sqref="K10"/>
      <pageMargins left="0.31496062992125984" right="0.31496062992125984" top="0.74803149606299213" bottom="0.74803149606299213" header="0.31496062992125984" footer="0.31496062992125984"/>
      <pageSetup paperSize="9" scale="69" orientation="landscape" r:id="rId4"/>
    </customSheetView>
    <customSheetView guid="{D32E4BC6-6FD7-4441-855E-C6B8F80A132E}" scale="85" showPageBreaks="1" printArea="1" view="pageBreakPreview">
      <pane ySplit="4" topLeftCell="A5" activePane="bottomLeft" state="frozen"/>
      <selection pane="bottomLeft" activeCell="K10" sqref="K10"/>
      <pageMargins left="0.31496062992125984" right="0.31496062992125984" top="0.74803149606299213" bottom="0.74803149606299213" header="0.31496062992125984" footer="0.31496062992125984"/>
      <pageSetup paperSize="9" scale="69" orientation="landscape" r:id="rId5"/>
    </customSheetView>
  </customSheetViews>
  <mergeCells count="20">
    <mergeCell ref="M7:M8"/>
    <mergeCell ref="F2:F3"/>
    <mergeCell ref="A5:A6"/>
    <mergeCell ref="B5:B6"/>
    <mergeCell ref="C5:C6"/>
    <mergeCell ref="M5:M6"/>
    <mergeCell ref="L7:L8"/>
    <mergeCell ref="L5:L6"/>
    <mergeCell ref="A7:A8"/>
    <mergeCell ref="B7:B8"/>
    <mergeCell ref="C7:C8"/>
    <mergeCell ref="A1:M1"/>
    <mergeCell ref="G2:K2"/>
    <mergeCell ref="L2:L3"/>
    <mergeCell ref="M2:M3"/>
    <mergeCell ref="A2:A3"/>
    <mergeCell ref="B2:B3"/>
    <mergeCell ref="C2:C3"/>
    <mergeCell ref="D2:D3"/>
    <mergeCell ref="E2:E3"/>
  </mergeCells>
  <pageMargins left="0.31496062992125984" right="0.31496062992125984" top="0.74803149606299213" bottom="0.74803149606299213" header="0.31496062992125984" footer="0.31496062992125984"/>
  <pageSetup paperSize="9" scale="69" orientation="landscape" r:id="rId6"/>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P19"/>
  <sheetViews>
    <sheetView view="pageBreakPreview" zoomScale="60" zoomScaleNormal="80" workbookViewId="0">
      <selection activeCell="H20" sqref="H20"/>
    </sheetView>
  </sheetViews>
  <sheetFormatPr defaultRowHeight="14.4" x14ac:dyDescent="0.3"/>
  <cols>
    <col min="1" max="1" width="4.6640625" customWidth="1"/>
    <col min="2" max="2" width="23.109375" customWidth="1"/>
    <col min="3" max="3" width="14.88671875" customWidth="1"/>
    <col min="4" max="4" width="11.44140625" customWidth="1"/>
    <col min="5" max="5" width="22.5546875" customWidth="1"/>
    <col min="6" max="6" width="22.44140625" customWidth="1"/>
    <col min="7" max="7" width="12.5546875" customWidth="1"/>
    <col min="8" max="8" width="17.5546875" customWidth="1"/>
    <col min="9" max="9" width="19" customWidth="1"/>
    <col min="10" max="10" width="17.44140625" customWidth="1"/>
    <col min="11" max="11" width="18.5546875" customWidth="1"/>
    <col min="12" max="12" width="18.88671875" customWidth="1"/>
    <col min="13" max="13" width="21.44140625" customWidth="1"/>
    <col min="14" max="14" width="15.6640625" customWidth="1"/>
    <col min="15" max="15" width="15.33203125" customWidth="1"/>
  </cols>
  <sheetData>
    <row r="1" spans="1:15" ht="58.5" customHeight="1" x14ac:dyDescent="0.3">
      <c r="A1" s="2567" t="s">
        <v>1429</v>
      </c>
      <c r="B1" s="2567"/>
      <c r="C1" s="2567"/>
      <c r="D1" s="2567"/>
      <c r="E1" s="2567"/>
      <c r="F1" s="2567"/>
      <c r="G1" s="2567"/>
      <c r="H1" s="2567"/>
      <c r="I1" s="2567"/>
      <c r="J1" s="2567"/>
      <c r="K1" s="2567"/>
      <c r="L1" s="2567"/>
      <c r="M1" s="2567"/>
      <c r="N1" s="2567"/>
      <c r="O1" s="2567"/>
    </row>
    <row r="2" spans="1:15" s="1" customFormat="1" ht="75.75" customHeight="1" x14ac:dyDescent="0.3">
      <c r="A2" s="2568" t="s">
        <v>821</v>
      </c>
      <c r="B2" s="1601" t="s">
        <v>822</v>
      </c>
      <c r="C2" s="1786" t="s">
        <v>823</v>
      </c>
      <c r="D2" s="1786" t="s">
        <v>52</v>
      </c>
      <c r="E2" s="1727" t="s">
        <v>52</v>
      </c>
      <c r="F2" s="1727" t="s">
        <v>824</v>
      </c>
      <c r="G2" s="1727" t="s">
        <v>53</v>
      </c>
      <c r="H2" s="1727" t="s">
        <v>57</v>
      </c>
      <c r="I2" s="1727"/>
      <c r="J2" s="1727"/>
      <c r="K2" s="1727"/>
      <c r="L2" s="1727"/>
      <c r="M2" s="1727"/>
      <c r="N2" s="2337" t="s">
        <v>50</v>
      </c>
      <c r="O2" s="2303" t="s">
        <v>820</v>
      </c>
    </row>
    <row r="3" spans="1:15" s="1" customFormat="1" ht="46.5" customHeight="1" x14ac:dyDescent="0.3">
      <c r="A3" s="2568"/>
      <c r="B3" s="1601"/>
      <c r="C3" s="1786"/>
      <c r="D3" s="1786"/>
      <c r="E3" s="1727"/>
      <c r="F3" s="1727"/>
      <c r="G3" s="1727"/>
      <c r="H3" s="221" t="s">
        <v>33</v>
      </c>
      <c r="I3" s="221" t="s">
        <v>4</v>
      </c>
      <c r="J3" s="221" t="s">
        <v>91</v>
      </c>
      <c r="K3" s="221" t="s">
        <v>90</v>
      </c>
      <c r="L3" s="221" t="s">
        <v>89</v>
      </c>
      <c r="M3" s="221" t="s">
        <v>221</v>
      </c>
      <c r="N3" s="2337"/>
      <c r="O3" s="2305"/>
    </row>
    <row r="4" spans="1:15" s="11" customFormat="1" ht="15.75" customHeight="1" x14ac:dyDescent="0.3">
      <c r="A4" s="187">
        <v>1</v>
      </c>
      <c r="B4" s="222">
        <v>2</v>
      </c>
      <c r="C4" s="222">
        <v>3</v>
      </c>
      <c r="D4" s="222">
        <v>4</v>
      </c>
      <c r="E4" s="222">
        <v>5</v>
      </c>
      <c r="F4" s="222">
        <v>6</v>
      </c>
      <c r="G4" s="222">
        <v>7</v>
      </c>
      <c r="H4" s="222">
        <v>8</v>
      </c>
      <c r="I4" s="222">
        <v>9</v>
      </c>
      <c r="J4" s="222">
        <v>10</v>
      </c>
      <c r="K4" s="222">
        <v>11</v>
      </c>
      <c r="L4" s="222">
        <v>12</v>
      </c>
      <c r="M4" s="222">
        <v>13</v>
      </c>
      <c r="N4" s="77">
        <v>14</v>
      </c>
      <c r="O4" s="77">
        <v>15</v>
      </c>
    </row>
    <row r="5" spans="1:15" ht="15.6" x14ac:dyDescent="0.3">
      <c r="A5" s="2566">
        <v>1</v>
      </c>
      <c r="B5" s="2566" t="s">
        <v>891</v>
      </c>
      <c r="C5" s="2566" t="s">
        <v>892</v>
      </c>
      <c r="D5" s="2566" t="s">
        <v>893</v>
      </c>
      <c r="E5" s="717">
        <v>35074248</v>
      </c>
      <c r="F5" s="717">
        <v>31307504</v>
      </c>
      <c r="G5" s="223" t="s">
        <v>12</v>
      </c>
      <c r="H5" s="717">
        <f t="shared" ref="H5:H10" si="0">I5+J5+K5+L5+M5</f>
        <v>26962190.579999998</v>
      </c>
      <c r="I5" s="717">
        <v>6252671</v>
      </c>
      <c r="J5" s="717">
        <v>4659944.5</v>
      </c>
      <c r="K5" s="717">
        <v>5349858.3600000003</v>
      </c>
      <c r="L5" s="717">
        <v>5349858.3600000003</v>
      </c>
      <c r="M5" s="717">
        <v>5349858.3600000003</v>
      </c>
      <c r="N5" s="2566"/>
      <c r="O5" s="2566"/>
    </row>
    <row r="6" spans="1:15" ht="46.8" x14ac:dyDescent="0.3">
      <c r="A6" s="2566"/>
      <c r="B6" s="2566"/>
      <c r="C6" s="2566"/>
      <c r="D6" s="2566"/>
      <c r="E6" s="717"/>
      <c r="F6" s="718"/>
      <c r="G6" s="223" t="s">
        <v>15</v>
      </c>
      <c r="H6" s="717">
        <f t="shared" si="0"/>
        <v>26962190.579999998</v>
      </c>
      <c r="I6" s="717">
        <v>6252671</v>
      </c>
      <c r="J6" s="717">
        <v>4659944.5</v>
      </c>
      <c r="K6" s="717">
        <v>5349858.3600000003</v>
      </c>
      <c r="L6" s="717">
        <v>5349858.3600000003</v>
      </c>
      <c r="M6" s="717">
        <v>5349858.3600000003</v>
      </c>
      <c r="N6" s="2566"/>
      <c r="O6" s="2566"/>
    </row>
    <row r="7" spans="1:15" ht="15.6" x14ac:dyDescent="0.3">
      <c r="A7" s="2566">
        <v>2</v>
      </c>
      <c r="B7" s="2566" t="s">
        <v>894</v>
      </c>
      <c r="C7" s="2566" t="s">
        <v>895</v>
      </c>
      <c r="D7" s="2566" t="s">
        <v>896</v>
      </c>
      <c r="E7" s="717">
        <v>144846256.65000001</v>
      </c>
      <c r="F7" s="717">
        <v>49857032.579999998</v>
      </c>
      <c r="G7" s="223" t="s">
        <v>12</v>
      </c>
      <c r="H7" s="717">
        <f t="shared" si="0"/>
        <v>58655000</v>
      </c>
      <c r="I7" s="717">
        <v>11731000</v>
      </c>
      <c r="J7" s="717">
        <v>11731000</v>
      </c>
      <c r="K7" s="717">
        <v>11731000</v>
      </c>
      <c r="L7" s="717">
        <v>11731000</v>
      </c>
      <c r="M7" s="717">
        <v>11731000</v>
      </c>
      <c r="N7" s="2566"/>
      <c r="O7" s="2566"/>
    </row>
    <row r="8" spans="1:15" ht="46.8" x14ac:dyDescent="0.3">
      <c r="A8" s="2566"/>
      <c r="B8" s="2566"/>
      <c r="C8" s="2566"/>
      <c r="D8" s="2566"/>
      <c r="E8" s="717"/>
      <c r="F8" s="718"/>
      <c r="G8" s="223" t="s">
        <v>15</v>
      </c>
      <c r="H8" s="717">
        <f t="shared" si="0"/>
        <v>58655000</v>
      </c>
      <c r="I8" s="717">
        <v>11731000</v>
      </c>
      <c r="J8" s="717">
        <v>11731000</v>
      </c>
      <c r="K8" s="717">
        <v>11731000</v>
      </c>
      <c r="L8" s="717">
        <v>11731000</v>
      </c>
      <c r="M8" s="717">
        <v>11731000</v>
      </c>
      <c r="N8" s="2566"/>
      <c r="O8" s="2566"/>
    </row>
    <row r="9" spans="1:15" ht="15.6" x14ac:dyDescent="0.3">
      <c r="A9" s="2566">
        <v>3</v>
      </c>
      <c r="B9" s="2566" t="s">
        <v>897</v>
      </c>
      <c r="C9" s="2566" t="s">
        <v>898</v>
      </c>
      <c r="D9" s="2566" t="s">
        <v>899</v>
      </c>
      <c r="E9" s="717">
        <v>26177056.25</v>
      </c>
      <c r="F9" s="717">
        <v>26177056.25</v>
      </c>
      <c r="G9" s="223" t="s">
        <v>12</v>
      </c>
      <c r="H9" s="717">
        <f t="shared" si="0"/>
        <v>12136419</v>
      </c>
      <c r="I9" s="717">
        <v>2485596</v>
      </c>
      <c r="J9" s="717">
        <v>2485596</v>
      </c>
      <c r="K9" s="717">
        <v>2388409</v>
      </c>
      <c r="L9" s="717">
        <v>2388409</v>
      </c>
      <c r="M9" s="717">
        <v>2388409</v>
      </c>
      <c r="N9" s="2566"/>
      <c r="O9" s="2566"/>
    </row>
    <row r="10" spans="1:15" ht="46.8" x14ac:dyDescent="0.3">
      <c r="A10" s="2566"/>
      <c r="B10" s="2566"/>
      <c r="C10" s="2566"/>
      <c r="D10" s="2566"/>
      <c r="E10" s="717"/>
      <c r="F10" s="718"/>
      <c r="G10" s="223" t="s">
        <v>15</v>
      </c>
      <c r="H10" s="717">
        <f t="shared" si="0"/>
        <v>12136419</v>
      </c>
      <c r="I10" s="717">
        <v>2485596</v>
      </c>
      <c r="J10" s="717">
        <v>2485596</v>
      </c>
      <c r="K10" s="717">
        <v>2388409</v>
      </c>
      <c r="L10" s="717">
        <v>2388409</v>
      </c>
      <c r="M10" s="717">
        <v>2388409</v>
      </c>
      <c r="N10" s="2566"/>
      <c r="O10" s="2566"/>
    </row>
    <row r="11" spans="1:15" ht="28.5" customHeight="1" x14ac:dyDescent="0.3">
      <c r="A11" s="2566"/>
      <c r="B11" s="2566" t="s">
        <v>738</v>
      </c>
      <c r="C11" s="223"/>
      <c r="D11" s="223"/>
      <c r="E11" s="719">
        <f>E9+E7+E5</f>
        <v>206097560.90000001</v>
      </c>
      <c r="F11" s="719">
        <f>F9+F7+F5</f>
        <v>107341592.83</v>
      </c>
      <c r="G11" s="223" t="s">
        <v>900</v>
      </c>
      <c r="H11" s="717">
        <f t="shared" ref="H11:M12" si="1">H9+H7+H5</f>
        <v>97753609.579999998</v>
      </c>
      <c r="I11" s="717">
        <f t="shared" si="1"/>
        <v>20469267</v>
      </c>
      <c r="J11" s="717">
        <f t="shared" si="1"/>
        <v>18876540.5</v>
      </c>
      <c r="K11" s="717">
        <f t="shared" si="1"/>
        <v>19469267.359999999</v>
      </c>
      <c r="L11" s="717">
        <f t="shared" si="1"/>
        <v>19469267.359999999</v>
      </c>
      <c r="M11" s="717">
        <f t="shared" si="1"/>
        <v>19469267.359999999</v>
      </c>
      <c r="N11" s="2566"/>
      <c r="O11" s="2566"/>
    </row>
    <row r="12" spans="1:15" ht="46.8" x14ac:dyDescent="0.3">
      <c r="A12" s="2566"/>
      <c r="B12" s="2566"/>
      <c r="C12" s="223"/>
      <c r="D12" s="223"/>
      <c r="E12" s="720"/>
      <c r="F12" s="720"/>
      <c r="G12" s="223" t="s">
        <v>15</v>
      </c>
      <c r="H12" s="719">
        <f t="shared" si="1"/>
        <v>97753609.579999998</v>
      </c>
      <c r="I12" s="717">
        <f t="shared" si="1"/>
        <v>20469267</v>
      </c>
      <c r="J12" s="717">
        <f t="shared" si="1"/>
        <v>18876540.5</v>
      </c>
      <c r="K12" s="717">
        <f t="shared" si="1"/>
        <v>19469267.359999999</v>
      </c>
      <c r="L12" s="717">
        <f t="shared" si="1"/>
        <v>19469267.359999999</v>
      </c>
      <c r="M12" s="717">
        <f t="shared" si="1"/>
        <v>19469267.359999999</v>
      </c>
      <c r="N12" s="2566"/>
      <c r="O12" s="2566"/>
    </row>
    <row r="13" spans="1:15" ht="78.75" customHeight="1" x14ac:dyDescent="0.35">
      <c r="E13" s="231">
        <f>F11+H12</f>
        <v>205095202.41</v>
      </c>
    </row>
    <row r="18" spans="16:16" x14ac:dyDescent="0.3">
      <c r="P18" s="2566"/>
    </row>
    <row r="19" spans="16:16" x14ac:dyDescent="0.3">
      <c r="P19" s="2566"/>
    </row>
  </sheetData>
  <customSheetViews>
    <customSheetView guid="{7DDEA387-EEC9-4633-99BE-C0D9299FB093}" scale="60" showPageBreaks="1" printArea="1" view="pageBreakPreview">
      <selection activeCell="H20" sqref="H20"/>
      <pageMargins left="0.70866141732283472" right="0.70866141732283472" top="0.74803149606299213" bottom="0.74803149606299213" header="0.31496062992125984" footer="0.31496062992125984"/>
      <pageSetup paperSize="9" scale="50" orientation="landscape" r:id="rId1"/>
    </customSheetView>
    <customSheetView guid="{6592EBC0-D945-4F6F-93D1-49FCB588A4A0}" scale="60" showPageBreaks="1" printArea="1" view="pageBreakPreview">
      <selection activeCell="H20" sqref="H20"/>
      <pageMargins left="0.70866141732283472" right="0.70866141732283472" top="0.74803149606299213" bottom="0.74803149606299213" header="0.31496062992125984" footer="0.31496062992125984"/>
      <pageSetup paperSize="9" scale="50" orientation="landscape" r:id="rId2"/>
    </customSheetView>
    <customSheetView guid="{001F394D-7E32-49E0-9108-A9790B233A9D}" scale="60" showPageBreaks="1" printArea="1" view="pageBreakPreview">
      <selection activeCell="H20" sqref="H20"/>
      <pageMargins left="0.70866141732283472" right="0.70866141732283472" top="0.74803149606299213" bottom="0.74803149606299213" header="0.31496062992125984" footer="0.31496062992125984"/>
      <pageSetup paperSize="9" scale="50" orientation="landscape" r:id="rId3"/>
    </customSheetView>
    <customSheetView guid="{F08E63B0-D6C4-4E18-B2B6-E1E751FE7DF2}" scale="60" showPageBreaks="1" printArea="1" view="pageBreakPreview">
      <selection activeCell="H20" sqref="H20"/>
      <pageMargins left="0.70866141732283472" right="0.70866141732283472" top="0.74803149606299213" bottom="0.74803149606299213" header="0.31496062992125984" footer="0.31496062992125984"/>
      <pageSetup paperSize="9" scale="50" orientation="landscape" r:id="rId4"/>
    </customSheetView>
    <customSheetView guid="{D32E4BC6-6FD7-4441-855E-C6B8F80A132E}" scale="60" showPageBreaks="1" printArea="1" view="pageBreakPreview">
      <selection activeCell="H20" sqref="H20"/>
      <pageMargins left="0.70866141732283472" right="0.70866141732283472" top="0.74803149606299213" bottom="0.74803149606299213" header="0.31496062992125984" footer="0.31496062992125984"/>
      <pageSetup paperSize="9" scale="50" orientation="landscape" r:id="rId5"/>
    </customSheetView>
  </customSheetViews>
  <mergeCells count="34">
    <mergeCell ref="A1:O1"/>
    <mergeCell ref="E2:E3"/>
    <mergeCell ref="N2:N3"/>
    <mergeCell ref="A5:A6"/>
    <mergeCell ref="D5:D6"/>
    <mergeCell ref="N5:N6"/>
    <mergeCell ref="F2:F3"/>
    <mergeCell ref="G2:G3"/>
    <mergeCell ref="A2:A3"/>
    <mergeCell ref="B2:B3"/>
    <mergeCell ref="C2:C3"/>
    <mergeCell ref="D2:D3"/>
    <mergeCell ref="B5:B6"/>
    <mergeCell ref="C5:C6"/>
    <mergeCell ref="H2:M2"/>
    <mergeCell ref="A11:A12"/>
    <mergeCell ref="B11:B12"/>
    <mergeCell ref="N11:N12"/>
    <mergeCell ref="N7:N8"/>
    <mergeCell ref="A9:A10"/>
    <mergeCell ref="B9:B10"/>
    <mergeCell ref="C9:C10"/>
    <mergeCell ref="D9:D10"/>
    <mergeCell ref="N9:N10"/>
    <mergeCell ref="A7:A8"/>
    <mergeCell ref="B7:B8"/>
    <mergeCell ref="C7:C8"/>
    <mergeCell ref="D7:D8"/>
    <mergeCell ref="P18:P19"/>
    <mergeCell ref="O2:O3"/>
    <mergeCell ref="O5:O6"/>
    <mergeCell ref="O7:O8"/>
    <mergeCell ref="O9:O10"/>
    <mergeCell ref="O11:O12"/>
  </mergeCells>
  <pageMargins left="0.70866141732283472" right="0.70866141732283472" top="0.74803149606299213" bottom="0.74803149606299213" header="0.31496062992125984" footer="0.31496062992125984"/>
  <pageSetup paperSize="9" scale="50" orientation="landscape" r:id="rId6"/>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7FFA7"/>
  </sheetPr>
  <dimension ref="A2:I11"/>
  <sheetViews>
    <sheetView view="pageBreakPreview" zoomScaleNormal="80" zoomScaleSheetLayoutView="100" workbookViewId="0">
      <selection activeCell="L9" sqref="L9"/>
    </sheetView>
  </sheetViews>
  <sheetFormatPr defaultRowHeight="14.4" x14ac:dyDescent="0.3"/>
  <cols>
    <col min="1" max="1" width="22.5546875" customWidth="1"/>
    <col min="2" max="2" width="13.6640625" customWidth="1"/>
    <col min="3" max="3" width="14.88671875" customWidth="1"/>
    <col min="4" max="4" width="11.44140625" customWidth="1"/>
    <col min="5" max="5" width="11" customWidth="1"/>
    <col min="6" max="6" width="12" customWidth="1"/>
    <col min="7" max="7" width="10.5546875" customWidth="1"/>
    <col min="8" max="8" width="10.44140625" customWidth="1"/>
    <col min="9" max="9" width="10.6640625" customWidth="1"/>
  </cols>
  <sheetData>
    <row r="2" spans="1:9" ht="26.25" customHeight="1" x14ac:dyDescent="0.3">
      <c r="A2" s="2569" t="s">
        <v>731</v>
      </c>
      <c r="B2" s="2569"/>
      <c r="C2" s="2569"/>
      <c r="D2" s="2569"/>
      <c r="E2" s="2569"/>
      <c r="F2" s="2569"/>
      <c r="G2" s="2569"/>
      <c r="H2" s="2569"/>
      <c r="I2" s="2569"/>
    </row>
    <row r="3" spans="1:9" ht="15.6" x14ac:dyDescent="0.3">
      <c r="A3" s="52"/>
    </row>
    <row r="4" spans="1:9" ht="54" customHeight="1" x14ac:dyDescent="0.3">
      <c r="A4" s="169" t="s">
        <v>31</v>
      </c>
      <c r="B4" s="2570" t="s">
        <v>434</v>
      </c>
      <c r="C4" s="2570"/>
      <c r="D4" s="2570"/>
      <c r="E4" s="2570"/>
      <c r="F4" s="2570"/>
      <c r="G4" s="2570"/>
      <c r="H4" s="2570"/>
      <c r="I4" s="2570"/>
    </row>
    <row r="5" spans="1:9" ht="21.75" customHeight="1" x14ac:dyDescent="0.3">
      <c r="A5" s="2571" t="s">
        <v>435</v>
      </c>
      <c r="B5" s="2570" t="s">
        <v>61</v>
      </c>
      <c r="C5" s="2570" t="s">
        <v>62</v>
      </c>
      <c r="D5" s="2570" t="s">
        <v>41</v>
      </c>
      <c r="E5" s="2570"/>
      <c r="F5" s="2570"/>
      <c r="G5" s="2570"/>
      <c r="H5" s="2570"/>
      <c r="I5" s="2570"/>
    </row>
    <row r="6" spans="1:9" ht="23.25" customHeight="1" x14ac:dyDescent="0.3">
      <c r="A6" s="2571"/>
      <c r="B6" s="2570"/>
      <c r="C6" s="2570"/>
      <c r="D6" s="168">
        <v>2018</v>
      </c>
      <c r="E6" s="168">
        <v>2019</v>
      </c>
      <c r="F6" s="168">
        <v>2020</v>
      </c>
      <c r="G6" s="168">
        <v>2021</v>
      </c>
      <c r="H6" s="168">
        <v>2022</v>
      </c>
      <c r="I6" s="169" t="s">
        <v>12</v>
      </c>
    </row>
    <row r="7" spans="1:9" ht="30.75" customHeight="1" x14ac:dyDescent="0.3">
      <c r="A7" s="2571"/>
      <c r="B7" s="169"/>
      <c r="C7" s="169" t="s">
        <v>436</v>
      </c>
      <c r="D7" s="174">
        <f>D8+D9</f>
        <v>1798090</v>
      </c>
      <c r="E7" s="174">
        <f>E8+E9</f>
        <v>1836400</v>
      </c>
      <c r="F7" s="174">
        <f>F8+F9</f>
        <v>1930400</v>
      </c>
      <c r="G7" s="174">
        <f>G8+G9</f>
        <v>1995400</v>
      </c>
      <c r="H7" s="174">
        <f>H8+H9</f>
        <v>1733400</v>
      </c>
      <c r="I7" s="174">
        <f>E7+F7+G7+H7+D7</f>
        <v>9293690</v>
      </c>
    </row>
    <row r="8" spans="1:9" ht="49.5" customHeight="1" x14ac:dyDescent="0.3">
      <c r="A8" s="2571"/>
      <c r="B8" s="169" t="s">
        <v>434</v>
      </c>
      <c r="C8" s="169" t="s">
        <v>13</v>
      </c>
      <c r="D8" s="174">
        <f>'МП 6'!G17</f>
        <v>39400</v>
      </c>
      <c r="E8" s="174">
        <f>'МП 6'!H17</f>
        <v>26400</v>
      </c>
      <c r="F8" s="174">
        <f>'МП 6'!I17</f>
        <v>26400</v>
      </c>
      <c r="G8" s="174">
        <f>'МП 6'!J17</f>
        <v>26400</v>
      </c>
      <c r="H8" s="174">
        <f>'МП 6'!K17</f>
        <v>26400</v>
      </c>
      <c r="I8" s="174">
        <f>E8+F8+G8+H8+D8</f>
        <v>145000</v>
      </c>
    </row>
    <row r="9" spans="1:9" ht="33.75" customHeight="1" x14ac:dyDescent="0.3">
      <c r="A9" s="2571"/>
      <c r="B9" s="169"/>
      <c r="C9" s="169" t="s">
        <v>231</v>
      </c>
      <c r="D9" s="174">
        <f>'МП 6'!G13+'МП 6'!G9</f>
        <v>1758690</v>
      </c>
      <c r="E9" s="174">
        <f>'МП 6'!H13+'МП 6'!H9</f>
        <v>1810000</v>
      </c>
      <c r="F9" s="174">
        <f>'МП 6'!I13+'МП 6'!I9</f>
        <v>1904000</v>
      </c>
      <c r="G9" s="174">
        <f>'МП 6'!J13+'МП 6'!J9</f>
        <v>1969000</v>
      </c>
      <c r="H9" s="174">
        <f>'МП 6'!K13+'МП 6'!K9</f>
        <v>1707000</v>
      </c>
      <c r="I9" s="174">
        <f>E9+F9+G9+H9+D9</f>
        <v>9148690</v>
      </c>
    </row>
    <row r="11" spans="1:9" x14ac:dyDescent="0.3">
      <c r="D11" s="103"/>
      <c r="E11" s="103"/>
      <c r="F11" s="103"/>
    </row>
  </sheetData>
  <customSheetViews>
    <customSheetView guid="{7DDEA387-EEC9-4633-99BE-C0D9299FB093}" showPageBreaks="1" view="pageBreakPreview">
      <selection activeCell="L9" sqref="L9"/>
      <pageMargins left="0.70866141732283472" right="0.70866141732283472" top="0.74803149606299213" bottom="0.74803149606299213" header="0.31496062992125984" footer="0.31496062992125984"/>
      <pageSetup paperSize="9" scale="85" orientation="landscape" r:id="rId1"/>
    </customSheetView>
    <customSheetView guid="{6592EBC0-D945-4F6F-93D1-49FCB588A4A0}" showPageBreaks="1" view="pageBreakPreview">
      <selection activeCell="L9" sqref="L9"/>
      <pageMargins left="0.70866141732283472" right="0.70866141732283472" top="0.74803149606299213" bottom="0.74803149606299213" header="0.31496062992125984" footer="0.31496062992125984"/>
      <pageSetup paperSize="9" scale="85" orientation="landscape" r:id="rId2"/>
    </customSheetView>
    <customSheetView guid="{001F394D-7E32-49E0-9108-A9790B233A9D}" showPageBreaks="1" view="pageBreakPreview">
      <selection activeCell="L9" sqref="L9"/>
      <pageMargins left="0.70866141732283472" right="0.70866141732283472" top="0.74803149606299213" bottom="0.74803149606299213" header="0.31496062992125984" footer="0.31496062992125984"/>
      <pageSetup paperSize="9" scale="85" orientation="landscape" r:id="rId3"/>
    </customSheetView>
    <customSheetView guid="{F08E63B0-D6C4-4E18-B2B6-E1E751FE7DF2}" showPageBreaks="1" view="pageBreakPreview">
      <selection activeCell="L9" sqref="L9"/>
      <pageMargins left="0.70866141732283472" right="0.70866141732283472" top="0.74803149606299213" bottom="0.74803149606299213" header="0.31496062992125984" footer="0.31496062992125984"/>
      <pageSetup paperSize="9" scale="85" orientation="landscape" r:id="rId4"/>
    </customSheetView>
    <customSheetView guid="{D32E4BC6-6FD7-4441-855E-C6B8F80A132E}" showPageBreaks="1" view="pageBreakPreview">
      <selection activeCell="L9" sqref="L9"/>
      <pageMargins left="0.70866141732283472" right="0.70866141732283472" top="0.74803149606299213" bottom="0.74803149606299213" header="0.31496062992125984" footer="0.31496062992125984"/>
      <pageSetup paperSize="9" scale="85" orientation="landscape" r:id="rId5"/>
    </customSheetView>
  </customSheetViews>
  <mergeCells count="6">
    <mergeCell ref="A2:I2"/>
    <mergeCell ref="B4:I4"/>
    <mergeCell ref="A5:A9"/>
    <mergeCell ref="B5:B6"/>
    <mergeCell ref="C5:C6"/>
    <mergeCell ref="D5:I5"/>
  </mergeCells>
  <pageMargins left="0.70866141732283472" right="0.70866141732283472" top="0.74803149606299213" bottom="0.74803149606299213" header="0.31496062992125984" footer="0.31496062992125984"/>
  <pageSetup paperSize="9" scale="85" orientation="landscape"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7FFA7"/>
  </sheetPr>
  <dimension ref="A1:S21"/>
  <sheetViews>
    <sheetView view="pageBreakPreview" zoomScaleNormal="90" zoomScaleSheetLayoutView="100" workbookViewId="0">
      <pane ySplit="5" topLeftCell="A6" activePane="bottomLeft" state="frozen"/>
      <selection pane="bottomLeft" activeCell="G7" sqref="G7"/>
    </sheetView>
  </sheetViews>
  <sheetFormatPr defaultRowHeight="14.4" x14ac:dyDescent="0.3"/>
  <cols>
    <col min="1" max="1" width="3.88671875" customWidth="1"/>
    <col min="2" max="2" width="31.88671875" customWidth="1"/>
    <col min="3" max="3" width="11.5546875" customWidth="1"/>
    <col min="4" max="4" width="15.33203125" customWidth="1"/>
    <col min="5" max="5" width="14.88671875" customWidth="1"/>
    <col min="6" max="11" width="12.33203125" customWidth="1"/>
    <col min="12" max="12" width="16" customWidth="1"/>
    <col min="13" max="13" width="17.88671875" customWidth="1"/>
    <col min="14" max="14" width="11.44140625" bestFit="1" customWidth="1"/>
    <col min="15" max="15" width="11.88671875" customWidth="1"/>
    <col min="16" max="16" width="13" customWidth="1"/>
    <col min="17" max="17" width="11.44140625" customWidth="1"/>
    <col min="18" max="18" width="13.88671875" customWidth="1"/>
    <col min="19" max="19" width="12.109375" customWidth="1"/>
  </cols>
  <sheetData>
    <row r="1" spans="1:19" s="545" customFormat="1" ht="20.399999999999999" x14ac:dyDescent="0.3">
      <c r="A1" s="2580" t="s">
        <v>904</v>
      </c>
      <c r="B1" s="2581"/>
      <c r="C1" s="2581"/>
      <c r="D1" s="2581"/>
      <c r="E1" s="2581"/>
      <c r="F1" s="2581"/>
      <c r="G1" s="2581"/>
      <c r="H1" s="2581"/>
      <c r="I1" s="2581"/>
      <c r="J1" s="2581"/>
      <c r="K1" s="2581"/>
      <c r="L1" s="2581"/>
      <c r="M1" s="2581"/>
    </row>
    <row r="2" spans="1:19" s="545" customFormat="1" ht="10.5" customHeight="1" x14ac:dyDescent="0.3">
      <c r="A2" s="751"/>
      <c r="B2" s="752"/>
      <c r="C2" s="752"/>
      <c r="D2" s="752"/>
      <c r="E2" s="752"/>
      <c r="F2" s="752"/>
      <c r="G2" s="752"/>
      <c r="H2" s="752"/>
      <c r="I2" s="752"/>
      <c r="J2" s="752"/>
      <c r="K2" s="752"/>
      <c r="L2" s="752"/>
      <c r="M2" s="752"/>
    </row>
    <row r="3" spans="1:19" s="545" customFormat="1" ht="18" customHeight="1" x14ac:dyDescent="0.3">
      <c r="A3" s="2582" t="s">
        <v>666</v>
      </c>
      <c r="B3" s="2582" t="s">
        <v>224</v>
      </c>
      <c r="C3" s="2582" t="s">
        <v>495</v>
      </c>
      <c r="D3" s="2582" t="s">
        <v>494</v>
      </c>
      <c r="E3" s="2582" t="s">
        <v>493</v>
      </c>
      <c r="F3" s="2582" t="s">
        <v>492</v>
      </c>
      <c r="G3" s="2582" t="s">
        <v>491</v>
      </c>
      <c r="H3" s="2582"/>
      <c r="I3" s="2582"/>
      <c r="J3" s="2582"/>
      <c r="K3" s="2582"/>
      <c r="L3" s="2582" t="s">
        <v>490</v>
      </c>
      <c r="M3" s="2582" t="s">
        <v>489</v>
      </c>
    </row>
    <row r="4" spans="1:19" s="545" customFormat="1" ht="45" customHeight="1" x14ac:dyDescent="0.3">
      <c r="A4" s="2582"/>
      <c r="B4" s="2582"/>
      <c r="C4" s="2582"/>
      <c r="D4" s="2582"/>
      <c r="E4" s="2582"/>
      <c r="F4" s="2582"/>
      <c r="G4" s="753">
        <v>2018</v>
      </c>
      <c r="H4" s="753">
        <v>2019</v>
      </c>
      <c r="I4" s="753">
        <v>2020</v>
      </c>
      <c r="J4" s="753">
        <v>2021</v>
      </c>
      <c r="K4" s="753">
        <v>2022</v>
      </c>
      <c r="L4" s="2582"/>
      <c r="M4" s="2582"/>
    </row>
    <row r="5" spans="1:19" s="545" customFormat="1" x14ac:dyDescent="0.3">
      <c r="A5" s="753">
        <v>1</v>
      </c>
      <c r="B5" s="753">
        <v>2</v>
      </c>
      <c r="C5" s="753">
        <v>3</v>
      </c>
      <c r="D5" s="753">
        <v>4</v>
      </c>
      <c r="E5" s="753">
        <v>5</v>
      </c>
      <c r="F5" s="753">
        <v>6</v>
      </c>
      <c r="G5" s="753">
        <v>7</v>
      </c>
      <c r="H5" s="753">
        <v>8</v>
      </c>
      <c r="I5" s="753">
        <v>9</v>
      </c>
      <c r="J5" s="753">
        <v>10</v>
      </c>
      <c r="K5" s="753">
        <v>11</v>
      </c>
      <c r="L5" s="753">
        <v>12</v>
      </c>
      <c r="M5" s="753">
        <v>13</v>
      </c>
      <c r="N5" s="545">
        <v>2018</v>
      </c>
      <c r="O5" s="545">
        <v>2019</v>
      </c>
      <c r="P5" s="545">
        <v>2020</v>
      </c>
      <c r="Q5" s="545">
        <v>2021</v>
      </c>
      <c r="R5" s="545">
        <v>2022</v>
      </c>
      <c r="S5" s="545">
        <v>2023</v>
      </c>
    </row>
    <row r="6" spans="1:19" s="251" customFormat="1" ht="20.25" customHeight="1" x14ac:dyDescent="0.3">
      <c r="A6" s="2573">
        <v>1</v>
      </c>
      <c r="B6" s="2574" t="s">
        <v>936</v>
      </c>
      <c r="C6" s="2572" t="s">
        <v>511</v>
      </c>
      <c r="D6" s="249" t="s">
        <v>12</v>
      </c>
      <c r="E6" s="250">
        <f>E7</f>
        <v>11976940</v>
      </c>
      <c r="F6" s="250">
        <f>F7</f>
        <v>9008690</v>
      </c>
      <c r="G6" s="250">
        <f t="shared" ref="G6:K6" si="0">G7</f>
        <v>1618690</v>
      </c>
      <c r="H6" s="250">
        <f t="shared" si="0"/>
        <v>1810000</v>
      </c>
      <c r="I6" s="250">
        <f t="shared" si="0"/>
        <v>1904000</v>
      </c>
      <c r="J6" s="250">
        <f t="shared" si="0"/>
        <v>1969000</v>
      </c>
      <c r="K6" s="250">
        <f t="shared" si="0"/>
        <v>1707000</v>
      </c>
      <c r="L6" s="2578"/>
      <c r="M6" s="2572"/>
    </row>
    <row r="7" spans="1:19" s="252" customFormat="1" ht="30.75" customHeight="1" x14ac:dyDescent="0.3">
      <c r="A7" s="2573"/>
      <c r="B7" s="2574"/>
      <c r="C7" s="2572"/>
      <c r="D7" s="249" t="s">
        <v>231</v>
      </c>
      <c r="E7" s="250">
        <f>E9</f>
        <v>11976940</v>
      </c>
      <c r="F7" s="250">
        <f>G7+H7+I7+J7+K7</f>
        <v>9008690</v>
      </c>
      <c r="G7" s="250">
        <f>G9</f>
        <v>1618690</v>
      </c>
      <c r="H7" s="250">
        <f t="shared" ref="H7:K7" si="1">H9</f>
        <v>1810000</v>
      </c>
      <c r="I7" s="250">
        <f t="shared" si="1"/>
        <v>1904000</v>
      </c>
      <c r="J7" s="250">
        <f t="shared" si="1"/>
        <v>1969000</v>
      </c>
      <c r="K7" s="250">
        <f t="shared" si="1"/>
        <v>1707000</v>
      </c>
      <c r="L7" s="2579"/>
      <c r="M7" s="2572"/>
      <c r="N7" s="1344">
        <f>G7+G11</f>
        <v>1758690</v>
      </c>
      <c r="O7" s="1344">
        <f>H7+H11</f>
        <v>1810000</v>
      </c>
      <c r="P7" s="1344">
        <f t="shared" ref="P7:S7" si="2">I7+I11</f>
        <v>1904000</v>
      </c>
      <c r="Q7" s="1344">
        <f t="shared" si="2"/>
        <v>1969000</v>
      </c>
      <c r="R7" s="1344">
        <f t="shared" si="2"/>
        <v>1707000</v>
      </c>
      <c r="S7" s="1344">
        <f t="shared" si="2"/>
        <v>0</v>
      </c>
    </row>
    <row r="8" spans="1:19" s="102" customFormat="1" ht="21" customHeight="1" x14ac:dyDescent="0.3">
      <c r="A8" s="2575" t="s">
        <v>115</v>
      </c>
      <c r="B8" s="1998" t="s">
        <v>905</v>
      </c>
      <c r="C8" s="1998" t="s">
        <v>511</v>
      </c>
      <c r="D8" s="175" t="s">
        <v>12</v>
      </c>
      <c r="E8" s="161">
        <f>E9</f>
        <v>11976940</v>
      </c>
      <c r="F8" s="161">
        <f t="shared" ref="F8:F17" si="3">G8+H8+I8+J8+K8</f>
        <v>9008690</v>
      </c>
      <c r="G8" s="161">
        <f>G9</f>
        <v>1618690</v>
      </c>
      <c r="H8" s="161">
        <f>H9</f>
        <v>1810000</v>
      </c>
      <c r="I8" s="161">
        <f>I9</f>
        <v>1904000</v>
      </c>
      <c r="J8" s="161">
        <f>J9</f>
        <v>1969000</v>
      </c>
      <c r="K8" s="161">
        <f>K9</f>
        <v>1707000</v>
      </c>
      <c r="L8" s="2576" t="s">
        <v>434</v>
      </c>
      <c r="M8" s="1998" t="s">
        <v>512</v>
      </c>
    </row>
    <row r="9" spans="1:19" ht="29.25" customHeight="1" x14ac:dyDescent="0.3">
      <c r="A9" s="2575"/>
      <c r="B9" s="1998"/>
      <c r="C9" s="1998"/>
      <c r="D9" s="175" t="s">
        <v>231</v>
      </c>
      <c r="E9" s="161">
        <v>11976940</v>
      </c>
      <c r="F9" s="161">
        <f t="shared" si="3"/>
        <v>9008690</v>
      </c>
      <c r="G9" s="161">
        <f>'АП П 6'!I8</f>
        <v>1618690</v>
      </c>
      <c r="H9" s="161">
        <f>'АП П 6'!J8</f>
        <v>1810000</v>
      </c>
      <c r="I9" s="161">
        <f>'АП П 6'!K8</f>
        <v>1904000</v>
      </c>
      <c r="J9" s="161">
        <f>'АП П 6'!L8</f>
        <v>1969000</v>
      </c>
      <c r="K9" s="161">
        <f>'АП П 6'!M8</f>
        <v>1707000</v>
      </c>
      <c r="L9" s="2577"/>
      <c r="M9" s="1998"/>
      <c r="N9" s="103">
        <f>G15</f>
        <v>39400</v>
      </c>
      <c r="O9" s="103">
        <f t="shared" ref="O9:R9" si="4">H15</f>
        <v>26400</v>
      </c>
      <c r="P9" s="103">
        <f t="shared" si="4"/>
        <v>26400</v>
      </c>
      <c r="Q9" s="103">
        <f t="shared" si="4"/>
        <v>26400</v>
      </c>
      <c r="R9" s="103">
        <f t="shared" si="4"/>
        <v>26400</v>
      </c>
    </row>
    <row r="10" spans="1:19" s="251" customFormat="1" ht="20.25" customHeight="1" x14ac:dyDescent="0.3">
      <c r="A10" s="2573">
        <v>2</v>
      </c>
      <c r="B10" s="2574" t="s">
        <v>937</v>
      </c>
      <c r="C10" s="2572" t="s">
        <v>511</v>
      </c>
      <c r="D10" s="249" t="s">
        <v>12</v>
      </c>
      <c r="E10" s="250">
        <v>322000</v>
      </c>
      <c r="F10" s="250">
        <f t="shared" si="3"/>
        <v>140000</v>
      </c>
      <c r="G10" s="250">
        <v>140000</v>
      </c>
      <c r="H10" s="250">
        <v>0</v>
      </c>
      <c r="I10" s="250">
        <v>0</v>
      </c>
      <c r="J10" s="250">
        <v>0</v>
      </c>
      <c r="K10" s="250">
        <v>0</v>
      </c>
      <c r="L10" s="2578"/>
      <c r="M10" s="2572"/>
    </row>
    <row r="11" spans="1:19" s="252" customFormat="1" ht="43.5" customHeight="1" x14ac:dyDescent="0.3">
      <c r="A11" s="2573"/>
      <c r="B11" s="2574"/>
      <c r="C11" s="2572"/>
      <c r="D11" s="249" t="s">
        <v>231</v>
      </c>
      <c r="E11" s="250">
        <v>322000</v>
      </c>
      <c r="F11" s="250">
        <f t="shared" si="3"/>
        <v>140000</v>
      </c>
      <c r="G11" s="250">
        <v>140000</v>
      </c>
      <c r="H11" s="250">
        <v>0</v>
      </c>
      <c r="I11" s="250">
        <v>0</v>
      </c>
      <c r="J11" s="250">
        <v>0</v>
      </c>
      <c r="K11" s="250">
        <v>0</v>
      </c>
      <c r="L11" s="2579"/>
      <c r="M11" s="2572"/>
      <c r="N11" s="1344">
        <f>N7+N9</f>
        <v>1798090</v>
      </c>
      <c r="O11" s="1344">
        <f t="shared" ref="O11:R11" si="5">O7+O9</f>
        <v>1836400</v>
      </c>
      <c r="P11" s="1344">
        <f t="shared" si="5"/>
        <v>1930400</v>
      </c>
      <c r="Q11" s="1344">
        <f t="shared" si="5"/>
        <v>1995400</v>
      </c>
      <c r="R11" s="1344">
        <f t="shared" si="5"/>
        <v>1733400</v>
      </c>
    </row>
    <row r="12" spans="1:19" s="102" customFormat="1" ht="21.75" customHeight="1" x14ac:dyDescent="0.3">
      <c r="A12" s="2575" t="s">
        <v>149</v>
      </c>
      <c r="B12" s="1998" t="s">
        <v>763</v>
      </c>
      <c r="C12" s="1998" t="s">
        <v>511</v>
      </c>
      <c r="D12" s="175" t="s">
        <v>12</v>
      </c>
      <c r="E12" s="161">
        <v>322000</v>
      </c>
      <c r="F12" s="161">
        <f t="shared" si="3"/>
        <v>140000</v>
      </c>
      <c r="G12" s="161">
        <v>140000</v>
      </c>
      <c r="H12" s="161">
        <v>0</v>
      </c>
      <c r="I12" s="161">
        <v>0</v>
      </c>
      <c r="J12" s="161">
        <v>0</v>
      </c>
      <c r="K12" s="161">
        <v>0</v>
      </c>
      <c r="L12" s="2576" t="s">
        <v>434</v>
      </c>
      <c r="M12" s="1998" t="s">
        <v>762</v>
      </c>
    </row>
    <row r="13" spans="1:19" ht="40.5" customHeight="1" x14ac:dyDescent="0.3">
      <c r="A13" s="2575"/>
      <c r="B13" s="1998"/>
      <c r="C13" s="1998"/>
      <c r="D13" s="175" t="s">
        <v>231</v>
      </c>
      <c r="E13" s="161">
        <v>322000</v>
      </c>
      <c r="F13" s="161">
        <f t="shared" si="3"/>
        <v>140000</v>
      </c>
      <c r="G13" s="161">
        <v>140000</v>
      </c>
      <c r="H13" s="161">
        <v>0</v>
      </c>
      <c r="I13" s="161">
        <v>0</v>
      </c>
      <c r="J13" s="161">
        <v>0</v>
      </c>
      <c r="K13" s="161">
        <v>0</v>
      </c>
      <c r="L13" s="2577"/>
      <c r="M13" s="1998"/>
    </row>
    <row r="14" spans="1:19" s="251" customFormat="1" ht="22.5" customHeight="1" x14ac:dyDescent="0.3">
      <c r="A14" s="2573">
        <v>3</v>
      </c>
      <c r="B14" s="2574" t="s">
        <v>938</v>
      </c>
      <c r="C14" s="2572" t="s">
        <v>511</v>
      </c>
      <c r="D14" s="249" t="s">
        <v>12</v>
      </c>
      <c r="E14" s="250">
        <v>20000</v>
      </c>
      <c r="F14" s="250">
        <f t="shared" si="3"/>
        <v>145000</v>
      </c>
      <c r="G14" s="250">
        <v>39400</v>
      </c>
      <c r="H14" s="250">
        <v>26400</v>
      </c>
      <c r="I14" s="250">
        <v>26400</v>
      </c>
      <c r="J14" s="250">
        <v>26400</v>
      </c>
      <c r="K14" s="250">
        <v>26400</v>
      </c>
      <c r="L14" s="2578" t="s">
        <v>434</v>
      </c>
      <c r="M14" s="2572" t="s">
        <v>513</v>
      </c>
    </row>
    <row r="15" spans="1:19" s="252" customFormat="1" ht="48.75" customHeight="1" x14ac:dyDescent="0.3">
      <c r="A15" s="2573"/>
      <c r="B15" s="2574"/>
      <c r="C15" s="2572"/>
      <c r="D15" s="249" t="s">
        <v>13</v>
      </c>
      <c r="E15" s="250">
        <v>20000</v>
      </c>
      <c r="F15" s="250">
        <f t="shared" si="3"/>
        <v>145000</v>
      </c>
      <c r="G15" s="250">
        <v>39400</v>
      </c>
      <c r="H15" s="250">
        <v>26400</v>
      </c>
      <c r="I15" s="250">
        <v>26400</v>
      </c>
      <c r="J15" s="250">
        <v>26400</v>
      </c>
      <c r="K15" s="250">
        <v>26400</v>
      </c>
      <c r="L15" s="2579"/>
      <c r="M15" s="2572"/>
    </row>
    <row r="16" spans="1:19" s="102" customFormat="1" ht="21" customHeight="1" x14ac:dyDescent="0.3">
      <c r="A16" s="2575" t="s">
        <v>486</v>
      </c>
      <c r="B16" s="1998" t="s">
        <v>764</v>
      </c>
      <c r="C16" s="1998" t="s">
        <v>511</v>
      </c>
      <c r="D16" s="175" t="s">
        <v>12</v>
      </c>
      <c r="E16" s="161">
        <v>20000</v>
      </c>
      <c r="F16" s="161">
        <f t="shared" si="3"/>
        <v>145000</v>
      </c>
      <c r="G16" s="161">
        <v>39400</v>
      </c>
      <c r="H16" s="161">
        <v>26400</v>
      </c>
      <c r="I16" s="161">
        <v>26400</v>
      </c>
      <c r="J16" s="161">
        <v>26400</v>
      </c>
      <c r="K16" s="161">
        <v>26400</v>
      </c>
      <c r="L16" s="2576" t="s">
        <v>434</v>
      </c>
      <c r="M16" s="1998" t="s">
        <v>514</v>
      </c>
    </row>
    <row r="17" spans="1:13" ht="27" customHeight="1" x14ac:dyDescent="0.3">
      <c r="A17" s="2575"/>
      <c r="B17" s="1998"/>
      <c r="C17" s="1998"/>
      <c r="D17" s="175" t="s">
        <v>13</v>
      </c>
      <c r="E17" s="161">
        <v>20000</v>
      </c>
      <c r="F17" s="161">
        <f t="shared" si="3"/>
        <v>145000</v>
      </c>
      <c r="G17" s="161">
        <v>39400</v>
      </c>
      <c r="H17" s="161">
        <v>26400</v>
      </c>
      <c r="I17" s="161">
        <v>26400</v>
      </c>
      <c r="J17" s="161">
        <v>26400</v>
      </c>
      <c r="K17" s="161">
        <v>26400</v>
      </c>
      <c r="L17" s="2577"/>
      <c r="M17" s="1998"/>
    </row>
    <row r="19" spans="1:13" x14ac:dyDescent="0.3">
      <c r="F19" s="103"/>
    </row>
    <row r="20" spans="1:13" x14ac:dyDescent="0.3">
      <c r="G20" s="103"/>
    </row>
    <row r="21" spans="1:13" x14ac:dyDescent="0.3">
      <c r="E21" s="103">
        <f>E7+E11+E15</f>
        <v>12318940</v>
      </c>
      <c r="F21" s="103">
        <f t="shared" ref="F21:K21" si="6">F7+F11+F15</f>
        <v>9293690</v>
      </c>
      <c r="G21" s="103">
        <f t="shared" si="6"/>
        <v>1798090</v>
      </c>
      <c r="H21" s="103">
        <f t="shared" si="6"/>
        <v>1836400</v>
      </c>
      <c r="I21" s="103">
        <f t="shared" si="6"/>
        <v>1930400</v>
      </c>
      <c r="J21" s="103">
        <f t="shared" si="6"/>
        <v>1995400</v>
      </c>
      <c r="K21" s="103">
        <f t="shared" si="6"/>
        <v>1733400</v>
      </c>
    </row>
  </sheetData>
  <customSheetViews>
    <customSheetView guid="{7DDEA387-EEC9-4633-99BE-C0D9299FB093}" showPageBreaks="1" printArea="1" view="pageBreakPreview">
      <pane ySplit="5" topLeftCell="A6" activePane="bottomLeft" state="frozen"/>
      <selection pane="bottomLeft" activeCell="G7" sqref="G7"/>
      <pageMargins left="0.70866141732283472" right="0.70866141732283472" top="0.74803149606299213" bottom="0.74803149606299213" header="0.31496062992125984" footer="0.31496062992125984"/>
      <pageSetup paperSize="9" scale="65" orientation="landscape" r:id="rId1"/>
    </customSheetView>
    <customSheetView guid="{6592EBC0-D945-4F6F-93D1-49FCB588A4A0}" showPageBreaks="1" printArea="1" view="pageBreakPreview">
      <pane ySplit="5" topLeftCell="A6" activePane="bottomLeft" state="frozen"/>
      <selection pane="bottomLeft" activeCell="G7" sqref="G7"/>
      <pageMargins left="0.70866141732283472" right="0.70866141732283472" top="0.74803149606299213" bottom="0.74803149606299213" header="0.31496062992125984" footer="0.31496062992125984"/>
      <pageSetup paperSize="9" scale="65" orientation="landscape" r:id="rId2"/>
    </customSheetView>
    <customSheetView guid="{001F394D-7E32-49E0-9108-A9790B233A9D}" showPageBreaks="1" printArea="1" view="pageBreakPreview">
      <pane ySplit="5" topLeftCell="A6" activePane="bottomLeft" state="frozen"/>
      <selection pane="bottomLeft" activeCell="G7" sqref="G7"/>
      <pageMargins left="0.70866141732283472" right="0.70866141732283472" top="0.74803149606299213" bottom="0.74803149606299213" header="0.31496062992125984" footer="0.31496062992125984"/>
      <pageSetup paperSize="9" scale="65" orientation="landscape" r:id="rId3"/>
    </customSheetView>
    <customSheetView guid="{F08E63B0-D6C4-4E18-B2B6-E1E751FE7DF2}" showPageBreaks="1" printArea="1" view="pageBreakPreview">
      <pane ySplit="5" topLeftCell="A6" activePane="bottomLeft" state="frozen"/>
      <selection pane="bottomLeft" activeCell="G7" sqref="G7"/>
      <pageMargins left="0.70866141732283472" right="0.70866141732283472" top="0.74803149606299213" bottom="0.74803149606299213" header="0.31496062992125984" footer="0.31496062992125984"/>
      <pageSetup paperSize="9" scale="65" orientation="landscape" r:id="rId4"/>
    </customSheetView>
    <customSheetView guid="{D32E4BC6-6FD7-4441-855E-C6B8F80A132E}" showPageBreaks="1" printArea="1" view="pageBreakPreview">
      <pane ySplit="5" topLeftCell="A6" activePane="bottomLeft" state="frozen"/>
      <selection pane="bottomLeft" activeCell="G7" sqref="G7"/>
      <pageMargins left="0.70866141732283472" right="0.70866141732283472" top="0.74803149606299213" bottom="0.74803149606299213" header="0.31496062992125984" footer="0.31496062992125984"/>
      <pageSetup paperSize="9" scale="65" orientation="landscape" r:id="rId5"/>
    </customSheetView>
  </customSheetViews>
  <mergeCells count="40">
    <mergeCell ref="C6:C7"/>
    <mergeCell ref="A10:A11"/>
    <mergeCell ref="B10:B11"/>
    <mergeCell ref="C10:C11"/>
    <mergeCell ref="M6:M7"/>
    <mergeCell ref="L6:L7"/>
    <mergeCell ref="M10:M11"/>
    <mergeCell ref="A8:A9"/>
    <mergeCell ref="B8:B9"/>
    <mergeCell ref="L8:L9"/>
    <mergeCell ref="L10:L11"/>
    <mergeCell ref="C8:C9"/>
    <mergeCell ref="M8:M9"/>
    <mergeCell ref="A6:A7"/>
    <mergeCell ref="B6:B7"/>
    <mergeCell ref="A12:A13"/>
    <mergeCell ref="B12:B13"/>
    <mergeCell ref="C12:C13"/>
    <mergeCell ref="M12:M13"/>
    <mergeCell ref="L12:L13"/>
    <mergeCell ref="A1:M1"/>
    <mergeCell ref="G3:K3"/>
    <mergeCell ref="L3:L4"/>
    <mergeCell ref="M3:M4"/>
    <mergeCell ref="A3:A4"/>
    <mergeCell ref="B3:B4"/>
    <mergeCell ref="C3:C4"/>
    <mergeCell ref="D3:D4"/>
    <mergeCell ref="E3:E4"/>
    <mergeCell ref="F3:F4"/>
    <mergeCell ref="M14:M15"/>
    <mergeCell ref="A14:A15"/>
    <mergeCell ref="B14:B15"/>
    <mergeCell ref="C14:C15"/>
    <mergeCell ref="A16:A17"/>
    <mergeCell ref="B16:B17"/>
    <mergeCell ref="C16:C17"/>
    <mergeCell ref="M16:M17"/>
    <mergeCell ref="L16:L17"/>
    <mergeCell ref="L14:L15"/>
  </mergeCells>
  <pageMargins left="0.70866141732283472" right="0.70866141732283472" top="0.74803149606299213" bottom="0.74803149606299213" header="0.31496062992125984" footer="0.31496062992125984"/>
  <pageSetup paperSize="9" scale="65" orientation="landscape"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7FFA7"/>
  </sheetPr>
  <dimension ref="A1:O12"/>
  <sheetViews>
    <sheetView view="pageBreakPreview" zoomScale="80" zoomScaleNormal="80" zoomScaleSheetLayoutView="80" workbookViewId="0">
      <pane ySplit="4" topLeftCell="A5" activePane="bottomLeft" state="frozen"/>
      <selection pane="bottomLeft" sqref="A1:O1"/>
    </sheetView>
  </sheetViews>
  <sheetFormatPr defaultRowHeight="14.4" x14ac:dyDescent="0.3"/>
  <cols>
    <col min="2" max="2" width="18.5546875" customWidth="1"/>
    <col min="3" max="3" width="13.6640625" customWidth="1"/>
    <col min="4" max="4" width="14.88671875" customWidth="1"/>
    <col min="5" max="5" width="16.5546875" customWidth="1"/>
    <col min="6" max="6" width="18.44140625" customWidth="1"/>
    <col min="7" max="7" width="12" customWidth="1"/>
    <col min="8" max="8" width="14.6640625" customWidth="1"/>
    <col min="9" max="9" width="16.5546875" customWidth="1"/>
    <col min="10" max="10" width="14.88671875" customWidth="1"/>
    <col min="11" max="11" width="17.109375" customWidth="1"/>
    <col min="12" max="12" width="19.88671875" customWidth="1"/>
    <col min="13" max="13" width="18.88671875" customWidth="1"/>
    <col min="14" max="14" width="10" customWidth="1"/>
    <col min="15" max="15" width="13.6640625" customWidth="1"/>
  </cols>
  <sheetData>
    <row r="1" spans="1:15" ht="41.25" customHeight="1" x14ac:dyDescent="0.3">
      <c r="A1" s="2583" t="s">
        <v>1430</v>
      </c>
      <c r="B1" s="2583"/>
      <c r="C1" s="2583"/>
      <c r="D1" s="2583"/>
      <c r="E1" s="2583"/>
      <c r="F1" s="2583"/>
      <c r="G1" s="2583"/>
      <c r="H1" s="2583"/>
      <c r="I1" s="2583"/>
      <c r="J1" s="2583"/>
      <c r="K1" s="2583"/>
      <c r="L1" s="2583"/>
      <c r="M1" s="2583"/>
      <c r="N1" s="2583"/>
      <c r="O1" s="2583"/>
    </row>
    <row r="2" spans="1:15" s="508" customFormat="1" ht="36" customHeight="1" x14ac:dyDescent="0.3">
      <c r="A2" s="2586" t="s">
        <v>821</v>
      </c>
      <c r="B2" s="1913" t="s">
        <v>822</v>
      </c>
      <c r="C2" s="1764" t="s">
        <v>823</v>
      </c>
      <c r="D2" s="1764" t="s">
        <v>52</v>
      </c>
      <c r="E2" s="2325" t="s">
        <v>52</v>
      </c>
      <c r="F2" s="2325" t="s">
        <v>824</v>
      </c>
      <c r="G2" s="2325" t="s">
        <v>53</v>
      </c>
      <c r="H2" s="2325" t="s">
        <v>57</v>
      </c>
      <c r="I2" s="2325"/>
      <c r="J2" s="2325"/>
      <c r="K2" s="2325"/>
      <c r="L2" s="2325"/>
      <c r="M2" s="2325"/>
      <c r="N2" s="2593" t="s">
        <v>50</v>
      </c>
      <c r="O2" s="2325" t="s">
        <v>820</v>
      </c>
    </row>
    <row r="3" spans="1:15" s="508" customFormat="1" ht="42.75" customHeight="1" x14ac:dyDescent="0.3">
      <c r="A3" s="2586"/>
      <c r="B3" s="1913"/>
      <c r="C3" s="1764"/>
      <c r="D3" s="1764"/>
      <c r="E3" s="2325"/>
      <c r="F3" s="2325"/>
      <c r="G3" s="2325"/>
      <c r="H3" s="722" t="s">
        <v>33</v>
      </c>
      <c r="I3" s="722" t="s">
        <v>4</v>
      </c>
      <c r="J3" s="722" t="s">
        <v>91</v>
      </c>
      <c r="K3" s="722" t="s">
        <v>90</v>
      </c>
      <c r="L3" s="722" t="s">
        <v>89</v>
      </c>
      <c r="M3" s="722" t="s">
        <v>221</v>
      </c>
      <c r="N3" s="2593"/>
      <c r="O3" s="2325"/>
    </row>
    <row r="4" spans="1:15" s="578" customFormat="1" ht="15.75" customHeight="1" x14ac:dyDescent="0.3">
      <c r="A4" s="754">
        <v>1</v>
      </c>
      <c r="B4" s="583">
        <v>2</v>
      </c>
      <c r="C4" s="583">
        <v>3</v>
      </c>
      <c r="D4" s="583">
        <v>4</v>
      </c>
      <c r="E4" s="583">
        <v>5</v>
      </c>
      <c r="F4" s="583">
        <v>6</v>
      </c>
      <c r="G4" s="583">
        <v>7</v>
      </c>
      <c r="H4" s="583">
        <v>8</v>
      </c>
      <c r="I4" s="583">
        <v>9</v>
      </c>
      <c r="J4" s="583">
        <v>10</v>
      </c>
      <c r="K4" s="583">
        <v>11</v>
      </c>
      <c r="L4" s="583">
        <v>12</v>
      </c>
      <c r="M4" s="583">
        <v>13</v>
      </c>
      <c r="N4" s="583">
        <v>14</v>
      </c>
      <c r="O4" s="583">
        <v>15</v>
      </c>
    </row>
    <row r="5" spans="1:15" ht="27" customHeight="1" x14ac:dyDescent="0.3">
      <c r="A5" s="2587">
        <v>1</v>
      </c>
      <c r="B5" s="2551" t="s">
        <v>901</v>
      </c>
      <c r="C5" s="2551" t="s">
        <v>902</v>
      </c>
      <c r="D5" s="2551" t="s">
        <v>903</v>
      </c>
      <c r="E5" s="2591">
        <f>F11</f>
        <v>20985630</v>
      </c>
      <c r="F5" s="2591">
        <v>11976940</v>
      </c>
      <c r="G5" s="224" t="s">
        <v>12</v>
      </c>
      <c r="H5" s="225">
        <f>I5+J5+K5+L5+M5</f>
        <v>9008690</v>
      </c>
      <c r="I5" s="225">
        <f>I6</f>
        <v>1618690</v>
      </c>
      <c r="J5" s="225">
        <f t="shared" ref="I5:M7" si="0">J6</f>
        <v>1810000</v>
      </c>
      <c r="K5" s="225">
        <f t="shared" si="0"/>
        <v>1904000</v>
      </c>
      <c r="L5" s="225">
        <f t="shared" si="0"/>
        <v>1969000</v>
      </c>
      <c r="M5" s="225">
        <f t="shared" si="0"/>
        <v>1707000</v>
      </c>
      <c r="N5" s="2551"/>
      <c r="O5" s="2589"/>
    </row>
    <row r="6" spans="1:15" ht="92.25" customHeight="1" x14ac:dyDescent="0.3">
      <c r="A6" s="2588"/>
      <c r="B6" s="2551"/>
      <c r="C6" s="2551"/>
      <c r="D6" s="2551"/>
      <c r="E6" s="2592"/>
      <c r="F6" s="2592"/>
      <c r="G6" s="224" t="s">
        <v>15</v>
      </c>
      <c r="H6" s="225">
        <f>I6+J6+K6+L6+M6</f>
        <v>9008690</v>
      </c>
      <c r="I6" s="225">
        <f t="shared" si="0"/>
        <v>1618690</v>
      </c>
      <c r="J6" s="225">
        <f t="shared" si="0"/>
        <v>1810000</v>
      </c>
      <c r="K6" s="225">
        <f t="shared" si="0"/>
        <v>1904000</v>
      </c>
      <c r="L6" s="225">
        <f t="shared" si="0"/>
        <v>1969000</v>
      </c>
      <c r="M6" s="225">
        <f t="shared" si="0"/>
        <v>1707000</v>
      </c>
      <c r="N6" s="2551"/>
      <c r="O6" s="2590"/>
    </row>
    <row r="7" spans="1:15" ht="27" customHeight="1" x14ac:dyDescent="0.3">
      <c r="A7" s="2589"/>
      <c r="B7" s="2551" t="s">
        <v>738</v>
      </c>
      <c r="C7" s="2551"/>
      <c r="D7" s="2551"/>
      <c r="E7" s="2591">
        <f>E5</f>
        <v>20985630</v>
      </c>
      <c r="F7" s="2584">
        <v>11976940</v>
      </c>
      <c r="G7" s="224" t="s">
        <v>900</v>
      </c>
      <c r="H7" s="225">
        <f>I7+J7+K7+L7+M7</f>
        <v>9008690</v>
      </c>
      <c r="I7" s="225">
        <f t="shared" si="0"/>
        <v>1618690</v>
      </c>
      <c r="J7" s="225">
        <f t="shared" si="0"/>
        <v>1810000</v>
      </c>
      <c r="K7" s="225">
        <f t="shared" si="0"/>
        <v>1904000</v>
      </c>
      <c r="L7" s="225">
        <f t="shared" si="0"/>
        <v>1969000</v>
      </c>
      <c r="M7" s="225">
        <f t="shared" si="0"/>
        <v>1707000</v>
      </c>
      <c r="N7" s="2551"/>
      <c r="O7" s="2589"/>
    </row>
    <row r="8" spans="1:15" ht="41.4" x14ac:dyDescent="0.3">
      <c r="A8" s="2590"/>
      <c r="B8" s="2551"/>
      <c r="C8" s="2551"/>
      <c r="D8" s="2551"/>
      <c r="E8" s="2592"/>
      <c r="F8" s="2585"/>
      <c r="G8" s="224" t="s">
        <v>15</v>
      </c>
      <c r="H8" s="225">
        <f>I8+J8+K8+L8+M8</f>
        <v>9008690</v>
      </c>
      <c r="I8" s="230">
        <v>1618690</v>
      </c>
      <c r="J8" s="225">
        <v>1810000</v>
      </c>
      <c r="K8" s="225">
        <v>1904000</v>
      </c>
      <c r="L8" s="225">
        <v>1969000</v>
      </c>
      <c r="M8" s="225">
        <v>1707000</v>
      </c>
      <c r="N8" s="2551"/>
      <c r="O8" s="2590"/>
    </row>
    <row r="11" spans="1:15" ht="69" customHeight="1" x14ac:dyDescent="0.3">
      <c r="F11" s="2584">
        <f>F7+H5</f>
        <v>20985630</v>
      </c>
    </row>
    <row r="12" spans="1:15" x14ac:dyDescent="0.3">
      <c r="F12" s="2585"/>
    </row>
  </sheetData>
  <customSheetViews>
    <customSheetView guid="{7DDEA387-EEC9-4633-99BE-C0D9299FB093}" scale="80" showPageBreaks="1" printArea="1" view="pageBreakPreview">
      <pane ySplit="4" topLeftCell="A5" activePane="bottomLeft" state="frozen"/>
      <selection pane="bottomLeft" sqref="A1:O1"/>
      <pageMargins left="0.70866141732283472" right="0.70866141732283472" top="0.74803149606299213" bottom="0.74803149606299213" header="0.31496062992125984" footer="0.31496062992125984"/>
      <pageSetup paperSize="9" scale="50" orientation="landscape" r:id="rId1"/>
    </customSheetView>
    <customSheetView guid="{6592EBC0-D945-4F6F-93D1-49FCB588A4A0}" scale="80" showPageBreaks="1" printArea="1" view="pageBreakPreview">
      <pane ySplit="4" topLeftCell="A5" activePane="bottomLeft" state="frozen"/>
      <selection pane="bottomLeft" sqref="A1:O1"/>
      <pageMargins left="0.70866141732283472" right="0.70866141732283472" top="0.74803149606299213" bottom="0.74803149606299213" header="0.31496062992125984" footer="0.31496062992125984"/>
      <pageSetup paperSize="9" scale="50" orientation="landscape" r:id="rId2"/>
    </customSheetView>
    <customSheetView guid="{001F394D-7E32-49E0-9108-A9790B233A9D}" scale="80" showPageBreaks="1" printArea="1" view="pageBreakPreview">
      <pane ySplit="4" topLeftCell="A5" activePane="bottomLeft" state="frozen"/>
      <selection pane="bottomLeft" sqref="A1:O1"/>
      <pageMargins left="0.70866141732283472" right="0.70866141732283472" top="0.74803149606299213" bottom="0.74803149606299213" header="0.31496062992125984" footer="0.31496062992125984"/>
      <pageSetup paperSize="9" scale="50" orientation="landscape" r:id="rId3"/>
    </customSheetView>
    <customSheetView guid="{F08E63B0-D6C4-4E18-B2B6-E1E751FE7DF2}" scale="80" showPageBreaks="1" printArea="1" view="pageBreakPreview">
      <pane ySplit="4" topLeftCell="A5" activePane="bottomLeft" state="frozen"/>
      <selection pane="bottomLeft" sqref="A1:O1"/>
      <pageMargins left="0.70866141732283472" right="0.70866141732283472" top="0.74803149606299213" bottom="0.74803149606299213" header="0.31496062992125984" footer="0.31496062992125984"/>
      <pageSetup paperSize="9" scale="50" orientation="landscape" r:id="rId4"/>
    </customSheetView>
    <customSheetView guid="{D32E4BC6-6FD7-4441-855E-C6B8F80A132E}" scale="80" showPageBreaks="1" printArea="1" view="pageBreakPreview">
      <pane ySplit="4" topLeftCell="A5" activePane="bottomLeft" state="frozen"/>
      <selection pane="bottomLeft" sqref="A1:O1"/>
      <pageMargins left="0.70866141732283472" right="0.70866141732283472" top="0.74803149606299213" bottom="0.74803149606299213" header="0.31496062992125984" footer="0.31496062992125984"/>
      <pageSetup paperSize="9" scale="50" orientation="landscape" r:id="rId5"/>
    </customSheetView>
  </customSheetViews>
  <mergeCells count="28">
    <mergeCell ref="E2:E3"/>
    <mergeCell ref="G2:G3"/>
    <mergeCell ref="N7:N8"/>
    <mergeCell ref="C7:C8"/>
    <mergeCell ref="D7:D8"/>
    <mergeCell ref="E7:E8"/>
    <mergeCell ref="F7:F8"/>
    <mergeCell ref="E5:E6"/>
    <mergeCell ref="F5:F6"/>
    <mergeCell ref="H2:M2"/>
    <mergeCell ref="N2:N3"/>
    <mergeCell ref="C5:C6"/>
    <mergeCell ref="A1:O1"/>
    <mergeCell ref="F11:F12"/>
    <mergeCell ref="A2:A3"/>
    <mergeCell ref="O2:O3"/>
    <mergeCell ref="A5:A6"/>
    <mergeCell ref="A7:A8"/>
    <mergeCell ref="O5:O6"/>
    <mergeCell ref="O7:O8"/>
    <mergeCell ref="D5:D6"/>
    <mergeCell ref="B2:B3"/>
    <mergeCell ref="C2:C3"/>
    <mergeCell ref="D2:D3"/>
    <mergeCell ref="F2:F3"/>
    <mergeCell ref="B5:B6"/>
    <mergeCell ref="N5:N6"/>
    <mergeCell ref="B7:B8"/>
  </mergeCells>
  <pageMargins left="0.70866141732283472" right="0.70866141732283472" top="0.74803149606299213" bottom="0.74803149606299213" header="0.31496062992125984" footer="0.31496062992125984"/>
  <pageSetup paperSize="9" scale="50" orientation="landscape"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A1:I6"/>
  <sheetViews>
    <sheetView view="pageBreakPreview" zoomScale="80" zoomScaleNormal="100" zoomScaleSheetLayoutView="80" workbookViewId="0">
      <selection activeCell="B2" sqref="B2:I2"/>
    </sheetView>
  </sheetViews>
  <sheetFormatPr defaultRowHeight="14.4" x14ac:dyDescent="0.3"/>
  <cols>
    <col min="1" max="1" width="20.6640625" customWidth="1"/>
    <col min="2" max="2" width="16.88671875" customWidth="1"/>
    <col min="3" max="3" width="18.33203125" customWidth="1"/>
    <col min="4" max="9" width="17.44140625" customWidth="1"/>
    <col min="10" max="10" width="11.109375" customWidth="1"/>
  </cols>
  <sheetData>
    <row r="1" spans="1:9" ht="52.5" customHeight="1" x14ac:dyDescent="0.3">
      <c r="A1" s="2594" t="s">
        <v>732</v>
      </c>
      <c r="B1" s="2594"/>
      <c r="C1" s="2594"/>
      <c r="D1" s="2594"/>
      <c r="E1" s="2594"/>
      <c r="F1" s="2594"/>
      <c r="G1" s="2594"/>
      <c r="H1" s="2594"/>
      <c r="I1" s="2594"/>
    </row>
    <row r="2" spans="1:9" ht="66" customHeight="1" x14ac:dyDescent="0.3">
      <c r="A2" s="724" t="s">
        <v>31</v>
      </c>
      <c r="B2" s="2595" t="s">
        <v>434</v>
      </c>
      <c r="C2" s="2595"/>
      <c r="D2" s="2595"/>
      <c r="E2" s="2595"/>
      <c r="F2" s="2595"/>
      <c r="G2" s="2595"/>
      <c r="H2" s="2595"/>
      <c r="I2" s="2595"/>
    </row>
    <row r="3" spans="1:9" ht="16.8" x14ac:dyDescent="0.3">
      <c r="A3" s="2551" t="s">
        <v>435</v>
      </c>
      <c r="B3" s="2596" t="s">
        <v>61</v>
      </c>
      <c r="C3" s="2551" t="s">
        <v>62</v>
      </c>
      <c r="D3" s="2595" t="s">
        <v>41</v>
      </c>
      <c r="E3" s="2595"/>
      <c r="F3" s="2595"/>
      <c r="G3" s="2595"/>
      <c r="H3" s="2595"/>
      <c r="I3" s="2595"/>
    </row>
    <row r="4" spans="1:9" ht="47.25" customHeight="1" x14ac:dyDescent="0.3">
      <c r="A4" s="2551"/>
      <c r="B4" s="2596"/>
      <c r="C4" s="2597"/>
      <c r="D4" s="757">
        <v>2018</v>
      </c>
      <c r="E4" s="757">
        <v>2019</v>
      </c>
      <c r="F4" s="757">
        <v>2020</v>
      </c>
      <c r="G4" s="757">
        <v>2021</v>
      </c>
      <c r="H4" s="757">
        <v>2022</v>
      </c>
      <c r="I4" s="757" t="s">
        <v>12</v>
      </c>
    </row>
    <row r="5" spans="1:9" ht="42.75" customHeight="1" x14ac:dyDescent="0.3">
      <c r="A5" s="2551"/>
      <c r="B5" s="2550"/>
      <c r="C5" s="755" t="s">
        <v>759</v>
      </c>
      <c r="D5" s="756">
        <v>22941888</v>
      </c>
      <c r="E5" s="756">
        <v>929570</v>
      </c>
      <c r="F5" s="756">
        <v>6666390</v>
      </c>
      <c r="G5" s="756">
        <v>7028500</v>
      </c>
      <c r="H5" s="756">
        <v>7801635</v>
      </c>
      <c r="I5" s="756">
        <v>53730983</v>
      </c>
    </row>
    <row r="6" spans="1:9" ht="42.75" customHeight="1" x14ac:dyDescent="0.3">
      <c r="A6" s="2551"/>
      <c r="B6" s="2550"/>
      <c r="C6" s="755" t="s">
        <v>231</v>
      </c>
      <c r="D6" s="756">
        <f>'МП 7'!G8+'МП 7'!G10+'МП 7'!G12</f>
        <v>22941888</v>
      </c>
      <c r="E6" s="756">
        <f>'МП 7'!H8+'МП 7'!H10+'МП 7'!H12</f>
        <v>8486377</v>
      </c>
      <c r="F6" s="756">
        <f>'МП 7'!I8+'МП 7'!I10+'МП 7'!I12</f>
        <v>6666390</v>
      </c>
      <c r="G6" s="756">
        <f>'МП 7'!J8+'МП 7'!J10+'МП 7'!J12</f>
        <v>7028500</v>
      </c>
      <c r="H6" s="756">
        <f>'МП 7'!K8+'МП 7'!K10+'МП 7'!K12</f>
        <v>7801635</v>
      </c>
      <c r="I6" s="756">
        <v>53480983</v>
      </c>
    </row>
  </sheetData>
  <customSheetViews>
    <customSheetView guid="{7DDEA387-EEC9-4633-99BE-C0D9299FB093}" scale="80" showPageBreaks="1" view="pageBreakPreview">
      <selection activeCell="B2" sqref="B2:I2"/>
      <pageMargins left="0.7" right="0.7" top="0.75" bottom="0.75" header="0.3" footer="0.3"/>
      <pageSetup paperSize="9" scale="54" orientation="portrait" r:id="rId1"/>
    </customSheetView>
    <customSheetView guid="{6592EBC0-D945-4F6F-93D1-49FCB588A4A0}" scale="80" showPageBreaks="1" view="pageBreakPreview">
      <selection activeCell="B2" sqref="B2:I2"/>
      <pageMargins left="0.7" right="0.7" top="0.75" bottom="0.75" header="0.3" footer="0.3"/>
      <pageSetup paperSize="9" scale="54" orientation="portrait" r:id="rId2"/>
    </customSheetView>
    <customSheetView guid="{001F394D-7E32-49E0-9108-A9790B233A9D}" scale="80" showPageBreaks="1" view="pageBreakPreview">
      <selection activeCell="B2" sqref="B2:I2"/>
      <pageMargins left="0.7" right="0.7" top="0.75" bottom="0.75" header="0.3" footer="0.3"/>
      <pageSetup paperSize="9" scale="54" orientation="landscape" r:id="rId3"/>
    </customSheetView>
    <customSheetView guid="{F08E63B0-D6C4-4E18-B2B6-E1E751FE7DF2}" scale="80" showPageBreaks="1" view="pageBreakPreview">
      <selection activeCell="B2" sqref="B2:I2"/>
      <pageMargins left="0.7" right="0.7" top="0.75" bottom="0.75" header="0.3" footer="0.3"/>
      <pageSetup paperSize="9" scale="54" orientation="portrait" r:id="rId4"/>
    </customSheetView>
    <customSheetView guid="{D32E4BC6-6FD7-4441-855E-C6B8F80A132E}" scale="80" showPageBreaks="1" view="pageBreakPreview">
      <selection activeCell="B2" sqref="B2:I2"/>
      <pageMargins left="0.7" right="0.7" top="0.75" bottom="0.75" header="0.3" footer="0.3"/>
      <pageSetup paperSize="9" scale="54" orientation="portrait" r:id="rId5"/>
    </customSheetView>
  </customSheetViews>
  <mergeCells count="7">
    <mergeCell ref="A1:I1"/>
    <mergeCell ref="B2:I2"/>
    <mergeCell ref="A3:A6"/>
    <mergeCell ref="B3:B4"/>
    <mergeCell ref="C3:C4"/>
    <mergeCell ref="D3:I3"/>
    <mergeCell ref="B5:B6"/>
  </mergeCells>
  <pageMargins left="0.7" right="0.7" top="0.75" bottom="0.75" header="0.3" footer="0.3"/>
  <pageSetup paperSize="9" scale="54" orientation="portrait"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FF"/>
  </sheetPr>
  <dimension ref="A1:M16"/>
  <sheetViews>
    <sheetView view="pageBreakPreview" zoomScaleNormal="100" zoomScaleSheetLayoutView="100" workbookViewId="0">
      <pane ySplit="4" topLeftCell="A5" activePane="bottomLeft" state="frozen"/>
      <selection pane="bottomLeft" activeCell="L7" sqref="L7:L8"/>
    </sheetView>
  </sheetViews>
  <sheetFormatPr defaultRowHeight="14.4" x14ac:dyDescent="0.3"/>
  <cols>
    <col min="1" max="1" width="3.88671875" customWidth="1"/>
    <col min="2" max="2" width="18.6640625" customWidth="1"/>
    <col min="3" max="3" width="12.5546875" customWidth="1"/>
    <col min="4" max="4" width="15.109375" customWidth="1"/>
    <col min="5" max="5" width="19" customWidth="1"/>
    <col min="6" max="6" width="13.6640625" customWidth="1"/>
    <col min="7" max="7" width="12.5546875" bestFit="1" customWidth="1"/>
    <col min="8" max="8" width="11.5546875" bestFit="1" customWidth="1"/>
    <col min="9" max="9" width="12.5546875" bestFit="1" customWidth="1"/>
    <col min="10" max="11" width="11.5546875" bestFit="1" customWidth="1"/>
    <col min="12" max="12" width="48.109375" customWidth="1"/>
    <col min="13" max="13" width="18.5546875" customWidth="1"/>
  </cols>
  <sheetData>
    <row r="1" spans="1:13" s="545" customFormat="1" ht="20.399999999999999" x14ac:dyDescent="0.3">
      <c r="A1" s="2598" t="s">
        <v>519</v>
      </c>
      <c r="B1" s="2598"/>
      <c r="C1" s="2598"/>
      <c r="D1" s="2598"/>
      <c r="E1" s="2598"/>
      <c r="F1" s="2598"/>
      <c r="G1" s="2598"/>
      <c r="H1" s="2598"/>
      <c r="I1" s="2598"/>
      <c r="J1" s="2598"/>
      <c r="K1" s="2598"/>
      <c r="L1" s="2598"/>
      <c r="M1" s="2598"/>
    </row>
    <row r="2" spans="1:13" s="545" customFormat="1" ht="30" customHeight="1" x14ac:dyDescent="0.3">
      <c r="A2" s="2582" t="s">
        <v>46</v>
      </c>
      <c r="B2" s="2582" t="s">
        <v>224</v>
      </c>
      <c r="C2" s="2582" t="s">
        <v>495</v>
      </c>
      <c r="D2" s="2582" t="s">
        <v>494</v>
      </c>
      <c r="E2" s="2582" t="s">
        <v>668</v>
      </c>
      <c r="F2" s="2582" t="s">
        <v>669</v>
      </c>
      <c r="G2" s="2582" t="s">
        <v>491</v>
      </c>
      <c r="H2" s="2582"/>
      <c r="I2" s="2582"/>
      <c r="J2" s="2582"/>
      <c r="K2" s="2582"/>
      <c r="L2" s="2582" t="s">
        <v>490</v>
      </c>
      <c r="M2" s="2582" t="s">
        <v>489</v>
      </c>
    </row>
    <row r="3" spans="1:13" s="545" customFormat="1" ht="33" customHeight="1" x14ac:dyDescent="0.3">
      <c r="A3" s="2582"/>
      <c r="B3" s="2582"/>
      <c r="C3" s="2582"/>
      <c r="D3" s="2582"/>
      <c r="E3" s="2582"/>
      <c r="F3" s="2582"/>
      <c r="G3" s="753">
        <v>2018</v>
      </c>
      <c r="H3" s="753">
        <v>2019</v>
      </c>
      <c r="I3" s="753">
        <v>2020</v>
      </c>
      <c r="J3" s="753">
        <v>2021</v>
      </c>
      <c r="K3" s="753">
        <v>2022</v>
      </c>
      <c r="L3" s="2582"/>
      <c r="M3" s="2582"/>
    </row>
    <row r="4" spans="1:13" s="545" customFormat="1" x14ac:dyDescent="0.3">
      <c r="A4" s="758">
        <v>1</v>
      </c>
      <c r="B4" s="758">
        <v>2</v>
      </c>
      <c r="C4" s="758">
        <v>3</v>
      </c>
      <c r="D4" s="758">
        <v>4</v>
      </c>
      <c r="E4" s="758">
        <v>5</v>
      </c>
      <c r="F4" s="758">
        <v>6</v>
      </c>
      <c r="G4" s="758">
        <v>7</v>
      </c>
      <c r="H4" s="758">
        <v>8</v>
      </c>
      <c r="I4" s="758">
        <v>9</v>
      </c>
      <c r="J4" s="758">
        <v>10</v>
      </c>
      <c r="K4" s="758">
        <v>11</v>
      </c>
      <c r="L4" s="758">
        <v>12</v>
      </c>
      <c r="M4" s="758">
        <v>13</v>
      </c>
    </row>
    <row r="5" spans="1:13" s="252" customFormat="1" ht="36" customHeight="1" x14ac:dyDescent="0.3">
      <c r="A5" s="2573">
        <v>1</v>
      </c>
      <c r="B5" s="2603" t="s">
        <v>950</v>
      </c>
      <c r="C5" s="2605" t="s">
        <v>227</v>
      </c>
      <c r="D5" s="253" t="s">
        <v>12</v>
      </c>
      <c r="E5" s="254">
        <v>2229880</v>
      </c>
      <c r="F5" s="254">
        <v>53480983</v>
      </c>
      <c r="G5" s="254">
        <v>22718888</v>
      </c>
      <c r="H5" s="254">
        <v>9265570</v>
      </c>
      <c r="I5" s="254">
        <v>6666390</v>
      </c>
      <c r="J5" s="254">
        <v>7028500</v>
      </c>
      <c r="K5" s="254">
        <v>7801635</v>
      </c>
      <c r="L5" s="253"/>
      <c r="M5" s="2573"/>
    </row>
    <row r="6" spans="1:13" s="252" customFormat="1" ht="43.5" customHeight="1" x14ac:dyDescent="0.3">
      <c r="A6" s="2602"/>
      <c r="B6" s="2604"/>
      <c r="C6" s="2606"/>
      <c r="D6" s="255" t="s">
        <v>231</v>
      </c>
      <c r="E6" s="256">
        <v>2229880</v>
      </c>
      <c r="F6" s="256">
        <v>53730983</v>
      </c>
      <c r="G6" s="256">
        <v>22941888</v>
      </c>
      <c r="H6" s="256">
        <v>9292570</v>
      </c>
      <c r="I6" s="256">
        <v>6666390</v>
      </c>
      <c r="J6" s="256">
        <v>7028500</v>
      </c>
      <c r="K6" s="256">
        <v>7801635</v>
      </c>
      <c r="L6" s="255"/>
      <c r="M6" s="2602"/>
    </row>
    <row r="7" spans="1:13" ht="57.75" customHeight="1" x14ac:dyDescent="0.3">
      <c r="A7" s="2575" t="s">
        <v>115</v>
      </c>
      <c r="B7" s="2599" t="s">
        <v>914</v>
      </c>
      <c r="C7" s="2015" t="s">
        <v>334</v>
      </c>
      <c r="D7" s="169" t="s">
        <v>12</v>
      </c>
      <c r="E7" s="170">
        <v>1524880</v>
      </c>
      <c r="F7" s="170">
        <f>F8</f>
        <v>30366588</v>
      </c>
      <c r="G7" s="170">
        <f>G8</f>
        <v>1944888</v>
      </c>
      <c r="H7" s="170">
        <f t="shared" ref="H7:K7" si="0">H8</f>
        <v>7743785</v>
      </c>
      <c r="I7" s="170">
        <f t="shared" si="0"/>
        <v>5847780</v>
      </c>
      <c r="J7" s="170">
        <f t="shared" si="0"/>
        <v>7028500</v>
      </c>
      <c r="K7" s="170">
        <f t="shared" si="0"/>
        <v>7801635</v>
      </c>
      <c r="L7" s="2610" t="s">
        <v>671</v>
      </c>
      <c r="M7" s="2607" t="s">
        <v>518</v>
      </c>
    </row>
    <row r="8" spans="1:13" ht="183.75" customHeight="1" x14ac:dyDescent="0.3">
      <c r="A8" s="2575"/>
      <c r="B8" s="2599"/>
      <c r="C8" s="2015"/>
      <c r="D8" s="169" t="s">
        <v>231</v>
      </c>
      <c r="E8" s="170">
        <v>1524880</v>
      </c>
      <c r="F8" s="170">
        <v>30366588</v>
      </c>
      <c r="G8" s="170">
        <v>1944888</v>
      </c>
      <c r="H8" s="170">
        <v>7743785</v>
      </c>
      <c r="I8" s="170">
        <v>5847780</v>
      </c>
      <c r="J8" s="170">
        <v>7028500</v>
      </c>
      <c r="K8" s="170">
        <v>7801635</v>
      </c>
      <c r="L8" s="2610"/>
      <c r="M8" s="2608"/>
    </row>
    <row r="9" spans="1:13" ht="44.25" customHeight="1" x14ac:dyDescent="0.3">
      <c r="A9" s="2575" t="s">
        <v>116</v>
      </c>
      <c r="B9" s="2599" t="s">
        <v>760</v>
      </c>
      <c r="C9" s="2015" t="s">
        <v>334</v>
      </c>
      <c r="D9" s="169" t="s">
        <v>12</v>
      </c>
      <c r="E9" s="2611" t="s">
        <v>447</v>
      </c>
      <c r="F9" s="170">
        <f>F10</f>
        <v>4045145</v>
      </c>
      <c r="G9" s="170">
        <f t="shared" ref="G9:I9" si="1">G10</f>
        <v>3134750</v>
      </c>
      <c r="H9" s="170">
        <f t="shared" si="1"/>
        <v>741785</v>
      </c>
      <c r="I9" s="170">
        <f t="shared" si="1"/>
        <v>168610</v>
      </c>
      <c r="J9" s="170"/>
      <c r="K9" s="170"/>
      <c r="L9" s="2609" t="s">
        <v>517</v>
      </c>
      <c r="M9" s="2600" t="s">
        <v>670</v>
      </c>
    </row>
    <row r="10" spans="1:13" ht="32.25" customHeight="1" x14ac:dyDescent="0.3">
      <c r="A10" s="2575"/>
      <c r="B10" s="2599"/>
      <c r="C10" s="2015"/>
      <c r="D10" s="169" t="s">
        <v>231</v>
      </c>
      <c r="E10" s="2612"/>
      <c r="F10" s="170">
        <v>4045145</v>
      </c>
      <c r="G10" s="170">
        <v>3134750</v>
      </c>
      <c r="H10" s="170">
        <v>741785</v>
      </c>
      <c r="I10" s="170">
        <v>168610</v>
      </c>
      <c r="J10" s="171"/>
      <c r="K10" s="171"/>
      <c r="L10" s="2609"/>
      <c r="M10" s="2601"/>
    </row>
    <row r="11" spans="1:13" ht="29.25" customHeight="1" x14ac:dyDescent="0.3">
      <c r="A11" s="2575" t="s">
        <v>119</v>
      </c>
      <c r="B11" s="2599" t="s">
        <v>761</v>
      </c>
      <c r="C11" s="2015" t="s">
        <v>334</v>
      </c>
      <c r="D11" s="172" t="s">
        <v>12</v>
      </c>
      <c r="E11" s="170">
        <v>705000</v>
      </c>
      <c r="F11" s="170">
        <f>F12</f>
        <v>19319250</v>
      </c>
      <c r="G11" s="170">
        <f t="shared" ref="G11:K11" si="2">G12</f>
        <v>17862250</v>
      </c>
      <c r="H11" s="170">
        <f t="shared" si="2"/>
        <v>807</v>
      </c>
      <c r="I11" s="170">
        <f t="shared" si="2"/>
        <v>650000</v>
      </c>
      <c r="J11" s="170">
        <f t="shared" si="2"/>
        <v>0</v>
      </c>
      <c r="K11" s="170">
        <f t="shared" si="2"/>
        <v>0</v>
      </c>
      <c r="L11" s="2609" t="s">
        <v>516</v>
      </c>
      <c r="M11" s="2607" t="s">
        <v>515</v>
      </c>
    </row>
    <row r="12" spans="1:13" ht="57.75" customHeight="1" x14ac:dyDescent="0.3">
      <c r="A12" s="2575"/>
      <c r="B12" s="2599"/>
      <c r="C12" s="2015"/>
      <c r="D12" s="173" t="s">
        <v>231</v>
      </c>
      <c r="E12" s="170">
        <v>705000</v>
      </c>
      <c r="F12" s="170">
        <v>19319250</v>
      </c>
      <c r="G12" s="170">
        <v>17862250</v>
      </c>
      <c r="H12" s="170">
        <v>807</v>
      </c>
      <c r="I12" s="170">
        <v>650000</v>
      </c>
      <c r="J12" s="168"/>
      <c r="K12" s="168"/>
      <c r="L12" s="2609"/>
      <c r="M12" s="2608"/>
    </row>
    <row r="14" spans="1:13" x14ac:dyDescent="0.3">
      <c r="G14" s="103"/>
      <c r="I14" s="103"/>
    </row>
    <row r="15" spans="1:13" x14ac:dyDescent="0.3">
      <c r="I15" s="103"/>
    </row>
    <row r="16" spans="1:13" x14ac:dyDescent="0.3">
      <c r="I16" s="103"/>
    </row>
  </sheetData>
  <customSheetViews>
    <customSheetView guid="{7DDEA387-EEC9-4633-99BE-C0D9299FB093}" showPageBreaks="1" view="pageBreakPreview">
      <pane ySplit="4" topLeftCell="A5" activePane="bottomLeft" state="frozen"/>
      <selection pane="bottomLeft" activeCell="L7" sqref="L7:L8"/>
      <pageMargins left="0.70866141732283472" right="0.70866141732283472" top="0.74803149606299213" bottom="0.74803149606299213" header="0.31496062992125984" footer="0.31496062992125984"/>
      <pageSetup paperSize="9" scale="60" orientation="landscape" r:id="rId1"/>
    </customSheetView>
    <customSheetView guid="{6592EBC0-D945-4F6F-93D1-49FCB588A4A0}" showPageBreaks="1" view="pageBreakPreview">
      <pane ySplit="4" topLeftCell="A5" activePane="bottomLeft" state="frozen"/>
      <selection pane="bottomLeft" activeCell="L7" sqref="L7:L8"/>
      <pageMargins left="0.70866141732283472" right="0.70866141732283472" top="0.74803149606299213" bottom="0.74803149606299213" header="0.31496062992125984" footer="0.31496062992125984"/>
      <pageSetup paperSize="9" scale="60" orientation="landscape" r:id="rId2"/>
    </customSheetView>
    <customSheetView guid="{001F394D-7E32-49E0-9108-A9790B233A9D}" showPageBreaks="1" view="pageBreakPreview">
      <pane ySplit="4" topLeftCell="A5" activePane="bottomLeft" state="frozen"/>
      <selection pane="bottomLeft" activeCell="L7" sqref="L7:L8"/>
      <pageMargins left="0.70866141732283472" right="0.70866141732283472" top="0.74803149606299213" bottom="0.74803149606299213" header="0.31496062992125984" footer="0.31496062992125984"/>
      <pageSetup paperSize="9" scale="60" orientation="landscape" r:id="rId3"/>
    </customSheetView>
    <customSheetView guid="{F08E63B0-D6C4-4E18-B2B6-E1E751FE7DF2}" showPageBreaks="1" view="pageBreakPreview">
      <pane ySplit="4" topLeftCell="A5" activePane="bottomLeft" state="frozen"/>
      <selection pane="bottomLeft" activeCell="L7" sqref="L7:L8"/>
      <pageMargins left="0.70866141732283472" right="0.70866141732283472" top="0.74803149606299213" bottom="0.74803149606299213" header="0.31496062992125984" footer="0.31496062992125984"/>
      <pageSetup paperSize="9" scale="60" orientation="landscape" r:id="rId4"/>
    </customSheetView>
    <customSheetView guid="{D32E4BC6-6FD7-4441-855E-C6B8F80A132E}" showPageBreaks="1" view="pageBreakPreview">
      <pane ySplit="4" topLeftCell="A5" activePane="bottomLeft" state="frozen"/>
      <selection pane="bottomLeft" activeCell="L7" sqref="L7:L8"/>
      <pageMargins left="0.70866141732283472" right="0.70866141732283472" top="0.74803149606299213" bottom="0.74803149606299213" header="0.31496062992125984" footer="0.31496062992125984"/>
      <pageSetup paperSize="9" scale="60" orientation="landscape" r:id="rId5"/>
    </customSheetView>
  </customSheetViews>
  <mergeCells count="30">
    <mergeCell ref="A11:A12"/>
    <mergeCell ref="B11:B12"/>
    <mergeCell ref="C11:C12"/>
    <mergeCell ref="L11:L12"/>
    <mergeCell ref="M11:M12"/>
    <mergeCell ref="A9:A10"/>
    <mergeCell ref="B9:B10"/>
    <mergeCell ref="C9:C10"/>
    <mergeCell ref="M9:M10"/>
    <mergeCell ref="M2:M3"/>
    <mergeCell ref="A5:A6"/>
    <mergeCell ref="B5:B6"/>
    <mergeCell ref="C5:C6"/>
    <mergeCell ref="M5:M6"/>
    <mergeCell ref="A7:A8"/>
    <mergeCell ref="M7:M8"/>
    <mergeCell ref="L9:L10"/>
    <mergeCell ref="L7:L8"/>
    <mergeCell ref="B7:B8"/>
    <mergeCell ref="C7:C8"/>
    <mergeCell ref="E9:E10"/>
    <mergeCell ref="A1:M1"/>
    <mergeCell ref="A2:A3"/>
    <mergeCell ref="B2:B3"/>
    <mergeCell ref="C2:C3"/>
    <mergeCell ref="D2:D3"/>
    <mergeCell ref="E2:E3"/>
    <mergeCell ref="F2:F3"/>
    <mergeCell ref="G2:K2"/>
    <mergeCell ref="L2:L3"/>
  </mergeCells>
  <pageMargins left="0.70866141732283472" right="0.70866141732283472" top="0.74803149606299213" bottom="0.74803149606299213" header="0.31496062992125984" footer="0.31496062992125984"/>
  <pageSetup paperSize="9" scale="60" orientation="landscape"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13"/>
  <sheetViews>
    <sheetView view="pageBreakPreview" zoomScale="70" zoomScaleNormal="70" zoomScaleSheetLayoutView="70" zoomScalePageLayoutView="70" workbookViewId="0">
      <selection activeCell="N22" sqref="N21:N22"/>
    </sheetView>
  </sheetViews>
  <sheetFormatPr defaultColWidth="8.6640625" defaultRowHeight="14.4" x14ac:dyDescent="0.3"/>
  <cols>
    <col min="1" max="1" width="7.44140625" style="6" customWidth="1"/>
    <col min="2" max="2" width="9.44140625" style="6" customWidth="1"/>
    <col min="3" max="3" width="15.109375" style="6" customWidth="1"/>
    <col min="4" max="4" width="28.6640625" style="6" customWidth="1"/>
    <col min="5" max="5" width="16.6640625" style="6" customWidth="1"/>
    <col min="6" max="6" width="24.44140625" style="6" customWidth="1"/>
    <col min="7" max="7" width="18" style="6" customWidth="1"/>
    <col min="8" max="8" width="16.109375" style="6" customWidth="1"/>
    <col min="9" max="9" width="21" style="6" customWidth="1"/>
    <col min="10" max="10" width="21.44140625" style="6" customWidth="1"/>
    <col min="11" max="11" width="20.109375" style="6" customWidth="1"/>
    <col min="14" max="14" width="6.33203125" customWidth="1"/>
    <col min="15" max="15" width="15.33203125" customWidth="1"/>
    <col min="16" max="16" width="20.109375" customWidth="1"/>
    <col min="17" max="17" width="35.5546875" customWidth="1"/>
    <col min="18" max="18" width="24" customWidth="1"/>
  </cols>
  <sheetData>
    <row r="1" spans="1:18" s="45" customFormat="1" ht="27.75" customHeight="1" x14ac:dyDescent="0.3">
      <c r="A1" s="2614" t="s">
        <v>695</v>
      </c>
      <c r="B1" s="2614"/>
      <c r="C1" s="2614"/>
      <c r="D1" s="2614"/>
      <c r="E1" s="2614"/>
      <c r="F1" s="2614"/>
      <c r="G1" s="2614"/>
      <c r="H1" s="2614"/>
      <c r="I1" s="2614"/>
      <c r="J1" s="2614"/>
      <c r="K1" s="2614"/>
    </row>
    <row r="2" spans="1:18" ht="20.25" customHeight="1" x14ac:dyDescent="0.3">
      <c r="A2" s="2613" t="s">
        <v>0</v>
      </c>
      <c r="B2" s="2613"/>
      <c r="C2" s="2613"/>
      <c r="D2" s="2615" t="s">
        <v>1</v>
      </c>
      <c r="E2" s="2615"/>
      <c r="F2" s="2615"/>
      <c r="G2" s="2615"/>
      <c r="H2" s="2615"/>
      <c r="I2" s="2615"/>
      <c r="J2" s="2615"/>
      <c r="K2" s="2615"/>
    </row>
    <row r="3" spans="1:18" ht="28.5" customHeight="1" x14ac:dyDescent="0.3">
      <c r="A3" s="2616" t="s">
        <v>435</v>
      </c>
      <c r="B3" s="2616"/>
      <c r="C3" s="2616"/>
      <c r="D3" s="2617" t="s">
        <v>61</v>
      </c>
      <c r="E3" s="2617" t="s">
        <v>62</v>
      </c>
      <c r="F3" s="2615" t="s">
        <v>63</v>
      </c>
      <c r="G3" s="2615"/>
      <c r="H3" s="2615"/>
      <c r="I3" s="2615"/>
      <c r="J3" s="2615"/>
      <c r="K3" s="2615"/>
    </row>
    <row r="4" spans="1:18" ht="42" customHeight="1" x14ac:dyDescent="0.3">
      <c r="A4" s="2616"/>
      <c r="B4" s="2616"/>
      <c r="C4" s="2616"/>
      <c r="D4" s="2617"/>
      <c r="E4" s="2617"/>
      <c r="F4" s="760" t="s">
        <v>4</v>
      </c>
      <c r="G4" s="760" t="s">
        <v>91</v>
      </c>
      <c r="H4" s="760" t="s">
        <v>90</v>
      </c>
      <c r="I4" s="760" t="s">
        <v>89</v>
      </c>
      <c r="J4" s="760" t="s">
        <v>221</v>
      </c>
      <c r="K4" s="760" t="s">
        <v>12</v>
      </c>
      <c r="O4" t="s">
        <v>1674</v>
      </c>
      <c r="P4" s="1442" t="s">
        <v>1681</v>
      </c>
    </row>
    <row r="5" spans="1:18" ht="41.25" customHeight="1" x14ac:dyDescent="0.3">
      <c r="A5" s="2616"/>
      <c r="B5" s="2616"/>
      <c r="C5" s="2616"/>
      <c r="D5" s="307"/>
      <c r="E5" s="307" t="s">
        <v>222</v>
      </c>
      <c r="F5" s="759">
        <f>F6</f>
        <v>2635449</v>
      </c>
      <c r="G5" s="759">
        <f t="shared" ref="G5:K5" si="0">G6</f>
        <v>2327975</v>
      </c>
      <c r="H5" s="759">
        <f t="shared" si="0"/>
        <v>2326664</v>
      </c>
      <c r="I5" s="759">
        <f t="shared" si="0"/>
        <v>2289101</v>
      </c>
      <c r="J5" s="759">
        <f t="shared" si="0"/>
        <v>2289101</v>
      </c>
      <c r="K5" s="759">
        <f t="shared" si="0"/>
        <v>11868290</v>
      </c>
      <c r="O5" s="759">
        <f>O6</f>
        <v>2471482</v>
      </c>
      <c r="P5" s="1442">
        <f t="shared" ref="P5" si="1">P6</f>
        <v>163967</v>
      </c>
      <c r="Q5" s="1443" t="s">
        <v>222</v>
      </c>
    </row>
    <row r="6" spans="1:18" ht="78" customHeight="1" x14ac:dyDescent="0.3">
      <c r="A6" s="2613"/>
      <c r="B6" s="2613"/>
      <c r="C6" s="2613"/>
      <c r="D6" s="307"/>
      <c r="E6" s="307" t="s">
        <v>223</v>
      </c>
      <c r="F6" s="759">
        <f>F7+F8+F9+F10</f>
        <v>2635449</v>
      </c>
      <c r="G6" s="759">
        <f>G7+G8+G9+G10</f>
        <v>2327975</v>
      </c>
      <c r="H6" s="759">
        <f>H7+H8+H9+H10</f>
        <v>2326664</v>
      </c>
      <c r="I6" s="759">
        <f>I7+I8+I9+I10</f>
        <v>2289101</v>
      </c>
      <c r="J6" s="759">
        <f>J7+J8+J9+J10</f>
        <v>2289101</v>
      </c>
      <c r="K6" s="759">
        <f>F6+G6+H6+I6+J6</f>
        <v>11868290</v>
      </c>
      <c r="O6" s="759">
        <f>O7+O8+O9+O10</f>
        <v>2471482</v>
      </c>
      <c r="P6" s="759">
        <f>P7+P8+P9+P10</f>
        <v>163967</v>
      </c>
      <c r="Q6" s="1406"/>
      <c r="R6" s="1406" t="s">
        <v>223</v>
      </c>
    </row>
    <row r="7" spans="1:18" ht="81" customHeight="1" x14ac:dyDescent="0.3">
      <c r="A7" s="2613"/>
      <c r="B7" s="2613"/>
      <c r="C7" s="2613"/>
      <c r="D7" s="307" t="s">
        <v>16</v>
      </c>
      <c r="E7" s="307" t="s">
        <v>13</v>
      </c>
      <c r="F7" s="759">
        <f>'ПМ П8'!G36</f>
        <v>1168645</v>
      </c>
      <c r="G7" s="759">
        <f>'ПМ П8'!H36</f>
        <v>880743</v>
      </c>
      <c r="H7" s="759">
        <f>'ПМ П8'!I36</f>
        <v>878890</v>
      </c>
      <c r="I7" s="759">
        <f>'ПМ П8'!J36</f>
        <v>873890</v>
      </c>
      <c r="J7" s="759">
        <f>'ПМ П8'!K36</f>
        <v>873890</v>
      </c>
      <c r="K7" s="759">
        <f>F7+G7+H7+I7+J7</f>
        <v>4676058</v>
      </c>
      <c r="O7" s="759">
        <v>988122</v>
      </c>
      <c r="P7" s="759">
        <f>F7-O7</f>
        <v>180523</v>
      </c>
      <c r="Q7" s="1407" t="s">
        <v>16</v>
      </c>
      <c r="R7" s="1406" t="s">
        <v>13</v>
      </c>
    </row>
    <row r="8" spans="1:18" ht="63.75" customHeight="1" x14ac:dyDescent="0.3">
      <c r="A8" s="2613"/>
      <c r="B8" s="2613"/>
      <c r="C8" s="2613"/>
      <c r="D8" s="307" t="s">
        <v>434</v>
      </c>
      <c r="E8" s="307" t="s">
        <v>13</v>
      </c>
      <c r="F8" s="759">
        <f>'ПМ П8'!G15+'ПМ П8'!G16+'ПМ П8'!G17+'ПМ П8'!G18</f>
        <v>154724</v>
      </c>
      <c r="G8" s="759">
        <f>'ПМ П8'!H15+'ПМ П8'!H16+'ПМ П8'!H17+'ПМ П8'!H18</f>
        <v>137408</v>
      </c>
      <c r="H8" s="759">
        <f>'ПМ П8'!I15+'ПМ П8'!I16+'ПМ П8'!I17+'ПМ П8'!I18</f>
        <v>137490</v>
      </c>
      <c r="I8" s="759">
        <f>'ПМ П8'!J15+'ПМ П8'!J16+'ПМ П8'!J17+'ПМ П8'!J18</f>
        <v>104927</v>
      </c>
      <c r="J8" s="759">
        <f>'ПМ П8'!K15+'ПМ П8'!K16+'ПМ П8'!K17+'ПМ П8'!K18</f>
        <v>104927</v>
      </c>
      <c r="K8" s="759">
        <f>F8+G8+H8+I8+J8</f>
        <v>639476</v>
      </c>
      <c r="O8" s="759">
        <v>172724</v>
      </c>
      <c r="P8" s="759">
        <f t="shared" ref="P8:P10" si="2">F8-O8</f>
        <v>-18000</v>
      </c>
      <c r="Q8" s="1407" t="s">
        <v>434</v>
      </c>
      <c r="R8" s="1406" t="s">
        <v>13</v>
      </c>
    </row>
    <row r="9" spans="1:18" ht="93.75" customHeight="1" x14ac:dyDescent="0.3">
      <c r="A9" s="2613"/>
      <c r="B9" s="2613"/>
      <c r="C9" s="2613"/>
      <c r="D9" s="307" t="s">
        <v>17</v>
      </c>
      <c r="E9" s="307" t="s">
        <v>13</v>
      </c>
      <c r="F9" s="759">
        <f>'ПМ П8'!G19+'ПМ П8'!G20</f>
        <v>512316</v>
      </c>
      <c r="G9" s="759">
        <f>'ПМ П8'!H19+'ПМ П8'!H20</f>
        <v>512940</v>
      </c>
      <c r="H9" s="759">
        <f>'ПМ П8'!I19+'ПМ П8'!I20</f>
        <v>513298</v>
      </c>
      <c r="I9" s="759">
        <f>'ПМ П8'!J19+'ПМ П8'!J20</f>
        <v>513298</v>
      </c>
      <c r="J9" s="759">
        <f>'ПМ П8'!K19+'ПМ П8'!K20</f>
        <v>513298</v>
      </c>
      <c r="K9" s="759">
        <f>F9+G9+H9+I9+J9</f>
        <v>2565150</v>
      </c>
      <c r="O9" s="759">
        <v>512316</v>
      </c>
      <c r="P9" s="759">
        <f t="shared" si="2"/>
        <v>0</v>
      </c>
      <c r="Q9" s="1407" t="s">
        <v>17</v>
      </c>
      <c r="R9" s="1406" t="s">
        <v>13</v>
      </c>
    </row>
    <row r="10" spans="1:18" ht="84" customHeight="1" x14ac:dyDescent="0.3">
      <c r="A10" s="2613"/>
      <c r="B10" s="2613"/>
      <c r="C10" s="2613"/>
      <c r="D10" s="307" t="s">
        <v>28</v>
      </c>
      <c r="E10" s="307" t="s">
        <v>13</v>
      </c>
      <c r="F10" s="759">
        <f>'ПМ П8'!G39</f>
        <v>799764</v>
      </c>
      <c r="G10" s="759">
        <f>'ПМ П8'!H39</f>
        <v>796884</v>
      </c>
      <c r="H10" s="759">
        <f>'ПМ П8'!I39</f>
        <v>796986</v>
      </c>
      <c r="I10" s="759">
        <f>'ПМ П8'!J39</f>
        <v>796986</v>
      </c>
      <c r="J10" s="759">
        <f>'ПМ П8'!K39</f>
        <v>796986</v>
      </c>
      <c r="K10" s="759">
        <f>F10+G10+H10+I10+J10</f>
        <v>3987606</v>
      </c>
      <c r="O10" s="759">
        <v>798320</v>
      </c>
      <c r="P10" s="759">
        <f t="shared" si="2"/>
        <v>1444</v>
      </c>
      <c r="Q10" s="1407" t="s">
        <v>28</v>
      </c>
      <c r="R10" s="1406" t="s">
        <v>13</v>
      </c>
    </row>
    <row r="13" spans="1:18" s="6" customFormat="1" x14ac:dyDescent="0.3">
      <c r="F13" s="92"/>
    </row>
  </sheetData>
  <customSheetViews>
    <customSheetView guid="{7DDEA387-EEC9-4633-99BE-C0D9299FB093}" scale="70" showPageBreaks="1" printArea="1" view="pageBreakPreview">
      <selection activeCell="N22" sqref="N21:N22"/>
      <pageMargins left="0.70866141732283472" right="0.70866141732283472" top="0.74803149606299213" bottom="0.74803149606299213" header="0.31496062992125984" footer="0.31496062992125984"/>
      <pageSetup paperSize="9" scale="43" orientation="portrait" r:id="rId1"/>
    </customSheetView>
    <customSheetView guid="{6592EBC0-D945-4F6F-93D1-49FCB588A4A0}" scale="70" showPageBreaks="1" printArea="1" view="pageBreakPreview">
      <selection activeCell="P9" sqref="P9"/>
      <pageMargins left="0.70866141732283472" right="0.70866141732283472" top="0.74803149606299213" bottom="0.74803149606299213" header="0.31496062992125984" footer="0.31496062992125984"/>
      <pageSetup paperSize="9" scale="43" orientation="portrait" r:id="rId2"/>
    </customSheetView>
    <customSheetView guid="{001F394D-7E32-49E0-9108-A9790B233A9D}" scale="70" showPageBreaks="1" printArea="1" view="pageBreakPreview">
      <selection activeCell="N22" sqref="N21:N22"/>
      <pageMargins left="0.70866141732283472" right="0.70866141732283472" top="0.74803149606299213" bottom="0.74803149606299213" header="0.31496062992125984" footer="0.31496062992125984"/>
      <pageSetup paperSize="9" scale="43" orientation="portrait" r:id="rId3"/>
    </customSheetView>
    <customSheetView guid="{F08E63B0-D6C4-4E18-B2B6-E1E751FE7DF2}" scale="70" showPageBreaks="1" printArea="1" view="pageBreakPreview">
      <selection activeCell="N22" sqref="N21:N22"/>
      <pageMargins left="0.70866141732283472" right="0.70866141732283472" top="0.74803149606299213" bottom="0.74803149606299213" header="0.31496062992125984" footer="0.31496062992125984"/>
      <pageSetup paperSize="9" scale="43" orientation="portrait" r:id="rId4"/>
    </customSheetView>
    <customSheetView guid="{D32E4BC6-6FD7-4441-855E-C6B8F80A132E}" scale="70" showPageBreaks="1" printArea="1" view="pageBreakPreview">
      <selection activeCell="F5" sqref="F5"/>
      <pageMargins left="0.70866141732283472" right="0.70866141732283472" top="0.74803149606299213" bottom="0.74803149606299213" header="0.31496062992125984" footer="0.31496062992125984"/>
      <pageSetup paperSize="9" scale="43" orientation="portrait" r:id="rId5"/>
    </customSheetView>
  </customSheetViews>
  <mergeCells count="9">
    <mergeCell ref="A6:B10"/>
    <mergeCell ref="C6:C10"/>
    <mergeCell ref="A1:K1"/>
    <mergeCell ref="A2:C2"/>
    <mergeCell ref="D2:K2"/>
    <mergeCell ref="A3:C5"/>
    <mergeCell ref="D3:D4"/>
    <mergeCell ref="E3:E4"/>
    <mergeCell ref="F3:K3"/>
  </mergeCells>
  <pageMargins left="0.70866141732283472" right="0.70866141732283472" top="0.74803149606299213" bottom="0.74803149606299213" header="0.31496062992125984" footer="0.31496062992125984"/>
  <pageSetup paperSize="9" scale="43" orientation="portrait"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heetViews>
  <sheetFormatPr defaultRowHeight="14.4" x14ac:dyDescent="0.3"/>
  <sheetData/>
  <customSheetViews>
    <customSheetView guid="{7DDEA387-EEC9-4633-99BE-C0D9299FB093}">
      <pageMargins left="0.7" right="0.7" top="0.75" bottom="0.75" header="0.3" footer="0.3"/>
    </customSheetView>
    <customSheetView guid="{6592EBC0-D945-4F6F-93D1-49FCB588A4A0}">
      <pageMargins left="0.7" right="0.7" top="0.75" bottom="0.75" header="0.3" footer="0.3"/>
    </customSheetView>
    <customSheetView guid="{F08E63B0-D6C4-4E18-B2B6-E1E751FE7DF2}" state="hidden">
      <pageMargins left="0.7" right="0.7" top="0.75" bottom="0.75" header="0.3" footer="0.3"/>
    </customSheetView>
    <customSheetView guid="{D32E4BC6-6FD7-4441-855E-C6B8F80A132E}">
      <pageMargins left="0.7" right="0.7" top="0.75" bottom="0.75" header="0.3" footer="0.3"/>
    </customSheetView>
  </customSheetView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heetViews>
  <sheetFormatPr defaultRowHeight="14.4" x14ac:dyDescent="0.3"/>
  <sheetData/>
  <customSheetViews>
    <customSheetView guid="{7DDEA387-EEC9-4633-99BE-C0D9299FB093}" state="hidden">
      <pageMargins left="0.7" right="0.7" top="0.75" bottom="0.75" header="0.3" footer="0.3"/>
    </customSheetView>
    <customSheetView guid="{6592EBC0-D945-4F6F-93D1-49FCB588A4A0}" state="hidden">
      <pageMargins left="0.7" right="0.7" top="0.75" bottom="0.75" header="0.3" footer="0.3"/>
    </customSheetView>
    <customSheetView guid="{F08E63B0-D6C4-4E18-B2B6-E1E751FE7DF2}" state="hidden">
      <pageMargins left="0.7" right="0.7" top="0.75" bottom="0.75" header="0.3" footer="0.3"/>
    </customSheetView>
    <customSheetView guid="{D32E4BC6-6FD7-4441-855E-C6B8F80A132E}" state="hidden">
      <pageMargins left="0.7" right="0.7" top="0.75" bottom="0.75" header="0.3" footer="0.3"/>
    </customSheetView>
  </customSheetView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pageSetUpPr fitToPage="1"/>
  </sheetPr>
  <dimension ref="A1:BI99"/>
  <sheetViews>
    <sheetView view="pageBreakPreview" zoomScaleNormal="70" zoomScaleSheetLayoutView="70" zoomScalePageLayoutView="70" workbookViewId="0">
      <pane xSplit="2" ySplit="3" topLeftCell="C15" activePane="bottomRight" state="frozen"/>
      <selection pane="topRight" activeCell="C1" sqref="C1"/>
      <selection pane="bottomLeft" activeCell="A4" sqref="A4"/>
      <selection pane="bottomRight" activeCell="B18" sqref="B18"/>
    </sheetView>
  </sheetViews>
  <sheetFormatPr defaultColWidth="8.6640625" defaultRowHeight="23.4" x14ac:dyDescent="0.35"/>
  <cols>
    <col min="1" max="1" width="7" style="1" customWidth="1"/>
    <col min="2" max="2" width="35.6640625" style="6" customWidth="1"/>
    <col min="3" max="3" width="11" style="218" customWidth="1"/>
    <col min="4" max="4" width="16.33203125" style="1" customWidth="1"/>
    <col min="5" max="5" width="12.109375" style="20" customWidth="1"/>
    <col min="6" max="6" width="18.109375" style="204" customWidth="1"/>
    <col min="7" max="7" width="13.109375" style="204" customWidth="1"/>
    <col min="8" max="8" width="13.33203125" style="204" customWidth="1"/>
    <col min="9" max="9" width="13.44140625" style="205" customWidth="1"/>
    <col min="10" max="10" width="13.44140625" style="204" customWidth="1"/>
    <col min="11" max="11" width="13.33203125" style="204" customWidth="1"/>
    <col min="12" max="12" width="27.33203125" style="1" customWidth="1"/>
    <col min="13" max="13" width="34.6640625" style="1" customWidth="1"/>
    <col min="14" max="14" width="75.44140625" style="18" customWidth="1"/>
    <col min="15" max="15" width="8.6640625" style="7"/>
    <col min="16" max="16" width="8.6640625" style="4"/>
    <col min="17" max="61" width="8.6640625" style="7"/>
  </cols>
  <sheetData>
    <row r="1" spans="1:61" s="765" customFormat="1" ht="23.25" customHeight="1" x14ac:dyDescent="0.25">
      <c r="A1" s="2618" t="s">
        <v>758</v>
      </c>
      <c r="B1" s="2619"/>
      <c r="C1" s="2619"/>
      <c r="D1" s="2619"/>
      <c r="E1" s="2619"/>
      <c r="F1" s="2619"/>
      <c r="G1" s="2619"/>
      <c r="H1" s="2619"/>
      <c r="I1" s="2619"/>
      <c r="J1" s="2619"/>
      <c r="K1" s="2619"/>
      <c r="L1" s="2619"/>
      <c r="M1" s="2620"/>
      <c r="N1" s="761"/>
      <c r="O1" s="762"/>
      <c r="P1" s="763"/>
      <c r="Q1" s="764"/>
      <c r="R1" s="764"/>
      <c r="S1" s="764"/>
      <c r="T1" s="764"/>
      <c r="U1" s="762"/>
      <c r="V1" s="762"/>
      <c r="W1" s="762"/>
      <c r="X1" s="762"/>
      <c r="Y1" s="762"/>
      <c r="Z1" s="762"/>
      <c r="AA1" s="762"/>
      <c r="AB1" s="762"/>
      <c r="AC1" s="762"/>
      <c r="AD1" s="762"/>
      <c r="AE1" s="762"/>
      <c r="AF1" s="762"/>
      <c r="AG1" s="762"/>
      <c r="AH1" s="762"/>
      <c r="AI1" s="762"/>
      <c r="AJ1" s="762"/>
      <c r="AK1" s="762"/>
      <c r="AL1" s="762"/>
      <c r="AM1" s="762"/>
      <c r="AN1" s="762"/>
      <c r="AO1" s="762"/>
      <c r="AP1" s="762"/>
      <c r="AQ1" s="762"/>
      <c r="AR1" s="762"/>
      <c r="AS1" s="762"/>
      <c r="AT1" s="762"/>
      <c r="AU1" s="762"/>
      <c r="AV1" s="762"/>
      <c r="AW1" s="762"/>
      <c r="AX1" s="762"/>
      <c r="AY1" s="762"/>
      <c r="AZ1" s="762"/>
      <c r="BA1" s="762"/>
      <c r="BB1" s="762"/>
      <c r="BC1" s="762"/>
      <c r="BD1" s="762"/>
      <c r="BE1" s="762"/>
      <c r="BF1" s="762"/>
      <c r="BG1" s="762"/>
      <c r="BH1" s="762"/>
      <c r="BI1" s="762"/>
    </row>
    <row r="2" spans="1:61" s="768" customFormat="1" ht="67.5" customHeight="1" x14ac:dyDescent="0.25">
      <c r="A2" s="1767" t="s">
        <v>73</v>
      </c>
      <c r="B2" s="1767" t="s">
        <v>19</v>
      </c>
      <c r="C2" s="2621" t="s">
        <v>7</v>
      </c>
      <c r="D2" s="1767" t="s">
        <v>6</v>
      </c>
      <c r="E2" s="1544" t="s">
        <v>696</v>
      </c>
      <c r="F2" s="1768" t="s">
        <v>8</v>
      </c>
      <c r="G2" s="1768" t="s">
        <v>9</v>
      </c>
      <c r="H2" s="1769"/>
      <c r="I2" s="1769"/>
      <c r="J2" s="1769"/>
      <c r="K2" s="1769"/>
      <c r="L2" s="1767" t="s">
        <v>10</v>
      </c>
      <c r="M2" s="2622" t="s">
        <v>11</v>
      </c>
      <c r="N2" s="766"/>
      <c r="O2" s="767"/>
      <c r="P2" s="767"/>
      <c r="Q2" s="767"/>
      <c r="R2" s="767"/>
      <c r="S2" s="767"/>
      <c r="T2" s="767"/>
      <c r="U2" s="767"/>
      <c r="V2" s="767"/>
      <c r="W2" s="767"/>
      <c r="X2" s="767"/>
      <c r="Y2" s="767"/>
      <c r="Z2" s="767"/>
      <c r="AA2" s="767"/>
      <c r="AB2" s="767"/>
      <c r="AC2" s="767"/>
      <c r="AD2" s="767"/>
      <c r="AE2" s="767"/>
      <c r="AF2" s="767"/>
      <c r="AG2" s="767"/>
      <c r="AH2" s="767"/>
      <c r="AI2" s="767"/>
      <c r="AJ2" s="767"/>
      <c r="AK2" s="767"/>
      <c r="AL2" s="767"/>
      <c r="AM2" s="767"/>
      <c r="AN2" s="767"/>
      <c r="AO2" s="767"/>
      <c r="AP2" s="767"/>
      <c r="AQ2" s="767"/>
      <c r="AR2" s="767"/>
      <c r="AS2" s="767"/>
      <c r="AT2" s="767"/>
      <c r="AU2" s="767"/>
      <c r="AV2" s="767"/>
      <c r="AW2" s="767"/>
      <c r="AX2" s="767"/>
      <c r="AY2" s="767"/>
      <c r="AZ2" s="767"/>
      <c r="BA2" s="767"/>
      <c r="BB2" s="767"/>
      <c r="BC2" s="767"/>
      <c r="BD2" s="767"/>
      <c r="BE2" s="767"/>
      <c r="BF2" s="767"/>
      <c r="BG2" s="767"/>
      <c r="BH2" s="767"/>
      <c r="BI2" s="767"/>
    </row>
    <row r="3" spans="1:61" s="768" customFormat="1" ht="26.25" customHeight="1" x14ac:dyDescent="0.25">
      <c r="A3" s="1767"/>
      <c r="B3" s="1767"/>
      <c r="C3" s="2621"/>
      <c r="D3" s="1767"/>
      <c r="E3" s="1544"/>
      <c r="F3" s="1768"/>
      <c r="G3" s="723" t="s">
        <v>4</v>
      </c>
      <c r="H3" s="723" t="s">
        <v>91</v>
      </c>
      <c r="I3" s="723" t="s">
        <v>90</v>
      </c>
      <c r="J3" s="723" t="s">
        <v>89</v>
      </c>
      <c r="K3" s="723" t="s">
        <v>221</v>
      </c>
      <c r="L3" s="1767"/>
      <c r="M3" s="2622"/>
      <c r="N3" s="766"/>
      <c r="O3" s="767"/>
      <c r="P3" s="767"/>
      <c r="Q3" s="767"/>
      <c r="R3" s="767"/>
      <c r="S3" s="767"/>
      <c r="T3" s="767"/>
      <c r="U3" s="767"/>
      <c r="V3" s="767"/>
      <c r="W3" s="767"/>
      <c r="X3" s="767"/>
      <c r="Y3" s="767"/>
      <c r="Z3" s="767"/>
      <c r="AA3" s="767"/>
      <c r="AB3" s="767"/>
      <c r="AC3" s="767"/>
      <c r="AD3" s="767"/>
      <c r="AE3" s="767"/>
      <c r="AF3" s="767"/>
      <c r="AG3" s="767"/>
      <c r="AH3" s="767"/>
      <c r="AI3" s="767"/>
      <c r="AJ3" s="767"/>
      <c r="AK3" s="767"/>
      <c r="AL3" s="767"/>
      <c r="AM3" s="767"/>
      <c r="AN3" s="767"/>
      <c r="AO3" s="767"/>
      <c r="AP3" s="767"/>
      <c r="AQ3" s="767"/>
      <c r="AR3" s="767"/>
      <c r="AS3" s="767"/>
      <c r="AT3" s="767"/>
      <c r="AU3" s="767"/>
      <c r="AV3" s="767"/>
      <c r="AW3" s="767"/>
      <c r="AX3" s="767"/>
      <c r="AY3" s="767"/>
      <c r="AZ3" s="767"/>
      <c r="BA3" s="767"/>
      <c r="BB3" s="767"/>
      <c r="BC3" s="767"/>
      <c r="BD3" s="767"/>
      <c r="BE3" s="767"/>
      <c r="BF3" s="767"/>
      <c r="BG3" s="767"/>
      <c r="BH3" s="767"/>
      <c r="BI3" s="767"/>
    </row>
    <row r="4" spans="1:61" s="768" customFormat="1" ht="22.8" x14ac:dyDescent="0.25">
      <c r="A4" s="575">
        <v>1</v>
      </c>
      <c r="B4" s="575">
        <v>2</v>
      </c>
      <c r="C4" s="575">
        <v>3</v>
      </c>
      <c r="D4" s="575">
        <v>4</v>
      </c>
      <c r="E4" s="575">
        <v>5</v>
      </c>
      <c r="F4" s="576">
        <v>6</v>
      </c>
      <c r="G4" s="576">
        <v>7</v>
      </c>
      <c r="H4" s="576">
        <v>8</v>
      </c>
      <c r="I4" s="576">
        <v>9</v>
      </c>
      <c r="J4" s="576">
        <v>10</v>
      </c>
      <c r="K4" s="576">
        <v>11</v>
      </c>
      <c r="L4" s="575">
        <v>12</v>
      </c>
      <c r="M4" s="769">
        <v>13</v>
      </c>
      <c r="N4" s="766"/>
      <c r="O4" s="767"/>
      <c r="P4" s="767"/>
      <c r="Q4" s="767"/>
      <c r="R4" s="767"/>
      <c r="S4" s="767"/>
      <c r="T4" s="767"/>
      <c r="U4" s="767"/>
      <c r="V4" s="767"/>
      <c r="W4" s="767"/>
      <c r="X4" s="767"/>
      <c r="Y4" s="767"/>
      <c r="Z4" s="767"/>
      <c r="AA4" s="767"/>
      <c r="AB4" s="767"/>
      <c r="AC4" s="767"/>
      <c r="AD4" s="767"/>
      <c r="AE4" s="767"/>
      <c r="AF4" s="767"/>
      <c r="AG4" s="767"/>
      <c r="AH4" s="767"/>
      <c r="AI4" s="767"/>
      <c r="AJ4" s="767"/>
      <c r="AK4" s="767"/>
      <c r="AL4" s="767"/>
      <c r="AM4" s="767"/>
      <c r="AN4" s="767"/>
      <c r="AO4" s="767"/>
      <c r="AP4" s="767"/>
      <c r="AQ4" s="767"/>
      <c r="AR4" s="767"/>
      <c r="AS4" s="767"/>
      <c r="AT4" s="767"/>
      <c r="AU4" s="767"/>
      <c r="AV4" s="767"/>
      <c r="AW4" s="767"/>
      <c r="AX4" s="767"/>
      <c r="AY4" s="767"/>
      <c r="AZ4" s="767"/>
      <c r="BA4" s="767"/>
      <c r="BB4" s="767"/>
      <c r="BC4" s="767"/>
      <c r="BD4" s="767"/>
      <c r="BE4" s="767"/>
      <c r="BF4" s="767"/>
      <c r="BG4" s="767"/>
      <c r="BH4" s="767"/>
      <c r="BI4" s="767"/>
    </row>
    <row r="5" spans="1:61" s="19" customFormat="1" ht="28.95" customHeight="1" x14ac:dyDescent="0.25">
      <c r="A5" s="1777" t="s">
        <v>702</v>
      </c>
      <c r="B5" s="2021" t="s">
        <v>843</v>
      </c>
      <c r="C5" s="1774" t="s">
        <v>227</v>
      </c>
      <c r="D5" s="287" t="s">
        <v>5</v>
      </c>
      <c r="E5" s="770">
        <f t="shared" ref="E5:K5" si="0">E6</f>
        <v>1809719</v>
      </c>
      <c r="F5" s="721">
        <f t="shared" si="0"/>
        <v>8605031</v>
      </c>
      <c r="G5" s="771">
        <f t="shared" si="0"/>
        <v>1897713</v>
      </c>
      <c r="H5" s="771">
        <f t="shared" si="0"/>
        <v>1695071</v>
      </c>
      <c r="I5" s="771">
        <f t="shared" si="0"/>
        <v>1695791</v>
      </c>
      <c r="J5" s="771">
        <f t="shared" si="0"/>
        <v>1658228</v>
      </c>
      <c r="K5" s="771">
        <f t="shared" si="0"/>
        <v>1658228</v>
      </c>
      <c r="L5" s="1718"/>
      <c r="M5" s="1752"/>
      <c r="N5" s="32"/>
      <c r="O5" s="33"/>
      <c r="P5" s="34"/>
      <c r="Q5" s="34"/>
      <c r="R5" s="34"/>
      <c r="S5" s="34"/>
      <c r="T5" s="34"/>
      <c r="U5" s="33"/>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row>
    <row r="6" spans="1:61" s="19" customFormat="1" ht="51" customHeight="1" x14ac:dyDescent="0.25">
      <c r="A6" s="1777"/>
      <c r="B6" s="2021"/>
      <c r="C6" s="1774"/>
      <c r="D6" s="287" t="s">
        <v>2</v>
      </c>
      <c r="E6" s="771">
        <f>E7+E8+E9+E10+E15+E16+E17+E18+E19+E20+E21+E22+E23+E24+E11+E12+E13+E14+E25</f>
        <v>1809719</v>
      </c>
      <c r="F6" s="721">
        <f>G6+H6+I6+J6+K6</f>
        <v>8605031</v>
      </c>
      <c r="G6" s="771">
        <f>G7+G8+G9+G10+G15+G16+G17+G18+G19+G20+G21+G22+G23+G24+G11+G12+G13+G14+G25</f>
        <v>1897713</v>
      </c>
      <c r="H6" s="771">
        <f>H7+H8+H9+H10+H15+H16+H17+H18+H19+H20+H21+H22+H23+H24+H11+H12+H13+H14+H25</f>
        <v>1695071</v>
      </c>
      <c r="I6" s="771">
        <f t="shared" ref="I6:K6" si="1">I7+I8+I9+I10+I15+I16+I17+I18+I19+I20+I21+I22+I23+I24+I11+I12+I13+I14+I25</f>
        <v>1695791</v>
      </c>
      <c r="J6" s="771">
        <f t="shared" si="1"/>
        <v>1658228</v>
      </c>
      <c r="K6" s="771">
        <f t="shared" si="1"/>
        <v>1658228</v>
      </c>
      <c r="L6" s="1718"/>
      <c r="M6" s="1752"/>
      <c r="N6" s="32"/>
      <c r="O6" s="33"/>
      <c r="P6" s="34"/>
      <c r="Q6" s="34"/>
      <c r="R6" s="34"/>
      <c r="S6" s="34"/>
      <c r="T6" s="34"/>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row>
    <row r="7" spans="1:61" s="110" customFormat="1" ht="57.75" customHeight="1" x14ac:dyDescent="0.25">
      <c r="A7" s="202" t="s">
        <v>115</v>
      </c>
      <c r="B7" s="301" t="s">
        <v>830</v>
      </c>
      <c r="C7" s="300" t="s">
        <v>227</v>
      </c>
      <c r="D7" s="287" t="s">
        <v>13</v>
      </c>
      <c r="E7" s="721">
        <v>259635</v>
      </c>
      <c r="F7" s="1154">
        <f>G7+H7+I7+J7+K7</f>
        <v>1197204</v>
      </c>
      <c r="G7" s="1155">
        <f>239118</f>
        <v>239118</v>
      </c>
      <c r="H7" s="353">
        <v>239388</v>
      </c>
      <c r="I7" s="353">
        <v>239566</v>
      </c>
      <c r="J7" s="353">
        <v>239566</v>
      </c>
      <c r="K7" s="353">
        <v>239566</v>
      </c>
      <c r="L7" s="287" t="s">
        <v>16</v>
      </c>
      <c r="M7" s="194" t="s">
        <v>69</v>
      </c>
      <c r="N7" s="129" t="e">
        <f>G7+#REF!+G8</f>
        <v>#REF!</v>
      </c>
      <c r="O7" s="108"/>
      <c r="P7" s="109"/>
      <c r="Q7" s="109"/>
      <c r="R7" s="109"/>
      <c r="S7" s="109"/>
      <c r="T7" s="109"/>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row>
    <row r="8" spans="1:61" s="110" customFormat="1" ht="57.75" customHeight="1" x14ac:dyDescent="0.25">
      <c r="A8" s="202" t="s">
        <v>831</v>
      </c>
      <c r="B8" s="287" t="s">
        <v>21</v>
      </c>
      <c r="C8" s="300" t="s">
        <v>227</v>
      </c>
      <c r="D8" s="287" t="s">
        <v>13</v>
      </c>
      <c r="E8" s="721">
        <v>4533</v>
      </c>
      <c r="F8" s="721">
        <f>G8+H8+I8+J8+K8</f>
        <v>29000</v>
      </c>
      <c r="G8" s="938">
        <f>2800+5000</f>
        <v>7800</v>
      </c>
      <c r="H8" s="353">
        <v>7800</v>
      </c>
      <c r="I8" s="353">
        <v>7800</v>
      </c>
      <c r="J8" s="353">
        <v>2800</v>
      </c>
      <c r="K8" s="353">
        <v>2800</v>
      </c>
      <c r="L8" s="287" t="s">
        <v>16</v>
      </c>
      <c r="M8" s="194" t="s">
        <v>22</v>
      </c>
      <c r="N8" s="129"/>
      <c r="O8" s="108"/>
      <c r="P8" s="109"/>
      <c r="Q8" s="109"/>
      <c r="R8" s="109"/>
      <c r="S8" s="109"/>
      <c r="T8" s="109"/>
      <c r="U8" s="108"/>
      <c r="V8" s="108"/>
      <c r="W8" s="108"/>
      <c r="X8" s="108"/>
      <c r="Y8" s="108"/>
      <c r="Z8" s="108"/>
      <c r="AA8" s="108"/>
      <c r="AB8" s="108"/>
      <c r="AC8" s="108"/>
      <c r="AD8" s="108"/>
      <c r="AE8" s="108"/>
      <c r="AF8" s="108"/>
      <c r="AG8" s="108"/>
      <c r="AH8" s="108"/>
      <c r="AI8" s="108"/>
      <c r="AJ8" s="108"/>
      <c r="AK8" s="108"/>
      <c r="AL8" s="108"/>
      <c r="AM8" s="108"/>
      <c r="AN8" s="108"/>
      <c r="AO8" s="108"/>
      <c r="AP8" s="108"/>
      <c r="AQ8" s="108"/>
      <c r="AR8" s="108"/>
      <c r="AS8" s="108"/>
      <c r="AT8" s="108"/>
      <c r="AU8" s="108"/>
      <c r="AV8" s="108"/>
      <c r="AW8" s="108"/>
      <c r="AX8" s="108"/>
      <c r="AY8" s="108"/>
      <c r="AZ8" s="108"/>
      <c r="BA8" s="108"/>
      <c r="BB8" s="108"/>
      <c r="BC8" s="108"/>
      <c r="BD8" s="108"/>
      <c r="BE8" s="108"/>
      <c r="BF8" s="108"/>
      <c r="BG8" s="108"/>
      <c r="BH8" s="108"/>
      <c r="BI8" s="108"/>
    </row>
    <row r="9" spans="1:61" s="110" customFormat="1" ht="51" customHeight="1" x14ac:dyDescent="0.25">
      <c r="A9" s="202" t="s">
        <v>119</v>
      </c>
      <c r="B9" s="287" t="s">
        <v>25</v>
      </c>
      <c r="C9" s="300" t="s">
        <v>227</v>
      </c>
      <c r="D9" s="287" t="s">
        <v>13</v>
      </c>
      <c r="E9" s="721">
        <v>50</v>
      </c>
      <c r="F9" s="721">
        <f>G9+H9+I9+J9+K9</f>
        <v>250</v>
      </c>
      <c r="G9" s="938">
        <v>50</v>
      </c>
      <c r="H9" s="353">
        <v>50</v>
      </c>
      <c r="I9" s="353">
        <v>50</v>
      </c>
      <c r="J9" s="353">
        <v>50</v>
      </c>
      <c r="K9" s="353">
        <v>50</v>
      </c>
      <c r="L9" s="287" t="s">
        <v>16</v>
      </c>
      <c r="M9" s="194" t="s">
        <v>26</v>
      </c>
      <c r="N9" s="107"/>
      <c r="O9" s="108"/>
      <c r="P9" s="109"/>
      <c r="Q9" s="109"/>
      <c r="R9" s="109"/>
      <c r="S9" s="109"/>
      <c r="T9" s="109"/>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row>
    <row r="10" spans="1:61" s="110" customFormat="1" ht="54.75" customHeight="1" x14ac:dyDescent="0.25">
      <c r="A10" s="202" t="s">
        <v>147</v>
      </c>
      <c r="B10" s="287" t="s">
        <v>96</v>
      </c>
      <c r="C10" s="300" t="s">
        <v>82</v>
      </c>
      <c r="D10" s="287" t="s">
        <v>13</v>
      </c>
      <c r="E10" s="721">
        <v>70000</v>
      </c>
      <c r="F10" s="721">
        <f>G10+H10+I10+J10+K10</f>
        <v>46900</v>
      </c>
      <c r="G10" s="770">
        <v>46900</v>
      </c>
      <c r="H10" s="353">
        <v>0</v>
      </c>
      <c r="I10" s="353">
        <v>0</v>
      </c>
      <c r="J10" s="353">
        <v>0</v>
      </c>
      <c r="K10" s="353">
        <v>0</v>
      </c>
      <c r="L10" s="287" t="s">
        <v>1</v>
      </c>
      <c r="M10" s="194" t="s">
        <v>87</v>
      </c>
      <c r="N10" s="107"/>
      <c r="O10" s="108"/>
      <c r="P10" s="109"/>
      <c r="Q10" s="109"/>
      <c r="R10" s="109"/>
      <c r="S10" s="109"/>
      <c r="T10" s="109"/>
      <c r="U10" s="108"/>
      <c r="V10" s="108"/>
      <c r="W10" s="108"/>
      <c r="X10" s="108"/>
      <c r="Y10" s="108"/>
      <c r="Z10" s="108"/>
      <c r="AA10" s="108"/>
      <c r="AB10" s="108"/>
      <c r="AC10" s="108"/>
      <c r="AD10" s="108"/>
      <c r="AE10" s="108"/>
      <c r="AF10" s="108"/>
      <c r="AG10" s="108"/>
      <c r="AH10" s="108"/>
      <c r="AI10" s="108"/>
      <c r="AJ10" s="108"/>
      <c r="AK10" s="108"/>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row>
    <row r="11" spans="1:61" s="110" customFormat="1" ht="156" customHeight="1" x14ac:dyDescent="0.25">
      <c r="A11" s="202" t="s">
        <v>846</v>
      </c>
      <c r="B11" s="287" t="s">
        <v>125</v>
      </c>
      <c r="C11" s="300"/>
      <c r="D11" s="287" t="s">
        <v>13</v>
      </c>
      <c r="E11" s="721">
        <v>592</v>
      </c>
      <c r="F11" s="721">
        <v>3005</v>
      </c>
      <c r="G11" s="938">
        <v>601</v>
      </c>
      <c r="H11" s="353">
        <v>601</v>
      </c>
      <c r="I11" s="353">
        <v>601</v>
      </c>
      <c r="J11" s="353">
        <v>601</v>
      </c>
      <c r="K11" s="353">
        <v>601</v>
      </c>
      <c r="L11" s="287" t="s">
        <v>1</v>
      </c>
      <c r="M11" s="194" t="s">
        <v>1313</v>
      </c>
      <c r="N11" s="107"/>
      <c r="O11" s="108"/>
      <c r="P11" s="109"/>
      <c r="Q11" s="109"/>
      <c r="R11" s="109"/>
      <c r="S11" s="109"/>
      <c r="T11" s="109"/>
      <c r="U11" s="108"/>
      <c r="V11" s="108"/>
      <c r="W11" s="108"/>
      <c r="X11" s="108"/>
      <c r="Y11" s="108"/>
      <c r="Z11" s="108"/>
      <c r="AA11" s="108"/>
      <c r="AB11" s="108"/>
      <c r="AC11" s="108"/>
      <c r="AD11" s="108"/>
      <c r="AE11" s="108"/>
      <c r="AF11" s="108"/>
      <c r="AG11" s="108"/>
      <c r="AH11" s="108"/>
      <c r="AI11" s="108"/>
      <c r="AJ11" s="108"/>
      <c r="AK11" s="108"/>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row>
    <row r="12" spans="1:61" s="110" customFormat="1" ht="102.75" customHeight="1" x14ac:dyDescent="0.25">
      <c r="A12" s="202" t="s">
        <v>719</v>
      </c>
      <c r="B12" s="287" t="s">
        <v>1314</v>
      </c>
      <c r="C12" s="300">
        <v>2018</v>
      </c>
      <c r="D12" s="287" t="s">
        <v>13</v>
      </c>
      <c r="E12" s="721">
        <v>0</v>
      </c>
      <c r="F12" s="721">
        <f>G12+H12+I12+J12+K12</f>
        <v>15362</v>
      </c>
      <c r="G12" s="938">
        <v>15362</v>
      </c>
      <c r="H12" s="353">
        <v>0</v>
      </c>
      <c r="I12" s="353">
        <v>0</v>
      </c>
      <c r="J12" s="353">
        <v>0</v>
      </c>
      <c r="K12" s="353">
        <v>0</v>
      </c>
      <c r="L12" s="287" t="s">
        <v>1</v>
      </c>
      <c r="M12" s="194" t="s">
        <v>1336</v>
      </c>
      <c r="N12" s="107"/>
      <c r="O12" s="108"/>
      <c r="P12" s="109"/>
      <c r="Q12" s="109"/>
      <c r="R12" s="109"/>
      <c r="S12" s="109"/>
      <c r="T12" s="109"/>
      <c r="U12" s="108"/>
      <c r="V12" s="108"/>
      <c r="W12" s="108"/>
      <c r="X12" s="108"/>
      <c r="Y12" s="108"/>
      <c r="Z12" s="108"/>
      <c r="AA12" s="108"/>
      <c r="AB12" s="108"/>
      <c r="AC12" s="108"/>
      <c r="AD12" s="108"/>
      <c r="AE12" s="108"/>
      <c r="AF12" s="108"/>
      <c r="AG12" s="108"/>
      <c r="AH12" s="108"/>
      <c r="AI12" s="108"/>
      <c r="AJ12" s="108"/>
      <c r="AK12" s="108"/>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row>
    <row r="13" spans="1:61" s="110" customFormat="1" ht="90.75" customHeight="1" x14ac:dyDescent="0.25">
      <c r="A13" s="202" t="s">
        <v>832</v>
      </c>
      <c r="B13" s="287" t="s">
        <v>1315</v>
      </c>
      <c r="C13" s="300">
        <v>2018</v>
      </c>
      <c r="D13" s="287" t="s">
        <v>13</v>
      </c>
      <c r="E13" s="721">
        <v>0</v>
      </c>
      <c r="F13" s="721">
        <f>G13+H13+I13+J13+K13</f>
        <v>27548</v>
      </c>
      <c r="G13" s="938">
        <v>27548</v>
      </c>
      <c r="H13" s="353">
        <v>0</v>
      </c>
      <c r="I13" s="353">
        <v>0</v>
      </c>
      <c r="J13" s="353">
        <v>0</v>
      </c>
      <c r="K13" s="353">
        <v>0</v>
      </c>
      <c r="L13" s="287" t="s">
        <v>1</v>
      </c>
      <c r="M13" s="194" t="s">
        <v>1336</v>
      </c>
      <c r="N13" s="107"/>
      <c r="O13" s="108"/>
      <c r="P13" s="109"/>
      <c r="Q13" s="109"/>
      <c r="R13" s="109"/>
      <c r="S13" s="109"/>
      <c r="T13" s="109"/>
      <c r="U13" s="108"/>
      <c r="V13" s="108"/>
      <c r="W13" s="108"/>
      <c r="X13" s="108"/>
      <c r="Y13" s="108"/>
      <c r="Z13" s="108"/>
      <c r="AA13" s="108"/>
      <c r="AB13" s="108"/>
      <c r="AC13" s="108"/>
      <c r="AD13" s="108"/>
      <c r="AE13" s="108"/>
      <c r="AF13" s="108"/>
      <c r="AG13" s="108"/>
      <c r="AH13" s="108"/>
      <c r="AI13" s="108"/>
      <c r="AJ13" s="108"/>
      <c r="AK13" s="108"/>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row>
    <row r="14" spans="1:61" s="110" customFormat="1" ht="77.25" customHeight="1" x14ac:dyDescent="0.25">
      <c r="A14" s="202" t="s">
        <v>720</v>
      </c>
      <c r="B14" s="287" t="s">
        <v>1648</v>
      </c>
      <c r="C14" s="300">
        <v>2018</v>
      </c>
      <c r="D14" s="287" t="s">
        <v>13</v>
      </c>
      <c r="E14" s="721">
        <v>0</v>
      </c>
      <c r="F14" s="721">
        <f>G14+H14+I14+J14+K14</f>
        <v>93530</v>
      </c>
      <c r="G14" s="770">
        <v>93530</v>
      </c>
      <c r="H14" s="353">
        <v>0</v>
      </c>
      <c r="I14" s="353">
        <v>0</v>
      </c>
      <c r="J14" s="353">
        <v>0</v>
      </c>
      <c r="K14" s="353">
        <v>0</v>
      </c>
      <c r="L14" s="287" t="s">
        <v>1</v>
      </c>
      <c r="M14" s="194"/>
      <c r="N14" s="107"/>
      <c r="O14" s="108"/>
      <c r="P14" s="109"/>
      <c r="Q14" s="109"/>
      <c r="R14" s="109"/>
      <c r="S14" s="109"/>
      <c r="T14" s="109"/>
      <c r="U14" s="108"/>
      <c r="V14" s="108"/>
      <c r="W14" s="108"/>
      <c r="X14" s="108"/>
      <c r="Y14" s="108"/>
      <c r="Z14" s="108"/>
      <c r="AA14" s="108"/>
      <c r="AB14" s="108"/>
      <c r="AC14" s="108"/>
      <c r="AD14" s="108"/>
      <c r="AE14" s="108"/>
      <c r="AF14" s="108"/>
      <c r="AG14" s="108"/>
      <c r="AH14" s="108"/>
      <c r="AI14" s="108"/>
      <c r="AJ14" s="108"/>
      <c r="AK14" s="108"/>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row>
    <row r="15" spans="1:61" s="110" customFormat="1" ht="58.5" customHeight="1" x14ac:dyDescent="0.25">
      <c r="A15" s="202" t="s">
        <v>833</v>
      </c>
      <c r="B15" s="287" t="s">
        <v>839</v>
      </c>
      <c r="C15" s="300" t="s">
        <v>227</v>
      </c>
      <c r="D15" s="937" t="s">
        <v>20</v>
      </c>
      <c r="E15" s="938">
        <v>113904</v>
      </c>
      <c r="F15" s="938">
        <f>G15+H15+I15+J15+K15</f>
        <v>521527</v>
      </c>
      <c r="G15" s="938">
        <v>104193</v>
      </c>
      <c r="H15" s="938">
        <v>104272</v>
      </c>
      <c r="I15" s="938">
        <v>104354</v>
      </c>
      <c r="J15" s="938">
        <v>104354</v>
      </c>
      <c r="K15" s="938">
        <v>104354</v>
      </c>
      <c r="L15" s="937" t="s">
        <v>697</v>
      </c>
      <c r="M15" s="937" t="s">
        <v>69</v>
      </c>
      <c r="N15" s="107"/>
      <c r="O15" s="108"/>
      <c r="P15" s="109"/>
      <c r="Q15" s="109"/>
      <c r="R15" s="109"/>
      <c r="S15" s="109"/>
      <c r="T15" s="109"/>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row>
    <row r="16" spans="1:61" s="110" customFormat="1" ht="54.45" customHeight="1" x14ac:dyDescent="0.25">
      <c r="A16" s="202" t="s">
        <v>834</v>
      </c>
      <c r="B16" s="1156" t="s">
        <v>1467</v>
      </c>
      <c r="C16" s="299" t="s">
        <v>334</v>
      </c>
      <c r="D16" s="939" t="s">
        <v>13</v>
      </c>
      <c r="E16" s="940">
        <v>31310</v>
      </c>
      <c r="F16" s="940">
        <f>SUM(G16:I16)</f>
        <v>97689</v>
      </c>
      <c r="G16" s="941">
        <v>32563</v>
      </c>
      <c r="H16" s="942">
        <v>32563</v>
      </c>
      <c r="I16" s="942">
        <v>32563</v>
      </c>
      <c r="J16" s="942">
        <v>0</v>
      </c>
      <c r="K16" s="942">
        <v>0</v>
      </c>
      <c r="L16" s="943" t="s">
        <v>434</v>
      </c>
      <c r="M16" s="943" t="s">
        <v>699</v>
      </c>
      <c r="N16" s="107"/>
      <c r="O16" s="108"/>
      <c r="P16" s="109"/>
      <c r="Q16" s="109"/>
      <c r="R16" s="109"/>
      <c r="S16" s="109"/>
      <c r="T16" s="109"/>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row>
    <row r="17" spans="1:61" s="110" customFormat="1" ht="54.45" customHeight="1" x14ac:dyDescent="0.25">
      <c r="A17" s="202" t="s">
        <v>835</v>
      </c>
      <c r="B17" s="1156" t="s">
        <v>1466</v>
      </c>
      <c r="C17" s="299">
        <v>2018</v>
      </c>
      <c r="D17" s="939" t="s">
        <v>13</v>
      </c>
      <c r="E17" s="944" t="s">
        <v>1316</v>
      </c>
      <c r="F17" s="940">
        <f>SUM(G17:K17)</f>
        <v>17395</v>
      </c>
      <c r="G17" s="1343">
        <f>35395-18000</f>
        <v>17395</v>
      </c>
      <c r="H17" s="942">
        <v>0</v>
      </c>
      <c r="I17" s="942">
        <v>0</v>
      </c>
      <c r="J17" s="942">
        <v>0</v>
      </c>
      <c r="K17" s="942">
        <v>0</v>
      </c>
      <c r="L17" s="943" t="s">
        <v>434</v>
      </c>
      <c r="M17" s="943" t="s">
        <v>700</v>
      </c>
      <c r="N17" s="107" t="s">
        <v>1647</v>
      </c>
      <c r="O17" s="108"/>
      <c r="P17" s="109"/>
      <c r="Q17" s="109"/>
      <c r="R17" s="109"/>
      <c r="S17" s="109"/>
      <c r="T17" s="109"/>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row>
    <row r="18" spans="1:61" s="3" customFormat="1" ht="160.5" customHeight="1" x14ac:dyDescent="0.25">
      <c r="A18" s="202" t="s">
        <v>844</v>
      </c>
      <c r="B18" s="287" t="s">
        <v>698</v>
      </c>
      <c r="C18" s="300" t="s">
        <v>227</v>
      </c>
      <c r="D18" s="937" t="s">
        <v>20</v>
      </c>
      <c r="E18" s="909">
        <v>530</v>
      </c>
      <c r="F18" s="909">
        <f t="shared" ref="F18:F25" si="2">G18+H18+I18+J18+K18</f>
        <v>2865</v>
      </c>
      <c r="G18" s="938">
        <v>573</v>
      </c>
      <c r="H18" s="938">
        <v>573</v>
      </c>
      <c r="I18" s="938">
        <v>573</v>
      </c>
      <c r="J18" s="938">
        <v>573</v>
      </c>
      <c r="K18" s="938">
        <v>573</v>
      </c>
      <c r="L18" s="937" t="s">
        <v>697</v>
      </c>
      <c r="M18" s="937" t="s">
        <v>23</v>
      </c>
      <c r="N18" s="38"/>
      <c r="O18" s="35"/>
      <c r="P18" s="31"/>
      <c r="Q18" s="31"/>
      <c r="R18" s="31"/>
      <c r="S18" s="31"/>
      <c r="T18" s="31"/>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row>
    <row r="19" spans="1:61" s="110" customFormat="1" ht="69" customHeight="1" x14ac:dyDescent="0.4">
      <c r="A19" s="203" t="s">
        <v>836</v>
      </c>
      <c r="B19" s="298" t="s">
        <v>74</v>
      </c>
      <c r="C19" s="149" t="s">
        <v>227</v>
      </c>
      <c r="D19" s="937" t="s">
        <v>13</v>
      </c>
      <c r="E19" s="909">
        <v>512256</v>
      </c>
      <c r="F19" s="909">
        <f t="shared" si="2"/>
        <v>2547250</v>
      </c>
      <c r="G19" s="909">
        <v>508736</v>
      </c>
      <c r="H19" s="909">
        <v>509360</v>
      </c>
      <c r="I19" s="909">
        <v>509718</v>
      </c>
      <c r="J19" s="909">
        <v>509718</v>
      </c>
      <c r="K19" s="909">
        <v>509718</v>
      </c>
      <c r="L19" s="945" t="s">
        <v>17</v>
      </c>
      <c r="M19" s="946" t="s">
        <v>87</v>
      </c>
      <c r="N19" s="112"/>
      <c r="O19" s="111"/>
      <c r="P19" s="111"/>
      <c r="Q19" s="109"/>
      <c r="R19" s="109"/>
      <c r="S19" s="109"/>
      <c r="T19" s="109"/>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row>
    <row r="20" spans="1:61" s="3" customFormat="1" ht="179.25" customHeight="1" x14ac:dyDescent="0.25">
      <c r="A20" s="202" t="s">
        <v>845</v>
      </c>
      <c r="B20" s="287" t="s">
        <v>75</v>
      </c>
      <c r="C20" s="300" t="s">
        <v>227</v>
      </c>
      <c r="D20" s="937" t="s">
        <v>13</v>
      </c>
      <c r="E20" s="938">
        <v>3491</v>
      </c>
      <c r="F20" s="909">
        <f t="shared" si="2"/>
        <v>17900</v>
      </c>
      <c r="G20" s="938">
        <v>3580</v>
      </c>
      <c r="H20" s="938">
        <v>3580</v>
      </c>
      <c r="I20" s="938">
        <v>3580</v>
      </c>
      <c r="J20" s="938">
        <v>3580</v>
      </c>
      <c r="K20" s="938">
        <v>3580</v>
      </c>
      <c r="L20" s="937" t="s">
        <v>17</v>
      </c>
      <c r="M20" s="947" t="s">
        <v>29</v>
      </c>
      <c r="N20" s="38"/>
      <c r="O20" s="35"/>
      <c r="P20" s="31"/>
      <c r="Q20" s="31"/>
      <c r="R20" s="31"/>
      <c r="S20" s="31"/>
      <c r="T20" s="31"/>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row>
    <row r="21" spans="1:61" s="3" customFormat="1" ht="84" customHeight="1" x14ac:dyDescent="0.25">
      <c r="A21" s="202" t="s">
        <v>837</v>
      </c>
      <c r="B21" s="301" t="s">
        <v>76</v>
      </c>
      <c r="C21" s="300" t="s">
        <v>227</v>
      </c>
      <c r="D21" s="937" t="s">
        <v>2</v>
      </c>
      <c r="E21" s="909">
        <v>803473</v>
      </c>
      <c r="F21" s="909">
        <f t="shared" si="2"/>
        <v>3770011</v>
      </c>
      <c r="G21" s="938">
        <f>756245</f>
        <v>756245</v>
      </c>
      <c r="H21" s="938">
        <f>753365</f>
        <v>753365</v>
      </c>
      <c r="I21" s="938">
        <f>753467</f>
        <v>753467</v>
      </c>
      <c r="J21" s="938">
        <f>753467</f>
        <v>753467</v>
      </c>
      <c r="K21" s="938">
        <v>753467</v>
      </c>
      <c r="L21" s="937" t="s">
        <v>18</v>
      </c>
      <c r="M21" s="947" t="s">
        <v>27</v>
      </c>
      <c r="N21" s="38"/>
      <c r="O21" s="35"/>
      <c r="P21" s="31"/>
      <c r="Q21" s="31"/>
      <c r="R21" s="31"/>
      <c r="S21" s="31"/>
      <c r="T21" s="31"/>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row>
    <row r="22" spans="1:61" s="3" customFormat="1" ht="84" customHeight="1" x14ac:dyDescent="0.25">
      <c r="A22" s="202" t="s">
        <v>838</v>
      </c>
      <c r="B22" s="287" t="s">
        <v>58</v>
      </c>
      <c r="C22" s="300" t="s">
        <v>227</v>
      </c>
      <c r="D22" s="937" t="s">
        <v>13</v>
      </c>
      <c r="E22" s="909">
        <v>1325</v>
      </c>
      <c r="F22" s="909">
        <f t="shared" si="2"/>
        <v>7410</v>
      </c>
      <c r="G22" s="938">
        <v>1482</v>
      </c>
      <c r="H22" s="938">
        <v>1482</v>
      </c>
      <c r="I22" s="938">
        <v>1482</v>
      </c>
      <c r="J22" s="938">
        <v>1482</v>
      </c>
      <c r="K22" s="938">
        <v>1482</v>
      </c>
      <c r="L22" s="937" t="s">
        <v>28</v>
      </c>
      <c r="M22" s="947" t="s">
        <v>24</v>
      </c>
      <c r="N22" s="38"/>
      <c r="O22" s="35"/>
      <c r="P22" s="31"/>
      <c r="Q22" s="31"/>
      <c r="R22" s="31"/>
      <c r="S22" s="31"/>
      <c r="T22" s="31"/>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row>
    <row r="23" spans="1:61" s="3" customFormat="1" ht="63.75" customHeight="1" x14ac:dyDescent="0.25">
      <c r="A23" s="202" t="s">
        <v>1194</v>
      </c>
      <c r="B23" s="287" t="s">
        <v>30</v>
      </c>
      <c r="C23" s="300" t="s">
        <v>227</v>
      </c>
      <c r="D23" s="937" t="s">
        <v>13</v>
      </c>
      <c r="E23" s="909">
        <v>4067</v>
      </c>
      <c r="F23" s="909">
        <f t="shared" si="2"/>
        <v>6005</v>
      </c>
      <c r="G23" s="938">
        <v>1201</v>
      </c>
      <c r="H23" s="938">
        <v>1201</v>
      </c>
      <c r="I23" s="938">
        <v>1201</v>
      </c>
      <c r="J23" s="938">
        <v>1201</v>
      </c>
      <c r="K23" s="938">
        <v>1201</v>
      </c>
      <c r="L23" s="937" t="s">
        <v>18</v>
      </c>
      <c r="M23" s="947" t="s">
        <v>24</v>
      </c>
      <c r="N23" s="38"/>
      <c r="O23" s="35"/>
      <c r="P23" s="31"/>
      <c r="Q23" s="31"/>
      <c r="R23" s="31"/>
      <c r="S23" s="31"/>
      <c r="T23" s="31"/>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row>
    <row r="24" spans="1:61" s="3" customFormat="1" ht="190.5" customHeight="1" x14ac:dyDescent="0.25">
      <c r="A24" s="202" t="s">
        <v>1201</v>
      </c>
      <c r="B24" s="287" t="s">
        <v>77</v>
      </c>
      <c r="C24" s="300" t="s">
        <v>227</v>
      </c>
      <c r="D24" s="937" t="s">
        <v>13</v>
      </c>
      <c r="E24" s="938">
        <v>4553</v>
      </c>
      <c r="F24" s="909">
        <f t="shared" si="2"/>
        <v>30640</v>
      </c>
      <c r="G24" s="938">
        <v>6128</v>
      </c>
      <c r="H24" s="938">
        <v>6128</v>
      </c>
      <c r="I24" s="938">
        <v>6128</v>
      </c>
      <c r="J24" s="938">
        <v>6128</v>
      </c>
      <c r="K24" s="938">
        <v>6128</v>
      </c>
      <c r="L24" s="945" t="s">
        <v>28</v>
      </c>
      <c r="M24" s="946" t="s">
        <v>29</v>
      </c>
      <c r="N24" s="38"/>
      <c r="O24" s="35"/>
      <c r="P24" s="31"/>
      <c r="Q24" s="31"/>
      <c r="R24" s="31"/>
      <c r="S24" s="31"/>
      <c r="T24" s="31"/>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row>
    <row r="25" spans="1:61" s="3" customFormat="1" ht="64.5" customHeight="1" x14ac:dyDescent="0.25">
      <c r="A25" s="203" t="s">
        <v>1207</v>
      </c>
      <c r="B25" s="298" t="s">
        <v>1317</v>
      </c>
      <c r="C25" s="149" t="s">
        <v>227</v>
      </c>
      <c r="D25" s="937" t="s">
        <v>13</v>
      </c>
      <c r="E25" s="938">
        <v>0</v>
      </c>
      <c r="F25" s="909">
        <f t="shared" si="2"/>
        <v>173540</v>
      </c>
      <c r="G25" s="938">
        <v>34708</v>
      </c>
      <c r="H25" s="938">
        <v>34708</v>
      </c>
      <c r="I25" s="938">
        <v>34708</v>
      </c>
      <c r="J25" s="938">
        <v>34708</v>
      </c>
      <c r="K25" s="938">
        <v>34708</v>
      </c>
      <c r="L25" s="945" t="s">
        <v>28</v>
      </c>
      <c r="M25" s="947" t="s">
        <v>27</v>
      </c>
      <c r="N25" s="38"/>
      <c r="O25" s="35"/>
      <c r="P25" s="31"/>
      <c r="Q25" s="31"/>
      <c r="R25" s="31"/>
      <c r="S25" s="31"/>
      <c r="T25" s="31"/>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row>
    <row r="26" spans="1:61" s="1" customFormat="1" ht="40.200000000000003" customHeight="1" x14ac:dyDescent="0.3">
      <c r="A26" s="2623" t="s">
        <v>621</v>
      </c>
      <c r="B26" s="1778" t="s">
        <v>194</v>
      </c>
      <c r="C26" s="2625" t="s">
        <v>227</v>
      </c>
      <c r="D26" s="937" t="s">
        <v>201</v>
      </c>
      <c r="E26" s="909">
        <v>101421</v>
      </c>
      <c r="F26" s="909">
        <f t="shared" ref="F26:K26" si="3">F27</f>
        <v>481842</v>
      </c>
      <c r="G26" s="909">
        <f t="shared" si="3"/>
        <v>105417</v>
      </c>
      <c r="H26" s="909">
        <f t="shared" si="3"/>
        <v>94059</v>
      </c>
      <c r="I26" s="909">
        <f t="shared" si="3"/>
        <v>94122</v>
      </c>
      <c r="J26" s="909">
        <f t="shared" si="3"/>
        <v>94122</v>
      </c>
      <c r="K26" s="909">
        <f t="shared" si="3"/>
        <v>94122</v>
      </c>
      <c r="L26" s="2627" t="s">
        <v>196</v>
      </c>
      <c r="M26" s="2627"/>
      <c r="N26" s="39"/>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row>
    <row r="27" spans="1:61" s="1" customFormat="1" ht="65.25" customHeight="1" x14ac:dyDescent="0.3">
      <c r="A27" s="2624"/>
      <c r="B27" s="1780"/>
      <c r="C27" s="2626"/>
      <c r="D27" s="937" t="s">
        <v>13</v>
      </c>
      <c r="E27" s="909">
        <v>104421</v>
      </c>
      <c r="F27" s="909">
        <f>G27+H27+I27+J27+K27</f>
        <v>481842</v>
      </c>
      <c r="G27" s="909">
        <f>G28+G29</f>
        <v>105417</v>
      </c>
      <c r="H27" s="909">
        <f>H28+H29</f>
        <v>94059</v>
      </c>
      <c r="I27" s="909">
        <f>I28+I29</f>
        <v>94122</v>
      </c>
      <c r="J27" s="909">
        <f>J28+J29</f>
        <v>94122</v>
      </c>
      <c r="K27" s="909">
        <f>K28+K29</f>
        <v>94122</v>
      </c>
      <c r="L27" s="2628"/>
      <c r="M27" s="2628"/>
      <c r="N27" s="39"/>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row>
    <row r="28" spans="1:61" s="1" customFormat="1" ht="111.45" customHeight="1" x14ac:dyDescent="0.3">
      <c r="A28" s="297" t="s">
        <v>149</v>
      </c>
      <c r="B28" s="287" t="s">
        <v>195</v>
      </c>
      <c r="C28" s="300" t="s">
        <v>227</v>
      </c>
      <c r="D28" s="937" t="s">
        <v>13</v>
      </c>
      <c r="E28" s="938">
        <v>101400</v>
      </c>
      <c r="F28" s="909">
        <f>G28+H28+I28+J28+K28</f>
        <v>481717</v>
      </c>
      <c r="G28" s="938">
        <v>105392</v>
      </c>
      <c r="H28" s="938">
        <v>94034</v>
      </c>
      <c r="I28" s="938">
        <v>94097</v>
      </c>
      <c r="J28" s="938">
        <v>94097</v>
      </c>
      <c r="K28" s="938">
        <v>94097</v>
      </c>
      <c r="L28" s="948" t="s">
        <v>196</v>
      </c>
      <c r="M28" s="948" t="s">
        <v>197</v>
      </c>
      <c r="N28" s="39"/>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row>
    <row r="29" spans="1:61" s="1" customFormat="1" ht="101.25" customHeight="1" x14ac:dyDescent="0.3">
      <c r="A29" s="306" t="s">
        <v>160</v>
      </c>
      <c r="B29" s="298" t="s">
        <v>81</v>
      </c>
      <c r="C29" s="149" t="s">
        <v>227</v>
      </c>
      <c r="D29" s="945" t="s">
        <v>13</v>
      </c>
      <c r="E29" s="949">
        <v>21</v>
      </c>
      <c r="F29" s="950">
        <f>G29+H29+I29+J29+K29</f>
        <v>125</v>
      </c>
      <c r="G29" s="949">
        <v>25</v>
      </c>
      <c r="H29" s="949">
        <v>25</v>
      </c>
      <c r="I29" s="949">
        <v>25</v>
      </c>
      <c r="J29" s="949">
        <v>25</v>
      </c>
      <c r="K29" s="949">
        <v>25</v>
      </c>
      <c r="L29" s="951" t="s">
        <v>196</v>
      </c>
      <c r="M29" s="951" t="s">
        <v>198</v>
      </c>
      <c r="N29" s="39"/>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row>
    <row r="30" spans="1:61" s="1" customFormat="1" ht="40.200000000000003" customHeight="1" x14ac:dyDescent="0.3">
      <c r="A30" s="2623" t="s">
        <v>503</v>
      </c>
      <c r="B30" s="1778" t="s">
        <v>78</v>
      </c>
      <c r="C30" s="2625" t="s">
        <v>227</v>
      </c>
      <c r="D30" s="937" t="s">
        <v>201</v>
      </c>
      <c r="E30" s="909">
        <f t="shared" ref="E30:K30" si="4">E31</f>
        <v>628773</v>
      </c>
      <c r="F30" s="909">
        <f t="shared" si="4"/>
        <v>2781417</v>
      </c>
      <c r="G30" s="909">
        <f t="shared" si="4"/>
        <v>632319</v>
      </c>
      <c r="H30" s="909">
        <f t="shared" si="4"/>
        <v>538845</v>
      </c>
      <c r="I30" s="909">
        <f t="shared" si="4"/>
        <v>536751</v>
      </c>
      <c r="J30" s="909">
        <f t="shared" si="4"/>
        <v>536751</v>
      </c>
      <c r="K30" s="909">
        <f t="shared" si="4"/>
        <v>536751</v>
      </c>
      <c r="L30" s="2627" t="s">
        <v>199</v>
      </c>
      <c r="M30" s="2627"/>
      <c r="N30" s="39"/>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row>
    <row r="31" spans="1:61" s="1" customFormat="1" ht="78" customHeight="1" x14ac:dyDescent="0.3">
      <c r="A31" s="2624"/>
      <c r="B31" s="1780"/>
      <c r="C31" s="2626"/>
      <c r="D31" s="937" t="s">
        <v>13</v>
      </c>
      <c r="E31" s="909">
        <f>E32+E33+E34+48195</f>
        <v>628773</v>
      </c>
      <c r="F31" s="909">
        <f t="shared" ref="F31:K31" si="5">F32+F33+F34</f>
        <v>2781417</v>
      </c>
      <c r="G31" s="909">
        <f t="shared" si="5"/>
        <v>632319</v>
      </c>
      <c r="H31" s="909">
        <f t="shared" si="5"/>
        <v>538845</v>
      </c>
      <c r="I31" s="909">
        <f t="shared" si="5"/>
        <v>536751</v>
      </c>
      <c r="J31" s="909">
        <f t="shared" si="5"/>
        <v>536751</v>
      </c>
      <c r="K31" s="909">
        <f t="shared" si="5"/>
        <v>536751</v>
      </c>
      <c r="L31" s="2628"/>
      <c r="M31" s="2628"/>
      <c r="N31" s="39"/>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row>
    <row r="32" spans="1:61" s="1" customFormat="1" ht="109.5" customHeight="1" x14ac:dyDescent="0.3">
      <c r="A32" s="297" t="s">
        <v>486</v>
      </c>
      <c r="B32" s="287" t="s">
        <v>79</v>
      </c>
      <c r="C32" s="300" t="s">
        <v>227</v>
      </c>
      <c r="D32" s="937" t="s">
        <v>13</v>
      </c>
      <c r="E32" s="938">
        <v>579844</v>
      </c>
      <c r="F32" s="909">
        <f>G32+H32+I32+J32+K32</f>
        <v>2777752</v>
      </c>
      <c r="G32" s="938">
        <v>631586</v>
      </c>
      <c r="H32" s="938">
        <v>538112</v>
      </c>
      <c r="I32" s="938">
        <v>536018</v>
      </c>
      <c r="J32" s="938">
        <v>536018</v>
      </c>
      <c r="K32" s="938">
        <v>536018</v>
      </c>
      <c r="L32" s="948" t="s">
        <v>199</v>
      </c>
      <c r="M32" s="948" t="s">
        <v>200</v>
      </c>
      <c r="N32" s="39"/>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row>
    <row r="33" spans="1:61" s="1" customFormat="1" ht="111.75" customHeight="1" x14ac:dyDescent="0.3">
      <c r="A33" s="297" t="s">
        <v>627</v>
      </c>
      <c r="B33" s="287" t="s">
        <v>80</v>
      </c>
      <c r="C33" s="300" t="s">
        <v>227</v>
      </c>
      <c r="D33" s="937" t="s">
        <v>13</v>
      </c>
      <c r="E33" s="938">
        <v>75</v>
      </c>
      <c r="F33" s="909">
        <f>G33+H33+I33+J33+K33</f>
        <v>375</v>
      </c>
      <c r="G33" s="938">
        <v>75</v>
      </c>
      <c r="H33" s="938">
        <v>75</v>
      </c>
      <c r="I33" s="938">
        <v>75</v>
      </c>
      <c r="J33" s="938">
        <v>75</v>
      </c>
      <c r="K33" s="938">
        <v>75</v>
      </c>
      <c r="L33" s="948" t="s">
        <v>199</v>
      </c>
      <c r="M33" s="948" t="s">
        <v>198</v>
      </c>
      <c r="N33" s="39"/>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row>
    <row r="34" spans="1:61" s="1" customFormat="1" ht="116.25" customHeight="1" x14ac:dyDescent="0.3">
      <c r="A34" s="297" t="s">
        <v>721</v>
      </c>
      <c r="B34" s="287" t="s">
        <v>81</v>
      </c>
      <c r="C34" s="300" t="s">
        <v>227</v>
      </c>
      <c r="D34" s="937" t="s">
        <v>13</v>
      </c>
      <c r="E34" s="938">
        <v>659</v>
      </c>
      <c r="F34" s="909">
        <f>G34+H34+I34+J34+K34</f>
        <v>3290</v>
      </c>
      <c r="G34" s="938">
        <v>658</v>
      </c>
      <c r="H34" s="938">
        <v>658</v>
      </c>
      <c r="I34" s="938">
        <v>658</v>
      </c>
      <c r="J34" s="938">
        <v>658</v>
      </c>
      <c r="K34" s="938">
        <v>658</v>
      </c>
      <c r="L34" s="948" t="s">
        <v>199</v>
      </c>
      <c r="M34" s="948" t="s">
        <v>198</v>
      </c>
      <c r="N34" s="39"/>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row>
    <row r="36" spans="1:61" x14ac:dyDescent="0.3">
      <c r="D36" s="284"/>
      <c r="E36" s="70" t="s">
        <v>687</v>
      </c>
      <c r="F36" s="288">
        <f>G36+H36+I36+J36+K36</f>
        <v>4676058</v>
      </c>
      <c r="G36" s="288">
        <f>G7+G8+G9+G10+G11+G12+G13+G14+G26+G30</f>
        <v>1168645</v>
      </c>
      <c r="H36" s="288">
        <f>H7+H8+H9+H26+H30+H10+H11+H12+H13+H14</f>
        <v>880743</v>
      </c>
      <c r="I36" s="288">
        <f>I7+I8+I9+I26+I30+I10+I11+I12+I13+I14</f>
        <v>878890</v>
      </c>
      <c r="J36" s="288">
        <f>J7+J8+J9+J26+J30+J10+J11+J12+J13+J14</f>
        <v>873890</v>
      </c>
      <c r="K36" s="288">
        <f>K7+K8+K9+K26+K30+K10+K11+K12+K13+K14</f>
        <v>873890</v>
      </c>
      <c r="L36" s="69"/>
      <c r="M36" s="69"/>
    </row>
    <row r="37" spans="1:61" x14ac:dyDescent="0.3">
      <c r="D37" s="284"/>
      <c r="E37" s="70" t="s">
        <v>847</v>
      </c>
      <c r="F37" s="288">
        <f>G37+H37+I37+J37+K37</f>
        <v>639476</v>
      </c>
      <c r="G37" s="288">
        <f>G15+G18+G16+G17</f>
        <v>154724</v>
      </c>
      <c r="H37" s="288">
        <f>H15+H18+H16+H17</f>
        <v>137408</v>
      </c>
      <c r="I37" s="288">
        <f>I15+I18+I16+I17</f>
        <v>137490</v>
      </c>
      <c r="J37" s="288">
        <f>J15+J18+J16+J17</f>
        <v>104927</v>
      </c>
      <c r="K37" s="288">
        <f>K15+K18+K16+K17</f>
        <v>104927</v>
      </c>
      <c r="L37" s="69"/>
      <c r="M37" s="69"/>
    </row>
    <row r="38" spans="1:61" x14ac:dyDescent="0.3">
      <c r="D38" s="284"/>
      <c r="E38" s="70" t="s">
        <v>717</v>
      </c>
      <c r="F38" s="288">
        <f>G38+H38+I38+J38+K38</f>
        <v>2565150</v>
      </c>
      <c r="G38" s="288">
        <f>G19+G20</f>
        <v>512316</v>
      </c>
      <c r="H38" s="288">
        <f>H19+H20</f>
        <v>512940</v>
      </c>
      <c r="I38" s="288">
        <f>I19+I20</f>
        <v>513298</v>
      </c>
      <c r="J38" s="288">
        <f>J19+J20</f>
        <v>513298</v>
      </c>
      <c r="K38" s="288">
        <f>K19+K20</f>
        <v>513298</v>
      </c>
      <c r="L38" s="288"/>
      <c r="M38" s="288"/>
    </row>
    <row r="39" spans="1:61" x14ac:dyDescent="0.3">
      <c r="D39" s="284"/>
      <c r="E39" s="70" t="s">
        <v>718</v>
      </c>
      <c r="F39" s="288">
        <f>G39+H39+I39+J39+K39</f>
        <v>3987606</v>
      </c>
      <c r="G39" s="288">
        <f>G21+G22+G23+G24+G25</f>
        <v>799764</v>
      </c>
      <c r="H39" s="288">
        <f>H21+H22+H23+H24+H25</f>
        <v>796884</v>
      </c>
      <c r="I39" s="288">
        <f>I21+I22+I23+I24+I25</f>
        <v>796986</v>
      </c>
      <c r="J39" s="288">
        <f>J21+J22+J23+J24+J25</f>
        <v>796986</v>
      </c>
      <c r="K39" s="288">
        <f>K21+K22+K23+K24+K25</f>
        <v>796986</v>
      </c>
      <c r="L39" s="288"/>
      <c r="M39" s="288"/>
    </row>
    <row r="40" spans="1:61" x14ac:dyDescent="0.3">
      <c r="D40" s="10"/>
      <c r="E40" s="287" t="s">
        <v>33</v>
      </c>
      <c r="F40" s="288">
        <f t="shared" ref="F40:K40" si="6">F36+F37+F38+F39</f>
        <v>11868290</v>
      </c>
      <c r="G40" s="288">
        <f t="shared" si="6"/>
        <v>2635449</v>
      </c>
      <c r="H40" s="288">
        <f t="shared" si="6"/>
        <v>2327975</v>
      </c>
      <c r="I40" s="288">
        <f t="shared" si="6"/>
        <v>2326664</v>
      </c>
      <c r="J40" s="288">
        <f t="shared" si="6"/>
        <v>2289101</v>
      </c>
      <c r="K40" s="288">
        <f t="shared" si="6"/>
        <v>2289101</v>
      </c>
      <c r="L40" s="305"/>
      <c r="M40" s="305"/>
    </row>
    <row r="41" spans="1:61" x14ac:dyDescent="0.35">
      <c r="E41" s="20" t="s">
        <v>818</v>
      </c>
      <c r="G41" s="204">
        <f>G11+G18+G24+G20</f>
        <v>10882</v>
      </c>
      <c r="H41" s="204">
        <f>H11+H18+H24+H20</f>
        <v>10882</v>
      </c>
      <c r="I41" s="204">
        <f>I11+I18+I24+I20</f>
        <v>10882</v>
      </c>
      <c r="J41" s="204">
        <f>J11+J18+J24+J20</f>
        <v>10882</v>
      </c>
      <c r="K41" s="204">
        <f>K11+K18+K24+K20</f>
        <v>10882</v>
      </c>
    </row>
    <row r="60" ht="15" customHeight="1" x14ac:dyDescent="0.35"/>
    <row r="62" ht="15" customHeight="1" x14ac:dyDescent="0.35"/>
    <row r="64" ht="15" customHeight="1" x14ac:dyDescent="0.35"/>
    <row r="66" ht="15" customHeight="1" x14ac:dyDescent="0.35"/>
    <row r="68" ht="15" customHeight="1" x14ac:dyDescent="0.35"/>
    <row r="70" ht="15" customHeight="1" x14ac:dyDescent="0.35"/>
    <row r="72" ht="15" customHeight="1" x14ac:dyDescent="0.35"/>
    <row r="74" ht="15" customHeight="1" x14ac:dyDescent="0.35"/>
    <row r="76" ht="15" customHeight="1" x14ac:dyDescent="0.35"/>
    <row r="78" ht="15" customHeight="1" x14ac:dyDescent="0.35"/>
    <row r="80" ht="15" customHeight="1" x14ac:dyDescent="0.35"/>
    <row r="82" ht="15" customHeight="1" x14ac:dyDescent="0.35"/>
    <row r="84" ht="15" customHeight="1" x14ac:dyDescent="0.35"/>
    <row r="86" ht="15" customHeight="1" x14ac:dyDescent="0.35"/>
    <row r="88" ht="15" customHeight="1" x14ac:dyDescent="0.35"/>
    <row r="90" ht="15" customHeight="1" x14ac:dyDescent="0.35"/>
    <row r="92" ht="15" customHeight="1" x14ac:dyDescent="0.35"/>
    <row r="95" ht="15" customHeight="1" x14ac:dyDescent="0.35"/>
    <row r="97" ht="15" customHeight="1" x14ac:dyDescent="0.35"/>
    <row r="99" ht="15" customHeight="1" x14ac:dyDescent="0.35"/>
  </sheetData>
  <customSheetViews>
    <customSheetView guid="{7DDEA387-EEC9-4633-99BE-C0D9299FB093}" showPageBreaks="1" fitToPage="1" printArea="1" view="pageBreakPreview">
      <pane xSplit="2" ySplit="3" topLeftCell="C15" activePane="bottomRight" state="frozen"/>
      <selection pane="bottomRight" activeCell="B18" sqref="B18"/>
      <rowBreaks count="1" manualBreakCount="1">
        <brk id="19" max="16383" man="1"/>
      </rowBreaks>
      <pageMargins left="0.11811023622047245" right="0.11811023622047245" top="0.15748031496062992" bottom="0.15748031496062992" header="0.31496062992125984" footer="0.31496062992125984"/>
      <pageSetup paperSize="9" scale="63" fitToHeight="0" orientation="landscape" r:id="rId1"/>
    </customSheetView>
    <customSheetView guid="{6592EBC0-D945-4F6F-93D1-49FCB588A4A0}" scale="70" showPageBreaks="1" fitToPage="1" printArea="1" view="pageBreakPreview">
      <pane xSplit="2" ySplit="3" topLeftCell="C16" activePane="bottomRight" state="frozen"/>
      <selection pane="bottomRight" activeCell="M20" sqref="M20"/>
      <rowBreaks count="1" manualBreakCount="1">
        <brk id="19" max="16383" man="1"/>
      </rowBreaks>
      <pageMargins left="0.11811023622047245" right="0.11811023622047245" top="0.15748031496062992" bottom="0.15748031496062992" header="0.31496062992125984" footer="0.31496062992125984"/>
      <pageSetup paperSize="9" scale="63" fitToHeight="0" orientation="landscape" r:id="rId2"/>
    </customSheetView>
    <customSheetView guid="{001F394D-7E32-49E0-9108-A9790B233A9D}" scale="70" showPageBreaks="1" fitToPage="1" printArea="1" view="pageBreakPreview">
      <pane xSplit="2" ySplit="3" topLeftCell="C7" activePane="bottomRight" state="frozen"/>
      <selection pane="bottomRight" activeCell="G10" sqref="G10"/>
      <rowBreaks count="1" manualBreakCount="1">
        <brk id="19" max="16383" man="1"/>
      </rowBreaks>
      <pageMargins left="0.11811023622047245" right="0.11811023622047245" top="0.15748031496062992" bottom="0.15748031496062992" header="0.31496062992125984" footer="0.31496062992125984"/>
      <pageSetup paperSize="9" scale="63" fitToHeight="0" orientation="landscape" r:id="rId3"/>
    </customSheetView>
    <customSheetView guid="{F08E63B0-D6C4-4E18-B2B6-E1E751FE7DF2}" scale="70" showPageBreaks="1" fitToPage="1" printArea="1" view="pageBreakPreview">
      <pane xSplit="2" ySplit="3" topLeftCell="C4" activePane="bottomRight" state="frozen"/>
      <selection pane="bottomRight" activeCell="K6" sqref="K6"/>
      <rowBreaks count="1" manualBreakCount="1">
        <brk id="19" max="16383" man="1"/>
      </rowBreaks>
      <pageMargins left="0.11811023622047245" right="0.11811023622047245" top="0.15748031496062992" bottom="0.15748031496062992" header="0.31496062992125984" footer="0.31496062992125984"/>
      <pageSetup paperSize="9" scale="63" fitToHeight="0" orientation="landscape" r:id="rId4"/>
    </customSheetView>
    <customSheetView guid="{D32E4BC6-6FD7-4441-855E-C6B8F80A132E}" showPageBreaks="1" fitToPage="1" printArea="1" view="pageBreakPreview">
      <pane xSplit="2" ySplit="3" topLeftCell="C13" activePane="bottomRight" state="frozen"/>
      <selection pane="bottomRight" activeCell="B17" sqref="B17"/>
      <rowBreaks count="1" manualBreakCount="1">
        <brk id="19" max="16383" man="1"/>
      </rowBreaks>
      <pageMargins left="0.11811023622047245" right="0.11811023622047245" top="0.15748031496062992" bottom="0.15748031496062992" header="0.31496062992125984" footer="0.31496062992125984"/>
      <pageSetup paperSize="9" scale="63" fitToHeight="0" orientation="landscape" r:id="rId5"/>
    </customSheetView>
  </customSheetViews>
  <mergeCells count="25">
    <mergeCell ref="B26:B27"/>
    <mergeCell ref="C26:C27"/>
    <mergeCell ref="L26:L27"/>
    <mergeCell ref="M26:M27"/>
    <mergeCell ref="A26:A27"/>
    <mergeCell ref="A30:A31"/>
    <mergeCell ref="B30:B31"/>
    <mergeCell ref="C30:C31"/>
    <mergeCell ref="L30:L31"/>
    <mergeCell ref="M30:M31"/>
    <mergeCell ref="A5:A6"/>
    <mergeCell ref="B5:B6"/>
    <mergeCell ref="C5:C6"/>
    <mergeCell ref="L5:L6"/>
    <mergeCell ref="M5:M6"/>
    <mergeCell ref="A1:M1"/>
    <mergeCell ref="A2:A3"/>
    <mergeCell ref="B2:B3"/>
    <mergeCell ref="C2:C3"/>
    <mergeCell ref="D2:D3"/>
    <mergeCell ref="E2:E3"/>
    <mergeCell ref="F2:F3"/>
    <mergeCell ref="G2:K2"/>
    <mergeCell ref="L2:L3"/>
    <mergeCell ref="M2:M3"/>
  </mergeCells>
  <pageMargins left="0.11811023622047245" right="0.11811023622047245" top="0.15748031496062992" bottom="0.15748031496062992" header="0.31496062992125984" footer="0.31496062992125984"/>
  <pageSetup paperSize="9" scale="63" fitToHeight="0" orientation="landscape" r:id="rId6"/>
  <rowBreaks count="1" manualBreakCount="1">
    <brk id="1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28</vt:i4>
      </vt:variant>
      <vt:variant>
        <vt:lpstr>Именованные диапазоны</vt:lpstr>
      </vt:variant>
      <vt:variant>
        <vt:i4>20</vt:i4>
      </vt:variant>
    </vt:vector>
  </HeadingPairs>
  <TitlesOfParts>
    <vt:vector size="48" baseType="lpstr">
      <vt:lpstr>П ГОСПРОГРАММЫ</vt:lpstr>
      <vt:lpstr>ПЛАНИРУЕМЫ ПОКАЗ</vt:lpstr>
      <vt:lpstr>ПП 1</vt:lpstr>
      <vt:lpstr>ПМ П1</vt:lpstr>
      <vt:lpstr>А П 1 </vt:lpstr>
      <vt:lpstr>ПП 2</vt:lpstr>
      <vt:lpstr>ПМ П2</vt:lpstr>
      <vt:lpstr>А П 2</vt:lpstr>
      <vt:lpstr>ПП 3</vt:lpstr>
      <vt:lpstr>ПМ П 3</vt:lpstr>
      <vt:lpstr>Лист1</vt:lpstr>
      <vt:lpstr>Лист4</vt:lpstr>
      <vt:lpstr>А П 3</vt:lpstr>
      <vt:lpstr>РМВГ</vt:lpstr>
      <vt:lpstr>ПП 4</vt:lpstr>
      <vt:lpstr>МП 4</vt:lpstr>
      <vt:lpstr>ПП 5</vt:lpstr>
      <vt:lpstr>МП 5</vt:lpstr>
      <vt:lpstr> АП П 5</vt:lpstr>
      <vt:lpstr>ПП 6</vt:lpstr>
      <vt:lpstr>МП 6</vt:lpstr>
      <vt:lpstr>АП П 6</vt:lpstr>
      <vt:lpstr>ПП 7</vt:lpstr>
      <vt:lpstr>МП 7</vt:lpstr>
      <vt:lpstr>ПП 8</vt:lpstr>
      <vt:lpstr>Лист3</vt:lpstr>
      <vt:lpstr>Лист2</vt:lpstr>
      <vt:lpstr>ПМ П8</vt:lpstr>
      <vt:lpstr>'МП 4'!Заголовки_для_печати</vt:lpstr>
      <vt:lpstr>' АП П 5'!Область_печати</vt:lpstr>
      <vt:lpstr>'А П 1 '!Область_печати</vt:lpstr>
      <vt:lpstr>'А П 2'!Область_печати</vt:lpstr>
      <vt:lpstr>'А П 3'!Область_печати</vt:lpstr>
      <vt:lpstr>'АП П 6'!Область_печати</vt:lpstr>
      <vt:lpstr>'МП 4'!Область_печати</vt:lpstr>
      <vt:lpstr>'МП 5'!Область_печати</vt:lpstr>
      <vt:lpstr>'МП 6'!Область_печати</vt:lpstr>
      <vt:lpstr>'П ГОСПРОГРАММЫ'!Область_печати</vt:lpstr>
      <vt:lpstr>'ПЛАНИРУЕМЫ ПОКАЗ'!Область_печати</vt:lpstr>
      <vt:lpstr>'ПМ П 3'!Область_печати</vt:lpstr>
      <vt:lpstr>'ПМ П1'!Область_печати</vt:lpstr>
      <vt:lpstr>'ПМ П2'!Область_печати</vt:lpstr>
      <vt:lpstr>'ПМ П8'!Область_печати</vt:lpstr>
      <vt:lpstr>'ПП 1'!Область_печати</vt:lpstr>
      <vt:lpstr>'ПП 2'!Область_печати</vt:lpstr>
      <vt:lpstr>'ПП 3'!Область_печати</vt:lpstr>
      <vt:lpstr>'ПП 8'!Область_печати</vt:lpstr>
      <vt:lpstr>РМВГ!Область_печати</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Шаврова Лилия Сергеевна</dc:creator>
  <cp:lastModifiedBy>Соловьев Евгений Владиславович</cp:lastModifiedBy>
  <cp:lastPrinted>2018-03-28T15:17:44Z</cp:lastPrinted>
  <dcterms:created xsi:type="dcterms:W3CDTF">2006-09-16T00:00:00Z</dcterms:created>
  <dcterms:modified xsi:type="dcterms:W3CDTF">2018-03-30T14:36:11Z</dcterms:modified>
</cp:coreProperties>
</file>